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xl/customProperty4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5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zmj\Desktop\Free\"/>
    </mc:Choice>
  </mc:AlternateContent>
  <xr:revisionPtr revIDLastSave="0" documentId="8_{0253DBC5-2C43-4A83-AE4D-6A56849C1BCF}" xr6:coauthVersionLast="36" xr6:coauthVersionMax="36" xr10:uidLastSave="{00000000-0000-0000-0000-000000000000}"/>
  <bookViews>
    <workbookView xWindow="480" yWindow="36" windowWidth="27792" windowHeight="12072" tabRatio="847" firstSheet="1" activeTab="1" xr2:uid="{00000000-000D-0000-FFFF-FFFF00000000}"/>
  </bookViews>
  <sheets>
    <sheet name="SEF-3E" sheetId="1" r:id="rId1"/>
    <sheet name="SEF-3G" sheetId="8" r:id="rId2"/>
    <sheet name="SEF-4E p 1" sheetId="2" r:id="rId3"/>
    <sheet name="SEF-4E p 2-7" sheetId="3" r:id="rId4"/>
    <sheet name="SEF-4G p 1" sheetId="10" r:id="rId5"/>
    <sheet name="SEF-4G p 2-5" sheetId="11" r:id="rId6"/>
    <sheet name="SEF-5E p 1-2" sheetId="23" r:id="rId7"/>
    <sheet name="SEF-5G p 1" sheetId="24" r:id="rId8"/>
    <sheet name="SEF-5E p 3 &amp; SEF5G p 2 " sheetId="16" r:id="rId9"/>
    <sheet name="SEF-5E p 4 &amp; SEF5G p 3 " sheetId="17" r:id="rId10"/>
    <sheet name="SEF-5E p 5 &amp; SEF-5G p 4" sheetId="4" r:id="rId11"/>
    <sheet name="SEF-6E" sheetId="5" r:id="rId12"/>
    <sheet name="SEF-6G" sheetId="12" r:id="rId13"/>
    <sheet name="SEF-7E" sheetId="6" r:id="rId14"/>
    <sheet name="SEF-7E p 2" sheetId="28" r:id="rId15"/>
    <sheet name="SEF-8G" sheetId="13" r:id="rId16"/>
    <sheet name="SEF-9 p 1" sheetId="18" r:id="rId17"/>
    <sheet name="SEF-9 p 2" sheetId="19" r:id="rId18"/>
    <sheet name="SEF-10 p 1" sheetId="20" r:id="rId19"/>
    <sheet name="SEF-10 p 2" sheetId="21" r:id="rId20"/>
    <sheet name="SEF-10 p 3" sheetId="22" r:id="rId21"/>
    <sheet name="SEF-11" sheetId="25" r:id="rId22"/>
    <sheet name="SJK-3" sheetId="26" r:id="rId23"/>
    <sheet name="SJK-4" sheetId="27" r:id="rId24"/>
    <sheet name="Not An Exhibit ---&gt;" sheetId="15" r:id="rId25"/>
    <sheet name="Named Ranges G" sheetId="14" r:id="rId26"/>
    <sheet name="Named Ranges E" sheetId="7" r:id="rId27"/>
  </sheets>
  <externalReferences>
    <externalReference r:id="rId28"/>
  </externalReferences>
  <definedNames>
    <definedName name="_AMAtoEOP_Depr_E">'SEF-6E'!$EO$5:$EV$33</definedName>
    <definedName name="_AMAtoEOP_RB_E">'SEF-6E'!$EG$5:$EN$21</definedName>
    <definedName name="_AMAtoEOP_RB_G">'SEF-6G'!$EH$5:$EO$20</definedName>
    <definedName name="_AMI_E">'SEF-6E'!$FM$5:$FT$42</definedName>
    <definedName name="_AMI_G">'SEF-6G'!$FN$5:$FU$42</definedName>
    <definedName name="_AnnualizeRent_E">'SEF-6E'!$FU$5:$GB$33</definedName>
    <definedName name="_AnnualRentExp_G">'SEF-6G'!$FV$5:$GC$33</definedName>
    <definedName name="_BadDebt_E">'SEF-6E'!$AW$5:$BD$20</definedName>
    <definedName name="_BadDebt_G">'SEF-6G'!$AW$5:$BE$20</definedName>
    <definedName name="_COC_G">'SEF-3G'!$D$2:$H$19</definedName>
    <definedName name="_ContractEsc_G">'SEF-6G'!$HJ$5:$HQ$24</definedName>
    <definedName name="_ConvFact_G">'SEF-3G'!$I$2:$M$21</definedName>
    <definedName name="_CreditCardPmt_E">'SEF-6E'!$GK$5:$GR$21</definedName>
    <definedName name="_D_And_O_E">'SEF-6E'!$BU$5:$CB$22</definedName>
    <definedName name="_D_and_O_G">'SEF-6G'!$BV$5:$CC$22</definedName>
    <definedName name="_DefGain_E">'SEF-6E'!$EW$5:$FD$20</definedName>
    <definedName name="_DefGainAndLosses_G">'SEF-6G'!$EX$5:$FE$21</definedName>
    <definedName name="_DeprRestmt_G">'SEF-6G'!$EP$5:$EW$32</definedName>
    <definedName name="_EmplInsurance_E">'SEF-6E'!$DY$5:$EF$26</definedName>
    <definedName name="_EmployeeIns_G">'SEF-6G'!$DZ$5:$EG$26</definedName>
    <definedName name="_EnvRem_G">'SEF-6G'!$FF$5:$FM$19</definedName>
    <definedName name="_EnvRemed_E">'SEF-6E'!$FE$5:$FL$19</definedName>
    <definedName name="_ExciseTax_G">'SEF-6G'!$BN$5:$BU$20</definedName>
    <definedName name="_ExcTax_E">'SEF-6E'!$BM$5:$BT$21</definedName>
    <definedName name="_FedIncTax_G">'SEF-6G'!$Q$5:$X$18</definedName>
    <definedName name="_Fill" hidden="1">#REF!</definedName>
    <definedName name="_FIT_E_E">'SEF-6E'!$Q$5:$X$17</definedName>
    <definedName name="_GTZ_E">'SEF-6E'!$GC$5:$GJ$38</definedName>
    <definedName name="_GTZ_G">'SEF-6G'!$GD$5:$GK$38</definedName>
    <definedName name="_HRTops_E">'SEF-6E'!$HQ$5:$HX$31</definedName>
    <definedName name="_HRTops_G">'SEF-6G'!$HR$5:$HY$38</definedName>
    <definedName name="_Incentives_E">'SEF-6E'!$BE$5:$BL$30</definedName>
    <definedName name="_Incentives_G">'SEF-6G'!$BF$5:$BM$30</definedName>
    <definedName name="_InjAndDam_E">'SEF-6E'!$AO$5:$AV$22</definedName>
    <definedName name="_IntOnCustDep_G">'SEF-6G'!$CD$5:$CK$16</definedName>
    <definedName name="_IntOnCustDeposits_E">'SEF-6E'!$CC$5:$CJ$17</definedName>
    <definedName name="_Investment_E">'SEF-6E'!$DQ$5:$DX$34</definedName>
    <definedName name="_InvPlan_G">'SEF-6G'!$DR$5:$DY$34</definedName>
    <definedName name="_NormInsAndDam_G">'SEF-6G'!$AO$5:$AV$22</definedName>
    <definedName name="_PassThru_E">'SEF-6E'!$AG$5:$AN$52</definedName>
    <definedName name="_PassThru_G">'SEF-6G'!$AG$5:$AN$45</definedName>
    <definedName name="_PaymentProccessing_G">'SEF-6G'!$GL$5:$GS$20</definedName>
    <definedName name="_Pension_E">'SEF-6E'!$CS$5:$CZ$19</definedName>
    <definedName name="_PensionPlan_G">'SEF-6G'!$CT$5:$DA$20</definedName>
    <definedName name="_ProformCRM_G">'SEF-8G'!$J$5:$Q$41</definedName>
    <definedName name="_PropAndLiab_E">'SEF-6E'!$DA$5:$DH$20</definedName>
    <definedName name="_PropAndLiab_G">'SEF-6G'!$DB$5:$DI$20</definedName>
    <definedName name="_PublicImpr_G">'SEF-6G'!$HB$5:$HI$28</definedName>
    <definedName name="_RateCaseExp_E">'SEF-6E'!$CK$5:$CR$24</definedName>
    <definedName name="_RateCaseExp_G">'SEF-6G'!$CL$5:$CS$21</definedName>
    <definedName name="_RateIncr_G">'SEF-3G'!$A$2:$C$36</definedName>
    <definedName name="_Regression_Int">1</definedName>
    <definedName name="_RemoveCRM_G">'SEF-8G'!$A$5:$H$27</definedName>
    <definedName name="_RevAndExp_E">'SEF-6E'!$A$5:$H$53</definedName>
    <definedName name="_RevAndExp_G">'SEF-6G'!$A$5:$H$48</definedName>
    <definedName name="_TBOPI_E">'SEF-6E'!$Y$5:$AF$24</definedName>
    <definedName name="_TBOPI_G">'SEF-6G'!$Y$5:$AF$22</definedName>
    <definedName name="_TempNorm_E">'SEF-6E'!$I$5:$P$32</definedName>
    <definedName name="_TempNorm_G">'SEF-6G'!$I$5:$P$33</definedName>
    <definedName name="_UnprotcdFFIT_E">'SEF-6E'!$GS$5:$GZ$23</definedName>
    <definedName name="_UnprotectedDFIT_G">'SEF-6G'!$GT$5:$HA$23</definedName>
    <definedName name="_WageInc_E">'SEF-6E'!$DI$5:$DP$30</definedName>
    <definedName name="_WageIncr_G">'SEF-6G'!$DJ$5:$DQ$31</definedName>
    <definedName name="a" hidden="1">{#N/A,#N/A,FALSE,"Coversheet";#N/A,#N/A,FALSE,"QA"}</definedName>
    <definedName name="BD_E">'SEF-6E'!$EI$13</definedName>
    <definedName name="BD_G">'SEF-6G'!$EJ$13</definedName>
    <definedName name="CASE_E">'Named Ranges E'!$C$4</definedName>
    <definedName name="CASE_G">'Named Ranges G'!$C$4</definedName>
    <definedName name="Comp_E">'Named Ranges E'!$C$8</definedName>
    <definedName name="Comp_G">'Named Ranges G'!$C$8</definedName>
    <definedName name="Comp_GAS">'[1]Named Ranges G'!$C$8</definedName>
    <definedName name="Conv_Factor_E">'SEF-3E'!$I$2:$L$22</definedName>
    <definedName name="Conv_Factor_G">'SEF-3G'!$I$2:$L$22</definedName>
    <definedName name="COST_OF_CAPITAL_E">'SEF-3E'!$D$2:$H$23</definedName>
    <definedName name="COST_OF_CAPITAL_G">'SEF-3G'!$D$2:$H$23</definedName>
    <definedName name="DOCKETNUMBER_E">'Named Ranges E'!$C$6</definedName>
    <definedName name="DOCKETNUMBER_G">'Named Ranges G'!$C$6</definedName>
    <definedName name="EXHIBIT_E">'Named Ranges E'!$C$7</definedName>
    <definedName name="EXHIBIT_G">'Named Ranges G'!$C$7</definedName>
    <definedName name="FF_E">'SEF-6E'!$EI$14</definedName>
    <definedName name="FF_G">'SEF-6G'!$EJ$14</definedName>
    <definedName name="FIT_E">'Named Ranges E'!$C$3</definedName>
    <definedName name="FIT_G">'Named Ranges G'!$C$3</definedName>
    <definedName name="_xlnm.Print_Area" localSheetId="21">'SEF-11'!$A$1:$G$47</definedName>
    <definedName name="_xlnm.Print_Area" localSheetId="2">'SEF-4E p 1'!$A$1:$I$64</definedName>
    <definedName name="_xlnm.Print_Area" localSheetId="3">'SEF-4E p 2-7'!$A$1:$BK$64</definedName>
    <definedName name="_xlnm.Print_Area" localSheetId="4">'SEF-4G p 1'!$A$1:$I$62</definedName>
    <definedName name="_xlnm.Print_Area" localSheetId="5">'SEF-4G p 2-5'!$A$1:$AV$62</definedName>
    <definedName name="_xlnm.Print_Titles" localSheetId="2">'SEF-4E p 1'!$A:$B,'SEF-4E p 1'!$1:$12</definedName>
    <definedName name="_xlnm.Print_Titles" localSheetId="3">'SEF-4E p 2-7'!$A:$B,'SEF-4E p 2-7'!$1:$12</definedName>
    <definedName name="_xlnm.Print_Titles" localSheetId="4">'SEF-4G p 1'!$A:$B,'SEF-4G p 1'!$1:$12</definedName>
    <definedName name="_xlnm.Print_Titles" localSheetId="5">'SEF-4G p 2-5'!$A:$B,'SEF-4G p 2-5'!$1:$12</definedName>
    <definedName name="_xlnm.Print_Titles" localSheetId="6">'SEF-5E p 1-2'!$1:$8</definedName>
    <definedName name="RATE_Increase_E">'SEF-3E'!$A$2:$C$22</definedName>
    <definedName name="RATE_Increase_G">'SEF-3G'!$A$2:$C$22</definedName>
    <definedName name="RY_E">'Named Ranges E'!$C$9</definedName>
    <definedName name="RY_G">'Named Ranges G'!$C$9</definedName>
    <definedName name="TESTYEAR_E">'Named Ranges E'!$C$5</definedName>
    <definedName name="TESTYEAR_G">'Named Ranges G'!$C$5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MARGIN_WO_QTR." hidden="1">{#N/A,#N/A,FALSE,"Month ";#N/A,#N/A,FALSE,"YTD";#N/A,#N/A,FALSE,"12 mo ended"}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3" i="1" l="1"/>
  <c r="N14" i="1" s="1"/>
  <c r="N15" i="1" s="1"/>
  <c r="N16" i="1" s="1"/>
  <c r="N17" i="1" s="1"/>
  <c r="N13" i="8"/>
  <c r="N14" i="8" s="1"/>
  <c r="N15" i="8" s="1"/>
  <c r="N5" i="8"/>
  <c r="N4" i="8"/>
  <c r="N2" i="8"/>
  <c r="E18" i="28" l="1"/>
  <c r="E19" i="28"/>
  <c r="E21" i="28" s="1"/>
  <c r="E24" i="28"/>
  <c r="I27" i="28"/>
  <c r="J27" i="28" s="1"/>
  <c r="G30" i="6" s="1"/>
  <c r="I26" i="28"/>
  <c r="F25" i="28"/>
  <c r="I25" i="28" s="1"/>
  <c r="I24" i="28"/>
  <c r="H21" i="28"/>
  <c r="H28" i="28" s="1"/>
  <c r="G21" i="28"/>
  <c r="G28" i="28" s="1"/>
  <c r="I20" i="28"/>
  <c r="J20" i="28" s="1"/>
  <c r="G23" i="6" s="1"/>
  <c r="I19" i="28"/>
  <c r="J19" i="28" s="1"/>
  <c r="G22" i="6" s="1"/>
  <c r="I18" i="28"/>
  <c r="J18" i="28" s="1"/>
  <c r="G21" i="6" s="1"/>
  <c r="F17" i="28"/>
  <c r="F21" i="28" s="1"/>
  <c r="I16" i="28"/>
  <c r="I15" i="28"/>
  <c r="J15" i="28" s="1"/>
  <c r="G18" i="6" s="1"/>
  <c r="I14" i="28"/>
  <c r="J14" i="28" s="1"/>
  <c r="G17" i="6" s="1"/>
  <c r="J13" i="28"/>
  <c r="G16" i="6" s="1"/>
  <c r="I13" i="28"/>
  <c r="A12" i="28"/>
  <c r="A13" i="28" s="1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I8" i="28"/>
  <c r="J6" i="28"/>
  <c r="J24" i="28" l="1"/>
  <c r="G27" i="6" s="1"/>
  <c r="I17" i="28"/>
  <c r="J17" i="28" s="1"/>
  <c r="G20" i="6" s="1"/>
  <c r="J25" i="28"/>
  <c r="G28" i="6" s="1"/>
  <c r="E28" i="28"/>
  <c r="J26" i="28"/>
  <c r="G29" i="6" s="1"/>
  <c r="I21" i="28"/>
  <c r="I28" i="28"/>
  <c r="F28" i="28"/>
  <c r="J16" i="28"/>
  <c r="J21" i="28" l="1"/>
  <c r="J28" i="28" s="1"/>
  <c r="G19" i="6"/>
  <c r="M12" i="1"/>
  <c r="M14" i="1" s="1"/>
  <c r="J14" i="1" s="1"/>
  <c r="T15" i="1"/>
  <c r="S15" i="1"/>
  <c r="U17" i="1" s="1"/>
  <c r="AD38" i="1"/>
  <c r="AE38" i="1" s="1"/>
  <c r="AG38" i="1" s="1"/>
  <c r="AH38" i="1" s="1"/>
  <c r="T13" i="1" s="1"/>
  <c r="Y38" i="1"/>
  <c r="AA38" i="1" s="1"/>
  <c r="AB38" i="1" s="1"/>
  <c r="AD35" i="1"/>
  <c r="AG35" i="1" s="1"/>
  <c r="AA35" i="1"/>
  <c r="Y35" i="1"/>
  <c r="V35" i="1"/>
  <c r="V36" i="1" s="1"/>
  <c r="V37" i="1" s="1"/>
  <c r="V38" i="1" s="1"/>
  <c r="V39" i="1" s="1"/>
  <c r="V40" i="1" s="1"/>
  <c r="V41" i="1" s="1"/>
  <c r="V42" i="1" s="1"/>
  <c r="V43" i="1" s="1"/>
  <c r="V44" i="1" s="1"/>
  <c r="V45" i="1" s="1"/>
  <c r="V46" i="1" s="1"/>
  <c r="AD34" i="1"/>
  <c r="AG34" i="1" s="1"/>
  <c r="AA34" i="1"/>
  <c r="Y34" i="1"/>
  <c r="AD33" i="1"/>
  <c r="AG33" i="1" s="1"/>
  <c r="AA33" i="1"/>
  <c r="Y33" i="1"/>
  <c r="AD32" i="1"/>
  <c r="AG32" i="1" s="1"/>
  <c r="AA32" i="1"/>
  <c r="Y32" i="1"/>
  <c r="AH31" i="1"/>
  <c r="AE31" i="1"/>
  <c r="AB31" i="1"/>
  <c r="Y31" i="1"/>
  <c r="AH30" i="1"/>
  <c r="AE30" i="1"/>
  <c r="AB30" i="1"/>
  <c r="Y30" i="1"/>
  <c r="AD29" i="1"/>
  <c r="AG29" i="1" s="1"/>
  <c r="AA29" i="1"/>
  <c r="Y29" i="1"/>
  <c r="AD28" i="1"/>
  <c r="AG28" i="1" s="1"/>
  <c r="AA28" i="1"/>
  <c r="Y28" i="1"/>
  <c r="AH27" i="1"/>
  <c r="AE27" i="1"/>
  <c r="AB27" i="1"/>
  <c r="Y27" i="1"/>
  <c r="AH26" i="1"/>
  <c r="AE26" i="1"/>
  <c r="AB26" i="1"/>
  <c r="Y26" i="1"/>
  <c r="AB25" i="1"/>
  <c r="Y25" i="1"/>
  <c r="AD24" i="1"/>
  <c r="AE24" i="1" s="1"/>
  <c r="AA24" i="1"/>
  <c r="Y24" i="1"/>
  <c r="AB23" i="1"/>
  <c r="Y23" i="1"/>
  <c r="C26" i="1"/>
  <c r="P13" i="1" s="1"/>
  <c r="AD22" i="1"/>
  <c r="AG22" i="1" s="1"/>
  <c r="AA22" i="1"/>
  <c r="Y22" i="1"/>
  <c r="AD21" i="1"/>
  <c r="AE21" i="1" s="1"/>
  <c r="AA21" i="1"/>
  <c r="Y21" i="1"/>
  <c r="AD20" i="1"/>
  <c r="AG20" i="1" s="1"/>
  <c r="AA20" i="1"/>
  <c r="Y20" i="1"/>
  <c r="AH19" i="1"/>
  <c r="AE19" i="1"/>
  <c r="AB19" i="1"/>
  <c r="Y19" i="1"/>
  <c r="L19" i="1"/>
  <c r="AH18" i="1"/>
  <c r="AE18" i="1"/>
  <c r="AB18" i="1"/>
  <c r="Y18" i="1"/>
  <c r="G17" i="1"/>
  <c r="AB15" i="1"/>
  <c r="Y15" i="1"/>
  <c r="Q13" i="1"/>
  <c r="Q14" i="1" s="1"/>
  <c r="Q15" i="1" s="1"/>
  <c r="Q16" i="1" s="1"/>
  <c r="Q17" i="1" s="1"/>
  <c r="Q18" i="1" s="1"/>
  <c r="I13" i="1"/>
  <c r="I14" i="1" s="1"/>
  <c r="I15" i="1" s="1"/>
  <c r="I16" i="1" s="1"/>
  <c r="I17" i="1" s="1"/>
  <c r="H13" i="1"/>
  <c r="F17" i="1"/>
  <c r="D13" i="1"/>
  <c r="D14" i="1" s="1"/>
  <c r="D15" i="1" s="1"/>
  <c r="D16" i="1" s="1"/>
  <c r="D17" i="1" s="1"/>
  <c r="D18" i="1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G16" i="1"/>
  <c r="F16" i="1"/>
  <c r="F18" i="1" s="1"/>
  <c r="AD10" i="1"/>
  <c r="AH9" i="1"/>
  <c r="AB9" i="1"/>
  <c r="X9" i="1"/>
  <c r="AD8" i="1"/>
  <c r="AD7" i="1"/>
  <c r="AD6" i="1"/>
  <c r="Q5" i="1"/>
  <c r="N5" i="1"/>
  <c r="J5" i="1"/>
  <c r="D5" i="1"/>
  <c r="A5" i="1"/>
  <c r="Q4" i="1"/>
  <c r="N4" i="1"/>
  <c r="J4" i="1"/>
  <c r="D4" i="1"/>
  <c r="A4" i="1"/>
  <c r="H17" i="1" l="1"/>
  <c r="AD25" i="1"/>
  <c r="AE25" i="1" s="1"/>
  <c r="AE32" i="1"/>
  <c r="AE28" i="1"/>
  <c r="AE29" i="1"/>
  <c r="AE33" i="1"/>
  <c r="AD17" i="1"/>
  <c r="AE17" i="1" s="1"/>
  <c r="AD14" i="1"/>
  <c r="AG14" i="1" s="1"/>
  <c r="X14" i="1"/>
  <c r="Y14" i="1" s="1"/>
  <c r="AB37" i="1"/>
  <c r="AB39" i="1" s="1"/>
  <c r="AB44" i="1" s="1"/>
  <c r="AG24" i="1"/>
  <c r="AE35" i="1"/>
  <c r="AD16" i="1"/>
  <c r="AG16" i="1" s="1"/>
  <c r="X16" i="1"/>
  <c r="AA16" i="1" s="1"/>
  <c r="AE20" i="1"/>
  <c r="AG21" i="1"/>
  <c r="I18" i="1"/>
  <c r="J18" i="1"/>
  <c r="M16" i="1"/>
  <c r="M18" i="1" s="1"/>
  <c r="M19" i="1" s="1"/>
  <c r="M20" i="1" s="1"/>
  <c r="C20" i="1" s="1"/>
  <c r="AD9" i="1"/>
  <c r="X17" i="1"/>
  <c r="AD23" i="1"/>
  <c r="AD15" i="1"/>
  <c r="AE22" i="1"/>
  <c r="AE34" i="1"/>
  <c r="H12" i="1"/>
  <c r="F14" i="1"/>
  <c r="CB23" i="6"/>
  <c r="BX24" i="6"/>
  <c r="BX26" i="6" s="1"/>
  <c r="BY24" i="6"/>
  <c r="BY26" i="6" s="1"/>
  <c r="BZ24" i="6"/>
  <c r="BZ26" i="6" s="1"/>
  <c r="CA24" i="6"/>
  <c r="CA26" i="6" s="1"/>
  <c r="CB24" i="6"/>
  <c r="CB26" i="6" s="1"/>
  <c r="BQ24" i="6"/>
  <c r="BQ26" i="6" s="1"/>
  <c r="BP24" i="6"/>
  <c r="BP26" i="6" s="1"/>
  <c r="AP70" i="6"/>
  <c r="HH22" i="12"/>
  <c r="HH24" i="12" s="1"/>
  <c r="HF22" i="12"/>
  <c r="HF24" i="12" s="1"/>
  <c r="HE22" i="12"/>
  <c r="HE24" i="12" s="1"/>
  <c r="HG21" i="12"/>
  <c r="HG22" i="12" s="1"/>
  <c r="HG24" i="12" s="1"/>
  <c r="HH18" i="12"/>
  <c r="HE18" i="12"/>
  <c r="HF17" i="12"/>
  <c r="HG17" i="12" s="1"/>
  <c r="HI17" i="12" s="1"/>
  <c r="HF16" i="12"/>
  <c r="HG16" i="12" s="1"/>
  <c r="HI16" i="12" s="1"/>
  <c r="HF15" i="12"/>
  <c r="HG15" i="12" s="1"/>
  <c r="FR19" i="12"/>
  <c r="FQ19" i="12"/>
  <c r="HE22" i="5"/>
  <c r="HD22" i="5"/>
  <c r="HF18" i="12" l="1"/>
  <c r="HG18" i="12"/>
  <c r="AH25" i="1"/>
  <c r="AB43" i="1"/>
  <c r="Y16" i="1"/>
  <c r="AG17" i="1"/>
  <c r="AG37" i="1" s="1"/>
  <c r="AE14" i="1"/>
  <c r="X37" i="1"/>
  <c r="X39" i="1" s="1"/>
  <c r="AE16" i="1"/>
  <c r="AA14" i="1"/>
  <c r="AH23" i="1"/>
  <c r="AE23" i="1"/>
  <c r="J19" i="1"/>
  <c r="I19" i="1"/>
  <c r="I20" i="1" s="1"/>
  <c r="H16" i="1"/>
  <c r="H18" i="1" s="1"/>
  <c r="H14" i="1"/>
  <c r="C13" i="1" s="1"/>
  <c r="AE15" i="1"/>
  <c r="AH15" i="1"/>
  <c r="AA17" i="1"/>
  <c r="Y17" i="1"/>
  <c r="Y37" i="1" s="1"/>
  <c r="Y39" i="1" s="1"/>
  <c r="AD37" i="1"/>
  <c r="AD39" i="1" s="1"/>
  <c r="HI15" i="12"/>
  <c r="HI18" i="12" s="1"/>
  <c r="HI21" i="12"/>
  <c r="HI22" i="12" s="1"/>
  <c r="HI24" i="12" s="1"/>
  <c r="AE37" i="1" l="1"/>
  <c r="AE39" i="1" s="1"/>
  <c r="AH37" i="1"/>
  <c r="AA37" i="1"/>
  <c r="AA39" i="1" s="1"/>
  <c r="AA44" i="1" s="1"/>
  <c r="Y44" i="1" s="1"/>
  <c r="AG43" i="1"/>
  <c r="AG39" i="1"/>
  <c r="AG44" i="1" s="1"/>
  <c r="J20" i="1"/>
  <c r="AH43" i="1" l="1"/>
  <c r="T12" i="1"/>
  <c r="T14" i="1" s="1"/>
  <c r="T16" i="1" s="1"/>
  <c r="AH39" i="1"/>
  <c r="AH44" i="1" s="1"/>
  <c r="AE44" i="1" s="1"/>
  <c r="AA43" i="1"/>
  <c r="Y43" i="1" s="1"/>
  <c r="AE43" i="1"/>
  <c r="E55" i="19" l="1"/>
  <c r="E54" i="19"/>
  <c r="E53" i="19"/>
  <c r="E50" i="19"/>
  <c r="E40" i="19"/>
  <c r="E38" i="19"/>
  <c r="E37" i="19"/>
  <c r="E36" i="19"/>
  <c r="E33" i="19"/>
  <c r="E32" i="19"/>
  <c r="E31" i="19"/>
  <c r="E30" i="19"/>
  <c r="E29" i="19"/>
  <c r="E28" i="19"/>
  <c r="E27" i="19"/>
  <c r="E21" i="19"/>
  <c r="E23" i="19" s="1"/>
  <c r="E16" i="19"/>
  <c r="E15" i="19"/>
  <c r="E17" i="19" s="1"/>
  <c r="E14" i="19"/>
  <c r="D55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1" i="19"/>
  <c r="D16" i="19"/>
  <c r="D15" i="19"/>
  <c r="D14" i="19"/>
  <c r="G58" i="18" l="1"/>
  <c r="G57" i="18"/>
  <c r="G55" i="18"/>
  <c r="G53" i="18"/>
  <c r="G43" i="18"/>
  <c r="G41" i="18"/>
  <c r="G40" i="18"/>
  <c r="G39" i="18"/>
  <c r="G38" i="18"/>
  <c r="G37" i="18"/>
  <c r="G35" i="18"/>
  <c r="G34" i="18"/>
  <c r="G33" i="18"/>
  <c r="G32" i="18"/>
  <c r="G31" i="18"/>
  <c r="G30" i="18"/>
  <c r="G29" i="18"/>
  <c r="G26" i="18"/>
  <c r="G25" i="18"/>
  <c r="G24" i="18"/>
  <c r="G23" i="18"/>
  <c r="G17" i="18"/>
  <c r="G16" i="18"/>
  <c r="G15" i="18"/>
  <c r="G1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6" i="18"/>
  <c r="D25" i="18"/>
  <c r="D24" i="18"/>
  <c r="D23" i="18"/>
  <c r="D17" i="18"/>
  <c r="D16" i="18"/>
  <c r="D15" i="18"/>
  <c r="D14" i="18"/>
  <c r="E43" i="18"/>
  <c r="E41" i="18"/>
  <c r="E40" i="18"/>
  <c r="E39" i="18"/>
  <c r="E38" i="18"/>
  <c r="E35" i="18"/>
  <c r="E34" i="18"/>
  <c r="E33" i="18"/>
  <c r="E32" i="18"/>
  <c r="E31" i="18"/>
  <c r="E30" i="18"/>
  <c r="E29" i="18"/>
  <c r="E26" i="18"/>
  <c r="E25" i="18"/>
  <c r="E24" i="18"/>
  <c r="E23" i="18"/>
  <c r="E17" i="18"/>
  <c r="E16" i="18"/>
  <c r="E15" i="18"/>
  <c r="E14" i="18"/>
  <c r="D18" i="18" l="1"/>
  <c r="D27" i="18"/>
  <c r="E58" i="18"/>
  <c r="E57" i="18"/>
  <c r="E55" i="18"/>
  <c r="E53" i="18"/>
  <c r="C55" i="11"/>
  <c r="C54" i="11"/>
  <c r="C53" i="11"/>
  <c r="C52" i="11"/>
  <c r="C203" i="27" l="1"/>
  <c r="C205" i="27" s="1"/>
  <c r="C207" i="27" s="1"/>
  <c r="B203" i="27"/>
  <c r="B205" i="27" s="1"/>
  <c r="B207" i="27" s="1"/>
  <c r="C197" i="27"/>
  <c r="B197" i="27"/>
  <c r="C193" i="27"/>
  <c r="B193" i="27"/>
  <c r="C187" i="27"/>
  <c r="C189" i="27" s="1"/>
  <c r="B187" i="27"/>
  <c r="B189" i="27" s="1"/>
  <c r="C171" i="27"/>
  <c r="B171" i="27"/>
  <c r="C154" i="27"/>
  <c r="C156" i="27" s="1"/>
  <c r="B154" i="27"/>
  <c r="B156" i="27" s="1"/>
  <c r="C148" i="27"/>
  <c r="B148" i="27"/>
  <c r="C143" i="27"/>
  <c r="B143" i="27"/>
  <c r="C123" i="27"/>
  <c r="B123" i="27"/>
  <c r="C102" i="27"/>
  <c r="B102" i="27"/>
  <c r="C99" i="27"/>
  <c r="B99" i="27"/>
  <c r="C93" i="27"/>
  <c r="B93" i="27"/>
  <c r="C88" i="27"/>
  <c r="B88" i="27"/>
  <c r="C78" i="27"/>
  <c r="B78" i="27"/>
  <c r="C74" i="27"/>
  <c r="B74" i="27"/>
  <c r="C63" i="27"/>
  <c r="B63" i="27"/>
  <c r="C60" i="27"/>
  <c r="B60" i="27"/>
  <c r="C50" i="27"/>
  <c r="C52" i="27" s="1"/>
  <c r="B50" i="27"/>
  <c r="B52" i="27" s="1"/>
  <c r="C40" i="27"/>
  <c r="B40" i="27"/>
  <c r="C34" i="27"/>
  <c r="B34" i="27"/>
  <c r="C26" i="27"/>
  <c r="B26" i="27"/>
  <c r="C17" i="27"/>
  <c r="B17" i="27"/>
  <c r="B42" i="27" l="1"/>
  <c r="B104" i="27"/>
  <c r="C104" i="27"/>
  <c r="C125" i="27" s="1"/>
  <c r="B209" i="27"/>
  <c r="B211" i="27" s="1"/>
  <c r="C42" i="27"/>
  <c r="B125" i="27"/>
  <c r="C209" i="27"/>
  <c r="C211" i="27" s="1"/>
  <c r="D9" i="26" l="1"/>
  <c r="D10" i="26"/>
  <c r="D12" i="26"/>
  <c r="D21" i="26"/>
  <c r="D25" i="26"/>
  <c r="D26" i="26"/>
  <c r="D27" i="26"/>
  <c r="D28" i="26"/>
  <c r="D30" i="26"/>
  <c r="D32" i="26"/>
  <c r="D34" i="26"/>
  <c r="D35" i="26"/>
  <c r="D38" i="26"/>
  <c r="D24" i="26" l="1"/>
  <c r="D18" i="26"/>
  <c r="D33" i="26"/>
  <c r="D31" i="26"/>
  <c r="D29" i="26"/>
  <c r="D37" i="26"/>
  <c r="D11" i="26"/>
  <c r="D13" i="26" s="1"/>
  <c r="D36" i="26"/>
  <c r="D19" i="26"/>
  <c r="C13" i="26"/>
  <c r="C22" i="26"/>
  <c r="C39" i="26" s="1"/>
  <c r="D20" i="26"/>
  <c r="D22" i="26" s="1"/>
  <c r="D39" i="26" s="1"/>
  <c r="D41" i="26" s="1"/>
  <c r="B22" i="26"/>
  <c r="B39" i="26" s="1"/>
  <c r="B13" i="26"/>
  <c r="C41" i="26" l="1"/>
  <c r="B41" i="26"/>
  <c r="A9" i="25" l="1"/>
  <c r="A10" i="25" s="1"/>
  <c r="A11" i="25" s="1"/>
  <c r="A12" i="25" s="1"/>
  <c r="G18" i="25"/>
  <c r="G19" i="25"/>
  <c r="G23" i="25"/>
  <c r="G25" i="25"/>
  <c r="G26" i="25"/>
  <c r="G27" i="25"/>
  <c r="F29" i="25"/>
  <c r="G30" i="25"/>
  <c r="G31" i="25"/>
  <c r="D32" i="25"/>
  <c r="F37" i="25"/>
  <c r="D28" i="25"/>
  <c r="D15" i="25" l="1"/>
  <c r="F28" i="25"/>
  <c r="F32" i="25"/>
  <c r="D23" i="25"/>
  <c r="D19" i="25"/>
  <c r="D18" i="25"/>
  <c r="D31" i="25"/>
  <c r="G37" i="25"/>
  <c r="S13" i="1" s="1"/>
  <c r="D29" i="25"/>
  <c r="D27" i="25"/>
  <c r="D26" i="25"/>
  <c r="D25" i="25"/>
  <c r="G15" i="25"/>
  <c r="G36" i="25" s="1"/>
  <c r="S12" i="1" s="1"/>
  <c r="D30" i="25"/>
  <c r="S14" i="1" l="1"/>
  <c r="S16" i="1" s="1"/>
  <c r="U16" i="1" s="1"/>
  <c r="U18" i="1" s="1"/>
  <c r="P14" i="1" s="1"/>
  <c r="P16" i="1" s="1"/>
  <c r="G38" i="25"/>
  <c r="C46" i="25"/>
  <c r="D46" i="25" s="1"/>
  <c r="D35" i="25" l="1"/>
  <c r="F35" i="25"/>
  <c r="C14" i="25" l="1"/>
  <c r="F14" i="25" l="1"/>
  <c r="D14" i="25"/>
  <c r="F22" i="25" l="1"/>
  <c r="D22" i="25"/>
  <c r="F21" i="25" l="1"/>
  <c r="D21" i="25"/>
  <c r="F34" i="25" l="1"/>
  <c r="D34" i="25"/>
  <c r="C16" i="25" l="1"/>
  <c r="D16" i="25" l="1"/>
  <c r="F16" i="25"/>
  <c r="C17" i="25" l="1"/>
  <c r="C9" i="25"/>
  <c r="F17" i="25" l="1"/>
  <c r="D17" i="25"/>
  <c r="F24" i="25"/>
  <c r="D24" i="25"/>
  <c r="F20" i="25" l="1"/>
  <c r="D20" i="25"/>
  <c r="F33" i="25" l="1"/>
  <c r="D33" i="25"/>
  <c r="D36" i="25" s="1"/>
  <c r="C44" i="25" s="1"/>
  <c r="D44" i="25" s="1"/>
  <c r="C36" i="25"/>
  <c r="C38" i="25" s="1"/>
  <c r="F36" i="25"/>
  <c r="E97" i="23"/>
  <c r="E96" i="23"/>
  <c r="E95" i="23"/>
  <c r="E94" i="23"/>
  <c r="A94" i="23"/>
  <c r="A95" i="23" s="1"/>
  <c r="A96" i="23" s="1"/>
  <c r="A97" i="23" s="1"/>
  <c r="A98" i="23" s="1"/>
  <c r="E93" i="23"/>
  <c r="E92" i="23"/>
  <c r="E88" i="23"/>
  <c r="E90" i="23" s="1"/>
  <c r="J86" i="23"/>
  <c r="F86" i="23"/>
  <c r="A86" i="23"/>
  <c r="A87" i="23" s="1"/>
  <c r="A88" i="23" s="1"/>
  <c r="A89" i="23" s="1"/>
  <c r="A90" i="23" s="1"/>
  <c r="A91" i="23" s="1"/>
  <c r="A92" i="23" s="1"/>
  <c r="F85" i="23"/>
  <c r="F83" i="23"/>
  <c r="F82" i="23"/>
  <c r="F81" i="23"/>
  <c r="F80" i="23"/>
  <c r="F79" i="23"/>
  <c r="F78" i="23"/>
  <c r="F76" i="23"/>
  <c r="F75" i="23"/>
  <c r="F74" i="23"/>
  <c r="F73" i="23"/>
  <c r="F72" i="23"/>
  <c r="F71" i="23"/>
  <c r="F68" i="23"/>
  <c r="F66" i="23"/>
  <c r="F59" i="23"/>
  <c r="F55" i="23"/>
  <c r="F53" i="23"/>
  <c r="F52" i="23"/>
  <c r="F51" i="23"/>
  <c r="A45" i="23"/>
  <c r="A47" i="23" s="1"/>
  <c r="F44" i="23"/>
  <c r="F42" i="23"/>
  <c r="F40" i="23"/>
  <c r="F38" i="23"/>
  <c r="A33" i="23"/>
  <c r="A34" i="23" s="1"/>
  <c r="F32" i="23"/>
  <c r="A32" i="23"/>
  <c r="F31" i="23"/>
  <c r="F30" i="23"/>
  <c r="F29" i="23"/>
  <c r="F28" i="23"/>
  <c r="F27" i="23"/>
  <c r="F26" i="23"/>
  <c r="F25" i="23"/>
  <c r="F24" i="23"/>
  <c r="F23" i="23"/>
  <c r="F22" i="23"/>
  <c r="F21" i="23"/>
  <c r="F20" i="23"/>
  <c r="F19" i="23"/>
  <c r="F18" i="23"/>
  <c r="F17" i="23"/>
  <c r="F16" i="23"/>
  <c r="F15" i="23"/>
  <c r="F14" i="23"/>
  <c r="F13" i="23"/>
  <c r="F12" i="23"/>
  <c r="A10" i="23"/>
  <c r="E98" i="23" l="1"/>
  <c r="C45" i="25"/>
  <c r="C47" i="25" s="1"/>
  <c r="F38" i="25"/>
  <c r="H38" i="25" s="1"/>
  <c r="H36" i="25"/>
  <c r="F46" i="23"/>
  <c r="A48" i="23"/>
  <c r="F10" i="23"/>
  <c r="A35" i="23"/>
  <c r="F34" i="23"/>
  <c r="F33" i="23"/>
  <c r="F45" i="23"/>
  <c r="D45" i="25" l="1"/>
  <c r="D47" i="25" s="1"/>
  <c r="F47" i="23"/>
  <c r="A49" i="23"/>
  <c r="F48" i="23"/>
  <c r="A36" i="23"/>
  <c r="F35" i="23"/>
  <c r="D94" i="23" l="1"/>
  <c r="A50" i="23"/>
  <c r="F49" i="23"/>
  <c r="F36" i="23"/>
  <c r="F94" i="23" l="1"/>
  <c r="C55" i="3"/>
  <c r="A54" i="23"/>
  <c r="F50" i="23"/>
  <c r="A56" i="23" l="1"/>
  <c r="F54" i="23"/>
  <c r="A58" i="23" l="1"/>
  <c r="F56" i="23" l="1"/>
  <c r="A60" i="23"/>
  <c r="F58" i="23"/>
  <c r="A61" i="23" l="1"/>
  <c r="F60" i="23" l="1"/>
  <c r="A62" i="23"/>
  <c r="F61" i="23"/>
  <c r="A63" i="23" l="1"/>
  <c r="F62" i="23"/>
  <c r="A64" i="23" l="1"/>
  <c r="F63" i="23"/>
  <c r="A65" i="23" l="1"/>
  <c r="F64" i="23"/>
  <c r="A69" i="23" l="1"/>
  <c r="F65" i="23"/>
  <c r="A70" i="23" l="1"/>
  <c r="F69" i="23"/>
  <c r="A84" i="23" l="1"/>
  <c r="F70" i="23" l="1"/>
  <c r="F84" i="23"/>
  <c r="J85" i="23" l="1"/>
  <c r="J55" i="23"/>
  <c r="J66" i="23"/>
  <c r="J24" i="23"/>
  <c r="J78" i="23"/>
  <c r="J20" i="23"/>
  <c r="J23" i="23"/>
  <c r="J19" i="23"/>
  <c r="J51" i="23"/>
  <c r="J81" i="23"/>
  <c r="J46" i="23" l="1"/>
  <c r="J72" i="23" l="1"/>
  <c r="J13" i="23"/>
  <c r="J26" i="23"/>
  <c r="J53" i="23"/>
  <c r="J80" i="23"/>
  <c r="J42" i="23"/>
  <c r="J74" i="23"/>
  <c r="J30" i="23"/>
  <c r="J73" i="23"/>
  <c r="J29" i="23"/>
  <c r="J28" i="23"/>
  <c r="J17" i="23"/>
  <c r="J14" i="23"/>
  <c r="J79" i="23"/>
  <c r="J31" i="23"/>
  <c r="J83" i="23"/>
  <c r="J18" i="23"/>
  <c r="J52" i="23"/>
  <c r="J82" i="23"/>
  <c r="J38" i="23"/>
  <c r="J21" i="23"/>
  <c r="J75" i="23"/>
  <c r="J71" i="23"/>
  <c r="J76" i="23"/>
  <c r="J22" i="23" l="1"/>
  <c r="J44" i="23"/>
  <c r="J27" i="23"/>
  <c r="J25" i="23"/>
  <c r="J12" i="23"/>
  <c r="J15" i="23"/>
  <c r="J59" i="23"/>
  <c r="J16" i="23"/>
  <c r="J40" i="23" l="1"/>
  <c r="J68" i="23" l="1"/>
  <c r="J45" i="23" l="1"/>
  <c r="J33" i="23" l="1"/>
  <c r="J10" i="23"/>
  <c r="J32" i="23"/>
  <c r="J34" i="23" l="1"/>
  <c r="J48" i="23"/>
  <c r="J47" i="23"/>
  <c r="J49" i="23" l="1"/>
  <c r="J35" i="23" l="1"/>
  <c r="H94" i="23"/>
  <c r="J94" i="23" s="1"/>
  <c r="J54" i="23" l="1"/>
  <c r="J50" i="23"/>
  <c r="J36" i="23"/>
  <c r="J58" i="23" l="1"/>
  <c r="J56" i="23"/>
  <c r="J60" i="23" l="1"/>
  <c r="J62" i="23" l="1"/>
  <c r="J61" i="23"/>
  <c r="J63" i="23" l="1"/>
  <c r="J64" i="23"/>
  <c r="J69" i="23" l="1"/>
  <c r="J65" i="23"/>
  <c r="J70" i="23" l="1"/>
  <c r="J84" i="23" l="1"/>
  <c r="F37" i="23" l="1"/>
  <c r="F43" i="23"/>
  <c r="F39" i="23"/>
  <c r="F11" i="23" l="1"/>
  <c r="F77" i="23"/>
  <c r="F41" i="23"/>
  <c r="D93" i="23"/>
  <c r="F57" i="23"/>
  <c r="D97" i="23"/>
  <c r="J67" i="23"/>
  <c r="F93" i="23" l="1"/>
  <c r="C54" i="3"/>
  <c r="F97" i="23"/>
  <c r="C58" i="3"/>
  <c r="D92" i="23"/>
  <c r="C53" i="3" s="1"/>
  <c r="J43" i="23"/>
  <c r="F92" i="23"/>
  <c r="F67" i="23"/>
  <c r="D95" i="23"/>
  <c r="J11" i="23"/>
  <c r="J57" i="23"/>
  <c r="H97" i="23"/>
  <c r="J97" i="23" s="1"/>
  <c r="J41" i="23"/>
  <c r="J39" i="23"/>
  <c r="J37" i="23"/>
  <c r="F95" i="23" l="1"/>
  <c r="C56" i="3"/>
  <c r="H93" i="23"/>
  <c r="J93" i="23" s="1"/>
  <c r="H92" i="23"/>
  <c r="C19" i="24"/>
  <c r="C51" i="11" s="1"/>
  <c r="J77" i="23"/>
  <c r="H95" i="23"/>
  <c r="J95" i="23" s="1"/>
  <c r="C28" i="24" l="1"/>
  <c r="J92" i="23"/>
  <c r="G19" i="24"/>
  <c r="G28" i="24"/>
  <c r="G30" i="24" s="1"/>
  <c r="C30" i="24"/>
  <c r="G32" i="24" l="1"/>
  <c r="C32" i="24" l="1"/>
  <c r="A12" i="22" l="1"/>
  <c r="A13" i="22"/>
  <c r="A14" i="22"/>
  <c r="A15" i="22" s="1"/>
  <c r="A16" i="22" s="1"/>
  <c r="A17" i="22" s="1"/>
  <c r="A18" i="22" s="1"/>
  <c r="A19" i="22" s="1"/>
  <c r="A20" i="22" s="1"/>
  <c r="A22" i="22" s="1"/>
  <c r="A24" i="22" s="1"/>
  <c r="A27" i="22" s="1"/>
  <c r="A30" i="22" s="1"/>
  <c r="A33" i="22" s="1"/>
  <c r="C17" i="22"/>
  <c r="D17" i="22"/>
  <c r="D22" i="22" s="1"/>
  <c r="E17" i="22"/>
  <c r="E22" i="22" s="1"/>
  <c r="F17" i="22"/>
  <c r="G17" i="22"/>
  <c r="H17" i="22"/>
  <c r="H22" i="22" s="1"/>
  <c r="I22" i="22" s="1"/>
  <c r="I17" i="22"/>
  <c r="C20" i="22"/>
  <c r="D20" i="22"/>
  <c r="E20" i="22"/>
  <c r="E30" i="22" s="1"/>
  <c r="F20" i="22"/>
  <c r="F30" i="22" s="1"/>
  <c r="F33" i="22" s="1"/>
  <c r="G20" i="22"/>
  <c r="H20" i="22"/>
  <c r="I20" i="22"/>
  <c r="C22" i="22"/>
  <c r="G22" i="22"/>
  <c r="I24" i="22"/>
  <c r="C27" i="22"/>
  <c r="C33" i="22" s="1"/>
  <c r="F27" i="22"/>
  <c r="G27" i="22"/>
  <c r="G33" i="22" s="1"/>
  <c r="C30" i="22"/>
  <c r="D30" i="22"/>
  <c r="G30" i="22"/>
  <c r="H30" i="22"/>
  <c r="I30" i="22" s="1"/>
  <c r="A12" i="21"/>
  <c r="A13" i="21"/>
  <c r="A14" i="21" s="1"/>
  <c r="A15" i="21" s="1"/>
  <c r="A16" i="21" s="1"/>
  <c r="A17" i="21" s="1"/>
  <c r="A18" i="21" s="1"/>
  <c r="A19" i="21" s="1"/>
  <c r="A20" i="21" s="1"/>
  <c r="A22" i="21" s="1"/>
  <c r="A24" i="21" s="1"/>
  <c r="A27" i="21" s="1"/>
  <c r="A31" i="21" s="1"/>
  <c r="A34" i="21" s="1"/>
  <c r="C17" i="21"/>
  <c r="D17" i="21"/>
  <c r="D22" i="21" s="1"/>
  <c r="E17" i="21"/>
  <c r="E22" i="21" s="1"/>
  <c r="F17" i="21"/>
  <c r="G17" i="21"/>
  <c r="H17" i="21"/>
  <c r="H22" i="21" s="1"/>
  <c r="I22" i="21" s="1"/>
  <c r="I17" i="21"/>
  <c r="C20" i="21"/>
  <c r="D20" i="21"/>
  <c r="E20" i="21"/>
  <c r="E31" i="21" s="1"/>
  <c r="F20" i="21"/>
  <c r="F31" i="21" s="1"/>
  <c r="F34" i="21" s="1"/>
  <c r="G20" i="21"/>
  <c r="H20" i="21"/>
  <c r="I20" i="21"/>
  <c r="C22" i="21"/>
  <c r="G22" i="21"/>
  <c r="I24" i="21"/>
  <c r="C27" i="21"/>
  <c r="C34" i="21" s="1"/>
  <c r="F27" i="21"/>
  <c r="G27" i="21"/>
  <c r="G34" i="21" s="1"/>
  <c r="C31" i="21"/>
  <c r="D31" i="21"/>
  <c r="G31" i="21"/>
  <c r="H31" i="21"/>
  <c r="A12" i="20"/>
  <c r="A13" i="20" s="1"/>
  <c r="A14" i="20" s="1"/>
  <c r="A15" i="20" s="1"/>
  <c r="A16" i="20" s="1"/>
  <c r="A17" i="20" s="1"/>
  <c r="A19" i="20" s="1"/>
  <c r="A20" i="20" s="1"/>
  <c r="A21" i="20" s="1"/>
  <c r="A23" i="20" s="1"/>
  <c r="A25" i="20" s="1"/>
  <c r="A28" i="20" s="1"/>
  <c r="A31" i="20" s="1"/>
  <c r="A34" i="20" s="1"/>
  <c r="C12" i="20"/>
  <c r="D12" i="20"/>
  <c r="E12" i="20"/>
  <c r="F12" i="20"/>
  <c r="G12" i="20"/>
  <c r="H12" i="20"/>
  <c r="C13" i="20"/>
  <c r="D13" i="20"/>
  <c r="E13" i="20"/>
  <c r="F13" i="20"/>
  <c r="G13" i="20"/>
  <c r="H13" i="20"/>
  <c r="C14" i="20"/>
  <c r="D14" i="20"/>
  <c r="E14" i="20"/>
  <c r="F14" i="20"/>
  <c r="G14" i="20"/>
  <c r="H14" i="20"/>
  <c r="C15" i="20"/>
  <c r="D15" i="20"/>
  <c r="E15" i="20"/>
  <c r="F15" i="20"/>
  <c r="G15" i="20"/>
  <c r="H15" i="20"/>
  <c r="C16" i="20"/>
  <c r="D16" i="20"/>
  <c r="E16" i="20"/>
  <c r="F16" i="20"/>
  <c r="G16" i="20"/>
  <c r="H16" i="20"/>
  <c r="C19" i="20"/>
  <c r="D19" i="20"/>
  <c r="E19" i="20"/>
  <c r="E21" i="20" s="1"/>
  <c r="F19" i="20"/>
  <c r="G19" i="20"/>
  <c r="H19" i="20"/>
  <c r="C20" i="20"/>
  <c r="D20" i="20"/>
  <c r="E20" i="20"/>
  <c r="F20" i="20"/>
  <c r="G20" i="20"/>
  <c r="H20" i="20"/>
  <c r="C25" i="20"/>
  <c r="D25" i="20"/>
  <c r="E25" i="20"/>
  <c r="F25" i="20"/>
  <c r="G25" i="20"/>
  <c r="H25" i="20"/>
  <c r="I25" i="20" s="1"/>
  <c r="I31" i="21" l="1"/>
  <c r="F22" i="21"/>
  <c r="F22" i="22"/>
  <c r="E17" i="20"/>
  <c r="H27" i="21"/>
  <c r="D27" i="21"/>
  <c r="D34" i="21" s="1"/>
  <c r="H27" i="22"/>
  <c r="D27" i="22"/>
  <c r="D33" i="22" s="1"/>
  <c r="E27" i="21"/>
  <c r="E34" i="21" s="1"/>
  <c r="E27" i="22"/>
  <c r="E33" i="22" s="1"/>
  <c r="E31" i="20"/>
  <c r="E23" i="20"/>
  <c r="F17" i="20"/>
  <c r="F28" i="20" s="1"/>
  <c r="D17" i="20"/>
  <c r="D28" i="20" s="1"/>
  <c r="F21" i="20"/>
  <c r="F31" i="20" s="1"/>
  <c r="H17" i="20"/>
  <c r="H28" i="20" s="1"/>
  <c r="G21" i="20"/>
  <c r="G31" i="20" s="1"/>
  <c r="G17" i="20"/>
  <c r="G28" i="20" s="1"/>
  <c r="C17" i="20"/>
  <c r="I19" i="20"/>
  <c r="H21" i="20"/>
  <c r="H31" i="20" s="1"/>
  <c r="D21" i="20"/>
  <c r="D31" i="20" s="1"/>
  <c r="I20" i="20"/>
  <c r="E28" i="20"/>
  <c r="C21" i="20"/>
  <c r="C31" i="20" s="1"/>
  <c r="G56" i="19"/>
  <c r="F56" i="19"/>
  <c r="F23" i="19"/>
  <c r="G23" i="19"/>
  <c r="D23" i="19"/>
  <c r="D41" i="19" s="1"/>
  <c r="F17" i="19"/>
  <c r="G17" i="19"/>
  <c r="A14" i="19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I59" i="18"/>
  <c r="I48" i="18" s="1"/>
  <c r="H59" i="18"/>
  <c r="H48" i="18"/>
  <c r="H27" i="18"/>
  <c r="F27" i="18"/>
  <c r="F44" i="18" s="1"/>
  <c r="G27" i="18"/>
  <c r="E27" i="18"/>
  <c r="F18" i="18"/>
  <c r="A16" i="18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G18" i="18"/>
  <c r="A14" i="18"/>
  <c r="A15" i="18" s="1"/>
  <c r="E34" i="20" l="1"/>
  <c r="F34" i="20"/>
  <c r="I27" i="21"/>
  <c r="H34" i="21"/>
  <c r="I34" i="21" s="1"/>
  <c r="G23" i="20"/>
  <c r="I27" i="22"/>
  <c r="H33" i="22"/>
  <c r="I33" i="22" s="1"/>
  <c r="G33" i="19"/>
  <c r="G30" i="19"/>
  <c r="G38" i="19"/>
  <c r="G34" i="20"/>
  <c r="D34" i="20"/>
  <c r="H23" i="20"/>
  <c r="I17" i="20"/>
  <c r="F23" i="20"/>
  <c r="C23" i="20"/>
  <c r="C28" i="20"/>
  <c r="C34" i="20" s="1"/>
  <c r="D23" i="20"/>
  <c r="F46" i="18"/>
  <c r="I35" i="18"/>
  <c r="D17" i="19"/>
  <c r="D43" i="19" s="1"/>
  <c r="D44" i="18"/>
  <c r="D46" i="18" s="1"/>
  <c r="I21" i="20"/>
  <c r="H34" i="20"/>
  <c r="I34" i="20" s="1"/>
  <c r="I31" i="20"/>
  <c r="I32" i="18"/>
  <c r="E18" i="18"/>
  <c r="H18" i="18"/>
  <c r="F59" i="18"/>
  <c r="F48" i="18" s="1"/>
  <c r="F39" i="19"/>
  <c r="G39" i="19" l="1"/>
  <c r="I23" i="20"/>
  <c r="I28" i="20"/>
  <c r="F41" i="19"/>
  <c r="F43" i="19" s="1"/>
  <c r="G41" i="19" l="1"/>
  <c r="G43" i="19" s="1"/>
  <c r="H42" i="18"/>
  <c r="H44" i="18" l="1"/>
  <c r="H46" i="18" s="1"/>
  <c r="F39" i="17" l="1"/>
  <c r="E39" i="17"/>
  <c r="E18" i="17"/>
  <c r="F22" i="17"/>
  <c r="G8" i="17" l="1"/>
  <c r="E9" i="17" s="1"/>
  <c r="G17" i="17"/>
  <c r="G38" i="17"/>
  <c r="G39" i="17" s="1"/>
  <c r="G31" i="17"/>
  <c r="F32" i="17" s="1"/>
  <c r="F18" i="17"/>
  <c r="G25" i="17"/>
  <c r="E26" i="17" s="1"/>
  <c r="G46" i="17"/>
  <c r="G16" i="17"/>
  <c r="E22" i="17"/>
  <c r="G22" i="17" s="1"/>
  <c r="F23" i="17" s="1"/>
  <c r="E40" i="17"/>
  <c r="F40" i="17"/>
  <c r="G15" i="17"/>
  <c r="F9" i="17"/>
  <c r="G9" i="17" s="1"/>
  <c r="G11" i="17"/>
  <c r="E12" i="17" s="1"/>
  <c r="G18" i="17" l="1"/>
  <c r="E19" i="17" s="1"/>
  <c r="F26" i="17"/>
  <c r="G26" i="17" s="1"/>
  <c r="E23" i="17"/>
  <c r="G23" i="17" s="1"/>
  <c r="E32" i="17"/>
  <c r="G32" i="17" s="1"/>
  <c r="G40" i="17"/>
  <c r="F12" i="17"/>
  <c r="G12" i="17" s="1"/>
  <c r="F19" i="17" l="1"/>
  <c r="G19" i="17" s="1"/>
  <c r="G28" i="17"/>
  <c r="F29" i="17" l="1"/>
  <c r="F34" i="17" s="1"/>
  <c r="F35" i="17" s="1"/>
  <c r="B9" i="24" s="1"/>
  <c r="E29" i="17"/>
  <c r="G29" i="17" l="1"/>
  <c r="G34" i="17" s="1"/>
  <c r="G35" i="17" s="1"/>
  <c r="E34" i="17"/>
  <c r="E35" i="17" s="1"/>
  <c r="B8" i="24" s="1"/>
  <c r="A10" i="16" l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E19" i="16" l="1"/>
  <c r="E23" i="16" s="1"/>
  <c r="E32" i="16" l="1"/>
  <c r="E25" i="16"/>
  <c r="E34" i="16"/>
  <c r="E30" i="16"/>
  <c r="C19" i="16"/>
  <c r="C23" i="16" s="1"/>
  <c r="E33" i="16" l="1"/>
  <c r="C34" i="16"/>
  <c r="C25" i="16"/>
  <c r="C30" i="16"/>
  <c r="E29" i="16"/>
  <c r="H87" i="23" s="1"/>
  <c r="E31" i="16"/>
  <c r="C32" i="16"/>
  <c r="H88" i="23" l="1"/>
  <c r="H90" i="23" s="1"/>
  <c r="J87" i="23"/>
  <c r="J88" i="23" s="1"/>
  <c r="J90" i="23" s="1"/>
  <c r="H96" i="23"/>
  <c r="E35" i="16"/>
  <c r="C29" i="16"/>
  <c r="D87" i="23" s="1"/>
  <c r="C31" i="16"/>
  <c r="C33" i="16"/>
  <c r="J96" i="23" l="1"/>
  <c r="J98" i="23" s="1"/>
  <c r="H98" i="23"/>
  <c r="F87" i="23"/>
  <c r="F88" i="23" s="1"/>
  <c r="F90" i="23" s="1"/>
  <c r="D96" i="23"/>
  <c r="D88" i="23"/>
  <c r="D90" i="23" s="1"/>
  <c r="C35" i="16"/>
  <c r="C57" i="3" l="1"/>
  <c r="F96" i="23"/>
  <c r="F98" i="23" s="1"/>
  <c r="D98" i="23"/>
  <c r="H2" i="13"/>
  <c r="Q2" i="13"/>
  <c r="A5" i="13"/>
  <c r="J5" i="13"/>
  <c r="A7" i="13"/>
  <c r="J7" i="13"/>
  <c r="A8" i="13"/>
  <c r="J8" i="13"/>
  <c r="A15" i="13"/>
  <c r="D19" i="13"/>
  <c r="J15" i="13"/>
  <c r="J16" i="13" s="1"/>
  <c r="N15" i="13"/>
  <c r="O15" i="13" s="1"/>
  <c r="A16" i="13"/>
  <c r="A18" i="13"/>
  <c r="A19" i="13" s="1"/>
  <c r="A20" i="13" s="1"/>
  <c r="A21" i="13" s="1"/>
  <c r="A22" i="13" s="1"/>
  <c r="A23" i="13" s="1"/>
  <c r="A24" i="13" s="1"/>
  <c r="A25" i="13" s="1"/>
  <c r="A26" i="13" s="1"/>
  <c r="J18" i="13"/>
  <c r="P20" i="13"/>
  <c r="J20" i="13"/>
  <c r="J21" i="13" s="1"/>
  <c r="J22" i="13" s="1"/>
  <c r="J23" i="13" s="1"/>
  <c r="J24" i="13" s="1"/>
  <c r="J25" i="13" s="1"/>
  <c r="J26" i="13" s="1"/>
  <c r="J27" i="13" s="1"/>
  <c r="J28" i="13" s="1"/>
  <c r="J29" i="13" s="1"/>
  <c r="J30" i="13" s="1"/>
  <c r="J31" i="13" s="1"/>
  <c r="J32" i="13" s="1"/>
  <c r="J33" i="13" s="1"/>
  <c r="J34" i="13" s="1"/>
  <c r="J35" i="13" s="1"/>
  <c r="J36" i="13" s="1"/>
  <c r="J37" i="13" s="1"/>
  <c r="J38" i="13" s="1"/>
  <c r="J39" i="13" s="1"/>
  <c r="J40" i="13" s="1"/>
  <c r="J41" i="13" s="1"/>
  <c r="E22" i="13"/>
  <c r="F22" i="13" s="1"/>
  <c r="C24" i="13"/>
  <c r="L31" i="13"/>
  <c r="Q38" i="13"/>
  <c r="AT52" i="11" s="1"/>
  <c r="P41" i="13"/>
  <c r="H2" i="12"/>
  <c r="P2" i="12"/>
  <c r="X2" i="12"/>
  <c r="AF2" i="12"/>
  <c r="AN2" i="12"/>
  <c r="AV2" i="12"/>
  <c r="BE2" i="12"/>
  <c r="BM2" i="12"/>
  <c r="BU2" i="12"/>
  <c r="CC2" i="12"/>
  <c r="CK2" i="12"/>
  <c r="CS2" i="12"/>
  <c r="DA2" i="12"/>
  <c r="DI2" i="12"/>
  <c r="DQ2" i="12"/>
  <c r="DY2" i="12"/>
  <c r="EG2" i="12"/>
  <c r="EO2" i="12"/>
  <c r="EW2" i="12"/>
  <c r="FE2" i="12"/>
  <c r="FM2" i="12"/>
  <c r="FU2" i="12"/>
  <c r="GC2" i="12"/>
  <c r="GK2" i="12"/>
  <c r="GS2" i="12"/>
  <c r="HA2" i="12"/>
  <c r="HI2" i="12"/>
  <c r="HQ2" i="12"/>
  <c r="HY2" i="12"/>
  <c r="A5" i="12"/>
  <c r="I5" i="12"/>
  <c r="Q5" i="12"/>
  <c r="Y5" i="12"/>
  <c r="AG5" i="12"/>
  <c r="AO5" i="12"/>
  <c r="AW5" i="12"/>
  <c r="BF5" i="12"/>
  <c r="BN5" i="12"/>
  <c r="BV5" i="12"/>
  <c r="CD5" i="12"/>
  <c r="CL5" i="12"/>
  <c r="CT5" i="12"/>
  <c r="DB5" i="12"/>
  <c r="DJ5" i="12"/>
  <c r="DR5" i="12"/>
  <c r="DZ5" i="12"/>
  <c r="EH5" i="12"/>
  <c r="EP5" i="12"/>
  <c r="EX5" i="12"/>
  <c r="FF5" i="12"/>
  <c r="FN5" i="12"/>
  <c r="FV5" i="12"/>
  <c r="GD5" i="12"/>
  <c r="GL5" i="12"/>
  <c r="GT5" i="12"/>
  <c r="HB5" i="12"/>
  <c r="HJ5" i="12"/>
  <c r="HR5" i="12"/>
  <c r="A7" i="12"/>
  <c r="I7" i="12"/>
  <c r="Q7" i="12"/>
  <c r="Y7" i="12"/>
  <c r="AG7" i="12"/>
  <c r="AO7" i="12"/>
  <c r="AW7" i="12"/>
  <c r="BF7" i="12"/>
  <c r="BN7" i="12"/>
  <c r="BV7" i="12"/>
  <c r="CD7" i="12"/>
  <c r="CL7" i="12"/>
  <c r="CT7" i="12"/>
  <c r="DB7" i="12"/>
  <c r="DJ7" i="12"/>
  <c r="DR7" i="12"/>
  <c r="DZ7" i="12"/>
  <c r="EH7" i="12"/>
  <c r="EP7" i="12"/>
  <c r="EX7" i="12"/>
  <c r="FF7" i="12"/>
  <c r="FN7" i="12"/>
  <c r="FV7" i="12"/>
  <c r="GD7" i="12"/>
  <c r="GL7" i="12"/>
  <c r="GT7" i="12"/>
  <c r="HB7" i="12"/>
  <c r="HJ7" i="12"/>
  <c r="HR7" i="12"/>
  <c r="A8" i="12"/>
  <c r="I8" i="12"/>
  <c r="Q8" i="12"/>
  <c r="Y8" i="12"/>
  <c r="AG8" i="12"/>
  <c r="AO8" i="12"/>
  <c r="AW8" i="12"/>
  <c r="BF8" i="12"/>
  <c r="BN8" i="12"/>
  <c r="BV8" i="12"/>
  <c r="CD8" i="12"/>
  <c r="CL8" i="12"/>
  <c r="CT8" i="12"/>
  <c r="DB8" i="12"/>
  <c r="DJ8" i="12"/>
  <c r="DR8" i="12"/>
  <c r="DZ8" i="12"/>
  <c r="EH8" i="12"/>
  <c r="EP8" i="12"/>
  <c r="EX8" i="12"/>
  <c r="FF8" i="12"/>
  <c r="FN8" i="12"/>
  <c r="FV8" i="12"/>
  <c r="GD8" i="12"/>
  <c r="GL8" i="12"/>
  <c r="GT8" i="12"/>
  <c r="HB8" i="12"/>
  <c r="HJ8" i="12"/>
  <c r="HR8" i="12"/>
  <c r="F9" i="12"/>
  <c r="DG9" i="12"/>
  <c r="DI9" i="12"/>
  <c r="DO9" i="12"/>
  <c r="DQ9" i="12"/>
  <c r="DW9" i="12"/>
  <c r="DY9" i="12"/>
  <c r="EE9" i="12"/>
  <c r="EM9" i="12"/>
  <c r="EU9" i="12"/>
  <c r="FE9" i="12"/>
  <c r="FM9" i="12"/>
  <c r="GA9" i="12"/>
  <c r="T17" i="12"/>
  <c r="W14" i="12"/>
  <c r="AG14" i="12"/>
  <c r="AG15" i="12" s="1"/>
  <c r="AG16" i="12" s="1"/>
  <c r="AG17" i="12" s="1"/>
  <c r="AG18" i="12" s="1"/>
  <c r="AG19" i="12" s="1"/>
  <c r="AG20" i="12" s="1"/>
  <c r="AG21" i="12" s="1"/>
  <c r="AG22" i="12" s="1"/>
  <c r="AG23" i="12" s="1"/>
  <c r="AG24" i="12" s="1"/>
  <c r="AG25" i="12" s="1"/>
  <c r="AG26" i="12" s="1"/>
  <c r="AG27" i="12" s="1"/>
  <c r="AG28" i="12" s="1"/>
  <c r="AG29" i="12" s="1"/>
  <c r="AG30" i="12" s="1"/>
  <c r="AG31" i="12" s="1"/>
  <c r="AG32" i="12" s="1"/>
  <c r="AG33" i="12" s="1"/>
  <c r="AG34" i="12" s="1"/>
  <c r="AG35" i="12" s="1"/>
  <c r="AG36" i="12" s="1"/>
  <c r="AG37" i="12" s="1"/>
  <c r="AG38" i="12" s="1"/>
  <c r="AU14" i="12"/>
  <c r="AV14" i="12" s="1"/>
  <c r="CA14" i="12"/>
  <c r="CA16" i="12" s="1"/>
  <c r="CA18" i="12" s="1"/>
  <c r="M33" i="11" s="1"/>
  <c r="CJ14" i="12"/>
  <c r="CW15" i="12"/>
  <c r="CW17" i="12" s="1"/>
  <c r="EN14" i="12"/>
  <c r="EO14" i="12" s="1"/>
  <c r="EV14" i="12"/>
  <c r="EW14" i="12" s="1"/>
  <c r="A15" i="12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H20" i="12"/>
  <c r="Z14" i="11" s="1"/>
  <c r="I15" i="12"/>
  <c r="I16" i="12" s="1"/>
  <c r="I17" i="12" s="1"/>
  <c r="I18" i="12" s="1"/>
  <c r="I19" i="12" s="1"/>
  <c r="I20" i="12" s="1"/>
  <c r="I21" i="12" s="1"/>
  <c r="I22" i="12" s="1"/>
  <c r="I23" i="12" s="1"/>
  <c r="I24" i="12" s="1"/>
  <c r="I25" i="12" s="1"/>
  <c r="I26" i="12" s="1"/>
  <c r="I27" i="12" s="1"/>
  <c r="I28" i="12" s="1"/>
  <c r="I29" i="12" s="1"/>
  <c r="I30" i="12" s="1"/>
  <c r="I31" i="12" s="1"/>
  <c r="I32" i="12" s="1"/>
  <c r="L19" i="12"/>
  <c r="Q15" i="12"/>
  <c r="Q16" i="12" s="1"/>
  <c r="Q17" i="12" s="1"/>
  <c r="Y15" i="12"/>
  <c r="Y16" i="12" s="1"/>
  <c r="Y17" i="12" s="1"/>
  <c r="Y18" i="12" s="1"/>
  <c r="Y19" i="12" s="1"/>
  <c r="Y20" i="12" s="1"/>
  <c r="Y21" i="12" s="1"/>
  <c r="Y22" i="12" s="1"/>
  <c r="AL15" i="12"/>
  <c r="AO15" i="12"/>
  <c r="AO16" i="12" s="1"/>
  <c r="AO17" i="12" s="1"/>
  <c r="AO18" i="12" s="1"/>
  <c r="AO19" i="12" s="1"/>
  <c r="AO20" i="12" s="1"/>
  <c r="AO21" i="12" s="1"/>
  <c r="AW15" i="12"/>
  <c r="AW16" i="12" s="1"/>
  <c r="AW17" i="12" s="1"/>
  <c r="AW18" i="12" s="1"/>
  <c r="AW19" i="12" s="1"/>
  <c r="BC15" i="12"/>
  <c r="BF15" i="12"/>
  <c r="BF16" i="12" s="1"/>
  <c r="BF17" i="12" s="1"/>
  <c r="BF18" i="12" s="1"/>
  <c r="BF19" i="12" s="1"/>
  <c r="BF20" i="12" s="1"/>
  <c r="BF21" i="12" s="1"/>
  <c r="BF22" i="12" s="1"/>
  <c r="BF23" i="12" s="1"/>
  <c r="BF24" i="12" s="1"/>
  <c r="BF25" i="12" s="1"/>
  <c r="BF26" i="12" s="1"/>
  <c r="BF27" i="12" s="1"/>
  <c r="BF28" i="12" s="1"/>
  <c r="BF29" i="12" s="1"/>
  <c r="BF30" i="12" s="1"/>
  <c r="K27" i="11"/>
  <c r="BV15" i="12"/>
  <c r="BV16" i="12" s="1"/>
  <c r="BV17" i="12" s="1"/>
  <c r="BV18" i="12" s="1"/>
  <c r="BV19" i="12" s="1"/>
  <c r="BV20" i="12" s="1"/>
  <c r="BV21" i="12" s="1"/>
  <c r="BV22" i="12" s="1"/>
  <c r="CD15" i="12"/>
  <c r="CD16" i="12" s="1"/>
  <c r="CL15" i="12"/>
  <c r="CL16" i="12" s="1"/>
  <c r="CT15" i="12"/>
  <c r="CT16" i="12" s="1"/>
  <c r="CT17" i="12" s="1"/>
  <c r="CT18" i="12" s="1"/>
  <c r="CT19" i="12" s="1"/>
  <c r="DB15" i="12"/>
  <c r="DB16" i="12" s="1"/>
  <c r="DB17" i="12" s="1"/>
  <c r="DB18" i="12" s="1"/>
  <c r="DB19" i="12" s="1"/>
  <c r="DJ15" i="12"/>
  <c r="DJ16" i="12" s="1"/>
  <c r="DJ17" i="12" s="1"/>
  <c r="DJ18" i="12" s="1"/>
  <c r="DJ19" i="12" s="1"/>
  <c r="DJ20" i="12" s="1"/>
  <c r="DJ21" i="12" s="1"/>
  <c r="DJ22" i="12" s="1"/>
  <c r="DJ23" i="12" s="1"/>
  <c r="DJ24" i="12" s="1"/>
  <c r="DJ25" i="12" s="1"/>
  <c r="DJ26" i="12" s="1"/>
  <c r="DJ27" i="12" s="1"/>
  <c r="DJ28" i="12" s="1"/>
  <c r="DJ29" i="12" s="1"/>
  <c r="DJ30" i="12" s="1"/>
  <c r="DJ31" i="12" s="1"/>
  <c r="DR15" i="12"/>
  <c r="DR16" i="12" s="1"/>
  <c r="DR17" i="12" s="1"/>
  <c r="DR18" i="12" s="1"/>
  <c r="DR19" i="12" s="1"/>
  <c r="DR20" i="12" s="1"/>
  <c r="DR21" i="12" s="1"/>
  <c r="DR22" i="12" s="1"/>
  <c r="DR23" i="12" s="1"/>
  <c r="DR24" i="12" s="1"/>
  <c r="DR25" i="12" s="1"/>
  <c r="DR26" i="12" s="1"/>
  <c r="DR27" i="12" s="1"/>
  <c r="DR28" i="12" s="1"/>
  <c r="DR29" i="12" s="1"/>
  <c r="DR30" i="12" s="1"/>
  <c r="DR31" i="12" s="1"/>
  <c r="DR32" i="12" s="1"/>
  <c r="DR33" i="12" s="1"/>
  <c r="DR34" i="12" s="1"/>
  <c r="EH15" i="12"/>
  <c r="EH16" i="12" s="1"/>
  <c r="EH17" i="12" s="1"/>
  <c r="EH18" i="12" s="1"/>
  <c r="EH19" i="12" s="1"/>
  <c r="EH20" i="12" s="1"/>
  <c r="EN15" i="12"/>
  <c r="EO15" i="12" s="1"/>
  <c r="EP15" i="12"/>
  <c r="EP16" i="12" s="1"/>
  <c r="EP17" i="12" s="1"/>
  <c r="EP18" i="12" s="1"/>
  <c r="EP19" i="12" s="1"/>
  <c r="EP20" i="12" s="1"/>
  <c r="EP21" i="12" s="1"/>
  <c r="EP22" i="12" s="1"/>
  <c r="EP23" i="12" s="1"/>
  <c r="EP24" i="12" s="1"/>
  <c r="EP25" i="12" s="1"/>
  <c r="EP26" i="12" s="1"/>
  <c r="EP27" i="12" s="1"/>
  <c r="EP28" i="12" s="1"/>
  <c r="EP29" i="12" s="1"/>
  <c r="EP30" i="12" s="1"/>
  <c r="EP31" i="12" s="1"/>
  <c r="EX15" i="12"/>
  <c r="EX16" i="12" s="1"/>
  <c r="EX17" i="12" s="1"/>
  <c r="EX18" i="12" s="1"/>
  <c r="EX19" i="12" s="1"/>
  <c r="EX20" i="12" s="1"/>
  <c r="FC15" i="12"/>
  <c r="FC17" i="12" s="1"/>
  <c r="FE15" i="12"/>
  <c r="FE17" i="12" s="1"/>
  <c r="FF15" i="12"/>
  <c r="FF16" i="12" s="1"/>
  <c r="FF17" i="12" s="1"/>
  <c r="FF18" i="12" s="1"/>
  <c r="FF19" i="12" s="1"/>
  <c r="FJ16" i="12"/>
  <c r="FM15" i="12"/>
  <c r="FM16" i="12" s="1"/>
  <c r="FN15" i="12"/>
  <c r="FN16" i="12" s="1"/>
  <c r="FN17" i="12" s="1"/>
  <c r="FN18" i="12" s="1"/>
  <c r="FN19" i="12" s="1"/>
  <c r="FN20" i="12" s="1"/>
  <c r="FN21" i="12" s="1"/>
  <c r="FN22" i="12" s="1"/>
  <c r="FN23" i="12" s="1"/>
  <c r="FN24" i="12" s="1"/>
  <c r="FN25" i="12" s="1"/>
  <c r="FN26" i="12" s="1"/>
  <c r="FN27" i="12" s="1"/>
  <c r="FN28" i="12" s="1"/>
  <c r="FN29" i="12" s="1"/>
  <c r="FN30" i="12" s="1"/>
  <c r="FN31" i="12" s="1"/>
  <c r="FN32" i="12" s="1"/>
  <c r="FN33" i="12" s="1"/>
  <c r="FN34" i="12" s="1"/>
  <c r="FN35" i="12" s="1"/>
  <c r="FN36" i="12" s="1"/>
  <c r="FN37" i="12" s="1"/>
  <c r="FN38" i="12" s="1"/>
  <c r="FN39" i="12" s="1"/>
  <c r="FN40" i="12" s="1"/>
  <c r="FN41" i="12" s="1"/>
  <c r="FN42" i="12" s="1"/>
  <c r="GA15" i="12"/>
  <c r="GC15" i="12"/>
  <c r="GD15" i="12"/>
  <c r="GL15" i="12"/>
  <c r="GL16" i="12" s="1"/>
  <c r="GL17" i="12" s="1"/>
  <c r="GL18" i="12" s="1"/>
  <c r="GL19" i="12" s="1"/>
  <c r="GL20" i="12" s="1"/>
  <c r="GO17" i="12"/>
  <c r="GS15" i="12"/>
  <c r="AN30" i="11" s="1"/>
  <c r="GZ16" i="12"/>
  <c r="HJ15" i="12"/>
  <c r="HJ16" i="12" s="1"/>
  <c r="HJ17" i="12" s="1"/>
  <c r="HJ18" i="12" s="1"/>
  <c r="HJ19" i="12" s="1"/>
  <c r="HJ20" i="12" s="1"/>
  <c r="HJ21" i="12" s="1"/>
  <c r="HJ22" i="12" s="1"/>
  <c r="HR15" i="12"/>
  <c r="HR16" i="12" s="1"/>
  <c r="HR17" i="12" s="1"/>
  <c r="HR18" i="12" s="1"/>
  <c r="HR19" i="12" s="1"/>
  <c r="HR20" i="12" s="1"/>
  <c r="AM16" i="12"/>
  <c r="AN16" i="12" s="1"/>
  <c r="CG16" i="12"/>
  <c r="CR16" i="12"/>
  <c r="CR17" i="12" s="1"/>
  <c r="EN16" i="12"/>
  <c r="EO16" i="12" s="1"/>
  <c r="FL16" i="12"/>
  <c r="GD16" i="12"/>
  <c r="GD17" i="12" s="1"/>
  <c r="GD18" i="12" s="1"/>
  <c r="GD19" i="12" s="1"/>
  <c r="GD20" i="12" s="1"/>
  <c r="GD21" i="12" s="1"/>
  <c r="GD22" i="12" s="1"/>
  <c r="GD23" i="12" s="1"/>
  <c r="GD24" i="12" s="1"/>
  <c r="GD25" i="12" s="1"/>
  <c r="GD26" i="12" s="1"/>
  <c r="GD27" i="12" s="1"/>
  <c r="GD28" i="12" s="1"/>
  <c r="GD29" i="12" s="1"/>
  <c r="GD30" i="12" s="1"/>
  <c r="GD31" i="12" s="1"/>
  <c r="GD32" i="12" s="1"/>
  <c r="GD33" i="12" s="1"/>
  <c r="GD34" i="12" s="1"/>
  <c r="GD35" i="12" s="1"/>
  <c r="GD36" i="12" s="1"/>
  <c r="GD37" i="12" s="1"/>
  <c r="GK16" i="12"/>
  <c r="AM51" i="11" s="1"/>
  <c r="AP52" i="11"/>
  <c r="HX19" i="12"/>
  <c r="HX21" i="12" s="1"/>
  <c r="AR51" i="11"/>
  <c r="AZ17" i="12"/>
  <c r="BA17" i="12"/>
  <c r="EF17" i="12"/>
  <c r="EN17" i="12"/>
  <c r="EO17" i="12" s="1"/>
  <c r="EU17" i="12"/>
  <c r="EV17" i="12"/>
  <c r="EW17" i="12" s="1"/>
  <c r="FB17" i="12"/>
  <c r="FB19" i="12" s="1"/>
  <c r="FD17" i="12"/>
  <c r="FD19" i="12" s="1"/>
  <c r="FD20" i="12" s="1"/>
  <c r="GC17" i="12"/>
  <c r="GK17" i="12"/>
  <c r="AM52" i="11" s="1"/>
  <c r="GP17" i="12"/>
  <c r="GS17" i="12"/>
  <c r="HW19" i="12"/>
  <c r="HW21" i="12" s="1"/>
  <c r="AR52" i="11"/>
  <c r="AY18" i="12"/>
  <c r="CL18" i="12"/>
  <c r="CV18" i="12"/>
  <c r="DD18" i="12"/>
  <c r="DO18" i="12"/>
  <c r="EN18" i="12"/>
  <c r="FH18" i="12"/>
  <c r="GH19" i="12"/>
  <c r="GK18" i="12"/>
  <c r="AR53" i="11"/>
  <c r="E14" i="11"/>
  <c r="E17" i="11" s="1"/>
  <c r="AL19" i="12"/>
  <c r="AM19" i="12"/>
  <c r="AN19" i="12" s="1"/>
  <c r="AQ19" i="12"/>
  <c r="BP19" i="12"/>
  <c r="CN19" i="12"/>
  <c r="EM19" i="12"/>
  <c r="EN19" i="12"/>
  <c r="EO19" i="12" s="1"/>
  <c r="EV19" i="12"/>
  <c r="EW19" i="12" s="1"/>
  <c r="GI19" i="12"/>
  <c r="GN19" i="12"/>
  <c r="GX19" i="12"/>
  <c r="GY19" i="12" s="1"/>
  <c r="GY20" i="12" s="1"/>
  <c r="GY23" i="12" s="1"/>
  <c r="HM19" i="12"/>
  <c r="HY19" i="12"/>
  <c r="HY21" i="12" s="1"/>
  <c r="AM20" i="12"/>
  <c r="AN20" i="12" s="1"/>
  <c r="BI24" i="12"/>
  <c r="BI27" i="12" s="1"/>
  <c r="K30" i="11"/>
  <c r="BX20" i="12"/>
  <c r="CL20" i="12"/>
  <c r="GW20" i="12"/>
  <c r="GW23" i="12" s="1"/>
  <c r="N21" i="12"/>
  <c r="P21" i="12"/>
  <c r="AA21" i="12"/>
  <c r="AB21" i="12" s="1"/>
  <c r="AB22" i="12" s="1"/>
  <c r="AM21" i="12"/>
  <c r="AN21" i="12" s="1"/>
  <c r="DQ21" i="12"/>
  <c r="AF31" i="11" s="1"/>
  <c r="AU31" i="11" s="1"/>
  <c r="F31" i="10" s="1"/>
  <c r="DW21" i="12"/>
  <c r="FT24" i="12"/>
  <c r="GA21" i="12"/>
  <c r="HL21" i="12"/>
  <c r="GC22" i="12"/>
  <c r="GK22" i="12"/>
  <c r="GV22" i="12"/>
  <c r="AL23" i="12"/>
  <c r="AM23" i="12"/>
  <c r="AN23" i="12" s="1"/>
  <c r="EB23" i="12"/>
  <c r="FU23" i="12"/>
  <c r="GK23" i="12"/>
  <c r="FQ24" i="12"/>
  <c r="FQ26" i="12" s="1"/>
  <c r="FR24" i="12"/>
  <c r="FR26" i="12" s="1"/>
  <c r="ER25" i="12"/>
  <c r="GI25" i="12"/>
  <c r="R39" i="11"/>
  <c r="AF39" i="11"/>
  <c r="HD26" i="12"/>
  <c r="H29" i="12"/>
  <c r="Z16" i="11" s="1"/>
  <c r="AU16" i="11" s="1"/>
  <c r="F16" i="10" s="1"/>
  <c r="AK34" i="11"/>
  <c r="DL30" i="12"/>
  <c r="FU30" i="12"/>
  <c r="GK30" i="12"/>
  <c r="AM35" i="11" s="1"/>
  <c r="K31" i="12"/>
  <c r="FU31" i="12"/>
  <c r="FX31" i="12"/>
  <c r="DT32" i="12"/>
  <c r="GK32" i="12"/>
  <c r="FQ33" i="12"/>
  <c r="FR33" i="12"/>
  <c r="GI33" i="12"/>
  <c r="F36" i="12"/>
  <c r="D23" i="11" s="1"/>
  <c r="D25" i="11" s="1"/>
  <c r="AL34" i="12"/>
  <c r="H36" i="12"/>
  <c r="H37" i="12"/>
  <c r="FP37" i="12"/>
  <c r="GF37" i="12"/>
  <c r="HT29" i="12"/>
  <c r="GI38" i="12"/>
  <c r="AM39" i="12"/>
  <c r="AN39" i="12" s="1"/>
  <c r="C44" i="12"/>
  <c r="AI44" i="12"/>
  <c r="A4" i="11"/>
  <c r="A5" i="11"/>
  <c r="E9" i="11"/>
  <c r="N9" i="12" s="1"/>
  <c r="Z9" i="11"/>
  <c r="H9" i="12" s="1"/>
  <c r="AH9" i="11"/>
  <c r="EG9" i="12" s="1"/>
  <c r="AK9" i="11"/>
  <c r="FU9" i="12" s="1"/>
  <c r="A14" i="1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C14" i="11"/>
  <c r="C14" i="10" s="1"/>
  <c r="X15" i="11"/>
  <c r="Y15" i="11" s="1"/>
  <c r="C15" i="19" s="1"/>
  <c r="H15" i="19" s="1"/>
  <c r="AU15" i="11"/>
  <c r="F15" i="10" s="1"/>
  <c r="C16" i="11"/>
  <c r="C16" i="10" s="1"/>
  <c r="F17" i="11"/>
  <c r="G17" i="11"/>
  <c r="I17" i="11"/>
  <c r="J17" i="11"/>
  <c r="K17" i="11"/>
  <c r="L17" i="11"/>
  <c r="M17" i="11"/>
  <c r="N17" i="11"/>
  <c r="O17" i="11"/>
  <c r="P17" i="11"/>
  <c r="Q17" i="11"/>
  <c r="R17" i="11"/>
  <c r="S17" i="11"/>
  <c r="T17" i="11"/>
  <c r="U17" i="11"/>
  <c r="U44" i="11" s="1"/>
  <c r="V17" i="11"/>
  <c r="W17" i="11"/>
  <c r="AB17" i="11"/>
  <c r="AC17" i="11"/>
  <c r="AD17" i="11"/>
  <c r="AE17" i="11"/>
  <c r="AF17" i="11"/>
  <c r="AG17" i="11"/>
  <c r="AH17" i="11"/>
  <c r="AI17" i="11"/>
  <c r="AJ17" i="11"/>
  <c r="AK17" i="11"/>
  <c r="AL17" i="11"/>
  <c r="AM17" i="11"/>
  <c r="AN17" i="11"/>
  <c r="AO17" i="11"/>
  <c r="AP17" i="11"/>
  <c r="AQ17" i="11"/>
  <c r="AR17" i="11"/>
  <c r="AS17" i="11"/>
  <c r="X22" i="11"/>
  <c r="Y22" i="11" s="1"/>
  <c r="AU22" i="11"/>
  <c r="AV22" i="11" s="1"/>
  <c r="C23" i="11"/>
  <c r="C25" i="11" s="1"/>
  <c r="AA23" i="11"/>
  <c r="AU23" i="11" s="1"/>
  <c r="F23" i="10" s="1"/>
  <c r="X24" i="11"/>
  <c r="Y24" i="11" s="1"/>
  <c r="AU24" i="11"/>
  <c r="E25" i="11"/>
  <c r="F25" i="11"/>
  <c r="G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W25" i="11"/>
  <c r="Z25" i="11"/>
  <c r="AB25" i="11"/>
  <c r="AC25" i="11"/>
  <c r="AD25" i="11"/>
  <c r="AE25" i="11"/>
  <c r="AF25" i="11"/>
  <c r="AG25" i="11"/>
  <c r="AH25" i="11"/>
  <c r="AI25" i="11"/>
  <c r="AJ25" i="11"/>
  <c r="AK25" i="11"/>
  <c r="AL25" i="11"/>
  <c r="AM25" i="11"/>
  <c r="AN25" i="11"/>
  <c r="AO25" i="11"/>
  <c r="AP25" i="11"/>
  <c r="AQ25" i="11"/>
  <c r="AR25" i="11"/>
  <c r="AT25" i="11"/>
  <c r="C27" i="11"/>
  <c r="C27" i="10" s="1"/>
  <c r="C28" i="11"/>
  <c r="C28" i="10" s="1"/>
  <c r="K28" i="11"/>
  <c r="X28" i="11" s="1"/>
  <c r="C29" i="11"/>
  <c r="C29" i="10" s="1"/>
  <c r="K29" i="11"/>
  <c r="C30" i="11"/>
  <c r="C30" i="10" s="1"/>
  <c r="AD30" i="11"/>
  <c r="C31" i="11"/>
  <c r="C31" i="10" s="1"/>
  <c r="K31" i="11"/>
  <c r="C32" i="11"/>
  <c r="C32" i="10" s="1"/>
  <c r="AU32" i="11"/>
  <c r="C33" i="11"/>
  <c r="K33" i="11"/>
  <c r="C34" i="11"/>
  <c r="C34" i="10" s="1"/>
  <c r="C35" i="11"/>
  <c r="C35" i="10" s="1"/>
  <c r="AR35" i="11"/>
  <c r="X36" i="11"/>
  <c r="Y36" i="11" s="1"/>
  <c r="AU36" i="11"/>
  <c r="C37" i="11"/>
  <c r="X37" i="11"/>
  <c r="AJ37" i="11"/>
  <c r="X38" i="11"/>
  <c r="Y38" i="11" s="1"/>
  <c r="AU38" i="11"/>
  <c r="C39" i="11"/>
  <c r="C39" i="10" s="1"/>
  <c r="K39" i="11"/>
  <c r="C40" i="11"/>
  <c r="C40" i="10" s="1"/>
  <c r="C41" i="11"/>
  <c r="C41" i="10" s="1"/>
  <c r="G41" i="11"/>
  <c r="U42" i="11"/>
  <c r="AC43" i="11"/>
  <c r="AD43" i="11"/>
  <c r="AF46" i="11"/>
  <c r="C51" i="10"/>
  <c r="AL51" i="11"/>
  <c r="C52" i="10"/>
  <c r="AL52" i="11"/>
  <c r="C53" i="10"/>
  <c r="AL53" i="11"/>
  <c r="C54" i="10"/>
  <c r="AU55" i="11"/>
  <c r="F55" i="10" s="1"/>
  <c r="X56" i="11"/>
  <c r="Y56" i="11" s="1"/>
  <c r="C55" i="19" s="1"/>
  <c r="H55" i="19" s="1"/>
  <c r="AU56" i="11"/>
  <c r="D57" i="11"/>
  <c r="D46" i="11" s="1"/>
  <c r="E57" i="11"/>
  <c r="E46" i="11" s="1"/>
  <c r="F57" i="11"/>
  <c r="F46" i="11" s="1"/>
  <c r="G57" i="11"/>
  <c r="G46" i="11" s="1"/>
  <c r="H57" i="11"/>
  <c r="H46" i="11" s="1"/>
  <c r="I57" i="11"/>
  <c r="I46" i="11" s="1"/>
  <c r="J57" i="11"/>
  <c r="J46" i="11" s="1"/>
  <c r="K57" i="11"/>
  <c r="K46" i="11" s="1"/>
  <c r="L57" i="11"/>
  <c r="L46" i="11" s="1"/>
  <c r="M57" i="11"/>
  <c r="M46" i="11" s="1"/>
  <c r="N57" i="11"/>
  <c r="N46" i="11" s="1"/>
  <c r="O57" i="11"/>
  <c r="O46" i="11" s="1"/>
  <c r="P57" i="11"/>
  <c r="P46" i="11" s="1"/>
  <c r="Q57" i="11"/>
  <c r="Q46" i="11" s="1"/>
  <c r="R57" i="11"/>
  <c r="R46" i="11" s="1"/>
  <c r="S57" i="11"/>
  <c r="S46" i="11" s="1"/>
  <c r="T57" i="11"/>
  <c r="T46" i="11" s="1"/>
  <c r="W57" i="11"/>
  <c r="W46" i="11" s="1"/>
  <c r="Z57" i="11"/>
  <c r="Z46" i="11" s="1"/>
  <c r="AA57" i="11"/>
  <c r="AA46" i="11" s="1"/>
  <c r="AB57" i="11"/>
  <c r="AB46" i="11" s="1"/>
  <c r="AC57" i="11"/>
  <c r="AC46" i="11" s="1"/>
  <c r="AD57" i="11"/>
  <c r="AD46" i="11" s="1"/>
  <c r="AE57" i="11"/>
  <c r="AE46" i="11" s="1"/>
  <c r="AF57" i="11"/>
  <c r="AG57" i="11"/>
  <c r="AG46" i="11" s="1"/>
  <c r="AH57" i="11"/>
  <c r="AH46" i="11" s="1"/>
  <c r="AI57" i="11"/>
  <c r="AI46" i="11" s="1"/>
  <c r="AJ57" i="11"/>
  <c r="AJ46" i="11" s="1"/>
  <c r="AN57" i="11"/>
  <c r="AN46" i="11" s="1"/>
  <c r="AQ57" i="11"/>
  <c r="AQ46" i="11" s="1"/>
  <c r="Q133" i="11"/>
  <c r="Q134" i="11"/>
  <c r="Q137" i="11" s="1"/>
  <c r="Q136" i="11"/>
  <c r="A4" i="10"/>
  <c r="A5" i="10"/>
  <c r="A14" i="10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C15" i="10"/>
  <c r="C22" i="10"/>
  <c r="D22" i="10"/>
  <c r="C24" i="10"/>
  <c r="F24" i="10"/>
  <c r="H25" i="10"/>
  <c r="F32" i="10"/>
  <c r="C33" i="10"/>
  <c r="C36" i="10"/>
  <c r="F36" i="10"/>
  <c r="D37" i="10"/>
  <c r="C38" i="10"/>
  <c r="D38" i="10"/>
  <c r="F38" i="10"/>
  <c r="C55" i="10"/>
  <c r="C56" i="10"/>
  <c r="F56" i="10"/>
  <c r="A2" i="8"/>
  <c r="D2" i="8"/>
  <c r="I2" i="8"/>
  <c r="A4" i="8"/>
  <c r="D4" i="8"/>
  <c r="I4" i="8"/>
  <c r="A5" i="8"/>
  <c r="D5" i="8"/>
  <c r="I5" i="8"/>
  <c r="G16" i="8"/>
  <c r="M12" i="8"/>
  <c r="A13" i="8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D13" i="8"/>
  <c r="D14" i="8" s="1"/>
  <c r="D15" i="8" s="1"/>
  <c r="D16" i="8" s="1"/>
  <c r="D17" i="8" s="1"/>
  <c r="D18" i="8" s="1"/>
  <c r="F17" i="8"/>
  <c r="I13" i="8"/>
  <c r="I14" i="8" s="1"/>
  <c r="I15" i="8" s="1"/>
  <c r="I16" i="8" s="1"/>
  <c r="I17" i="8" s="1"/>
  <c r="I18" i="8" s="1"/>
  <c r="J19" i="8" s="1"/>
  <c r="L19" i="8"/>
  <c r="D36" i="10" l="1"/>
  <c r="AV36" i="11"/>
  <c r="C36" i="19"/>
  <c r="H36" i="19" s="1"/>
  <c r="GI27" i="12"/>
  <c r="HR21" i="12"/>
  <c r="HR22" i="12" s="1"/>
  <c r="HR23" i="12" s="1"/>
  <c r="HR24" i="12" s="1"/>
  <c r="HR25" i="12" s="1"/>
  <c r="HR26" i="12" s="1"/>
  <c r="HR27" i="12" s="1"/>
  <c r="HR28" i="12" s="1"/>
  <c r="HR29" i="12" s="1"/>
  <c r="HR30" i="12" s="1"/>
  <c r="HW29" i="12"/>
  <c r="HW30" i="12" s="1"/>
  <c r="HV29" i="12"/>
  <c r="HV30" i="12" s="1"/>
  <c r="HU29" i="12"/>
  <c r="HU30" i="12" s="1"/>
  <c r="HX29" i="12"/>
  <c r="HX30" i="12" s="1"/>
  <c r="HH26" i="12"/>
  <c r="HH27" i="12" s="1"/>
  <c r="HF26" i="12"/>
  <c r="HF27" i="12" s="1"/>
  <c r="HE26" i="12"/>
  <c r="HE27" i="12" s="1"/>
  <c r="HG26" i="12"/>
  <c r="HG27" i="12" s="1"/>
  <c r="HI26" i="12"/>
  <c r="HI27" i="12" s="1"/>
  <c r="FR37" i="12"/>
  <c r="FR38" i="12" s="1"/>
  <c r="FQ37" i="12"/>
  <c r="FQ38" i="12" s="1"/>
  <c r="FS37" i="12"/>
  <c r="FS38" i="12" s="1"/>
  <c r="AP34" i="11"/>
  <c r="BA18" i="12"/>
  <c r="BA19" i="12" s="1"/>
  <c r="D56" i="10"/>
  <c r="E56" i="10" s="1"/>
  <c r="G56" i="10" s="1"/>
  <c r="I56" i="10" s="1"/>
  <c r="D24" i="10"/>
  <c r="E24" i="10" s="1"/>
  <c r="G24" i="10" s="1"/>
  <c r="I24" i="10" s="1"/>
  <c r="AV15" i="11"/>
  <c r="AV56" i="11"/>
  <c r="AV38" i="11"/>
  <c r="AA25" i="11"/>
  <c r="AV24" i="11"/>
  <c r="AL9" i="11"/>
  <c r="GC9" i="12" s="1"/>
  <c r="Y37" i="11"/>
  <c r="C37" i="19" s="1"/>
  <c r="H37" i="19" s="1"/>
  <c r="F22" i="10"/>
  <c r="D15" i="10"/>
  <c r="E15" i="10" s="1"/>
  <c r="G15" i="10" s="1"/>
  <c r="I15" i="10" s="1"/>
  <c r="AL57" i="11"/>
  <c r="AL46" i="11" s="1"/>
  <c r="E36" i="10"/>
  <c r="G36" i="10" s="1"/>
  <c r="I36" i="10" s="1"/>
  <c r="E38" i="10"/>
  <c r="H22" i="13"/>
  <c r="AS34" i="11" s="1"/>
  <c r="GA24" i="12"/>
  <c r="AL22" i="12"/>
  <c r="GA20" i="12"/>
  <c r="AL20" i="12"/>
  <c r="DQ18" i="12"/>
  <c r="FA17" i="12"/>
  <c r="FA19" i="12" s="1"/>
  <c r="FA20" i="12" s="1"/>
  <c r="BZ16" i="12"/>
  <c r="BZ18" i="12" s="1"/>
  <c r="BZ20" i="12" s="1"/>
  <c r="BZ22" i="12" s="1"/>
  <c r="HQ15" i="12"/>
  <c r="AQ28" i="11" s="1"/>
  <c r="AU28" i="11" s="1"/>
  <c r="F28" i="10" s="1"/>
  <c r="BB15" i="12"/>
  <c r="AM54" i="11"/>
  <c r="H31" i="12"/>
  <c r="AL39" i="12"/>
  <c r="H31" i="11" s="1"/>
  <c r="FS33" i="12"/>
  <c r="AL21" i="12"/>
  <c r="FB20" i="12"/>
  <c r="DQ20" i="12"/>
  <c r="AF30" i="11" s="1"/>
  <c r="GR17" i="12"/>
  <c r="GR19" i="12" s="1"/>
  <c r="GR20" i="12" s="1"/>
  <c r="FU17" i="12"/>
  <c r="CP17" i="12"/>
  <c r="CP19" i="12" s="1"/>
  <c r="CR19" i="12" s="1"/>
  <c r="CS16" i="12"/>
  <c r="CS17" i="12" s="1"/>
  <c r="AM15" i="12"/>
  <c r="AN15" i="12" s="1"/>
  <c r="BR16" i="12"/>
  <c r="BR18" i="12" s="1"/>
  <c r="BR19" i="12" s="1"/>
  <c r="BR20" i="12" s="1"/>
  <c r="E24" i="13"/>
  <c r="C17" i="11"/>
  <c r="GC28" i="12"/>
  <c r="EG20" i="12"/>
  <c r="GA19" i="12"/>
  <c r="DQ19" i="12"/>
  <c r="AF29" i="11" s="1"/>
  <c r="GA18" i="12"/>
  <c r="HV19" i="12"/>
  <c r="HV21" i="12" s="1"/>
  <c r="HO17" i="12"/>
  <c r="DQ16" i="12"/>
  <c r="BM24" i="12"/>
  <c r="BM27" i="12" s="1"/>
  <c r="BM29" i="12" s="1"/>
  <c r="BM30" i="12" s="1"/>
  <c r="DQ15" i="12"/>
  <c r="BU15" i="12"/>
  <c r="AC33" i="11" s="1"/>
  <c r="DF16" i="12"/>
  <c r="CI14" i="12"/>
  <c r="C34" i="8"/>
  <c r="HX25" i="12"/>
  <c r="GH33" i="12"/>
  <c r="GC26" i="12"/>
  <c r="DN26" i="12"/>
  <c r="DP26" i="12" s="1"/>
  <c r="GA25" i="12"/>
  <c r="DQ23" i="12"/>
  <c r="AF33" i="11" s="1"/>
  <c r="DO21" i="12"/>
  <c r="R31" i="11" s="1"/>
  <c r="EE20" i="12"/>
  <c r="DO20" i="12"/>
  <c r="R30" i="11" s="1"/>
  <c r="DF18" i="12"/>
  <c r="DF19" i="12" s="1"/>
  <c r="HO16" i="12"/>
  <c r="CH16" i="12"/>
  <c r="M14" i="8"/>
  <c r="J14" i="8" s="1"/>
  <c r="GG33" i="12"/>
  <c r="GJ25" i="12"/>
  <c r="DM24" i="12"/>
  <c r="DM27" i="12" s="1"/>
  <c r="DM29" i="12" s="1"/>
  <c r="DM30" i="12" s="1"/>
  <c r="BJ24" i="12"/>
  <c r="BJ27" i="12" s="1"/>
  <c r="BJ29" i="12" s="1"/>
  <c r="BJ30" i="12" s="1"/>
  <c r="GC20" i="12"/>
  <c r="HQ18" i="12"/>
  <c r="AQ33" i="11" s="1"/>
  <c r="DV24" i="12"/>
  <c r="DV26" i="12" s="1"/>
  <c r="DV28" i="12" s="1"/>
  <c r="DV30" i="12" s="1"/>
  <c r="DV32" i="12" s="1"/>
  <c r="DV34" i="12" s="1"/>
  <c r="GG19" i="12"/>
  <c r="C23" i="10"/>
  <c r="EU20" i="12"/>
  <c r="EU19" i="12"/>
  <c r="F25" i="10"/>
  <c r="Z17" i="11"/>
  <c r="C17" i="10"/>
  <c r="D24" i="13"/>
  <c r="D26" i="13" s="1"/>
  <c r="E26" i="13" s="1"/>
  <c r="H26" i="13" s="1"/>
  <c r="FE19" i="12"/>
  <c r="AI37" i="11"/>
  <c r="Y28" i="11"/>
  <c r="D28" i="10"/>
  <c r="E28" i="10" s="1"/>
  <c r="AR57" i="11"/>
  <c r="EV15" i="12"/>
  <c r="EE15" i="12"/>
  <c r="EC17" i="12"/>
  <c r="EC19" i="12" s="1"/>
  <c r="EC21" i="12" s="1"/>
  <c r="EC23" i="12" s="1"/>
  <c r="EC25" i="12" s="1"/>
  <c r="GK31" i="12"/>
  <c r="GJ33" i="12"/>
  <c r="GJ35" i="12" s="1"/>
  <c r="GJ37" i="12" s="1"/>
  <c r="GK37" i="12" s="1"/>
  <c r="AM40" i="11" s="1"/>
  <c r="HV25" i="12"/>
  <c r="C37" i="10"/>
  <c r="E37" i="10" s="1"/>
  <c r="C42" i="11"/>
  <c r="GG37" i="12"/>
  <c r="GG38" i="12" s="1"/>
  <c r="DN24" i="12"/>
  <c r="DN27" i="12" s="1"/>
  <c r="DN29" i="12" s="1"/>
  <c r="GA22" i="12"/>
  <c r="DO22" i="12"/>
  <c r="AM22" i="12"/>
  <c r="AN22" i="12" s="1"/>
  <c r="FU18" i="12"/>
  <c r="AK53" i="11" s="1"/>
  <c r="AJ25" i="12"/>
  <c r="HQ16" i="12"/>
  <c r="AQ29" i="11" s="1"/>
  <c r="GJ19" i="12"/>
  <c r="FU16" i="12"/>
  <c r="FS19" i="12"/>
  <c r="EG15" i="12"/>
  <c r="EU14" i="12"/>
  <c r="ES18" i="12"/>
  <c r="Q39" i="13"/>
  <c r="AT53" i="11" s="1"/>
  <c r="Q37" i="13"/>
  <c r="N41" i="13"/>
  <c r="GA27" i="12"/>
  <c r="GK24" i="12"/>
  <c r="AM53" i="11" s="1"/>
  <c r="HM21" i="12"/>
  <c r="HM22" i="12" s="1"/>
  <c r="EV20" i="12"/>
  <c r="GC18" i="12"/>
  <c r="ET18" i="12"/>
  <c r="DY18" i="12"/>
  <c r="GX15" i="12"/>
  <c r="GX16" i="12" s="1"/>
  <c r="GW16" i="12"/>
  <c r="W15" i="12"/>
  <c r="X15" i="12" s="1"/>
  <c r="V15" i="12"/>
  <c r="F41" i="11" s="1"/>
  <c r="GA17" i="12"/>
  <c r="FY29" i="12"/>
  <c r="FY31" i="12" s="1"/>
  <c r="FY32" i="12" s="1"/>
  <c r="HU19" i="12"/>
  <c r="HU21" i="12" s="1"/>
  <c r="C26" i="8"/>
  <c r="P13" i="8" s="1"/>
  <c r="P15" i="8" s="1"/>
  <c r="HW25" i="12"/>
  <c r="GC27" i="12"/>
  <c r="DY21" i="12"/>
  <c r="DX24" i="12"/>
  <c r="DX26" i="12" s="1"/>
  <c r="DX28" i="12" s="1"/>
  <c r="FT19" i="12"/>
  <c r="FT26" i="12" s="1"/>
  <c r="EU15" i="12"/>
  <c r="BL24" i="12"/>
  <c r="BL27" i="12" s="1"/>
  <c r="DH16" i="12"/>
  <c r="DH18" i="12" s="1"/>
  <c r="DH19" i="12" s="1"/>
  <c r="DI14" i="12"/>
  <c r="CB14" i="12"/>
  <c r="CC14" i="12" s="1"/>
  <c r="CC16" i="12" s="1"/>
  <c r="CC18" i="12" s="1"/>
  <c r="BY16" i="12"/>
  <c r="BY18" i="12" s="1"/>
  <c r="BY20" i="12" s="1"/>
  <c r="BY22" i="12" s="1"/>
  <c r="V14" i="12"/>
  <c r="U17" i="12"/>
  <c r="AL40" i="12"/>
  <c r="HY25" i="12"/>
  <c r="HU25" i="12"/>
  <c r="FU29" i="12"/>
  <c r="GG25" i="12"/>
  <c r="FU22" i="12"/>
  <c r="GC19" i="12"/>
  <c r="DO19" i="12"/>
  <c r="R29" i="11" s="1"/>
  <c r="X29" i="11" s="1"/>
  <c r="HO18" i="12"/>
  <c r="F20" i="12"/>
  <c r="D14" i="11" s="1"/>
  <c r="EE16" i="12"/>
  <c r="DO16" i="12"/>
  <c r="HO15" i="12"/>
  <c r="GQ15" i="12"/>
  <c r="GQ17" i="12" s="1"/>
  <c r="DW15" i="12"/>
  <c r="DO15" i="12"/>
  <c r="DG15" i="12"/>
  <c r="BS14" i="12"/>
  <c r="L39" i="11" s="1"/>
  <c r="O41" i="13"/>
  <c r="F17" i="13"/>
  <c r="F16" i="13"/>
  <c r="AJ41" i="12"/>
  <c r="GA28" i="12"/>
  <c r="GA26" i="12"/>
  <c r="GH25" i="12"/>
  <c r="GH27" i="12" s="1"/>
  <c r="GO19" i="12"/>
  <c r="GO20" i="12" s="1"/>
  <c r="FJ18" i="12"/>
  <c r="FJ19" i="12" s="1"/>
  <c r="GK19" i="12"/>
  <c r="EM17" i="12"/>
  <c r="U54" i="11" s="1"/>
  <c r="AL16" i="12"/>
  <c r="AP51" i="11"/>
  <c r="DE16" i="12"/>
  <c r="DE18" i="12" s="1"/>
  <c r="DE19" i="12" s="1"/>
  <c r="M41" i="13"/>
  <c r="FM18" i="12"/>
  <c r="AJ40" i="11" s="1"/>
  <c r="AJ42" i="11" s="1"/>
  <c r="AJ44" i="11" s="1"/>
  <c r="AZ18" i="12"/>
  <c r="AZ19" i="12" s="1"/>
  <c r="EF19" i="12"/>
  <c r="EF21" i="12" s="1"/>
  <c r="EF23" i="12" s="1"/>
  <c r="EM18" i="12"/>
  <c r="U55" i="11" s="1"/>
  <c r="EK20" i="12"/>
  <c r="EM16" i="12"/>
  <c r="U53" i="11" s="1"/>
  <c r="D52" i="19" s="1"/>
  <c r="GS19" i="12"/>
  <c r="FL18" i="12"/>
  <c r="FL19" i="12" s="1"/>
  <c r="CA20" i="12"/>
  <c r="EM15" i="12"/>
  <c r="U52" i="11" s="1"/>
  <c r="D51" i="19" s="1"/>
  <c r="EM14" i="12"/>
  <c r="U51" i="11" s="1"/>
  <c r="C57" i="11"/>
  <c r="EL20" i="12"/>
  <c r="I19" i="8"/>
  <c r="I20" i="8" s="1"/>
  <c r="E22" i="10"/>
  <c r="C25" i="10"/>
  <c r="FT33" i="12"/>
  <c r="FT35" i="12" s="1"/>
  <c r="FU32" i="12"/>
  <c r="AK37" i="11"/>
  <c r="G17" i="8"/>
  <c r="H17" i="8" s="1"/>
  <c r="H13" i="8"/>
  <c r="J18" i="8"/>
  <c r="H12" i="8"/>
  <c r="F14" i="8"/>
  <c r="F16" i="8"/>
  <c r="F18" i="8" s="1"/>
  <c r="C57" i="10"/>
  <c r="C46" i="10" s="1"/>
  <c r="G38" i="10"/>
  <c r="I38" i="10" s="1"/>
  <c r="L23" i="13"/>
  <c r="M23" i="13" s="1"/>
  <c r="N23" i="13" s="1"/>
  <c r="O23" i="13" s="1"/>
  <c r="K25" i="12"/>
  <c r="L25" i="12" s="1"/>
  <c r="AI29" i="12"/>
  <c r="C39" i="12"/>
  <c r="L22" i="13"/>
  <c r="M22" i="13" s="1"/>
  <c r="AI28" i="12"/>
  <c r="C38" i="12"/>
  <c r="K24" i="12"/>
  <c r="L24" i="12" s="1"/>
  <c r="X41" i="11"/>
  <c r="AG40" i="12"/>
  <c r="AG41" i="12" s="1"/>
  <c r="AG42" i="12" s="1"/>
  <c r="AG43" i="12" s="1"/>
  <c r="AG44" i="12" s="1"/>
  <c r="AG45" i="12" s="1"/>
  <c r="AG39" i="12"/>
  <c r="GP19" i="12"/>
  <c r="AU35" i="11"/>
  <c r="AM38" i="12"/>
  <c r="AN38" i="12" s="1"/>
  <c r="AL38" i="12"/>
  <c r="GH37" i="12"/>
  <c r="GH38" i="12" s="1"/>
  <c r="GD38" i="12"/>
  <c r="AL36" i="12"/>
  <c r="AL24" i="12"/>
  <c r="AM24" i="12"/>
  <c r="AN24" i="12" s="1"/>
  <c r="AK25" i="12"/>
  <c r="AL35" i="12"/>
  <c r="H32" i="11" s="1"/>
  <c r="X32" i="11" s="1"/>
  <c r="AK41" i="12"/>
  <c r="AM35" i="12"/>
  <c r="AN35" i="12" s="1"/>
  <c r="HO14" i="12"/>
  <c r="HQ14" i="12"/>
  <c r="HN19" i="12"/>
  <c r="CJ16" i="12"/>
  <c r="CK14" i="12"/>
  <c r="CK16" i="12" s="1"/>
  <c r="BU14" i="12"/>
  <c r="BT16" i="12"/>
  <c r="BT18" i="12" s="1"/>
  <c r="AU25" i="11"/>
  <c r="AM37" i="12"/>
  <c r="AN37" i="12" s="1"/>
  <c r="AL37" i="12"/>
  <c r="BI29" i="12"/>
  <c r="BI30" i="12" s="1"/>
  <c r="GC25" i="12"/>
  <c r="GC24" i="12"/>
  <c r="GB29" i="12"/>
  <c r="O27" i="12"/>
  <c r="O29" i="12" s="1"/>
  <c r="DW18" i="12"/>
  <c r="DU24" i="12"/>
  <c r="DU26" i="12" s="1"/>
  <c r="DU28" i="12" s="1"/>
  <c r="DU30" i="12" s="1"/>
  <c r="GA16" i="12"/>
  <c r="FZ29" i="12"/>
  <c r="AM40" i="12"/>
  <c r="AN40" i="12" s="1"/>
  <c r="AM36" i="12"/>
  <c r="AN36" i="12" s="1"/>
  <c r="AM34" i="12"/>
  <c r="F29" i="12"/>
  <c r="D16" i="11" s="1"/>
  <c r="FU21" i="12"/>
  <c r="FS24" i="12"/>
  <c r="BK24" i="12"/>
  <c r="BK27" i="12" s="1"/>
  <c r="AA9" i="11"/>
  <c r="P9" i="12" s="1"/>
  <c r="F9" i="11"/>
  <c r="G9" i="11" s="1"/>
  <c r="DQ22" i="12"/>
  <c r="DP24" i="12"/>
  <c r="CW18" i="12"/>
  <c r="CW19" i="12" s="1"/>
  <c r="AL18" i="12"/>
  <c r="AM18" i="12"/>
  <c r="AN18" i="12" s="1"/>
  <c r="DO17" i="12"/>
  <c r="DQ17" i="12"/>
  <c r="N18" i="13"/>
  <c r="M20" i="13"/>
  <c r="F15" i="13"/>
  <c r="H15" i="13"/>
  <c r="E19" i="13"/>
  <c r="HA19" i="12"/>
  <c r="HA20" i="12" s="1"/>
  <c r="GZ20" i="12"/>
  <c r="GZ23" i="12" s="1"/>
  <c r="DO23" i="12"/>
  <c r="R33" i="11" s="1"/>
  <c r="GC21" i="12"/>
  <c r="EO18" i="12"/>
  <c r="EO20" i="12" s="1"/>
  <c r="EN20" i="12"/>
  <c r="HQ17" i="12"/>
  <c r="AQ30" i="11" s="1"/>
  <c r="HP19" i="12"/>
  <c r="AP54" i="11"/>
  <c r="FC19" i="12"/>
  <c r="FC20" i="12" s="1"/>
  <c r="GX20" i="12"/>
  <c r="GX23" i="12" s="1"/>
  <c r="EG16" i="12"/>
  <c r="DY15" i="12"/>
  <c r="DI15" i="12"/>
  <c r="BD15" i="12"/>
  <c r="BD17" i="12" s="1"/>
  <c r="BC17" i="12"/>
  <c r="AT15" i="12"/>
  <c r="AU15" i="12"/>
  <c r="AS16" i="12"/>
  <c r="AS18" i="12" s="1"/>
  <c r="N15" i="12"/>
  <c r="N17" i="12" s="1"/>
  <c r="M17" i="12" s="1"/>
  <c r="M19" i="12" s="1"/>
  <c r="CY14" i="12"/>
  <c r="CY15" i="12" s="1"/>
  <c r="CZ14" i="12"/>
  <c r="CX15" i="12"/>
  <c r="CX17" i="12" s="1"/>
  <c r="EU16" i="12"/>
  <c r="EV16" i="12"/>
  <c r="EW16" i="12" s="1"/>
  <c r="CQ16" i="12"/>
  <c r="CQ17" i="12" s="1"/>
  <c r="CO17" i="12"/>
  <c r="BS15" i="12"/>
  <c r="BQ16" i="12"/>
  <c r="BQ18" i="12" s="1"/>
  <c r="AT14" i="12"/>
  <c r="AR16" i="12"/>
  <c r="AR18" i="12" s="1"/>
  <c r="AR19" i="12" s="1"/>
  <c r="ED17" i="12"/>
  <c r="ED19" i="12" s="1"/>
  <c r="ED21" i="12" s="1"/>
  <c r="AL17" i="12"/>
  <c r="AM17" i="12"/>
  <c r="AN17" i="12" s="1"/>
  <c r="GC16" i="12"/>
  <c r="FK15" i="12"/>
  <c r="FK16" i="12" s="1"/>
  <c r="FI16" i="12"/>
  <c r="DG14" i="12"/>
  <c r="AL14" i="12"/>
  <c r="AM14" i="12"/>
  <c r="X14" i="12"/>
  <c r="H24" i="13"/>
  <c r="AS40" i="11" s="1"/>
  <c r="AS42" i="11" s="1"/>
  <c r="AS44" i="11" s="1"/>
  <c r="H17" i="13"/>
  <c r="AS53" i="11" s="1"/>
  <c r="G19" i="13"/>
  <c r="H16" i="13"/>
  <c r="AS52" i="11" s="1"/>
  <c r="Q15" i="13"/>
  <c r="BS18" i="12" l="1"/>
  <c r="FU19" i="12"/>
  <c r="GJ27" i="12"/>
  <c r="H16" i="11"/>
  <c r="L26" i="13"/>
  <c r="M26" i="13" s="1"/>
  <c r="N26" i="13" s="1"/>
  <c r="O26" i="13" s="1"/>
  <c r="CB16" i="12"/>
  <c r="CB18" i="12" s="1"/>
  <c r="CB20" i="12" s="1"/>
  <c r="CB22" i="12" s="1"/>
  <c r="AK52" i="11"/>
  <c r="AU52" i="11" s="1"/>
  <c r="F52" i="10" s="1"/>
  <c r="M16" i="8"/>
  <c r="M18" i="8" s="1"/>
  <c r="M19" i="8" s="1"/>
  <c r="M20" i="8" s="1"/>
  <c r="E60" i="11" s="1"/>
  <c r="AP40" i="11"/>
  <c r="BC18" i="12"/>
  <c r="BD18" i="12" s="1"/>
  <c r="BD19" i="12" s="1"/>
  <c r="HY29" i="12"/>
  <c r="K26" i="12"/>
  <c r="L26" i="12" s="1"/>
  <c r="L27" i="12" s="1"/>
  <c r="L29" i="12" s="1"/>
  <c r="F19" i="13"/>
  <c r="AP42" i="11"/>
  <c r="AP44" i="11" s="1"/>
  <c r="GY15" i="12"/>
  <c r="GY16" i="12" s="1"/>
  <c r="X51" i="11"/>
  <c r="D51" i="10" s="1"/>
  <c r="D50" i="19"/>
  <c r="X55" i="11"/>
  <c r="Y55" i="11" s="1"/>
  <c r="D54" i="19"/>
  <c r="X54" i="11"/>
  <c r="D54" i="10" s="1"/>
  <c r="E54" i="10" s="1"/>
  <c r="D53" i="19"/>
  <c r="AV28" i="11"/>
  <c r="C28" i="19"/>
  <c r="H28" i="19" s="1"/>
  <c r="C40" i="12"/>
  <c r="AI30" i="12"/>
  <c r="AK30" i="12" s="1"/>
  <c r="AM30" i="12" s="1"/>
  <c r="AN30" i="12" s="1"/>
  <c r="AM9" i="11"/>
  <c r="AU29" i="11"/>
  <c r="F29" i="10" s="1"/>
  <c r="C44" i="11"/>
  <c r="AM57" i="11"/>
  <c r="CP20" i="12"/>
  <c r="FS26" i="12"/>
  <c r="F31" i="12"/>
  <c r="F39" i="12" s="1"/>
  <c r="D33" i="11" s="1"/>
  <c r="AR46" i="11"/>
  <c r="G28" i="10"/>
  <c r="I28" i="10" s="1"/>
  <c r="BB17" i="12"/>
  <c r="J30" i="11"/>
  <c r="FM19" i="12"/>
  <c r="H23" i="11"/>
  <c r="H25" i="11" s="1"/>
  <c r="GK25" i="12"/>
  <c r="GK27" i="12" s="1"/>
  <c r="P23" i="13"/>
  <c r="Q23" i="13" s="1"/>
  <c r="AT33" i="11" s="1"/>
  <c r="DW24" i="12"/>
  <c r="DW26" i="12" s="1"/>
  <c r="S33" i="11" s="1"/>
  <c r="HA15" i="12"/>
  <c r="HA16" i="12" s="1"/>
  <c r="AO53" i="11" s="1"/>
  <c r="AO57" i="11" s="1"/>
  <c r="DY24" i="12"/>
  <c r="DY26" i="12" s="1"/>
  <c r="AG33" i="11" s="1"/>
  <c r="GA29" i="12"/>
  <c r="GA31" i="12" s="1"/>
  <c r="W40" i="11" s="1"/>
  <c r="N30" i="11"/>
  <c r="N42" i="11" s="1"/>
  <c r="N44" i="11" s="1"/>
  <c r="CI16" i="12"/>
  <c r="DI16" i="12"/>
  <c r="DI18" i="12" s="1"/>
  <c r="AE40" i="11" s="1"/>
  <c r="X31" i="11"/>
  <c r="D31" i="10" s="1"/>
  <c r="E31" i="10" s="1"/>
  <c r="G31" i="10" s="1"/>
  <c r="I31" i="10" s="1"/>
  <c r="GG27" i="12"/>
  <c r="F24" i="13"/>
  <c r="F26" i="13"/>
  <c r="DM31" i="12"/>
  <c r="GQ19" i="12"/>
  <c r="GQ20" i="12" s="1"/>
  <c r="BB18" i="12"/>
  <c r="Y29" i="11"/>
  <c r="D29" i="10"/>
  <c r="E29" i="10" s="1"/>
  <c r="EW20" i="12"/>
  <c r="Q41" i="13"/>
  <c r="AT51" i="11"/>
  <c r="AT57" i="11" s="1"/>
  <c r="W17" i="12"/>
  <c r="ET21" i="12"/>
  <c r="DG16" i="12"/>
  <c r="Q33" i="11" s="1"/>
  <c r="AP57" i="11"/>
  <c r="EW15" i="12"/>
  <c r="GJ38" i="12"/>
  <c r="FU33" i="12"/>
  <c r="FU35" i="12" s="1"/>
  <c r="FU37" i="12" s="1"/>
  <c r="FU38" i="12" s="1"/>
  <c r="V17" i="12"/>
  <c r="F40" i="11"/>
  <c r="F42" i="11" s="1"/>
  <c r="F44" i="11" s="1"/>
  <c r="V34" i="11"/>
  <c r="EE17" i="12"/>
  <c r="EE19" i="12" s="1"/>
  <c r="EE21" i="12" s="1"/>
  <c r="T33" i="11" s="1"/>
  <c r="FE20" i="12"/>
  <c r="AI40" i="11"/>
  <c r="AI42" i="11" s="1"/>
  <c r="AI44" i="11" s="1"/>
  <c r="P22" i="13"/>
  <c r="X17" i="12"/>
  <c r="GC29" i="12"/>
  <c r="AL33" i="11" s="1"/>
  <c r="EG17" i="12"/>
  <c r="EG19" i="12" s="1"/>
  <c r="EG21" i="12" s="1"/>
  <c r="HO19" i="12"/>
  <c r="GK35" i="12"/>
  <c r="GK38" i="12" s="1"/>
  <c r="C42" i="10"/>
  <c r="C44" i="10" s="1"/>
  <c r="C48" i="10" s="1"/>
  <c r="ES21" i="12"/>
  <c r="GK33" i="12"/>
  <c r="AM37" i="11"/>
  <c r="AM42" i="11" s="1"/>
  <c r="AM44" i="11" s="1"/>
  <c r="EF25" i="12"/>
  <c r="GS20" i="12"/>
  <c r="AN40" i="11"/>
  <c r="AN42" i="11" s="1"/>
  <c r="AN44" i="11" s="1"/>
  <c r="GP20" i="12"/>
  <c r="M40" i="11"/>
  <c r="M42" i="11" s="1"/>
  <c r="M44" i="11" s="1"/>
  <c r="CA22" i="12"/>
  <c r="EM20" i="12"/>
  <c r="U57" i="11"/>
  <c r="U46" i="11" s="1"/>
  <c r="C46" i="11"/>
  <c r="M25" i="12"/>
  <c r="M24" i="12"/>
  <c r="P19" i="12"/>
  <c r="FK18" i="12"/>
  <c r="FK19" i="12" s="1"/>
  <c r="EU18" i="12"/>
  <c r="V35" i="11"/>
  <c r="E35" i="19" s="1"/>
  <c r="O31" i="12"/>
  <c r="O32" i="12" s="1"/>
  <c r="AO60" i="11"/>
  <c r="AJ60" i="11"/>
  <c r="G60" i="10"/>
  <c r="G60" i="11"/>
  <c r="F60" i="11"/>
  <c r="AJ28" i="12"/>
  <c r="AK28" i="12"/>
  <c r="FI18" i="12"/>
  <c r="FI19" i="12" s="1"/>
  <c r="BQ19" i="12"/>
  <c r="BS19" i="12" s="1"/>
  <c r="L40" i="11" s="1"/>
  <c r="AU16" i="12"/>
  <c r="AU18" i="12" s="1"/>
  <c r="AV15" i="12"/>
  <c r="AV16" i="12" s="1"/>
  <c r="AV18" i="12" s="1"/>
  <c r="EV18" i="12"/>
  <c r="HN21" i="12"/>
  <c r="H38" i="12"/>
  <c r="AK29" i="12"/>
  <c r="AM29" i="12" s="1"/>
  <c r="AN29" i="12" s="1"/>
  <c r="AJ29" i="12"/>
  <c r="AE18" i="12"/>
  <c r="H14" i="8"/>
  <c r="C13" i="8" s="1"/>
  <c r="H16" i="8"/>
  <c r="H18" i="8" s="1"/>
  <c r="G22" i="10"/>
  <c r="BS16" i="12"/>
  <c r="L33" i="11"/>
  <c r="AU53" i="11"/>
  <c r="BL29" i="12"/>
  <c r="BL30" i="12" s="1"/>
  <c r="BK29" i="12"/>
  <c r="K40" i="11" s="1"/>
  <c r="K42" i="11" s="1"/>
  <c r="K44" i="11" s="1"/>
  <c r="GB31" i="12"/>
  <c r="GB32" i="12" s="1"/>
  <c r="HQ19" i="12"/>
  <c r="AQ27" i="11"/>
  <c r="GK9" i="12"/>
  <c r="AN9" i="11"/>
  <c r="AT14" i="11"/>
  <c r="AN14" i="12"/>
  <c r="AN25" i="12" s="1"/>
  <c r="AM25" i="12"/>
  <c r="CC20" i="12"/>
  <c r="AD40" i="11" s="1"/>
  <c r="AD33" i="11"/>
  <c r="AR21" i="12"/>
  <c r="CO19" i="12"/>
  <c r="CQ19" i="12" s="1"/>
  <c r="O40" i="11" s="1"/>
  <c r="CZ17" i="12"/>
  <c r="CY17" i="12"/>
  <c r="CR20" i="12"/>
  <c r="CS19" i="12"/>
  <c r="CS20" i="12" s="1"/>
  <c r="DQ24" i="12"/>
  <c r="DQ27" i="12" s="1"/>
  <c r="AF27" i="11"/>
  <c r="CX18" i="12"/>
  <c r="CX19" i="12" s="1"/>
  <c r="DN30" i="12"/>
  <c r="DN31" i="12" s="1"/>
  <c r="D17" i="11"/>
  <c r="X16" i="11"/>
  <c r="DU32" i="12"/>
  <c r="DU34" i="12" s="1"/>
  <c r="BT19" i="12"/>
  <c r="BT20" i="12" s="1"/>
  <c r="Y41" i="11"/>
  <c r="C40" i="19" s="1"/>
  <c r="H40" i="19" s="1"/>
  <c r="D41" i="10"/>
  <c r="E41" i="10" s="1"/>
  <c r="N22" i="13"/>
  <c r="M24" i="13"/>
  <c r="FT37" i="12"/>
  <c r="AK40" i="11" s="1"/>
  <c r="AK42" i="11" s="1"/>
  <c r="AK44" i="11" s="1"/>
  <c r="Y51" i="11"/>
  <c r="C50" i="19" s="1"/>
  <c r="ED23" i="12"/>
  <c r="ED25" i="12" s="1"/>
  <c r="HP21" i="12"/>
  <c r="HA23" i="12"/>
  <c r="AO41" i="11"/>
  <c r="FU24" i="12"/>
  <c r="FU26" i="12" s="1"/>
  <c r="AK51" i="11"/>
  <c r="Y32" i="11"/>
  <c r="D32" i="10"/>
  <c r="E32" i="10" s="1"/>
  <c r="G32" i="10" s="1"/>
  <c r="I32" i="10" s="1"/>
  <c r="AL25" i="12"/>
  <c r="H14" i="11"/>
  <c r="AT16" i="12"/>
  <c r="AT18" i="12" s="1"/>
  <c r="O33" i="11"/>
  <c r="DA14" i="12"/>
  <c r="DA15" i="12" s="1"/>
  <c r="CZ15" i="12"/>
  <c r="H19" i="13"/>
  <c r="AS51" i="11"/>
  <c r="AS57" i="11" s="1"/>
  <c r="O18" i="13"/>
  <c r="O20" i="13" s="1"/>
  <c r="N20" i="13"/>
  <c r="Q18" i="13"/>
  <c r="DO24" i="12"/>
  <c r="DO27" i="12" s="1"/>
  <c r="DO29" i="12" s="1"/>
  <c r="R27" i="11"/>
  <c r="AD9" i="12"/>
  <c r="AB9" i="11"/>
  <c r="AF9" i="12" s="1"/>
  <c r="H9" i="11"/>
  <c r="AN34" i="12"/>
  <c r="AN41" i="12" s="1"/>
  <c r="AM41" i="12"/>
  <c r="FZ31" i="12"/>
  <c r="FZ32" i="12" s="1"/>
  <c r="DY28" i="12"/>
  <c r="DY30" i="12" s="1"/>
  <c r="DX30" i="12"/>
  <c r="BU16" i="12"/>
  <c r="BU18" i="12" s="1"/>
  <c r="AC39" i="11"/>
  <c r="AS19" i="12"/>
  <c r="AS21" i="12" s="1"/>
  <c r="DW28" i="12"/>
  <c r="DW30" i="12" s="1"/>
  <c r="F35" i="10"/>
  <c r="AL41" i="12"/>
  <c r="H39" i="12"/>
  <c r="Z33" i="11" s="1"/>
  <c r="AU54" i="11"/>
  <c r="J20" i="8"/>
  <c r="AD60" i="11" l="1"/>
  <c r="E60" i="10"/>
  <c r="AU60" i="11"/>
  <c r="AI60" i="11"/>
  <c r="J60" i="11"/>
  <c r="P60" i="11"/>
  <c r="M60" i="11"/>
  <c r="AQ60" i="11"/>
  <c r="AP60" i="11"/>
  <c r="AB60" i="11"/>
  <c r="AG60" i="11"/>
  <c r="AL60" i="11"/>
  <c r="AE60" i="11"/>
  <c r="C60" i="11"/>
  <c r="AV60" i="11"/>
  <c r="L60" i="11"/>
  <c r="I60" i="11"/>
  <c r="AC60" i="11"/>
  <c r="HQ21" i="12"/>
  <c r="AQ40" i="11" s="1"/>
  <c r="AQ42" i="11" s="1"/>
  <c r="AQ44" i="11" s="1"/>
  <c r="F38" i="12"/>
  <c r="D30" i="11" s="1"/>
  <c r="AJ30" i="12"/>
  <c r="AJ31" i="12" s="1"/>
  <c r="AJ43" i="12" s="1"/>
  <c r="C20" i="8"/>
  <c r="O60" i="11"/>
  <c r="AA60" i="11"/>
  <c r="Z60" i="11"/>
  <c r="AF60" i="11"/>
  <c r="D60" i="11"/>
  <c r="Q60" i="11"/>
  <c r="P26" i="13"/>
  <c r="Q26" i="13" s="1"/>
  <c r="AT39" i="11" s="1"/>
  <c r="DG18" i="12"/>
  <c r="Q40" i="11" s="1"/>
  <c r="Q42" i="11" s="1"/>
  <c r="Q44" i="11" s="1"/>
  <c r="V60" i="11"/>
  <c r="N60" i="11"/>
  <c r="AM60" i="11"/>
  <c r="H60" i="10"/>
  <c r="K60" i="11"/>
  <c r="AH60" i="11"/>
  <c r="AR60" i="11"/>
  <c r="T60" i="11"/>
  <c r="AS60" i="11"/>
  <c r="Y60" i="11"/>
  <c r="EE23" i="12"/>
  <c r="T40" i="11" s="1"/>
  <c r="T42" i="11" s="1"/>
  <c r="T44" i="11" s="1"/>
  <c r="M28" i="13"/>
  <c r="M30" i="13" s="1"/>
  <c r="N30" i="13" s="1"/>
  <c r="O42" i="11"/>
  <c r="O44" i="11" s="1"/>
  <c r="AT60" i="11"/>
  <c r="I60" i="10"/>
  <c r="F60" i="10"/>
  <c r="W60" i="11"/>
  <c r="D60" i="10"/>
  <c r="S60" i="11"/>
  <c r="C60" i="10"/>
  <c r="R60" i="11"/>
  <c r="AN60" i="11"/>
  <c r="X60" i="11"/>
  <c r="H60" i="11"/>
  <c r="AK60" i="11"/>
  <c r="U60" i="11"/>
  <c r="BC19" i="12"/>
  <c r="F40" i="12"/>
  <c r="D39" i="11" s="1"/>
  <c r="AV32" i="11"/>
  <c r="C32" i="19"/>
  <c r="H32" i="19" s="1"/>
  <c r="AR40" i="11"/>
  <c r="AR42" i="11" s="1"/>
  <c r="AR44" i="11" s="1"/>
  <c r="HY30" i="12"/>
  <c r="HN22" i="12"/>
  <c r="HO21" i="12"/>
  <c r="HO22" i="12" s="1"/>
  <c r="X34" i="11"/>
  <c r="D34" i="10" s="1"/>
  <c r="E34" i="10" s="1"/>
  <c r="E34" i="19"/>
  <c r="BB19" i="12"/>
  <c r="H40" i="12"/>
  <c r="Z39" i="11" s="1"/>
  <c r="Y54" i="11"/>
  <c r="C53" i="19" s="1"/>
  <c r="H53" i="19" s="1"/>
  <c r="M26" i="12"/>
  <c r="M27" i="12" s="1"/>
  <c r="M29" i="12" s="1"/>
  <c r="P24" i="13"/>
  <c r="GC31" i="12"/>
  <c r="AL40" i="11" s="1"/>
  <c r="AL42" i="11" s="1"/>
  <c r="AL44" i="11" s="1"/>
  <c r="W33" i="11"/>
  <c r="W42" i="11" s="1"/>
  <c r="W44" i="11" s="1"/>
  <c r="H50" i="19"/>
  <c r="D56" i="19"/>
  <c r="D45" i="19" s="1"/>
  <c r="AV55" i="11"/>
  <c r="C54" i="19"/>
  <c r="H54" i="19" s="1"/>
  <c r="D55" i="10"/>
  <c r="E55" i="10" s="1"/>
  <c r="G55" i="10" s="1"/>
  <c r="I55" i="10" s="1"/>
  <c r="AH33" i="11"/>
  <c r="AE33" i="11"/>
  <c r="AE42" i="11" s="1"/>
  <c r="AE44" i="11" s="1"/>
  <c r="AV29" i="11"/>
  <c r="C29" i="19"/>
  <c r="H29" i="19" s="1"/>
  <c r="Y31" i="11"/>
  <c r="AP46" i="11"/>
  <c r="C48" i="11"/>
  <c r="AM46" i="11"/>
  <c r="X23" i="11"/>
  <c r="X25" i="11" s="1"/>
  <c r="J40" i="11"/>
  <c r="J42" i="11" s="1"/>
  <c r="J44" i="11" s="1"/>
  <c r="EW18" i="12"/>
  <c r="EW21" i="12" s="1"/>
  <c r="Q22" i="13"/>
  <c r="AT30" i="11" s="1"/>
  <c r="DI19" i="12"/>
  <c r="ET23" i="12"/>
  <c r="ET29" i="12" s="1"/>
  <c r="AT46" i="11"/>
  <c r="CQ20" i="12"/>
  <c r="AU37" i="11"/>
  <c r="F37" i="10" s="1"/>
  <c r="G37" i="10" s="1"/>
  <c r="I37" i="10" s="1"/>
  <c r="ES23" i="12"/>
  <c r="ES29" i="12" s="1"/>
  <c r="G29" i="10"/>
  <c r="I29" i="10" s="1"/>
  <c r="HP22" i="12"/>
  <c r="FT38" i="12"/>
  <c r="EE25" i="12"/>
  <c r="L31" i="12"/>
  <c r="L32" i="12" s="1"/>
  <c r="AS46" i="11"/>
  <c r="Y16" i="11"/>
  <c r="D16" i="10"/>
  <c r="E16" i="10" s="1"/>
  <c r="G16" i="10" s="1"/>
  <c r="I16" i="10" s="1"/>
  <c r="DA17" i="12"/>
  <c r="AT17" i="11"/>
  <c r="F54" i="10"/>
  <c r="G54" i="10" s="1"/>
  <c r="I54" i="10" s="1"/>
  <c r="BU19" i="12"/>
  <c r="AC40" i="11" s="1"/>
  <c r="AC42" i="11" s="1"/>
  <c r="AC44" i="11" s="1"/>
  <c r="X27" i="11"/>
  <c r="O22" i="13"/>
  <c r="O24" i="13" s="1"/>
  <c r="O28" i="13" s="1"/>
  <c r="O30" i="13" s="1"/>
  <c r="N24" i="13"/>
  <c r="N28" i="13" s="1"/>
  <c r="BK30" i="12"/>
  <c r="AU27" i="11"/>
  <c r="AD42" i="11"/>
  <c r="AD44" i="11" s="1"/>
  <c r="F53" i="10"/>
  <c r="F41" i="12"/>
  <c r="F43" i="12" s="1"/>
  <c r="EV21" i="12"/>
  <c r="AU19" i="12"/>
  <c r="AU20" i="12" s="1"/>
  <c r="AM28" i="12"/>
  <c r="AK31" i="12"/>
  <c r="AK43" i="12" s="1"/>
  <c r="EU21" i="12"/>
  <c r="N24" i="12"/>
  <c r="P24" i="12"/>
  <c r="DW32" i="12"/>
  <c r="S40" i="11" s="1"/>
  <c r="S42" i="11" s="1"/>
  <c r="S44" i="11" s="1"/>
  <c r="AL9" i="12"/>
  <c r="I9" i="11"/>
  <c r="AO46" i="11"/>
  <c r="P17" i="12"/>
  <c r="O17" i="12" s="1"/>
  <c r="AA14" i="11"/>
  <c r="N25" i="12"/>
  <c r="E33" i="11" s="1"/>
  <c r="P25" i="12"/>
  <c r="AA33" i="11" s="1"/>
  <c r="DX32" i="12"/>
  <c r="DX34" i="12" s="1"/>
  <c r="Q20" i="13"/>
  <c r="AT34" i="11"/>
  <c r="AU34" i="11" s="1"/>
  <c r="DG19" i="12"/>
  <c r="AU51" i="11"/>
  <c r="AK57" i="11"/>
  <c r="AO42" i="11"/>
  <c r="AO44" i="11" s="1"/>
  <c r="AU41" i="11"/>
  <c r="EG23" i="12"/>
  <c r="AH40" i="11" s="1"/>
  <c r="CC22" i="12"/>
  <c r="L42" i="11"/>
  <c r="L44" i="11" s="1"/>
  <c r="I22" i="10"/>
  <c r="AL29" i="12"/>
  <c r="H33" i="11" s="1"/>
  <c r="GA32" i="12"/>
  <c r="BQ20" i="12"/>
  <c r="DO30" i="12"/>
  <c r="R40" i="11" s="1"/>
  <c r="R42" i="11" s="1"/>
  <c r="R44" i="11" s="1"/>
  <c r="DQ29" i="12"/>
  <c r="DP27" i="12"/>
  <c r="DP29" i="12" s="1"/>
  <c r="D59" i="11"/>
  <c r="H59" i="11"/>
  <c r="L59" i="11"/>
  <c r="P59" i="11"/>
  <c r="T59" i="11"/>
  <c r="X59" i="11"/>
  <c r="AB59" i="11"/>
  <c r="AF59" i="11"/>
  <c r="AJ59" i="11"/>
  <c r="AJ61" i="11" s="1"/>
  <c r="AJ62" i="11" s="1"/>
  <c r="AN59" i="11"/>
  <c r="AN61" i="11" s="1"/>
  <c r="AR59" i="11"/>
  <c r="AV59" i="11"/>
  <c r="C59" i="11"/>
  <c r="C61" i="11" s="1"/>
  <c r="C62" i="11" s="1"/>
  <c r="K59" i="11"/>
  <c r="K61" i="11" s="1"/>
  <c r="O59" i="11"/>
  <c r="S59" i="11"/>
  <c r="W59" i="11"/>
  <c r="AA59" i="11"/>
  <c r="AE59" i="11"/>
  <c r="AI59" i="11"/>
  <c r="AI61" i="11" s="1"/>
  <c r="AM59" i="11"/>
  <c r="AM61" i="11" s="1"/>
  <c r="AM62" i="11" s="1"/>
  <c r="AQ59" i="11"/>
  <c r="AU59" i="11"/>
  <c r="I59" i="11"/>
  <c r="Q59" i="11"/>
  <c r="Y59" i="11"/>
  <c r="AG59" i="11"/>
  <c r="AO59" i="11"/>
  <c r="C59" i="10"/>
  <c r="C61" i="10" s="1"/>
  <c r="C62" i="10" s="1"/>
  <c r="G59" i="10"/>
  <c r="J59" i="11"/>
  <c r="R59" i="11"/>
  <c r="Z59" i="11"/>
  <c r="AH59" i="11"/>
  <c r="AP59" i="11"/>
  <c r="AP61" i="11" s="1"/>
  <c r="AP62" i="11" s="1"/>
  <c r="D59" i="10"/>
  <c r="H59" i="10"/>
  <c r="F59" i="11"/>
  <c r="F61" i="11" s="1"/>
  <c r="F62" i="11" s="1"/>
  <c r="N59" i="11"/>
  <c r="N61" i="11" s="1"/>
  <c r="V59" i="11"/>
  <c r="AD59" i="11"/>
  <c r="AL59" i="11"/>
  <c r="AT59" i="11"/>
  <c r="F59" i="10"/>
  <c r="M59" i="11"/>
  <c r="M61" i="11" s="1"/>
  <c r="M62" i="11" s="1"/>
  <c r="AS59" i="11"/>
  <c r="AS61" i="11" s="1"/>
  <c r="I59" i="10"/>
  <c r="AC59" i="11"/>
  <c r="U59" i="11"/>
  <c r="U61" i="11" s="1"/>
  <c r="E59" i="11"/>
  <c r="AK59" i="11"/>
  <c r="E59" i="10"/>
  <c r="Z30" i="11"/>
  <c r="DY32" i="12"/>
  <c r="AG40" i="11" s="1"/>
  <c r="AG42" i="11" s="1"/>
  <c r="AG44" i="11" s="1"/>
  <c r="I33" i="11"/>
  <c r="AT19" i="12"/>
  <c r="I40" i="11" s="1"/>
  <c r="H17" i="11"/>
  <c r="X14" i="11"/>
  <c r="E51" i="10"/>
  <c r="CY18" i="12"/>
  <c r="P40" i="11" s="1"/>
  <c r="CZ18" i="12"/>
  <c r="DA18" i="12" s="1"/>
  <c r="P33" i="11"/>
  <c r="CO20" i="12"/>
  <c r="GS9" i="12"/>
  <c r="AO9" i="11"/>
  <c r="BS20" i="12"/>
  <c r="AL30" i="12"/>
  <c r="H39" i="11" s="1"/>
  <c r="AV19" i="12"/>
  <c r="AV21" i="12" s="1"/>
  <c r="AL28" i="12"/>
  <c r="X35" i="11"/>
  <c r="AI62" i="11" l="1"/>
  <c r="HQ22" i="12"/>
  <c r="AS62" i="11"/>
  <c r="K62" i="11"/>
  <c r="N62" i="11"/>
  <c r="O61" i="11"/>
  <c r="O62" i="11" s="1"/>
  <c r="AR61" i="11"/>
  <c r="AR62" i="11" s="1"/>
  <c r="M31" i="13"/>
  <c r="M33" i="13" s="1"/>
  <c r="Y34" i="11"/>
  <c r="C34" i="19" s="1"/>
  <c r="H34" i="19" s="1"/>
  <c r="AV54" i="11"/>
  <c r="P28" i="13"/>
  <c r="P30" i="13" s="1"/>
  <c r="P31" i="13" s="1"/>
  <c r="P33" i="13" s="1"/>
  <c r="J61" i="11"/>
  <c r="J62" i="11" s="1"/>
  <c r="U62" i="11"/>
  <c r="P26" i="12"/>
  <c r="AA39" i="11" s="1"/>
  <c r="AU39" i="11" s="1"/>
  <c r="F39" i="10" s="1"/>
  <c r="Y23" i="11"/>
  <c r="C21" i="19" s="1"/>
  <c r="H21" i="19" s="1"/>
  <c r="H23" i="19" s="1"/>
  <c r="AN62" i="11"/>
  <c r="H41" i="12"/>
  <c r="H43" i="12" s="1"/>
  <c r="H44" i="12" s="1"/>
  <c r="Z40" i="11" s="1"/>
  <c r="Z42" i="11" s="1"/>
  <c r="Z44" i="11" s="1"/>
  <c r="GC32" i="12"/>
  <c r="D23" i="10"/>
  <c r="D25" i="10" s="1"/>
  <c r="AV16" i="11"/>
  <c r="C16" i="19"/>
  <c r="H16" i="19" s="1"/>
  <c r="N26" i="12"/>
  <c r="E39" i="11" s="1"/>
  <c r="X39" i="11" s="1"/>
  <c r="Y39" i="11" s="1"/>
  <c r="Q24" i="13"/>
  <c r="Q28" i="13" s="1"/>
  <c r="Q30" i="13" s="1"/>
  <c r="AL61" i="11"/>
  <c r="AL62" i="11" s="1"/>
  <c r="AH42" i="11"/>
  <c r="AH44" i="11" s="1"/>
  <c r="AH61" i="11" s="1"/>
  <c r="AH62" i="11" s="1"/>
  <c r="AU33" i="11"/>
  <c r="F33" i="10" s="1"/>
  <c r="AV31" i="11"/>
  <c r="C31" i="19"/>
  <c r="H31" i="19" s="1"/>
  <c r="AV37" i="11"/>
  <c r="T61" i="11"/>
  <c r="T62" i="11" s="1"/>
  <c r="AE61" i="11"/>
  <c r="AE62" i="11" s="1"/>
  <c r="AQ61" i="11"/>
  <c r="AQ62" i="11" s="1"/>
  <c r="P42" i="11"/>
  <c r="P44" i="11" s="1"/>
  <c r="ET25" i="12"/>
  <c r="ET30" i="12" s="1"/>
  <c r="ET31" i="12" s="1"/>
  <c r="ES25" i="12"/>
  <c r="ES30" i="12" s="1"/>
  <c r="ES31" i="12" s="1"/>
  <c r="X33" i="11"/>
  <c r="D33" i="10" s="1"/>
  <c r="E33" i="10" s="1"/>
  <c r="AU21" i="12"/>
  <c r="I42" i="11"/>
  <c r="I44" i="11" s="1"/>
  <c r="DW34" i="12"/>
  <c r="AC61" i="11"/>
  <c r="AC62" i="11" s="1"/>
  <c r="R61" i="11"/>
  <c r="R62" i="11" s="1"/>
  <c r="O31" i="13"/>
  <c r="O33" i="13" s="1"/>
  <c r="Y14" i="11"/>
  <c r="X17" i="11"/>
  <c r="D14" i="10"/>
  <c r="DP30" i="12"/>
  <c r="DP31" i="12" s="1"/>
  <c r="EG25" i="12"/>
  <c r="AV41" i="11"/>
  <c r="F41" i="10"/>
  <c r="G41" i="10" s="1"/>
  <c r="I41" i="10" s="1"/>
  <c r="EV23" i="12"/>
  <c r="EV29" i="12" s="1"/>
  <c r="F27" i="10"/>
  <c r="Y27" i="11"/>
  <c r="D27" i="10"/>
  <c r="E27" i="10" s="1"/>
  <c r="Y35" i="11"/>
  <c r="D35" i="10"/>
  <c r="E35" i="10" s="1"/>
  <c r="G35" i="10" s="1"/>
  <c r="I35" i="10" s="1"/>
  <c r="HA9" i="12"/>
  <c r="AP9" i="11"/>
  <c r="Y25" i="11"/>
  <c r="DQ30" i="12"/>
  <c r="AF40" i="11" s="1"/>
  <c r="AF42" i="11" s="1"/>
  <c r="AF44" i="11" s="1"/>
  <c r="AO61" i="11"/>
  <c r="AO62" i="11" s="1"/>
  <c r="AU14" i="11"/>
  <c r="AA17" i="11"/>
  <c r="AA30" i="11"/>
  <c r="AU30" i="11" s="1"/>
  <c r="W61" i="11"/>
  <c r="W62" i="11" s="1"/>
  <c r="Q61" i="11"/>
  <c r="Q62" i="11" s="1"/>
  <c r="AL31" i="12"/>
  <c r="AL43" i="12" s="1"/>
  <c r="H30" i="11"/>
  <c r="CY19" i="12"/>
  <c r="AT21" i="12"/>
  <c r="DY34" i="12"/>
  <c r="AJ44" i="12"/>
  <c r="AJ45" i="12" s="1"/>
  <c r="AK46" i="11"/>
  <c r="F34" i="10"/>
  <c r="G34" i="10" s="1"/>
  <c r="I34" i="10" s="1"/>
  <c r="E30" i="11"/>
  <c r="AM43" i="12"/>
  <c r="AK44" i="12"/>
  <c r="AM44" i="12" s="1"/>
  <c r="AN44" i="12" s="1"/>
  <c r="AD61" i="11"/>
  <c r="AD62" i="11" s="1"/>
  <c r="BU20" i="12"/>
  <c r="DA19" i="12"/>
  <c r="EW23" i="12"/>
  <c r="EW29" i="12" s="1"/>
  <c r="AK61" i="11"/>
  <c r="AK62" i="11" s="1"/>
  <c r="L61" i="11"/>
  <c r="L62" i="11" s="1"/>
  <c r="AT9" i="12"/>
  <c r="J9" i="11"/>
  <c r="EU23" i="12"/>
  <c r="AG61" i="11"/>
  <c r="AG62" i="11" s="1"/>
  <c r="DO31" i="12"/>
  <c r="AV51" i="11"/>
  <c r="F51" i="10"/>
  <c r="F57" i="10" s="1"/>
  <c r="F46" i="10" s="1"/>
  <c r="AU57" i="11"/>
  <c r="AU46" i="11" s="1"/>
  <c r="S61" i="11"/>
  <c r="S62" i="11" s="1"/>
  <c r="M31" i="12"/>
  <c r="M32" i="12" s="1"/>
  <c r="AN28" i="12"/>
  <c r="AN31" i="12" s="1"/>
  <c r="AM31" i="12"/>
  <c r="F44" i="12"/>
  <c r="D40" i="11" s="1"/>
  <c r="CZ19" i="12"/>
  <c r="N31" i="13"/>
  <c r="N33" i="13" s="1"/>
  <c r="AV23" i="11" l="1"/>
  <c r="AV25" i="11" s="1"/>
  <c r="AV34" i="11"/>
  <c r="C23" i="19"/>
  <c r="N27" i="12"/>
  <c r="N29" i="12" s="1"/>
  <c r="N31" i="12" s="1"/>
  <c r="E40" i="11" s="1"/>
  <c r="E42" i="11" s="1"/>
  <c r="E44" i="11" s="1"/>
  <c r="P27" i="12"/>
  <c r="P29" i="12" s="1"/>
  <c r="P31" i="12" s="1"/>
  <c r="AA40" i="11" s="1"/>
  <c r="AA42" i="11" s="1"/>
  <c r="AA44" i="11" s="1"/>
  <c r="E23" i="10"/>
  <c r="G23" i="10" s="1"/>
  <c r="Y17" i="11"/>
  <c r="C14" i="19"/>
  <c r="AV35" i="11"/>
  <c r="C35" i="19"/>
  <c r="H35" i="19" s="1"/>
  <c r="AV27" i="11"/>
  <c r="C27" i="19"/>
  <c r="H27" i="19" s="1"/>
  <c r="AV39" i="11"/>
  <c r="C38" i="19"/>
  <c r="H38" i="19" s="1"/>
  <c r="D39" i="10"/>
  <c r="E39" i="10" s="1"/>
  <c r="G39" i="10" s="1"/>
  <c r="X30" i="11"/>
  <c r="Y30" i="11" s="1"/>
  <c r="P61" i="11"/>
  <c r="P62" i="11" s="1"/>
  <c r="G27" i="10"/>
  <c r="I27" i="10" s="1"/>
  <c r="AK45" i="12"/>
  <c r="ES26" i="12"/>
  <c r="I61" i="11"/>
  <c r="I62" i="11" s="1"/>
  <c r="ET26" i="12"/>
  <c r="Y33" i="11"/>
  <c r="G51" i="10"/>
  <c r="I51" i="10" s="1"/>
  <c r="F45" i="12"/>
  <c r="Q31" i="13"/>
  <c r="AT40" i="11" s="1"/>
  <c r="AT42" i="11" s="1"/>
  <c r="AT44" i="11" s="1"/>
  <c r="AV14" i="11"/>
  <c r="AV17" i="11" s="1"/>
  <c r="AU17" i="11"/>
  <c r="F14" i="10"/>
  <c r="F17" i="10" s="1"/>
  <c r="DQ31" i="12"/>
  <c r="D17" i="10"/>
  <c r="E14" i="10"/>
  <c r="AF61" i="11"/>
  <c r="AF62" i="11" s="1"/>
  <c r="Z61" i="11"/>
  <c r="Z62" i="11" s="1"/>
  <c r="EU25" i="12"/>
  <c r="EU26" i="12" s="1"/>
  <c r="EU29" i="12"/>
  <c r="F30" i="10"/>
  <c r="EW25" i="12"/>
  <c r="EW30" i="12" s="1"/>
  <c r="EW31" i="12" s="1"/>
  <c r="BB9" i="12"/>
  <c r="K9" i="11"/>
  <c r="D42" i="11"/>
  <c r="D44" i="11" s="1"/>
  <c r="AM45" i="12"/>
  <c r="AN43" i="12"/>
  <c r="AN45" i="12" s="1"/>
  <c r="H45" i="12"/>
  <c r="AL44" i="12"/>
  <c r="H40" i="11" s="1"/>
  <c r="H42" i="11" s="1"/>
  <c r="H44" i="11" s="1"/>
  <c r="HI9" i="12"/>
  <c r="AQ9" i="11"/>
  <c r="EV25" i="12"/>
  <c r="EV30" i="12" s="1"/>
  <c r="EV31" i="12" s="1"/>
  <c r="G33" i="10"/>
  <c r="E25" i="10" l="1"/>
  <c r="H14" i="19"/>
  <c r="H17" i="19" s="1"/>
  <c r="C17" i="19"/>
  <c r="AV30" i="11"/>
  <c r="C30" i="19"/>
  <c r="D30" i="10"/>
  <c r="E30" i="10" s="1"/>
  <c r="G30" i="10" s="1"/>
  <c r="AV33" i="11"/>
  <c r="C33" i="19"/>
  <c r="H33" i="19" s="1"/>
  <c r="P32" i="12"/>
  <c r="AL45" i="12"/>
  <c r="EV26" i="12"/>
  <c r="EW26" i="12"/>
  <c r="N32" i="12"/>
  <c r="H61" i="11"/>
  <c r="H62" i="11" s="1"/>
  <c r="E61" i="11"/>
  <c r="E62" i="11" s="1"/>
  <c r="AA61" i="11"/>
  <c r="AA62" i="11" s="1"/>
  <c r="BK9" i="12"/>
  <c r="L9" i="11"/>
  <c r="I23" i="10"/>
  <c r="I25" i="10" s="1"/>
  <c r="G25" i="10"/>
  <c r="AT61" i="11"/>
  <c r="AT62" i="11" s="1"/>
  <c r="HQ9" i="12"/>
  <c r="AR9" i="11"/>
  <c r="HY9" i="12" s="1"/>
  <c r="V52" i="11"/>
  <c r="E51" i="19" s="1"/>
  <c r="G14" i="10"/>
  <c r="E17" i="10"/>
  <c r="Q33" i="13"/>
  <c r="D61" i="11"/>
  <c r="D62" i="11" s="1"/>
  <c r="EU30" i="12"/>
  <c r="V40" i="11"/>
  <c r="E39" i="19" s="1"/>
  <c r="E41" i="19" s="1"/>
  <c r="E43" i="19" s="1"/>
  <c r="H30" i="19" l="1"/>
  <c r="X52" i="11"/>
  <c r="BS9" i="12"/>
  <c r="M9" i="11"/>
  <c r="AC9" i="11"/>
  <c r="BU9" i="12" s="1"/>
  <c r="V53" i="11"/>
  <c r="G17" i="10"/>
  <c r="V42" i="11"/>
  <c r="V44" i="11" s="1"/>
  <c r="EU31" i="12"/>
  <c r="X53" i="11" l="1"/>
  <c r="D53" i="10" s="1"/>
  <c r="E53" i="10" s="1"/>
  <c r="G53" i="10" s="1"/>
  <c r="I53" i="10" s="1"/>
  <c r="E52" i="19"/>
  <c r="E56" i="19" s="1"/>
  <c r="E45" i="19" s="1"/>
  <c r="CA9" i="12"/>
  <c r="N9" i="11"/>
  <c r="AD9" i="11"/>
  <c r="CC9" i="12" s="1"/>
  <c r="Y53" i="11"/>
  <c r="Y52" i="11"/>
  <c r="C51" i="19" s="1"/>
  <c r="D52" i="10"/>
  <c r="X57" i="11"/>
  <c r="V57" i="11"/>
  <c r="H51" i="19" l="1"/>
  <c r="AV53" i="11"/>
  <c r="C52" i="19"/>
  <c r="H52" i="19" s="1"/>
  <c r="V46" i="11"/>
  <c r="E52" i="10"/>
  <c r="D57" i="10"/>
  <c r="D46" i="10" s="1"/>
  <c r="AV52" i="11"/>
  <c r="AV57" i="11" s="1"/>
  <c r="AV46" i="11" s="1"/>
  <c r="Y57" i="11"/>
  <c r="Y46" i="11" s="1"/>
  <c r="CI9" i="12"/>
  <c r="O9" i="11"/>
  <c r="V61" i="11"/>
  <c r="V62" i="11" s="1"/>
  <c r="X46" i="11"/>
  <c r="C56" i="19" l="1"/>
  <c r="C45" i="19" s="1"/>
  <c r="H56" i="19"/>
  <c r="H45" i="19" s="1"/>
  <c r="CQ9" i="12"/>
  <c r="P9" i="11"/>
  <c r="CY9" i="12" s="1"/>
  <c r="G52" i="10"/>
  <c r="E57" i="10"/>
  <c r="AC14" i="12" l="1"/>
  <c r="AD14" i="12"/>
  <c r="E46" i="10"/>
  <c r="I52" i="10"/>
  <c r="I57" i="10" s="1"/>
  <c r="I46" i="10" s="1"/>
  <c r="G57" i="10"/>
  <c r="AE14" i="12" l="1"/>
  <c r="G46" i="10"/>
  <c r="AF14" i="12" l="1"/>
  <c r="AE19" i="12"/>
  <c r="C12" i="8"/>
  <c r="C15" i="8" s="1"/>
  <c r="AE21" i="12" l="1"/>
  <c r="AE22" i="12" l="1"/>
  <c r="H2" i="6" l="1"/>
  <c r="P2" i="6"/>
  <c r="X2" i="6"/>
  <c r="AF2" i="6"/>
  <c r="AN2" i="6"/>
  <c r="AV2" i="6"/>
  <c r="BD2" i="6"/>
  <c r="BL2" i="6"/>
  <c r="BT2" i="6"/>
  <c r="CB2" i="6"/>
  <c r="CJ2" i="6"/>
  <c r="B8" i="6"/>
  <c r="J8" i="6"/>
  <c r="R8" i="6"/>
  <c r="Z8" i="6"/>
  <c r="AG8" i="6"/>
  <c r="AO8" i="6"/>
  <c r="AW8" i="6"/>
  <c r="BE8" i="6"/>
  <c r="BM8" i="6"/>
  <c r="BU8" i="6"/>
  <c r="B9" i="6"/>
  <c r="J9" i="6"/>
  <c r="R9" i="6"/>
  <c r="Z9" i="6"/>
  <c r="AG9" i="6"/>
  <c r="AO9" i="6"/>
  <c r="AW9" i="6"/>
  <c r="BE9" i="6"/>
  <c r="BM9" i="6"/>
  <c r="BU9" i="6"/>
  <c r="BL10" i="6"/>
  <c r="BT10" i="6"/>
  <c r="CB10" i="6"/>
  <c r="AF15" i="6"/>
  <c r="AF17" i="6" s="1"/>
  <c r="AF19" i="6" s="1"/>
  <c r="AL15" i="6"/>
  <c r="AB31" i="3" s="1"/>
  <c r="AM15" i="6"/>
  <c r="CC15" i="6"/>
  <c r="A16" i="6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F16" i="6"/>
  <c r="I16" i="6"/>
  <c r="L17" i="6"/>
  <c r="P16" i="6"/>
  <c r="P17" i="6" s="1"/>
  <c r="Q16" i="6"/>
  <c r="Y16" i="6"/>
  <c r="AO16" i="6"/>
  <c r="AS16" i="6"/>
  <c r="AW16" i="6"/>
  <c r="AW17" i="6" s="1"/>
  <c r="AW18" i="6" s="1"/>
  <c r="AW19" i="6" s="1"/>
  <c r="AW20" i="6" s="1"/>
  <c r="AW21" i="6" s="1"/>
  <c r="AW22" i="6" s="1"/>
  <c r="BE16" i="6"/>
  <c r="BU16" i="6"/>
  <c r="BU17" i="6" s="1"/>
  <c r="BU18" i="6" s="1"/>
  <c r="BU19" i="6" s="1"/>
  <c r="BU20" i="6" s="1"/>
  <c r="BU21" i="6" s="1"/>
  <c r="BU22" i="6" s="1"/>
  <c r="BU23" i="6" s="1"/>
  <c r="BU24" i="6" s="1"/>
  <c r="BU25" i="6" s="1"/>
  <c r="BU26" i="6" s="1"/>
  <c r="BU27" i="6" s="1"/>
  <c r="BU28" i="6" s="1"/>
  <c r="BU29" i="6" s="1"/>
  <c r="CC16" i="6"/>
  <c r="F17" i="6"/>
  <c r="I17" i="6"/>
  <c r="O17" i="6"/>
  <c r="O18" i="6" s="1"/>
  <c r="P18" i="6" s="1"/>
  <c r="P19" i="6" s="1"/>
  <c r="BB41" i="3" s="1"/>
  <c r="Q17" i="6"/>
  <c r="Q18" i="6" s="1"/>
  <c r="W17" i="6"/>
  <c r="X17" i="6" s="1"/>
  <c r="Y17" i="6"/>
  <c r="AC17" i="6"/>
  <c r="AC19" i="6" s="1"/>
  <c r="AE17" i="6"/>
  <c r="AL17" i="6"/>
  <c r="AB30" i="3" s="1"/>
  <c r="AM17" i="6"/>
  <c r="AN17" i="6" s="1"/>
  <c r="AO17" i="6"/>
  <c r="AS17" i="6"/>
  <c r="AV17" i="6" s="1"/>
  <c r="BE17" i="6"/>
  <c r="BI17" i="6"/>
  <c r="BJ17" i="6" s="1"/>
  <c r="BQ17" i="6"/>
  <c r="BX20" i="6"/>
  <c r="CB17" i="6"/>
  <c r="BG53" i="3" s="1"/>
  <c r="CC17" i="6"/>
  <c r="F18" i="6"/>
  <c r="H18" i="6"/>
  <c r="I18" i="6"/>
  <c r="I19" i="6" s="1"/>
  <c r="I20" i="6" s="1"/>
  <c r="I21" i="6" s="1"/>
  <c r="I22" i="6" s="1"/>
  <c r="N18" i="6"/>
  <c r="W18" i="6"/>
  <c r="X18" i="6" s="1"/>
  <c r="Y18" i="6"/>
  <c r="AO18" i="6"/>
  <c r="AO19" i="6" s="1"/>
  <c r="AO20" i="6" s="1"/>
  <c r="AO21" i="6" s="1"/>
  <c r="AO22" i="6" s="1"/>
  <c r="AO23" i="6" s="1"/>
  <c r="AO24" i="6" s="1"/>
  <c r="AO25" i="6" s="1"/>
  <c r="AO26" i="6" s="1"/>
  <c r="AO27" i="6" s="1"/>
  <c r="AO28" i="6" s="1"/>
  <c r="AO29" i="6" s="1"/>
  <c r="AO30" i="6" s="1"/>
  <c r="AO31" i="6" s="1"/>
  <c r="AO32" i="6" s="1"/>
  <c r="AO33" i="6" s="1"/>
  <c r="AO34" i="6" s="1"/>
  <c r="AO35" i="6" s="1"/>
  <c r="AO36" i="6" s="1"/>
  <c r="AO37" i="6" s="1"/>
  <c r="AO38" i="6" s="1"/>
  <c r="AO39" i="6" s="1"/>
  <c r="AO40" i="6" s="1"/>
  <c r="AO41" i="6" s="1"/>
  <c r="AO42" i="6" s="1"/>
  <c r="AO43" i="6" s="1"/>
  <c r="AO44" i="6" s="1"/>
  <c r="AO45" i="6" s="1"/>
  <c r="AO46" i="6" s="1"/>
  <c r="AO47" i="6" s="1"/>
  <c r="AO48" i="6" s="1"/>
  <c r="AO49" i="6" s="1"/>
  <c r="AO50" i="6" s="1"/>
  <c r="AO51" i="6" s="1"/>
  <c r="AO52" i="6" s="1"/>
  <c r="AO53" i="6" s="1"/>
  <c r="AO54" i="6" s="1"/>
  <c r="AO55" i="6" s="1"/>
  <c r="AO56" i="6" s="1"/>
  <c r="AO57" i="6" s="1"/>
  <c r="AO58" i="6" s="1"/>
  <c r="AO59" i="6" s="1"/>
  <c r="AO60" i="6" s="1"/>
  <c r="AO61" i="6" s="1"/>
  <c r="AO62" i="6" s="1"/>
  <c r="AO63" i="6" s="1"/>
  <c r="AS18" i="6"/>
  <c r="BE18" i="6"/>
  <c r="BE19" i="6" s="1"/>
  <c r="BE20" i="6" s="1"/>
  <c r="BI18" i="6"/>
  <c r="BQ18" i="6"/>
  <c r="BR18" i="6" s="1"/>
  <c r="BT18" i="6" s="1"/>
  <c r="BF54" i="3" s="1"/>
  <c r="CC18" i="6"/>
  <c r="CC19" i="6" s="1"/>
  <c r="CC20" i="6" s="1"/>
  <c r="CC21" i="6" s="1"/>
  <c r="CC22" i="6" s="1"/>
  <c r="CC23" i="6" s="1"/>
  <c r="CC24" i="6" s="1"/>
  <c r="CC25" i="6" s="1"/>
  <c r="CC26" i="6" s="1"/>
  <c r="CC27" i="6" s="1"/>
  <c r="CC28" i="6" s="1"/>
  <c r="CC29" i="6" s="1"/>
  <c r="CC30" i="6" s="1"/>
  <c r="CC33" i="6" s="1"/>
  <c r="CC34" i="6" s="1"/>
  <c r="Q19" i="6"/>
  <c r="Q20" i="6" s="1"/>
  <c r="Q21" i="6" s="1"/>
  <c r="Q22" i="6" s="1"/>
  <c r="Q23" i="6" s="1"/>
  <c r="Q24" i="6" s="1"/>
  <c r="Q25" i="6" s="1"/>
  <c r="Q26" i="6" s="1"/>
  <c r="Q27" i="6" s="1"/>
  <c r="Y19" i="6"/>
  <c r="Y20" i="6" s="1"/>
  <c r="Y21" i="6" s="1"/>
  <c r="Y22" i="6" s="1"/>
  <c r="Y23" i="6" s="1"/>
  <c r="AE19" i="6"/>
  <c r="AJ19" i="6"/>
  <c r="AS19" i="6"/>
  <c r="AZ19" i="6"/>
  <c r="AZ21" i="6" s="1"/>
  <c r="BI19" i="6"/>
  <c r="BL19" i="6" s="1"/>
  <c r="BQ19" i="6"/>
  <c r="BR19" i="6" s="1"/>
  <c r="BY20" i="6"/>
  <c r="F20" i="6"/>
  <c r="AS20" i="6"/>
  <c r="AT20" i="6" s="1"/>
  <c r="BB20" i="6"/>
  <c r="BK20" i="6"/>
  <c r="BP20" i="6"/>
  <c r="BR20" i="6" s="1"/>
  <c r="CA20" i="6"/>
  <c r="CB20" i="6" s="1"/>
  <c r="H21" i="6"/>
  <c r="BA25" i="3" s="1"/>
  <c r="BJ25" i="3" s="1"/>
  <c r="F25" i="2" s="1"/>
  <c r="AA21" i="6"/>
  <c r="AE21" i="6" s="1"/>
  <c r="AE23" i="6" s="1"/>
  <c r="AK21" i="6"/>
  <c r="AS21" i="6"/>
  <c r="AT21" i="6" s="1"/>
  <c r="BE21" i="6"/>
  <c r="BE22" i="6" s="1"/>
  <c r="BE23" i="6" s="1"/>
  <c r="BE24" i="6" s="1"/>
  <c r="BE25" i="6" s="1"/>
  <c r="BE26" i="6" s="1"/>
  <c r="BE27" i="6" s="1"/>
  <c r="BE28" i="6" s="1"/>
  <c r="F22" i="6"/>
  <c r="H22" i="6"/>
  <c r="BA16" i="3" s="1"/>
  <c r="BJ16" i="3" s="1"/>
  <c r="F16" i="2" s="1"/>
  <c r="W22" i="6"/>
  <c r="AS22" i="6"/>
  <c r="AT22" i="6" s="1"/>
  <c r="H23" i="6"/>
  <c r="AS23" i="6"/>
  <c r="AW23" i="6"/>
  <c r="AW24" i="6" s="1"/>
  <c r="AW25" i="6" s="1"/>
  <c r="AW26" i="6" s="1"/>
  <c r="AW27" i="6" s="1"/>
  <c r="AW28" i="6" s="1"/>
  <c r="AW29" i="6" s="1"/>
  <c r="AW30" i="6" s="1"/>
  <c r="AW31" i="6" s="1"/>
  <c r="AW32" i="6" s="1"/>
  <c r="AW33" i="6" s="1"/>
  <c r="AW34" i="6" s="1"/>
  <c r="AW35" i="6" s="1"/>
  <c r="BI23" i="6"/>
  <c r="BL23" i="6" s="1"/>
  <c r="BL25" i="6" s="1"/>
  <c r="BE37" i="3" s="1"/>
  <c r="BR23" i="6"/>
  <c r="BT23" i="6" s="1"/>
  <c r="BT24" i="6" s="1"/>
  <c r="BT26" i="6" s="1"/>
  <c r="BS24" i="6"/>
  <c r="BS26" i="6" s="1"/>
  <c r="AS24" i="6"/>
  <c r="AT24" i="6" s="1"/>
  <c r="BR24" i="6"/>
  <c r="BR26" i="6" s="1"/>
  <c r="AI25" i="6"/>
  <c r="AS25" i="6"/>
  <c r="AT25" i="6" s="1"/>
  <c r="BH25" i="6"/>
  <c r="BI25" i="6"/>
  <c r="BK25" i="6"/>
  <c r="AS26" i="6"/>
  <c r="AT26" i="6" s="1"/>
  <c r="AV26" i="6"/>
  <c r="AZ27" i="6"/>
  <c r="AZ33" i="6" s="1"/>
  <c r="BD26" i="6"/>
  <c r="AS27" i="6"/>
  <c r="AT27" i="6" s="1"/>
  <c r="AV27" i="6"/>
  <c r="BA27" i="6"/>
  <c r="BG27" i="6"/>
  <c r="BH27" i="6" s="1"/>
  <c r="BH28" i="6" s="1"/>
  <c r="H28" i="6"/>
  <c r="AS28" i="6"/>
  <c r="AT28" i="6" s="1"/>
  <c r="BA28" i="6"/>
  <c r="BO28" i="6"/>
  <c r="BW28" i="6"/>
  <c r="F29" i="6"/>
  <c r="AS29" i="6"/>
  <c r="AS30" i="6"/>
  <c r="H32" i="6"/>
  <c r="AS32" i="6"/>
  <c r="BA32" i="6"/>
  <c r="BC32" i="6"/>
  <c r="AS33" i="6"/>
  <c r="AS34" i="6"/>
  <c r="AS37" i="6"/>
  <c r="AT37" i="6" s="1"/>
  <c r="AS41" i="6"/>
  <c r="AV41" i="6"/>
  <c r="AS42" i="6"/>
  <c r="AT42" i="6" s="1"/>
  <c r="AS43" i="6"/>
  <c r="AV43" i="6" s="1"/>
  <c r="AT43" i="6"/>
  <c r="AS44" i="6"/>
  <c r="AS45" i="6"/>
  <c r="AT45" i="6" s="1"/>
  <c r="AS46" i="6"/>
  <c r="AT46" i="6"/>
  <c r="AS47" i="6"/>
  <c r="AV47" i="6" s="1"/>
  <c r="AS48" i="6"/>
  <c r="AR63" i="6"/>
  <c r="B64" i="6"/>
  <c r="B65" i="6"/>
  <c r="B66" i="6"/>
  <c r="H2" i="5"/>
  <c r="P2" i="5"/>
  <c r="X2" i="5"/>
  <c r="AF2" i="5"/>
  <c r="AN2" i="5"/>
  <c r="AV2" i="5"/>
  <c r="BD2" i="5"/>
  <c r="BL2" i="5"/>
  <c r="BT2" i="5"/>
  <c r="CB2" i="5"/>
  <c r="CJ2" i="5"/>
  <c r="CR2" i="5"/>
  <c r="CZ2" i="5"/>
  <c r="DH2" i="5"/>
  <c r="DP2" i="5"/>
  <c r="DX2" i="5"/>
  <c r="EF2" i="5"/>
  <c r="EN2" i="5"/>
  <c r="EV2" i="5"/>
  <c r="FD2" i="5"/>
  <c r="FL2" i="5"/>
  <c r="FT2" i="5"/>
  <c r="GB2" i="5"/>
  <c r="GJ2" i="5"/>
  <c r="GR2" i="5"/>
  <c r="GZ2" i="5"/>
  <c r="HH2" i="5"/>
  <c r="HP2" i="5"/>
  <c r="HX2" i="5"/>
  <c r="A5" i="5"/>
  <c r="I5" i="5"/>
  <c r="Q5" i="5"/>
  <c r="Y5" i="5"/>
  <c r="AG5" i="5"/>
  <c r="AO5" i="5"/>
  <c r="AW5" i="5"/>
  <c r="BE5" i="5"/>
  <c r="BM5" i="5"/>
  <c r="BU5" i="5"/>
  <c r="CC5" i="5"/>
  <c r="CK5" i="5"/>
  <c r="CS5" i="5"/>
  <c r="DA5" i="5"/>
  <c r="DI5" i="5"/>
  <c r="DQ5" i="5"/>
  <c r="DY5" i="5"/>
  <c r="EG5" i="5"/>
  <c r="EO5" i="5"/>
  <c r="EW5" i="5"/>
  <c r="FE5" i="5"/>
  <c r="FM5" i="5"/>
  <c r="A7" i="5"/>
  <c r="I7" i="5"/>
  <c r="Q7" i="5"/>
  <c r="Y7" i="5"/>
  <c r="AG7" i="5"/>
  <c r="AO7" i="5"/>
  <c r="AW7" i="5"/>
  <c r="BE7" i="5"/>
  <c r="BM7" i="5"/>
  <c r="BU7" i="5"/>
  <c r="CC7" i="5"/>
  <c r="CK7" i="5"/>
  <c r="CS7" i="5"/>
  <c r="DA7" i="5"/>
  <c r="DI7" i="5"/>
  <c r="DQ7" i="5"/>
  <c r="DY7" i="5"/>
  <c r="EG7" i="5"/>
  <c r="EO7" i="5"/>
  <c r="EW7" i="5"/>
  <c r="FE7" i="5"/>
  <c r="FM7" i="5"/>
  <c r="A8" i="5"/>
  <c r="I8" i="5"/>
  <c r="Q8" i="5"/>
  <c r="Y8" i="5"/>
  <c r="AG8" i="5"/>
  <c r="AO8" i="5"/>
  <c r="AW8" i="5"/>
  <c r="BE8" i="5"/>
  <c r="BM8" i="5"/>
  <c r="BU8" i="5"/>
  <c r="CC8" i="5"/>
  <c r="CK8" i="5"/>
  <c r="CS8" i="5"/>
  <c r="DA8" i="5"/>
  <c r="DI8" i="5"/>
  <c r="DQ8" i="5"/>
  <c r="DY8" i="5"/>
  <c r="EG8" i="5"/>
  <c r="EO8" i="5"/>
  <c r="EW8" i="5"/>
  <c r="FE8" i="5"/>
  <c r="FM8" i="5"/>
  <c r="F9" i="5"/>
  <c r="DF9" i="5"/>
  <c r="DH9" i="5"/>
  <c r="DN9" i="5"/>
  <c r="DP9" i="5"/>
  <c r="DV9" i="5"/>
  <c r="ED9" i="5"/>
  <c r="EL9" i="5"/>
  <c r="FD9" i="5"/>
  <c r="FL9" i="5"/>
  <c r="FZ9" i="5"/>
  <c r="F23" i="5"/>
  <c r="I14" i="5"/>
  <c r="AG14" i="5"/>
  <c r="AG15" i="5" s="1"/>
  <c r="AG16" i="5" s="1"/>
  <c r="AG17" i="5" s="1"/>
  <c r="AG18" i="5" s="1"/>
  <c r="AG19" i="5" s="1"/>
  <c r="AG20" i="5" s="1"/>
  <c r="AG21" i="5" s="1"/>
  <c r="AG22" i="5" s="1"/>
  <c r="AG23" i="5" s="1"/>
  <c r="AG24" i="5" s="1"/>
  <c r="AG25" i="5" s="1"/>
  <c r="AG26" i="5" s="1"/>
  <c r="AG27" i="5" s="1"/>
  <c r="AG28" i="5" s="1"/>
  <c r="AG29" i="5" s="1"/>
  <c r="AG30" i="5" s="1"/>
  <c r="AG31" i="5" s="1"/>
  <c r="AG32" i="5" s="1"/>
  <c r="AG33" i="5" s="1"/>
  <c r="AG34" i="5" s="1"/>
  <c r="AG35" i="5" s="1"/>
  <c r="AG36" i="5" s="1"/>
  <c r="AG37" i="5" s="1"/>
  <c r="AG38" i="5" s="1"/>
  <c r="AG39" i="5" s="1"/>
  <c r="AG40" i="5" s="1"/>
  <c r="AG41" i="5" s="1"/>
  <c r="AG42" i="5" s="1"/>
  <c r="AG43" i="5" s="1"/>
  <c r="AG44" i="5" s="1"/>
  <c r="AG45" i="5" s="1"/>
  <c r="AG46" i="5" s="1"/>
  <c r="AG47" i="5" s="1"/>
  <c r="AG48" i="5" s="1"/>
  <c r="AG49" i="5" s="1"/>
  <c r="AG50" i="5" s="1"/>
  <c r="AG51" i="5" s="1"/>
  <c r="AU14" i="5"/>
  <c r="AV14" i="5" s="1"/>
  <c r="CA14" i="5"/>
  <c r="BY16" i="5"/>
  <c r="BY18" i="5" s="1"/>
  <c r="CV15" i="5"/>
  <c r="CX14" i="5"/>
  <c r="CX15" i="5" s="1"/>
  <c r="P35" i="3" s="1"/>
  <c r="A15" i="5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I15" i="5"/>
  <c r="I16" i="5" s="1"/>
  <c r="I17" i="5" s="1"/>
  <c r="I18" i="5" s="1"/>
  <c r="I19" i="5" s="1"/>
  <c r="I20" i="5" s="1"/>
  <c r="I21" i="5" s="1"/>
  <c r="I22" i="5" s="1"/>
  <c r="I23" i="5" s="1"/>
  <c r="I24" i="5" s="1"/>
  <c r="I25" i="5" s="1"/>
  <c r="I26" i="5" s="1"/>
  <c r="I27" i="5" s="1"/>
  <c r="I28" i="5" s="1"/>
  <c r="I29" i="5" s="1"/>
  <c r="I30" i="5" s="1"/>
  <c r="I31" i="5" s="1"/>
  <c r="I32" i="5" s="1"/>
  <c r="Q15" i="5"/>
  <c r="Q16" i="5" s="1"/>
  <c r="V15" i="5"/>
  <c r="F43" i="3" s="1"/>
  <c r="W15" i="5"/>
  <c r="X15" i="5" s="1"/>
  <c r="Y15" i="5"/>
  <c r="Y16" i="5" s="1"/>
  <c r="Y17" i="5" s="1"/>
  <c r="Y18" i="5" s="1"/>
  <c r="Y19" i="5" s="1"/>
  <c r="Y20" i="5" s="1"/>
  <c r="Y21" i="5" s="1"/>
  <c r="Y22" i="5" s="1"/>
  <c r="AM15" i="5"/>
  <c r="AN15" i="5" s="1"/>
  <c r="AO15" i="5"/>
  <c r="AT15" i="5"/>
  <c r="AW15" i="5"/>
  <c r="AW16" i="5" s="1"/>
  <c r="AW17" i="5" s="1"/>
  <c r="AW18" i="5" s="1"/>
  <c r="AW19" i="5" s="1"/>
  <c r="BC15" i="5"/>
  <c r="BB15" i="5"/>
  <c r="BB17" i="5" s="1"/>
  <c r="BE15" i="5"/>
  <c r="K24" i="3"/>
  <c r="K27" i="3" s="1"/>
  <c r="BU15" i="5"/>
  <c r="BU16" i="5" s="1"/>
  <c r="BU17" i="5" s="1"/>
  <c r="BU18" i="5" s="1"/>
  <c r="BU19" i="5" s="1"/>
  <c r="BU20" i="5" s="1"/>
  <c r="BU21" i="5" s="1"/>
  <c r="CC15" i="5"/>
  <c r="CK15" i="5"/>
  <c r="CK16" i="5" s="1"/>
  <c r="CS15" i="5"/>
  <c r="CS16" i="5" s="1"/>
  <c r="CS17" i="5" s="1"/>
  <c r="CS18" i="5" s="1"/>
  <c r="DA15" i="5"/>
  <c r="DA16" i="5" s="1"/>
  <c r="DA17" i="5" s="1"/>
  <c r="DA18" i="5" s="1"/>
  <c r="DA19" i="5" s="1"/>
  <c r="DI15" i="5"/>
  <c r="DP15" i="5"/>
  <c r="AN24" i="3" s="1"/>
  <c r="AN27" i="3" s="1"/>
  <c r="DQ15" i="5"/>
  <c r="DQ16" i="5" s="1"/>
  <c r="DQ17" i="5" s="1"/>
  <c r="DQ18" i="5" s="1"/>
  <c r="DQ19" i="5" s="1"/>
  <c r="DQ20" i="5" s="1"/>
  <c r="DQ21" i="5" s="1"/>
  <c r="DQ22" i="5" s="1"/>
  <c r="DQ23" i="5" s="1"/>
  <c r="DQ24" i="5" s="1"/>
  <c r="DQ25" i="5" s="1"/>
  <c r="DQ26" i="5" s="1"/>
  <c r="DQ27" i="5" s="1"/>
  <c r="DQ28" i="5" s="1"/>
  <c r="DQ29" i="5" s="1"/>
  <c r="DQ30" i="5" s="1"/>
  <c r="DQ31" i="5" s="1"/>
  <c r="DQ32" i="5" s="1"/>
  <c r="DQ33" i="5" s="1"/>
  <c r="DQ34" i="5" s="1"/>
  <c r="DX15" i="5"/>
  <c r="EG15" i="5"/>
  <c r="EM15" i="5"/>
  <c r="EN15" i="5" s="1"/>
  <c r="EO15" i="5"/>
  <c r="EO16" i="5" s="1"/>
  <c r="EO17" i="5" s="1"/>
  <c r="EO18" i="5" s="1"/>
  <c r="EO19" i="5" s="1"/>
  <c r="EO20" i="5" s="1"/>
  <c r="EO21" i="5" s="1"/>
  <c r="EO22" i="5" s="1"/>
  <c r="EO23" i="5" s="1"/>
  <c r="EO24" i="5" s="1"/>
  <c r="EO25" i="5" s="1"/>
  <c r="EO26" i="5" s="1"/>
  <c r="EO27" i="5" s="1"/>
  <c r="EO28" i="5" s="1"/>
  <c r="EO29" i="5" s="1"/>
  <c r="EO30" i="5" s="1"/>
  <c r="EO31" i="5" s="1"/>
  <c r="EO32" i="5" s="1"/>
  <c r="EU15" i="5"/>
  <c r="EV15" i="5" s="1"/>
  <c r="EW15" i="5"/>
  <c r="EW16" i="5" s="1"/>
  <c r="EW17" i="5" s="1"/>
  <c r="EW18" i="5" s="1"/>
  <c r="EW19" i="5" s="1"/>
  <c r="EW20" i="5" s="1"/>
  <c r="FE15" i="5"/>
  <c r="FE16" i="5" s="1"/>
  <c r="FE17" i="5" s="1"/>
  <c r="FE18" i="5" s="1"/>
  <c r="FE19" i="5" s="1"/>
  <c r="FH16" i="5"/>
  <c r="FK16" i="5"/>
  <c r="FM15" i="5"/>
  <c r="FM16" i="5" s="1"/>
  <c r="FZ15" i="5"/>
  <c r="GC15" i="5"/>
  <c r="GK15" i="5"/>
  <c r="GK16" i="5" s="1"/>
  <c r="GK17" i="5" s="1"/>
  <c r="GK18" i="5" s="1"/>
  <c r="GK19" i="5" s="1"/>
  <c r="GK20" i="5" s="1"/>
  <c r="GN17" i="5"/>
  <c r="GN19" i="5" s="1"/>
  <c r="GQ17" i="5"/>
  <c r="GQ19" i="5" s="1"/>
  <c r="GS15" i="5"/>
  <c r="GS16" i="5" s="1"/>
  <c r="GS17" i="5" s="1"/>
  <c r="GS18" i="5" s="1"/>
  <c r="GS19" i="5" s="1"/>
  <c r="GS20" i="5" s="1"/>
  <c r="GS21" i="5" s="1"/>
  <c r="GS22" i="5" s="1"/>
  <c r="GS23" i="5" s="1"/>
  <c r="GY16" i="5"/>
  <c r="HE15" i="5"/>
  <c r="HI15" i="5"/>
  <c r="HI16" i="5" s="1"/>
  <c r="HI17" i="5" s="1"/>
  <c r="HI18" i="5" s="1"/>
  <c r="HI19" i="5" s="1"/>
  <c r="HI20" i="5" s="1"/>
  <c r="HI21" i="5" s="1"/>
  <c r="HQ15" i="5"/>
  <c r="HQ16" i="5" s="1"/>
  <c r="HQ17" i="5" s="1"/>
  <c r="HQ18" i="5" s="1"/>
  <c r="HQ19" i="5" s="1"/>
  <c r="HQ20" i="5" s="1"/>
  <c r="HQ21" i="5" s="1"/>
  <c r="HQ22" i="5" s="1"/>
  <c r="HQ23" i="5" s="1"/>
  <c r="HQ24" i="5" s="1"/>
  <c r="HQ25" i="5" s="1"/>
  <c r="HQ26" i="5" s="1"/>
  <c r="HQ27" i="5" s="1"/>
  <c r="HQ28" i="5" s="1"/>
  <c r="HQ29" i="5" s="1"/>
  <c r="HQ30" i="5" s="1"/>
  <c r="HQ31" i="5" s="1"/>
  <c r="T16" i="5"/>
  <c r="AJ28" i="5"/>
  <c r="AO16" i="5"/>
  <c r="AO17" i="5" s="1"/>
  <c r="AO18" i="5" s="1"/>
  <c r="AO19" i="5" s="1"/>
  <c r="AO20" i="5" s="1"/>
  <c r="AO21" i="5" s="1"/>
  <c r="BE16" i="5"/>
  <c r="BE17" i="5" s="1"/>
  <c r="BE18" i="5" s="1"/>
  <c r="BE19" i="5" s="1"/>
  <c r="BE20" i="5" s="1"/>
  <c r="BE21" i="5" s="1"/>
  <c r="BE22" i="5" s="1"/>
  <c r="BE23" i="5" s="1"/>
  <c r="BE24" i="5" s="1"/>
  <c r="BE25" i="5" s="1"/>
  <c r="BE26" i="5" s="1"/>
  <c r="BE27" i="5" s="1"/>
  <c r="BE28" i="5" s="1"/>
  <c r="BE29" i="5" s="1"/>
  <c r="K29" i="3"/>
  <c r="BS16" i="5"/>
  <c r="BS18" i="5" s="1"/>
  <c r="CC16" i="5"/>
  <c r="CF16" i="5"/>
  <c r="DI16" i="5"/>
  <c r="DI17" i="5" s="1"/>
  <c r="DI18" i="5" s="1"/>
  <c r="DI19" i="5" s="1"/>
  <c r="DI20" i="5" s="1"/>
  <c r="DI21" i="5" s="1"/>
  <c r="DI22" i="5" s="1"/>
  <c r="DI23" i="5" s="1"/>
  <c r="DI24" i="5" s="1"/>
  <c r="DI25" i="5" s="1"/>
  <c r="DI26" i="5" s="1"/>
  <c r="DI27" i="5" s="1"/>
  <c r="DI28" i="5" s="1"/>
  <c r="DI29" i="5" s="1"/>
  <c r="DI30" i="5" s="1"/>
  <c r="EG16" i="5"/>
  <c r="EG17" i="5" s="1"/>
  <c r="EG18" i="5" s="1"/>
  <c r="EG19" i="5" s="1"/>
  <c r="EG20" i="5" s="1"/>
  <c r="EM16" i="5"/>
  <c r="EN16" i="5" s="1"/>
  <c r="EU16" i="5"/>
  <c r="EV16" i="5" s="1"/>
  <c r="FZ16" i="5"/>
  <c r="GC16" i="5"/>
  <c r="GC17" i="5" s="1"/>
  <c r="GC18" i="5" s="1"/>
  <c r="GC19" i="5" s="1"/>
  <c r="GC20" i="5" s="1"/>
  <c r="GC21" i="5" s="1"/>
  <c r="GC22" i="5" s="1"/>
  <c r="GC23" i="5" s="1"/>
  <c r="GC24" i="5" s="1"/>
  <c r="GC25" i="5" s="1"/>
  <c r="GC26" i="5" s="1"/>
  <c r="GC27" i="5" s="1"/>
  <c r="GC28" i="5" s="1"/>
  <c r="GC29" i="5" s="1"/>
  <c r="GC30" i="5" s="1"/>
  <c r="GC31" i="5" s="1"/>
  <c r="GC32" i="5" s="1"/>
  <c r="GC33" i="5" s="1"/>
  <c r="GC34" i="5" s="1"/>
  <c r="GC35" i="5" s="1"/>
  <c r="GC36" i="5" s="1"/>
  <c r="GC37" i="5" s="1"/>
  <c r="GC38" i="5" s="1"/>
  <c r="GJ16" i="5"/>
  <c r="AU53" i="3" s="1"/>
  <c r="HE16" i="5"/>
  <c r="HF16" i="5" s="1"/>
  <c r="HG18" i="5"/>
  <c r="AM17" i="5"/>
  <c r="AN17" i="5" s="1"/>
  <c r="AZ17" i="5"/>
  <c r="CK17" i="5"/>
  <c r="CK18" i="5" s="1"/>
  <c r="CK19" i="5" s="1"/>
  <c r="CK20" i="5" s="1"/>
  <c r="CK21" i="5" s="1"/>
  <c r="CK22" i="5" s="1"/>
  <c r="CK23" i="5" s="1"/>
  <c r="CU17" i="5"/>
  <c r="EM17" i="5"/>
  <c r="EN17" i="5" s="1"/>
  <c r="EZ17" i="5"/>
  <c r="EZ19" i="5" s="1"/>
  <c r="FC17" i="5"/>
  <c r="FC19" i="5" s="1"/>
  <c r="FM17" i="5"/>
  <c r="FM18" i="5" s="1"/>
  <c r="FM19" i="5" s="1"/>
  <c r="FM20" i="5" s="1"/>
  <c r="FM21" i="5" s="1"/>
  <c r="FM22" i="5" s="1"/>
  <c r="FM23" i="5" s="1"/>
  <c r="FM24" i="5" s="1"/>
  <c r="FM25" i="5" s="1"/>
  <c r="FM26" i="5" s="1"/>
  <c r="FM27" i="5" s="1"/>
  <c r="FM28" i="5" s="1"/>
  <c r="FM29" i="5" s="1"/>
  <c r="FM30" i="5" s="1"/>
  <c r="FM31" i="5" s="1"/>
  <c r="FM32" i="5" s="1"/>
  <c r="FM33" i="5" s="1"/>
  <c r="FM34" i="5" s="1"/>
  <c r="FM35" i="5" s="1"/>
  <c r="FM36" i="5" s="1"/>
  <c r="FM37" i="5" s="1"/>
  <c r="FM38" i="5" s="1"/>
  <c r="FM39" i="5" s="1"/>
  <c r="FM40" i="5" s="1"/>
  <c r="FM41" i="5" s="1"/>
  <c r="FM42" i="5" s="1"/>
  <c r="FT17" i="5"/>
  <c r="GJ17" i="5"/>
  <c r="AU54" i="3" s="1"/>
  <c r="HE17" i="5"/>
  <c r="HF17" i="5" s="1"/>
  <c r="HN17" i="5"/>
  <c r="HX17" i="5"/>
  <c r="AZ54" i="3" s="1"/>
  <c r="L18" i="5"/>
  <c r="AY18" i="5"/>
  <c r="DC18" i="5"/>
  <c r="FG18" i="5"/>
  <c r="FT18" i="5"/>
  <c r="GJ18" i="5"/>
  <c r="HD18" i="5"/>
  <c r="HF18" i="5" s="1"/>
  <c r="AM19" i="5"/>
  <c r="AN19" i="5" s="1"/>
  <c r="AQ19" i="5"/>
  <c r="AS21" i="5"/>
  <c r="K32" i="3"/>
  <c r="BO19" i="5"/>
  <c r="CP19" i="5"/>
  <c r="CQ19" i="5"/>
  <c r="CR19" i="5" s="1"/>
  <c r="EM19" i="5"/>
  <c r="EN19" i="5" s="1"/>
  <c r="ET19" i="5"/>
  <c r="FP19" i="5"/>
  <c r="FQ19" i="5"/>
  <c r="FR19" i="5"/>
  <c r="GB19" i="5"/>
  <c r="GH19" i="5"/>
  <c r="GH27" i="5" s="1"/>
  <c r="GW19" i="5"/>
  <c r="AW43" i="3"/>
  <c r="AL20" i="5"/>
  <c r="AM20" i="5"/>
  <c r="AN20" i="5" s="1"/>
  <c r="BW20" i="5"/>
  <c r="EF20" i="5"/>
  <c r="EU20" i="5"/>
  <c r="EV20" i="5" s="1"/>
  <c r="GV20" i="5"/>
  <c r="GV23" i="5" s="1"/>
  <c r="HK20" i="5"/>
  <c r="D15" i="3"/>
  <c r="AA21" i="5"/>
  <c r="AB21" i="5" s="1"/>
  <c r="AB22" i="5" s="1"/>
  <c r="AR21" i="5"/>
  <c r="DU24" i="5"/>
  <c r="AS56" i="3"/>
  <c r="HF21" i="5"/>
  <c r="HF22" i="5" s="1"/>
  <c r="HF24" i="5" s="1"/>
  <c r="HG22" i="5"/>
  <c r="HG24" i="5" s="1"/>
  <c r="AL22" i="5"/>
  <c r="AM22" i="5"/>
  <c r="AN22" i="5" s="1"/>
  <c r="CM22" i="5"/>
  <c r="DN22" i="5"/>
  <c r="R35" i="3" s="1"/>
  <c r="FT22" i="5"/>
  <c r="GJ22" i="5"/>
  <c r="H23" i="5"/>
  <c r="AH14" i="3" s="1"/>
  <c r="EA23" i="5"/>
  <c r="FT23" i="5"/>
  <c r="AL24" i="5"/>
  <c r="FP24" i="5"/>
  <c r="FQ24" i="5"/>
  <c r="FR24" i="5"/>
  <c r="FS24" i="5"/>
  <c r="GJ24" i="5"/>
  <c r="HD24" i="5"/>
  <c r="HE24" i="5"/>
  <c r="R41" i="3"/>
  <c r="AN41" i="3"/>
  <c r="EQ25" i="5"/>
  <c r="GF25" i="5"/>
  <c r="GH25" i="5"/>
  <c r="AM26" i="5"/>
  <c r="AN26" i="5" s="1"/>
  <c r="HC26" i="5"/>
  <c r="K27" i="5"/>
  <c r="AM27" i="5"/>
  <c r="AN27" i="5" s="1"/>
  <c r="AL27" i="5"/>
  <c r="F31" i="5"/>
  <c r="BG28" i="5"/>
  <c r="FT29" i="5"/>
  <c r="E15" i="3"/>
  <c r="GJ30" i="5"/>
  <c r="E14" i="3"/>
  <c r="FT31" i="5"/>
  <c r="GJ31" i="5"/>
  <c r="GJ32" i="5"/>
  <c r="AL33" i="5"/>
  <c r="AM33" i="5"/>
  <c r="AN33" i="5" s="1"/>
  <c r="FP33" i="5"/>
  <c r="FQ33" i="5"/>
  <c r="FR33" i="5"/>
  <c r="GF33" i="5"/>
  <c r="GG33" i="5"/>
  <c r="GH33" i="5"/>
  <c r="AE37" i="5"/>
  <c r="AM37" i="5"/>
  <c r="AN37" i="5"/>
  <c r="AM38" i="5"/>
  <c r="AN38" i="5" s="1"/>
  <c r="GF38" i="5"/>
  <c r="GG38" i="5"/>
  <c r="GH38" i="5"/>
  <c r="H39" i="5"/>
  <c r="AM39" i="5"/>
  <c r="AN39" i="5" s="1"/>
  <c r="AM40" i="5"/>
  <c r="AM41" i="5"/>
  <c r="AN41" i="5" s="1"/>
  <c r="AM42" i="5"/>
  <c r="AN42" i="5" s="1"/>
  <c r="AM43" i="5"/>
  <c r="AN43" i="5" s="1"/>
  <c r="AM44" i="5"/>
  <c r="AN44" i="5" s="1"/>
  <c r="AM45" i="5"/>
  <c r="AN45" i="5" s="1"/>
  <c r="AM46" i="5"/>
  <c r="AN46" i="5" s="1"/>
  <c r="C49" i="5"/>
  <c r="AI50" i="5"/>
  <c r="A4" i="4"/>
  <c r="A5" i="4"/>
  <c r="E12" i="4"/>
  <c r="AC18" i="12" s="1"/>
  <c r="AC19" i="12" s="1"/>
  <c r="A13" i="4"/>
  <c r="E13" i="4"/>
  <c r="A14" i="4"/>
  <c r="A15" i="4" s="1"/>
  <c r="A16" i="4" s="1"/>
  <c r="A17" i="4" s="1"/>
  <c r="A18" i="4" s="1"/>
  <c r="C14" i="4"/>
  <c r="C16" i="4"/>
  <c r="D16" i="4"/>
  <c r="C17" i="4"/>
  <c r="D17" i="4"/>
  <c r="A4" i="3"/>
  <c r="A5" i="3"/>
  <c r="E9" i="3"/>
  <c r="N9" i="5" s="1"/>
  <c r="V9" i="3"/>
  <c r="ET9" i="5" s="1"/>
  <c r="Y9" i="3"/>
  <c r="AH9" i="3"/>
  <c r="H9" i="5" s="1"/>
  <c r="AO9" i="3"/>
  <c r="AS9" i="3"/>
  <c r="FT9" i="5" s="1"/>
  <c r="BA9" i="3"/>
  <c r="A14" i="3"/>
  <c r="A15" i="3" s="1"/>
  <c r="C14" i="3"/>
  <c r="C14" i="2" s="1"/>
  <c r="AI14" i="3"/>
  <c r="C15" i="3"/>
  <c r="C15" i="2" s="1"/>
  <c r="A16" i="3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C16" i="3"/>
  <c r="AF16" i="3"/>
  <c r="D16" i="2" s="1"/>
  <c r="C17" i="3"/>
  <c r="C17" i="2" s="1"/>
  <c r="F18" i="3"/>
  <c r="G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X18" i="3"/>
  <c r="Y18" i="3"/>
  <c r="Z18" i="3"/>
  <c r="AA18" i="3"/>
  <c r="AB18" i="3"/>
  <c r="AC18" i="3"/>
  <c r="AD18" i="3"/>
  <c r="AE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B18" i="3"/>
  <c r="BC18" i="3"/>
  <c r="BD18" i="3"/>
  <c r="BE18" i="3"/>
  <c r="BF18" i="3"/>
  <c r="BG18" i="3"/>
  <c r="BH18" i="3"/>
  <c r="BI18" i="3"/>
  <c r="C23" i="3"/>
  <c r="C24" i="3"/>
  <c r="C25" i="3"/>
  <c r="AF25" i="3"/>
  <c r="C26" i="3"/>
  <c r="C26" i="2" s="1"/>
  <c r="BJ26" i="3"/>
  <c r="F26" i="2" s="1"/>
  <c r="D27" i="3"/>
  <c r="E27" i="3"/>
  <c r="F27" i="3"/>
  <c r="G27" i="3"/>
  <c r="I27" i="3"/>
  <c r="J27" i="3"/>
  <c r="L27" i="3"/>
  <c r="M27" i="3"/>
  <c r="N27" i="3"/>
  <c r="O27" i="3"/>
  <c r="P27" i="3"/>
  <c r="Q27" i="3"/>
  <c r="S27" i="3"/>
  <c r="T27" i="3"/>
  <c r="U27" i="3"/>
  <c r="U44" i="3" s="1"/>
  <c r="V27" i="3"/>
  <c r="W27" i="3"/>
  <c r="Y27" i="3"/>
  <c r="Z27" i="3"/>
  <c r="AA27" i="3"/>
  <c r="AB27" i="3"/>
  <c r="AC27" i="3"/>
  <c r="AD27" i="3"/>
  <c r="AE27" i="3"/>
  <c r="AE44" i="3" s="1"/>
  <c r="AH27" i="3"/>
  <c r="AI27" i="3"/>
  <c r="AJ27" i="3"/>
  <c r="AK27" i="3"/>
  <c r="AL27" i="3"/>
  <c r="AM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B27" i="3"/>
  <c r="BC27" i="3"/>
  <c r="BD27" i="3"/>
  <c r="BE27" i="3"/>
  <c r="BF27" i="3"/>
  <c r="BG27" i="3"/>
  <c r="BH27" i="3"/>
  <c r="BH44" i="3" s="1"/>
  <c r="BI27" i="3"/>
  <c r="C29" i="3"/>
  <c r="C30" i="3"/>
  <c r="C30" i="2" s="1"/>
  <c r="K30" i="3"/>
  <c r="C31" i="3"/>
  <c r="C31" i="2" s="1"/>
  <c r="K31" i="3"/>
  <c r="C32" i="3"/>
  <c r="C32" i="2" s="1"/>
  <c r="C33" i="3"/>
  <c r="C33" i="2" s="1"/>
  <c r="C34" i="3"/>
  <c r="C34" i="2" s="1"/>
  <c r="BJ34" i="3"/>
  <c r="C35" i="3"/>
  <c r="C35" i="2" s="1"/>
  <c r="K35" i="3"/>
  <c r="C36" i="3"/>
  <c r="C36" i="2" s="1"/>
  <c r="C37" i="3"/>
  <c r="C37" i="2" s="1"/>
  <c r="C38" i="3"/>
  <c r="C38" i="2" s="1"/>
  <c r="AF38" i="3"/>
  <c r="D38" i="2" s="1"/>
  <c r="C39" i="3"/>
  <c r="C39" i="2" s="1"/>
  <c r="C40" i="3"/>
  <c r="AB15" i="6" s="1"/>
  <c r="BJ40" i="3"/>
  <c r="F40" i="2" s="1"/>
  <c r="C41" i="3"/>
  <c r="C41" i="2" s="1"/>
  <c r="K41" i="3"/>
  <c r="C42" i="3"/>
  <c r="C42" i="2" s="1"/>
  <c r="C43" i="3"/>
  <c r="AD44" i="3"/>
  <c r="BI44" i="3"/>
  <c r="BI46" i="3" s="1"/>
  <c r="AK45" i="3"/>
  <c r="AL45" i="3"/>
  <c r="BH46" i="3"/>
  <c r="AE48" i="3"/>
  <c r="C53" i="2"/>
  <c r="AS53" i="3"/>
  <c r="AT53" i="3"/>
  <c r="C54" i="2"/>
  <c r="AS54" i="3"/>
  <c r="AT54" i="3"/>
  <c r="C55" i="2"/>
  <c r="AS55" i="3"/>
  <c r="BD55" i="3"/>
  <c r="C56" i="2"/>
  <c r="AT56" i="3"/>
  <c r="BD56" i="3"/>
  <c r="BE56" i="3"/>
  <c r="C57" i="2"/>
  <c r="BJ57" i="3"/>
  <c r="F57" i="2" s="1"/>
  <c r="A58" i="3"/>
  <c r="A59" i="3" s="1"/>
  <c r="A60" i="3" s="1"/>
  <c r="A61" i="3" s="1"/>
  <c r="A62" i="3" s="1"/>
  <c r="A63" i="3" s="1"/>
  <c r="A64" i="3" s="1"/>
  <c r="C58" i="2"/>
  <c r="BJ58" i="3"/>
  <c r="D59" i="3"/>
  <c r="D48" i="3" s="1"/>
  <c r="E59" i="3"/>
  <c r="E48" i="3" s="1"/>
  <c r="F59" i="3"/>
  <c r="F48" i="3" s="1"/>
  <c r="G59" i="3"/>
  <c r="G48" i="3" s="1"/>
  <c r="H59" i="3"/>
  <c r="H48" i="3" s="1"/>
  <c r="I59" i="3"/>
  <c r="I48" i="3" s="1"/>
  <c r="J59" i="3"/>
  <c r="J48" i="3" s="1"/>
  <c r="K59" i="3"/>
  <c r="K48" i="3" s="1"/>
  <c r="L59" i="3"/>
  <c r="L48" i="3" s="1"/>
  <c r="M59" i="3"/>
  <c r="M48" i="3" s="1"/>
  <c r="N59" i="3"/>
  <c r="N48" i="3" s="1"/>
  <c r="O59" i="3"/>
  <c r="O48" i="3" s="1"/>
  <c r="P59" i="3"/>
  <c r="P48" i="3" s="1"/>
  <c r="Q59" i="3"/>
  <c r="Q48" i="3" s="1"/>
  <c r="R59" i="3"/>
  <c r="R48" i="3" s="1"/>
  <c r="S59" i="3"/>
  <c r="S48" i="3" s="1"/>
  <c r="T59" i="3"/>
  <c r="T48" i="3" s="1"/>
  <c r="W59" i="3"/>
  <c r="W48" i="3" s="1"/>
  <c r="X59" i="3"/>
  <c r="X48" i="3" s="1"/>
  <c r="Y59" i="3"/>
  <c r="Y48" i="3" s="1"/>
  <c r="AA59" i="3"/>
  <c r="AA48" i="3" s="1"/>
  <c r="AB59" i="3"/>
  <c r="AB48" i="3" s="1"/>
  <c r="AD59" i="3"/>
  <c r="AD48" i="3" s="1"/>
  <c r="AE59" i="3"/>
  <c r="AH59" i="3"/>
  <c r="AH48" i="3" s="1"/>
  <c r="AI59" i="3"/>
  <c r="AI48" i="3" s="1"/>
  <c r="AJ59" i="3"/>
  <c r="AJ48" i="3" s="1"/>
  <c r="AK59" i="3"/>
  <c r="AK48" i="3" s="1"/>
  <c r="AL59" i="3"/>
  <c r="AL48" i="3" s="1"/>
  <c r="AM59" i="3"/>
  <c r="AM48" i="3" s="1"/>
  <c r="AN59" i="3"/>
  <c r="AN48" i="3" s="1"/>
  <c r="AO59" i="3"/>
  <c r="AO48" i="3" s="1"/>
  <c r="AP59" i="3"/>
  <c r="AP48" i="3" s="1"/>
  <c r="AQ59" i="3"/>
  <c r="AQ48" i="3" s="1"/>
  <c r="AR59" i="3"/>
  <c r="AR48" i="3" s="1"/>
  <c r="AV59" i="3"/>
  <c r="AV48" i="3" s="1"/>
  <c r="AY59" i="3"/>
  <c r="AY48" i="3" s="1"/>
  <c r="BA59" i="3"/>
  <c r="BA48" i="3" s="1"/>
  <c r="BB59" i="3"/>
  <c r="BB48" i="3" s="1"/>
  <c r="BC59" i="3"/>
  <c r="BC48" i="3" s="1"/>
  <c r="BH59" i="3"/>
  <c r="BI59" i="3"/>
  <c r="BI48" i="3" s="1"/>
  <c r="A4" i="2"/>
  <c r="A5" i="2"/>
  <c r="A14" i="2"/>
  <c r="A15" i="2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C23" i="2"/>
  <c r="D25" i="2"/>
  <c r="H27" i="2"/>
  <c r="C29" i="2"/>
  <c r="F34" i="2"/>
  <c r="C43" i="2"/>
  <c r="C33" i="6"/>
  <c r="G33" i="6" s="1"/>
  <c r="H15" i="2"/>
  <c r="C18" i="4" l="1"/>
  <c r="BR28" i="6"/>
  <c r="BR29" i="6" s="1"/>
  <c r="BT28" i="6"/>
  <c r="BT29" i="6" s="1"/>
  <c r="BR17" i="6"/>
  <c r="BT17" i="6" s="1"/>
  <c r="BF53" i="3" s="1"/>
  <c r="BQ20" i="6"/>
  <c r="AE46" i="3"/>
  <c r="BJ14" i="3"/>
  <c r="F14" i="2" s="1"/>
  <c r="AI9" i="3"/>
  <c r="P9" i="5" s="1"/>
  <c r="F9" i="3"/>
  <c r="V9" i="12" s="1"/>
  <c r="AD19" i="12"/>
  <c r="AC21" i="12"/>
  <c r="AC22" i="12" s="1"/>
  <c r="AT47" i="6"/>
  <c r="X23" i="3"/>
  <c r="AF23" i="3" s="1"/>
  <c r="BY28" i="6"/>
  <c r="BY29" i="6" s="1"/>
  <c r="CB28" i="6"/>
  <c r="CB29" i="6" s="1"/>
  <c r="BZ28" i="6"/>
  <c r="BZ29" i="6" s="1"/>
  <c r="BX28" i="6"/>
  <c r="BX29" i="6" s="1"/>
  <c r="CA28" i="6"/>
  <c r="CA29" i="6" s="1"/>
  <c r="BP28" i="6"/>
  <c r="BP29" i="6" s="1"/>
  <c r="BQ28" i="6"/>
  <c r="BQ29" i="6" s="1"/>
  <c r="BS28" i="6"/>
  <c r="BS29" i="6" s="1"/>
  <c r="FP26" i="5"/>
  <c r="FQ26" i="5"/>
  <c r="D14" i="3"/>
  <c r="FR26" i="5"/>
  <c r="HF26" i="5"/>
  <c r="HF27" i="5" s="1"/>
  <c r="HF15" i="5"/>
  <c r="HH15" i="5" s="1"/>
  <c r="AX53" i="3" s="1"/>
  <c r="HE18" i="5"/>
  <c r="O19" i="6"/>
  <c r="FH18" i="5"/>
  <c r="FH19" i="5" s="1"/>
  <c r="AG25" i="3"/>
  <c r="C25" i="18" s="1"/>
  <c r="AG16" i="3"/>
  <c r="C16" i="18" s="1"/>
  <c r="I16" i="18" s="1"/>
  <c r="AT9" i="3"/>
  <c r="AD46" i="3"/>
  <c r="DM23" i="5"/>
  <c r="FZ27" i="5"/>
  <c r="AU55" i="3"/>
  <c r="DN21" i="5"/>
  <c r="K33" i="3"/>
  <c r="HP17" i="5"/>
  <c r="AY35" i="3" s="1"/>
  <c r="DP17" i="5"/>
  <c r="AN30" i="3" s="1"/>
  <c r="DP21" i="5"/>
  <c r="AU19" i="5"/>
  <c r="AV19" i="5" s="1"/>
  <c r="HV16" i="5"/>
  <c r="HN16" i="5"/>
  <c r="GP15" i="5"/>
  <c r="GP17" i="5" s="1"/>
  <c r="BJ18" i="6"/>
  <c r="BJ20" i="6" s="1"/>
  <c r="BL18" i="6"/>
  <c r="BE54" i="3" s="1"/>
  <c r="O21" i="6"/>
  <c r="O22" i="6" s="1"/>
  <c r="BG37" i="3"/>
  <c r="BD59" i="3"/>
  <c r="BD48" i="3" s="1"/>
  <c r="AK47" i="5"/>
  <c r="AL41" i="5"/>
  <c r="H26" i="3" s="1"/>
  <c r="AF26" i="3" s="1"/>
  <c r="D26" i="2" s="1"/>
  <c r="E26" i="2" s="1"/>
  <c r="G26" i="2" s="1"/>
  <c r="I26" i="2" s="1"/>
  <c r="AJ34" i="5"/>
  <c r="HN15" i="5"/>
  <c r="DF14" i="5"/>
  <c r="F28" i="6"/>
  <c r="E24" i="6"/>
  <c r="BI20" i="6"/>
  <c r="AL45" i="5"/>
  <c r="AL44" i="5"/>
  <c r="AL43" i="5"/>
  <c r="H24" i="3" s="1"/>
  <c r="AL40" i="5"/>
  <c r="AL39" i="5"/>
  <c r="AL38" i="5"/>
  <c r="AU39" i="3"/>
  <c r="HV26" i="5"/>
  <c r="FZ28" i="5"/>
  <c r="AL26" i="5"/>
  <c r="AM24" i="5"/>
  <c r="AN24" i="5" s="1"/>
  <c r="FC20" i="5"/>
  <c r="AL19" i="5"/>
  <c r="BA17" i="5"/>
  <c r="BA18" i="5" s="1"/>
  <c r="BA19" i="5" s="1"/>
  <c r="AL17" i="5"/>
  <c r="CN20" i="5"/>
  <c r="CN22" i="5" s="1"/>
  <c r="CN23" i="5" s="1"/>
  <c r="HP15" i="5"/>
  <c r="AY31" i="3" s="1"/>
  <c r="DV15" i="5"/>
  <c r="DN15" i="5"/>
  <c r="R24" i="3" s="1"/>
  <c r="R27" i="3" s="1"/>
  <c r="AV46" i="6"/>
  <c r="AV42" i="6"/>
  <c r="AZ32" i="6"/>
  <c r="BB32" i="6" s="1"/>
  <c r="AC54" i="3" s="1"/>
  <c r="G54" i="18" s="1"/>
  <c r="AV28" i="6"/>
  <c r="BB26" i="6"/>
  <c r="BJ23" i="6"/>
  <c r="BJ25" i="6" s="1"/>
  <c r="BJ27" i="6" s="1"/>
  <c r="BJ28" i="6" s="1"/>
  <c r="F23" i="6"/>
  <c r="BC20" i="6"/>
  <c r="BD20" i="6" s="1"/>
  <c r="AK19" i="6"/>
  <c r="AK23" i="6" s="1"/>
  <c r="N16" i="6"/>
  <c r="N17" i="6" s="1"/>
  <c r="N19" i="6" s="1"/>
  <c r="Y41" i="3" s="1"/>
  <c r="H16" i="6"/>
  <c r="AS59" i="3"/>
  <c r="AS48" i="3" s="1"/>
  <c r="AJ23" i="6"/>
  <c r="BF36" i="3"/>
  <c r="J32" i="3"/>
  <c r="AL46" i="5"/>
  <c r="DT24" i="5"/>
  <c r="DT26" i="5" s="1"/>
  <c r="DT28" i="5" s="1"/>
  <c r="DT30" i="5" s="1"/>
  <c r="HM18" i="5"/>
  <c r="HM20" i="5" s="1"/>
  <c r="HM21" i="5" s="1"/>
  <c r="M17" i="6"/>
  <c r="M19" i="6" s="1"/>
  <c r="HT26" i="5"/>
  <c r="HT28" i="5" s="1"/>
  <c r="HT30" i="5" s="1"/>
  <c r="N32" i="5"/>
  <c r="H31" i="5"/>
  <c r="AH17" i="3" s="1"/>
  <c r="AH18" i="3" s="1"/>
  <c r="GB25" i="5"/>
  <c r="FZ24" i="5"/>
  <c r="AZ18" i="5"/>
  <c r="AZ19" i="5" s="1"/>
  <c r="EB17" i="5"/>
  <c r="EB19" i="5" s="1"/>
  <c r="EB21" i="5" s="1"/>
  <c r="EB23" i="5" s="1"/>
  <c r="EB25" i="5" s="1"/>
  <c r="CO20" i="5"/>
  <c r="CO22" i="5" s="1"/>
  <c r="AV45" i="6"/>
  <c r="AZ28" i="6"/>
  <c r="AZ34" i="6" s="1"/>
  <c r="AZ35" i="6" s="1"/>
  <c r="AV24" i="6"/>
  <c r="AV22" i="6"/>
  <c r="AV21" i="6"/>
  <c r="AN21" i="6"/>
  <c r="BC38" i="3" s="1"/>
  <c r="BH20" i="6"/>
  <c r="BJ19" i="6"/>
  <c r="CB18" i="6"/>
  <c r="BG54" i="3" s="1"/>
  <c r="BG59" i="3" s="1"/>
  <c r="BG48" i="3" s="1"/>
  <c r="V18" i="6"/>
  <c r="Z56" i="3" s="1"/>
  <c r="L19" i="6"/>
  <c r="L21" i="6" s="1"/>
  <c r="L22" i="6" s="1"/>
  <c r="BZ20" i="6"/>
  <c r="EL19" i="5"/>
  <c r="U58" i="3" s="1"/>
  <c r="F19" i="6"/>
  <c r="F21" i="6"/>
  <c r="H20" i="6"/>
  <c r="H19" i="6"/>
  <c r="D23" i="2"/>
  <c r="E23" i="2" s="1"/>
  <c r="AG23" i="3"/>
  <c r="C23" i="18" s="1"/>
  <c r="E38" i="2"/>
  <c r="M18" i="5"/>
  <c r="U24" i="6"/>
  <c r="U27" i="6" s="1"/>
  <c r="U19" i="6"/>
  <c r="E18" i="3"/>
  <c r="FX29" i="5"/>
  <c r="DM25" i="5"/>
  <c r="DO25" i="5" s="1"/>
  <c r="GB27" i="5"/>
  <c r="DP22" i="5"/>
  <c r="AN35" i="3" s="1"/>
  <c r="DP20" i="5"/>
  <c r="GB18" i="5"/>
  <c r="DN18" i="5"/>
  <c r="R31" i="3" s="1"/>
  <c r="AF31" i="3" s="1"/>
  <c r="HP16" i="5"/>
  <c r="AY32" i="3" s="1"/>
  <c r="BK23" i="5"/>
  <c r="BK26" i="5" s="1"/>
  <c r="ED15" i="5"/>
  <c r="DD16" i="5"/>
  <c r="DD18" i="5" s="1"/>
  <c r="DD19" i="5" s="1"/>
  <c r="BP16" i="5"/>
  <c r="BP18" i="5" s="1"/>
  <c r="BP19" i="5" s="1"/>
  <c r="BP20" i="5" s="1"/>
  <c r="BI23" i="5"/>
  <c r="BI26" i="5" s="1"/>
  <c r="BI28" i="5" s="1"/>
  <c r="ER18" i="5"/>
  <c r="ER21" i="5" s="1"/>
  <c r="ER23" i="5" s="1"/>
  <c r="ER30" i="5" s="1"/>
  <c r="ER31" i="5" s="1"/>
  <c r="ER32" i="5" s="1"/>
  <c r="BR14" i="5"/>
  <c r="L35" i="3" s="1"/>
  <c r="HV31" i="5"/>
  <c r="EL14" i="5"/>
  <c r="U53" i="3" s="1"/>
  <c r="D53" i="18" s="1"/>
  <c r="C16" i="2"/>
  <c r="E16" i="2" s="1"/>
  <c r="G16" i="2" s="1"/>
  <c r="I16" i="2" s="1"/>
  <c r="BK16" i="3"/>
  <c r="AT19" i="5"/>
  <c r="I42" i="3" s="1"/>
  <c r="HH17" i="5"/>
  <c r="AX56" i="3" s="1"/>
  <c r="GG19" i="5"/>
  <c r="EE17" i="5"/>
  <c r="EE19" i="5" s="1"/>
  <c r="EE21" i="5" s="1"/>
  <c r="AT14" i="5"/>
  <c r="AT16" i="5" s="1"/>
  <c r="I35" i="3" s="1"/>
  <c r="X22" i="6"/>
  <c r="X24" i="6" s="1"/>
  <c r="W24" i="6"/>
  <c r="V17" i="6"/>
  <c r="Z54" i="3" s="1"/>
  <c r="P14" i="5"/>
  <c r="T19" i="6"/>
  <c r="BI27" i="6"/>
  <c r="C25" i="2"/>
  <c r="E25" i="2" s="1"/>
  <c r="G25" i="2" s="1"/>
  <c r="I25" i="2" s="1"/>
  <c r="BS19" i="5"/>
  <c r="BS20" i="5" s="1"/>
  <c r="AF21" i="6"/>
  <c r="AF23" i="6" s="1"/>
  <c r="BK27" i="6"/>
  <c r="BK28" i="6" s="1"/>
  <c r="BL27" i="6"/>
  <c r="BL28" i="6" s="1"/>
  <c r="EL18" i="5"/>
  <c r="U57" i="3" s="1"/>
  <c r="BF42" i="3"/>
  <c r="FK18" i="5"/>
  <c r="FK19" i="5" s="1"/>
  <c r="CV17" i="5"/>
  <c r="CV18" i="5" s="1"/>
  <c r="GJ33" i="5"/>
  <c r="AU37" i="3"/>
  <c r="AU56" i="3"/>
  <c r="AW44" i="3"/>
  <c r="AW46" i="3" s="1"/>
  <c r="BJ43" i="3"/>
  <c r="F43" i="2" s="1"/>
  <c r="C27" i="3"/>
  <c r="C44" i="3" s="1"/>
  <c r="FZ26" i="5"/>
  <c r="BJ23" i="5"/>
  <c r="BJ26" i="5" s="1"/>
  <c r="GY20" i="5"/>
  <c r="GY23" i="5" s="1"/>
  <c r="ET20" i="5"/>
  <c r="EU19" i="5"/>
  <c r="EV19" i="5" s="1"/>
  <c r="FZ18" i="5"/>
  <c r="AT18" i="5"/>
  <c r="GO17" i="5"/>
  <c r="EL17" i="5"/>
  <c r="U56" i="3" s="1"/>
  <c r="D56" i="18" s="1"/>
  <c r="DP16" i="5"/>
  <c r="AN29" i="3" s="1"/>
  <c r="BT15" i="5"/>
  <c r="AK41" i="3" s="1"/>
  <c r="AE18" i="5"/>
  <c r="C40" i="2"/>
  <c r="C59" i="3"/>
  <c r="C48" i="3" s="1"/>
  <c r="FZ25" i="5"/>
  <c r="HH21" i="5"/>
  <c r="HH22" i="5" s="1"/>
  <c r="HH24" i="5" s="1"/>
  <c r="DN20" i="5"/>
  <c r="R33" i="3" s="1"/>
  <c r="GI19" i="5"/>
  <c r="DN19" i="5"/>
  <c r="R32" i="3" s="1"/>
  <c r="EM18" i="5"/>
  <c r="EN18" i="5" s="1"/>
  <c r="DX18" i="5"/>
  <c r="GB16" i="5"/>
  <c r="ET16" i="5"/>
  <c r="GB15" i="5"/>
  <c r="FL15" i="5"/>
  <c r="EL15" i="5"/>
  <c r="U54" i="3" s="1"/>
  <c r="D54" i="18" s="1"/>
  <c r="EF15" i="5"/>
  <c r="BZ14" i="5"/>
  <c r="BZ16" i="5" s="1"/>
  <c r="EJ20" i="5"/>
  <c r="AG38" i="3"/>
  <c r="C38" i="18" s="1"/>
  <c r="J38" i="18" s="1"/>
  <c r="C18" i="3"/>
  <c r="HU26" i="5"/>
  <c r="HU28" i="5" s="1"/>
  <c r="HU30" i="5" s="1"/>
  <c r="HU31" i="5" s="1"/>
  <c r="GB28" i="5"/>
  <c r="GG25" i="5"/>
  <c r="DW24" i="5"/>
  <c r="DX24" i="5" s="1"/>
  <c r="DX26" i="5" s="1"/>
  <c r="BX16" i="5"/>
  <c r="BX18" i="5" s="1"/>
  <c r="BX20" i="5" s="1"/>
  <c r="BX21" i="5" s="1"/>
  <c r="AR16" i="5"/>
  <c r="GR15" i="5"/>
  <c r="BT14" i="5"/>
  <c r="AK35" i="3" s="1"/>
  <c r="K20" i="5"/>
  <c r="L20" i="5" s="1"/>
  <c r="AI31" i="5"/>
  <c r="C42" i="5"/>
  <c r="AI32" i="5"/>
  <c r="K21" i="5"/>
  <c r="C43" i="5"/>
  <c r="C59" i="2"/>
  <c r="C48" i="2" s="1"/>
  <c r="F58" i="2"/>
  <c r="AT59" i="3"/>
  <c r="AT48" i="3" s="1"/>
  <c r="D33" i="6"/>
  <c r="E33" i="6"/>
  <c r="F33" i="6"/>
  <c r="X41" i="3" s="1"/>
  <c r="BH48" i="3"/>
  <c r="C24" i="2"/>
  <c r="U46" i="3"/>
  <c r="AN40" i="5"/>
  <c r="AN47" i="5" s="1"/>
  <c r="AM47" i="5"/>
  <c r="AL31" i="5"/>
  <c r="AK34" i="5"/>
  <c r="AM31" i="5"/>
  <c r="AN31" i="5" s="1"/>
  <c r="HE26" i="5"/>
  <c r="HE27" i="5" s="1"/>
  <c r="GB17" i="5"/>
  <c r="FZ17" i="5"/>
  <c r="FY29" i="5"/>
  <c r="EU17" i="5"/>
  <c r="EV17" i="5" s="1"/>
  <c r="ET17" i="5"/>
  <c r="N10" i="6"/>
  <c r="Z9" i="3"/>
  <c r="BB9" i="3"/>
  <c r="P10" i="6" s="1"/>
  <c r="DU26" i="5"/>
  <c r="DU28" i="5" s="1"/>
  <c r="GJ23" i="5"/>
  <c r="GJ25" i="5" s="1"/>
  <c r="GI25" i="5"/>
  <c r="HG26" i="5"/>
  <c r="HG27" i="5" s="1"/>
  <c r="BY20" i="5"/>
  <c r="BY21" i="5" s="1"/>
  <c r="AL23" i="5"/>
  <c r="AK28" i="5"/>
  <c r="AM23" i="5"/>
  <c r="AN23" i="5" s="1"/>
  <c r="EC17" i="5"/>
  <c r="EC19" i="5" s="1"/>
  <c r="ED16" i="5"/>
  <c r="AD15" i="6"/>
  <c r="AB17" i="6"/>
  <c r="AB19" i="6" s="1"/>
  <c r="AS39" i="3"/>
  <c r="FT32" i="5"/>
  <c r="AM32" i="5"/>
  <c r="AN32" i="5" s="1"/>
  <c r="AL32" i="5"/>
  <c r="FT30" i="5"/>
  <c r="FS33" i="5"/>
  <c r="FS35" i="5" s="1"/>
  <c r="AS36" i="3"/>
  <c r="F32" i="5"/>
  <c r="D17" i="3"/>
  <c r="AL25" i="5"/>
  <c r="AM25" i="5"/>
  <c r="AN25" i="5" s="1"/>
  <c r="DX9" i="5"/>
  <c r="AP9" i="3"/>
  <c r="EF9" i="5" s="1"/>
  <c r="AC18" i="5"/>
  <c r="E16" i="4"/>
  <c r="AJ47" i="5"/>
  <c r="AJ49" i="5" s="1"/>
  <c r="HX25" i="5"/>
  <c r="HD26" i="5"/>
  <c r="HD27" i="5" s="1"/>
  <c r="GB24" i="5"/>
  <c r="GA29" i="5"/>
  <c r="GB22" i="5"/>
  <c r="AT36" i="3" s="1"/>
  <c r="FZ22" i="5"/>
  <c r="P18" i="5"/>
  <c r="V9" i="5"/>
  <c r="G9" i="3"/>
  <c r="E17" i="4"/>
  <c r="H17" i="3"/>
  <c r="FA17" i="5"/>
  <c r="FB15" i="5"/>
  <c r="FB17" i="5" s="1"/>
  <c r="HP14" i="5"/>
  <c r="HO18" i="5"/>
  <c r="E14" i="4"/>
  <c r="AL42" i="5"/>
  <c r="H39" i="3" s="1"/>
  <c r="AL37" i="5"/>
  <c r="F39" i="5"/>
  <c r="D39" i="3" s="1"/>
  <c r="HW26" i="5"/>
  <c r="HW28" i="5" s="1"/>
  <c r="GI33" i="5"/>
  <c r="GI35" i="5" s="1"/>
  <c r="GB26" i="5"/>
  <c r="DO23" i="5"/>
  <c r="FT21" i="5"/>
  <c r="FT24" i="5" s="1"/>
  <c r="DX21" i="5"/>
  <c r="DV21" i="5"/>
  <c r="AM21" i="5"/>
  <c r="AN21" i="5" s="1"/>
  <c r="AL21" i="5"/>
  <c r="GB20" i="5"/>
  <c r="FZ20" i="5"/>
  <c r="ED20" i="5"/>
  <c r="FS19" i="5"/>
  <c r="FS26" i="5" s="1"/>
  <c r="FT16" i="5"/>
  <c r="FT19" i="5" s="1"/>
  <c r="BL23" i="5"/>
  <c r="BL26" i="5" s="1"/>
  <c r="BH23" i="5"/>
  <c r="BH26" i="5" s="1"/>
  <c r="GV16" i="5"/>
  <c r="GW15" i="5"/>
  <c r="EU14" i="5"/>
  <c r="ET14" i="5"/>
  <c r="ES18" i="5"/>
  <c r="ES21" i="5" s="1"/>
  <c r="ES23" i="5" s="1"/>
  <c r="ES30" i="5" s="1"/>
  <c r="ES31" i="5" s="1"/>
  <c r="ES32" i="5" s="1"/>
  <c r="GB21" i="5"/>
  <c r="FZ21" i="5"/>
  <c r="HW19" i="5"/>
  <c r="HW22" i="5" s="1"/>
  <c r="HX18" i="5"/>
  <c r="AZ55" i="3" s="1"/>
  <c r="HV17" i="5"/>
  <c r="HT19" i="5"/>
  <c r="HT22" i="5" s="1"/>
  <c r="DN17" i="5"/>
  <c r="R30" i="3" s="1"/>
  <c r="AF30" i="3" s="1"/>
  <c r="DL23" i="5"/>
  <c r="W14" i="5"/>
  <c r="V14" i="5"/>
  <c r="U16" i="5"/>
  <c r="AT30" i="6"/>
  <c r="AV30" i="6"/>
  <c r="GQ20" i="5"/>
  <c r="GW20" i="5"/>
  <c r="GW23" i="5" s="1"/>
  <c r="GX19" i="5"/>
  <c r="GX20" i="5" s="1"/>
  <c r="GX23" i="5" s="1"/>
  <c r="AL18" i="5"/>
  <c r="AM18" i="5"/>
  <c r="AN18" i="5" s="1"/>
  <c r="EZ20" i="5"/>
  <c r="DF15" i="5"/>
  <c r="DH15" i="5"/>
  <c r="DE16" i="5"/>
  <c r="CI14" i="5"/>
  <c r="CG16" i="5"/>
  <c r="CH14" i="5"/>
  <c r="DV18" i="5"/>
  <c r="HU19" i="5"/>
  <c r="HU22" i="5" s="1"/>
  <c r="HH16" i="5"/>
  <c r="GJ19" i="5"/>
  <c r="EL16" i="5"/>
  <c r="U55" i="3" s="1"/>
  <c r="D55" i="18" s="1"/>
  <c r="AM16" i="5"/>
  <c r="AL16" i="5"/>
  <c r="FJ15" i="5"/>
  <c r="FJ16" i="5" s="1"/>
  <c r="BR15" i="5"/>
  <c r="L41" i="3" s="1"/>
  <c r="BC17" i="5"/>
  <c r="BD15" i="5"/>
  <c r="BD17" i="5" s="1"/>
  <c r="AL15" i="5"/>
  <c r="EK20" i="5"/>
  <c r="EM14" i="5"/>
  <c r="AV48" i="6"/>
  <c r="BD38" i="3" s="1"/>
  <c r="AT48" i="6"/>
  <c r="AV44" i="6"/>
  <c r="AT44" i="6"/>
  <c r="AR31" i="6"/>
  <c r="BD32" i="6"/>
  <c r="BG42" i="3"/>
  <c r="DP19" i="5"/>
  <c r="AN32" i="3" s="1"/>
  <c r="HV18" i="5"/>
  <c r="AU18" i="5"/>
  <c r="HX16" i="5"/>
  <c r="DN16" i="5"/>
  <c r="R29" i="3" s="1"/>
  <c r="CQ16" i="5"/>
  <c r="CP16" i="5"/>
  <c r="CP20" i="5" s="1"/>
  <c r="GN20" i="5"/>
  <c r="ET15" i="5"/>
  <c r="HN14" i="5"/>
  <c r="DH14" i="5"/>
  <c r="DG16" i="5"/>
  <c r="AR49" i="6"/>
  <c r="AT41" i="6"/>
  <c r="AS49" i="6"/>
  <c r="GZ19" i="5"/>
  <c r="GZ20" i="5" s="1"/>
  <c r="GZ23" i="5" s="1"/>
  <c r="FZ19" i="5"/>
  <c r="DP18" i="5"/>
  <c r="AN31" i="3" s="1"/>
  <c r="GF19" i="5"/>
  <c r="GF27" i="5" s="1"/>
  <c r="EF16" i="5"/>
  <c r="P16" i="5"/>
  <c r="FD15" i="5"/>
  <c r="FD17" i="5" s="1"/>
  <c r="AS16" i="5"/>
  <c r="AU15" i="5"/>
  <c r="HL18" i="5"/>
  <c r="CA16" i="5"/>
  <c r="CA18" i="5" s="1"/>
  <c r="CB14" i="5"/>
  <c r="CB16" i="5" s="1"/>
  <c r="CB18" i="5" s="1"/>
  <c r="AV37" i="6"/>
  <c r="AV49" i="6" s="1"/>
  <c r="AV51" i="6" s="1"/>
  <c r="AU49" i="6"/>
  <c r="V22" i="6"/>
  <c r="V24" i="6" s="1"/>
  <c r="T24" i="6"/>
  <c r="T27" i="6" s="1"/>
  <c r="AT29" i="6"/>
  <c r="AV29" i="6"/>
  <c r="BA34" i="6"/>
  <c r="M21" i="6"/>
  <c r="M22" i="6" s="1"/>
  <c r="CY14" i="5"/>
  <c r="BA29" i="6"/>
  <c r="AV19" i="6"/>
  <c r="AT19" i="6"/>
  <c r="FI16" i="5"/>
  <c r="BQ16" i="5"/>
  <c r="BQ18" i="5" s="1"/>
  <c r="CW15" i="5"/>
  <c r="CC31" i="6"/>
  <c r="CC32" i="6" s="1"/>
  <c r="F30" i="6"/>
  <c r="H30" i="6"/>
  <c r="BA24" i="3" s="1"/>
  <c r="BJ24" i="3" s="1"/>
  <c r="BB27" i="6"/>
  <c r="BA33" i="6"/>
  <c r="BC27" i="6"/>
  <c r="F27" i="6"/>
  <c r="E31" i="6"/>
  <c r="BT19" i="6"/>
  <c r="BF56" i="3" s="1"/>
  <c r="BS20" i="6"/>
  <c r="AT18" i="6"/>
  <c r="AS31" i="6"/>
  <c r="H17" i="6"/>
  <c r="G24" i="6"/>
  <c r="G31" i="6" s="1"/>
  <c r="AU31" i="6"/>
  <c r="H29" i="6"/>
  <c r="BA17" i="3" s="1"/>
  <c r="BA18" i="3" s="1"/>
  <c r="BC28" i="6"/>
  <c r="BD28" i="6" s="1"/>
  <c r="H27" i="6"/>
  <c r="BA29" i="3" s="1"/>
  <c r="V26" i="6"/>
  <c r="Z42" i="3" s="1"/>
  <c r="W26" i="6"/>
  <c r="AV25" i="6"/>
  <c r="AL21" i="6"/>
  <c r="AV20" i="6"/>
  <c r="CB19" i="6"/>
  <c r="AJ25" i="6"/>
  <c r="AJ27" i="6" s="1"/>
  <c r="AV18" i="6"/>
  <c r="V16" i="6"/>
  <c r="D24" i="6"/>
  <c r="D31" i="6" s="1"/>
  <c r="AL19" i="6"/>
  <c r="AC21" i="6"/>
  <c r="AC23" i="6" s="1"/>
  <c r="BB18" i="6"/>
  <c r="BA19" i="6"/>
  <c r="BD18" i="6"/>
  <c r="BD19" i="6" s="1"/>
  <c r="BL17" i="6"/>
  <c r="AT17" i="6"/>
  <c r="AT23" i="6"/>
  <c r="AV23" i="6"/>
  <c r="P21" i="6"/>
  <c r="BB42" i="3" s="1"/>
  <c r="BB44" i="3" s="1"/>
  <c r="BB46" i="3" s="1"/>
  <c r="AT16" i="6"/>
  <c r="AV16" i="6"/>
  <c r="AV31" i="6" s="1"/>
  <c r="AN15" i="6"/>
  <c r="AN19" i="6" s="1"/>
  <c r="AM19" i="6"/>
  <c r="AM23" i="6" s="1"/>
  <c r="W16" i="6"/>
  <c r="J16" i="18" l="1"/>
  <c r="I18" i="18"/>
  <c r="BF44" i="3"/>
  <c r="BF46" i="3" s="1"/>
  <c r="I25" i="18"/>
  <c r="J25" i="18" s="1"/>
  <c r="N21" i="6"/>
  <c r="Y42" i="3" s="1"/>
  <c r="G61" i="3"/>
  <c r="G59" i="11"/>
  <c r="GG27" i="5"/>
  <c r="BK25" i="3"/>
  <c r="AD21" i="12"/>
  <c r="AF19" i="12"/>
  <c r="AF21" i="12" s="1"/>
  <c r="BF59" i="3"/>
  <c r="BF48" i="3" s="1"/>
  <c r="N22" i="6"/>
  <c r="F24" i="6"/>
  <c r="F31" i="6" s="1"/>
  <c r="F34" i="6" s="1"/>
  <c r="DP23" i="5"/>
  <c r="DP26" i="5" s="1"/>
  <c r="DP28" i="5" s="1"/>
  <c r="BA23" i="3"/>
  <c r="BJ23" i="3" s="1"/>
  <c r="AU59" i="3"/>
  <c r="H33" i="3"/>
  <c r="DV24" i="5"/>
  <c r="DV26" i="5" s="1"/>
  <c r="BJ55" i="3"/>
  <c r="F55" i="2" s="1"/>
  <c r="AG26" i="3"/>
  <c r="H27" i="3"/>
  <c r="GI27" i="5"/>
  <c r="AF57" i="3"/>
  <c r="D57" i="2" s="1"/>
  <c r="E57" i="2" s="1"/>
  <c r="G57" i="2" s="1"/>
  <c r="I57" i="2" s="1"/>
  <c r="D57" i="18"/>
  <c r="AF58" i="3"/>
  <c r="D58" i="18"/>
  <c r="D59" i="18" s="1"/>
  <c r="D48" i="18" s="1"/>
  <c r="H41" i="3"/>
  <c r="FT33" i="5"/>
  <c r="FT35" i="5" s="1"/>
  <c r="FT37" i="5" s="1"/>
  <c r="FT38" i="5" s="1"/>
  <c r="HT31" i="5"/>
  <c r="DF16" i="5"/>
  <c r="Q35" i="3" s="1"/>
  <c r="H35" i="3"/>
  <c r="BK26" i="3"/>
  <c r="C26" i="18"/>
  <c r="J26" i="18" s="1"/>
  <c r="ER25" i="5"/>
  <c r="ER27" i="5" s="1"/>
  <c r="G34" i="6"/>
  <c r="G36" i="6" s="1"/>
  <c r="G37" i="6" s="1"/>
  <c r="BJ38" i="3"/>
  <c r="I23" i="18"/>
  <c r="J23" i="18"/>
  <c r="FT26" i="5"/>
  <c r="GB9" i="5"/>
  <c r="AU9" i="3"/>
  <c r="Y44" i="3"/>
  <c r="Y46" i="3" s="1"/>
  <c r="BJ31" i="3"/>
  <c r="ED17" i="5"/>
  <c r="AN33" i="3"/>
  <c r="BJ33" i="3" s="1"/>
  <c r="F33" i="2" s="1"/>
  <c r="H32" i="5"/>
  <c r="H42" i="5" s="1"/>
  <c r="BJ29" i="3"/>
  <c r="F29" i="2" s="1"/>
  <c r="X24" i="3"/>
  <c r="X27" i="3" s="1"/>
  <c r="AF33" i="3"/>
  <c r="AG33" i="3" s="1"/>
  <c r="AT21" i="5"/>
  <c r="DM26" i="5"/>
  <c r="DM28" i="5" s="1"/>
  <c r="AN23" i="6"/>
  <c r="AN25" i="6" s="1"/>
  <c r="BC42" i="3" s="1"/>
  <c r="BC44" i="3" s="1"/>
  <c r="BC46" i="3" s="1"/>
  <c r="AZ29" i="6"/>
  <c r="BB28" i="6"/>
  <c r="BB29" i="6" s="1"/>
  <c r="AT49" i="6"/>
  <c r="HN18" i="5"/>
  <c r="BG44" i="3"/>
  <c r="BG46" i="3" s="1"/>
  <c r="E34" i="6"/>
  <c r="E36" i="6" s="1"/>
  <c r="E37" i="6" s="1"/>
  <c r="C18" i="2"/>
  <c r="EF19" i="5"/>
  <c r="EF21" i="5" s="1"/>
  <c r="AP35" i="3" s="1"/>
  <c r="I44" i="3"/>
  <c r="I46" i="3" s="1"/>
  <c r="D34" i="6"/>
  <c r="D36" i="6" s="1"/>
  <c r="D37" i="6" s="1"/>
  <c r="EF17" i="5"/>
  <c r="AI15" i="3"/>
  <c r="P32" i="5"/>
  <c r="BI28" i="6"/>
  <c r="BE42" i="3"/>
  <c r="BE44" i="3" s="1"/>
  <c r="BE46" i="3" s="1"/>
  <c r="C46" i="3"/>
  <c r="C50" i="3" s="1"/>
  <c r="D33" i="2"/>
  <c r="E33" i="2" s="1"/>
  <c r="BT16" i="5"/>
  <c r="BT18" i="5" s="1"/>
  <c r="BR16" i="5"/>
  <c r="DW26" i="5"/>
  <c r="DW28" i="5" s="1"/>
  <c r="DX28" i="5" s="1"/>
  <c r="GO19" i="5"/>
  <c r="GO20" i="5" s="1"/>
  <c r="V37" i="3"/>
  <c r="FL16" i="5"/>
  <c r="AR39" i="3"/>
  <c r="GR17" i="5"/>
  <c r="AV32" i="3"/>
  <c r="M35" i="3"/>
  <c r="BZ18" i="5"/>
  <c r="AX36" i="3"/>
  <c r="BJ36" i="3" s="1"/>
  <c r="HH26" i="5"/>
  <c r="AJ50" i="5"/>
  <c r="AJ51" i="5" s="1"/>
  <c r="GX15" i="5"/>
  <c r="GX16" i="5" s="1"/>
  <c r="GZ15" i="5"/>
  <c r="GZ16" i="5" s="1"/>
  <c r="AW56" i="3" s="1"/>
  <c r="GW16" i="5"/>
  <c r="H34" i="3"/>
  <c r="AF34" i="3" s="1"/>
  <c r="AL47" i="5"/>
  <c r="FB19" i="5"/>
  <c r="FB20" i="5" s="1"/>
  <c r="ED19" i="5"/>
  <c r="EC21" i="5"/>
  <c r="GB29" i="5"/>
  <c r="AU48" i="3"/>
  <c r="N21" i="5"/>
  <c r="E35" i="3" s="1"/>
  <c r="O21" i="5"/>
  <c r="L21" i="5"/>
  <c r="EN14" i="5"/>
  <c r="EN20" i="5" s="1"/>
  <c r="EM20" i="5"/>
  <c r="AN16" i="5"/>
  <c r="AN28" i="5" s="1"/>
  <c r="AN49" i="5" s="1"/>
  <c r="AM28" i="5"/>
  <c r="AM49" i="5" s="1"/>
  <c r="CW17" i="5"/>
  <c r="V27" i="6"/>
  <c r="Z36" i="3"/>
  <c r="Z44" i="3" s="1"/>
  <c r="Z46" i="3" s="1"/>
  <c r="CA20" i="5"/>
  <c r="CA21" i="5" s="1"/>
  <c r="FD19" i="5"/>
  <c r="AQ42" i="3" s="1"/>
  <c r="AQ39" i="3"/>
  <c r="BT20" i="6"/>
  <c r="DG18" i="5"/>
  <c r="DG19" i="5" s="1"/>
  <c r="AF55" i="3"/>
  <c r="U59" i="3"/>
  <c r="V16" i="5"/>
  <c r="F42" i="3"/>
  <c r="F44" i="3" s="1"/>
  <c r="F46" i="3" s="1"/>
  <c r="AD9" i="5"/>
  <c r="AJ9" i="3"/>
  <c r="AF9" i="5" s="1"/>
  <c r="H9" i="3"/>
  <c r="HX26" i="5"/>
  <c r="AZ37" i="3"/>
  <c r="AD17" i="6"/>
  <c r="AD19" i="6" s="1"/>
  <c r="AA40" i="3"/>
  <c r="P22" i="6"/>
  <c r="AL23" i="6"/>
  <c r="AK25" i="6"/>
  <c r="AK27" i="6" s="1"/>
  <c r="BR18" i="5"/>
  <c r="BQ19" i="5"/>
  <c r="BR19" i="5" s="1"/>
  <c r="L42" i="3" s="1"/>
  <c r="L44" i="3" s="1"/>
  <c r="L46" i="3" s="1"/>
  <c r="HL20" i="5"/>
  <c r="HN20" i="5" s="1"/>
  <c r="F31" i="2"/>
  <c r="DH16" i="5"/>
  <c r="O35" i="3"/>
  <c r="AL28" i="5"/>
  <c r="FJ18" i="5"/>
  <c r="FJ19" i="5" s="1"/>
  <c r="GJ27" i="5"/>
  <c r="CJ14" i="5"/>
  <c r="CJ16" i="5" s="1"/>
  <c r="CI16" i="5"/>
  <c r="H15" i="3"/>
  <c r="AF15" i="3" s="1"/>
  <c r="H14" i="3"/>
  <c r="X14" i="5"/>
  <c r="X16" i="5" s="1"/>
  <c r="W16" i="5"/>
  <c r="AG30" i="3"/>
  <c r="C30" i="18" s="1"/>
  <c r="J30" i="18" s="1"/>
  <c r="D30" i="2"/>
  <c r="E30" i="2" s="1"/>
  <c r="EL20" i="5"/>
  <c r="BL28" i="5"/>
  <c r="BL29" i="5" s="1"/>
  <c r="BH28" i="5"/>
  <c r="BH29" i="5" s="1"/>
  <c r="AF39" i="3"/>
  <c r="HO20" i="5"/>
  <c r="HP20" i="5" s="1"/>
  <c r="AY42" i="3" s="1"/>
  <c r="FS37" i="5"/>
  <c r="AS42" i="3" s="1"/>
  <c r="AS44" i="3" s="1"/>
  <c r="AS46" i="3" s="1"/>
  <c r="D18" i="3"/>
  <c r="AF29" i="3"/>
  <c r="AK49" i="5"/>
  <c r="DU30" i="5"/>
  <c r="DV28" i="5"/>
  <c r="O20" i="5"/>
  <c r="N20" i="5"/>
  <c r="M20" i="5"/>
  <c r="D61" i="3"/>
  <c r="H61" i="3"/>
  <c r="L61" i="3"/>
  <c r="P61" i="3"/>
  <c r="T61" i="3"/>
  <c r="X61" i="3"/>
  <c r="AB61" i="3"/>
  <c r="AF61" i="3"/>
  <c r="AJ61" i="3"/>
  <c r="AN61" i="3"/>
  <c r="AR61" i="3"/>
  <c r="AV61" i="3"/>
  <c r="AZ61" i="3"/>
  <c r="BD61" i="3"/>
  <c r="BH61" i="3"/>
  <c r="BH63" i="3" s="1"/>
  <c r="E61" i="3"/>
  <c r="I61" i="3"/>
  <c r="M61" i="3"/>
  <c r="Q61" i="3"/>
  <c r="U61" i="3"/>
  <c r="Y61" i="3"/>
  <c r="AC61" i="3"/>
  <c r="AG61" i="3"/>
  <c r="AK61" i="3"/>
  <c r="AO61" i="3"/>
  <c r="AS61" i="3"/>
  <c r="AW61" i="3"/>
  <c r="BA61" i="3"/>
  <c r="BE61" i="3"/>
  <c r="BI61" i="3"/>
  <c r="BI63" i="3" s="1"/>
  <c r="C61" i="2"/>
  <c r="G61" i="2"/>
  <c r="C61" i="3"/>
  <c r="K61" i="3"/>
  <c r="O61" i="3"/>
  <c r="S61" i="3"/>
  <c r="W61" i="3"/>
  <c r="AA61" i="3"/>
  <c r="AE61" i="3"/>
  <c r="AE63" i="3" s="1"/>
  <c r="AI61" i="3"/>
  <c r="AM61" i="3"/>
  <c r="AQ61" i="3"/>
  <c r="AU61" i="3"/>
  <c r="AY61" i="3"/>
  <c r="BC61" i="3"/>
  <c r="BG61" i="3"/>
  <c r="BK61" i="3"/>
  <c r="E61" i="2"/>
  <c r="I61" i="2"/>
  <c r="F61" i="2"/>
  <c r="N61" i="3"/>
  <c r="AD61" i="3"/>
  <c r="AD63" i="3" s="1"/>
  <c r="AT61" i="3"/>
  <c r="BJ61" i="3"/>
  <c r="V61" i="3"/>
  <c r="D61" i="2"/>
  <c r="R61" i="3"/>
  <c r="AH61" i="3"/>
  <c r="AX61" i="3"/>
  <c r="AL61" i="3"/>
  <c r="J61" i="3"/>
  <c r="Z61" i="3"/>
  <c r="AP61" i="3"/>
  <c r="BF61" i="3"/>
  <c r="BF63" i="3" s="1"/>
  <c r="H61" i="2"/>
  <c r="F61" i="3"/>
  <c r="BB61" i="3"/>
  <c r="BB63" i="3" s="1"/>
  <c r="X16" i="6"/>
  <c r="X19" i="6" s="1"/>
  <c r="W19" i="6"/>
  <c r="BD27" i="6"/>
  <c r="BD29" i="6" s="1"/>
  <c r="BC29" i="6"/>
  <c r="FI18" i="5"/>
  <c r="FI19" i="5" s="1"/>
  <c r="CZ14" i="5"/>
  <c r="CZ15" i="5" s="1"/>
  <c r="CY15" i="5"/>
  <c r="AV15" i="5"/>
  <c r="AV16" i="5" s="1"/>
  <c r="AU16" i="5"/>
  <c r="CQ20" i="5"/>
  <c r="CR16" i="5"/>
  <c r="CR20" i="5" s="1"/>
  <c r="AV18" i="5"/>
  <c r="AV21" i="5" s="1"/>
  <c r="AU20" i="5"/>
  <c r="AU21" i="5"/>
  <c r="HH18" i="5"/>
  <c r="AX54" i="3"/>
  <c r="BB18" i="5"/>
  <c r="BC18" i="5"/>
  <c r="BD18" i="5" s="1"/>
  <c r="BD19" i="5" s="1"/>
  <c r="HP18" i="5"/>
  <c r="AY30" i="3"/>
  <c r="BK28" i="5"/>
  <c r="BK29" i="5" s="1"/>
  <c r="D31" i="2"/>
  <c r="E31" i="2" s="1"/>
  <c r="AG31" i="3"/>
  <c r="AT31" i="6"/>
  <c r="BB19" i="6"/>
  <c r="BB21" i="6" s="1"/>
  <c r="BC19" i="6"/>
  <c r="BC21" i="6" s="1"/>
  <c r="BA21" i="6"/>
  <c r="H24" i="6"/>
  <c r="H31" i="6" s="1"/>
  <c r="BB34" i="6"/>
  <c r="BC34" i="6"/>
  <c r="BD34" i="6" s="1"/>
  <c r="CH16" i="5"/>
  <c r="N32" i="3"/>
  <c r="N44" i="3" s="1"/>
  <c r="N46" i="3" s="1"/>
  <c r="HV19" i="5"/>
  <c r="HV22" i="5" s="1"/>
  <c r="EE23" i="5"/>
  <c r="EE25" i="5" s="1"/>
  <c r="ET18" i="5"/>
  <c r="ET21" i="5" s="1"/>
  <c r="ET23" i="5" s="1"/>
  <c r="V36" i="3"/>
  <c r="E36" i="18" s="1"/>
  <c r="FA19" i="5"/>
  <c r="FA20" i="5" s="1"/>
  <c r="E18" i="4"/>
  <c r="F24" i="2"/>
  <c r="BI29" i="5"/>
  <c r="F42" i="5"/>
  <c r="F43" i="5"/>
  <c r="D35" i="3" s="1"/>
  <c r="AB21" i="6"/>
  <c r="AB23" i="6" s="1"/>
  <c r="K22" i="5"/>
  <c r="C44" i="5"/>
  <c r="F44" i="5" s="1"/>
  <c r="D41" i="3" s="1"/>
  <c r="AI33" i="5"/>
  <c r="BD21" i="6"/>
  <c r="AV53" i="6"/>
  <c r="BD42" i="3" s="1"/>
  <c r="BD39" i="3"/>
  <c r="CQ22" i="5"/>
  <c r="CR22" i="5" s="1"/>
  <c r="CP22" i="5"/>
  <c r="O42" i="3" s="1"/>
  <c r="CO23" i="5"/>
  <c r="DE18" i="5"/>
  <c r="DF18" i="5" s="1"/>
  <c r="Q42" i="3" s="1"/>
  <c r="ES25" i="5"/>
  <c r="ES27" i="5" s="1"/>
  <c r="GI37" i="5"/>
  <c r="GJ37" i="5" s="1"/>
  <c r="AU42" i="3" s="1"/>
  <c r="AU44" i="3" s="1"/>
  <c r="AU46" i="3" s="1"/>
  <c r="GJ35" i="5"/>
  <c r="V10" i="6"/>
  <c r="AA9" i="3"/>
  <c r="FZ29" i="5"/>
  <c r="W17" i="3"/>
  <c r="W18" i="3" s="1"/>
  <c r="F62" i="3"/>
  <c r="J62" i="3"/>
  <c r="N62" i="3"/>
  <c r="R62" i="3"/>
  <c r="V62" i="3"/>
  <c r="Z62" i="3"/>
  <c r="AD62" i="3"/>
  <c r="AH62" i="3"/>
  <c r="AL62" i="3"/>
  <c r="AP62" i="3"/>
  <c r="AT62" i="3"/>
  <c r="AX62" i="3"/>
  <c r="BB62" i="3"/>
  <c r="BF62" i="3"/>
  <c r="BJ62" i="3"/>
  <c r="C62" i="3"/>
  <c r="G62" i="3"/>
  <c r="K62" i="3"/>
  <c r="O62" i="3"/>
  <c r="S62" i="3"/>
  <c r="W62" i="3"/>
  <c r="AA62" i="3"/>
  <c r="AE62" i="3"/>
  <c r="AI62" i="3"/>
  <c r="AM62" i="3"/>
  <c r="AQ62" i="3"/>
  <c r="AU62" i="3"/>
  <c r="AY62" i="3"/>
  <c r="BC62" i="3"/>
  <c r="BG62" i="3"/>
  <c r="BK62" i="3"/>
  <c r="C62" i="2"/>
  <c r="E62" i="3"/>
  <c r="I62" i="3"/>
  <c r="M62" i="3"/>
  <c r="Q62" i="3"/>
  <c r="U62" i="3"/>
  <c r="Y62" i="3"/>
  <c r="AC62" i="3"/>
  <c r="AG62" i="3"/>
  <c r="AK62" i="3"/>
  <c r="AO62" i="3"/>
  <c r="AS62" i="3"/>
  <c r="AW62" i="3"/>
  <c r="BA62" i="3"/>
  <c r="BE62" i="3"/>
  <c r="BI62" i="3"/>
  <c r="E62" i="2"/>
  <c r="I62" i="2"/>
  <c r="F62" i="2"/>
  <c r="G62" i="2"/>
  <c r="P62" i="3"/>
  <c r="AF62" i="3"/>
  <c r="AV62" i="3"/>
  <c r="D62" i="2"/>
  <c r="H62" i="2"/>
  <c r="AN62" i="3"/>
  <c r="D62" i="3"/>
  <c r="T62" i="3"/>
  <c r="AJ62" i="3"/>
  <c r="AZ62" i="3"/>
  <c r="X62" i="3"/>
  <c r="L62" i="3"/>
  <c r="AB62" i="3"/>
  <c r="AR62" i="3"/>
  <c r="BH62" i="3"/>
  <c r="H62" i="3"/>
  <c r="BD62" i="3"/>
  <c r="AM25" i="6"/>
  <c r="AM27" i="6" s="1"/>
  <c r="BL20" i="6"/>
  <c r="BE53" i="3"/>
  <c r="BE59" i="3" s="1"/>
  <c r="V19" i="6"/>
  <c r="Z53" i="3"/>
  <c r="BC33" i="6"/>
  <c r="BA35" i="6"/>
  <c r="BB33" i="6"/>
  <c r="CB20" i="5"/>
  <c r="AL42" i="3" s="1"/>
  <c r="AL35" i="3"/>
  <c r="AC36" i="3"/>
  <c r="G36" i="18" s="1"/>
  <c r="X26" i="6"/>
  <c r="X27" i="6" s="1"/>
  <c r="W27" i="6"/>
  <c r="HX19" i="5"/>
  <c r="HX22" i="5" s="1"/>
  <c r="AZ53" i="3"/>
  <c r="BK38" i="3"/>
  <c r="F38" i="2"/>
  <c r="G38" i="2" s="1"/>
  <c r="I38" i="2" s="1"/>
  <c r="DL26" i="5"/>
  <c r="DL28" i="5" s="1"/>
  <c r="DN23" i="5"/>
  <c r="DN26" i="5" s="1"/>
  <c r="DN28" i="5" s="1"/>
  <c r="EV14" i="5"/>
  <c r="EV18" i="5" s="1"/>
  <c r="EV21" i="5" s="1"/>
  <c r="EV23" i="5" s="1"/>
  <c r="EU18" i="5"/>
  <c r="EU21" i="5" s="1"/>
  <c r="EU23" i="5" s="1"/>
  <c r="EU30" i="5" s="1"/>
  <c r="HX28" i="5"/>
  <c r="HW30" i="5"/>
  <c r="HX30" i="5" s="1"/>
  <c r="AZ42" i="3" s="1"/>
  <c r="M21" i="5"/>
  <c r="BJ17" i="3"/>
  <c r="AL34" i="5"/>
  <c r="H32" i="3"/>
  <c r="C27" i="2"/>
  <c r="C44" i="2" s="1"/>
  <c r="H33" i="6"/>
  <c r="BA41" i="3" s="1"/>
  <c r="AD22" i="12" l="1"/>
  <c r="G40" i="11"/>
  <c r="AB40" i="11"/>
  <c r="AF22" i="12"/>
  <c r="BA27" i="3"/>
  <c r="H43" i="5"/>
  <c r="AH35" i="3" s="1"/>
  <c r="AG57" i="3"/>
  <c r="AF37" i="3"/>
  <c r="D37" i="2" s="1"/>
  <c r="E37" i="2" s="1"/>
  <c r="E37" i="18"/>
  <c r="EU31" i="5"/>
  <c r="EU32" i="5" s="1"/>
  <c r="BK57" i="3"/>
  <c r="C57" i="18"/>
  <c r="J57" i="18" s="1"/>
  <c r="EV25" i="5"/>
  <c r="EV27" i="5" s="1"/>
  <c r="EV30" i="5"/>
  <c r="BK33" i="3"/>
  <c r="C33" i="18"/>
  <c r="J33" i="18" s="1"/>
  <c r="AG58" i="3"/>
  <c r="D58" i="2"/>
  <c r="E58" i="2" s="1"/>
  <c r="G58" i="2" s="1"/>
  <c r="I58" i="2" s="1"/>
  <c r="BG63" i="3"/>
  <c r="BK31" i="3"/>
  <c r="C31" i="18"/>
  <c r="J31" i="18" s="1"/>
  <c r="Y63" i="3"/>
  <c r="FS38" i="5"/>
  <c r="EF23" i="5"/>
  <c r="AP42" i="3" s="1"/>
  <c r="GJ9" i="5"/>
  <c r="AV9" i="3"/>
  <c r="G33" i="2"/>
  <c r="I33" i="2" s="1"/>
  <c r="HN21" i="5"/>
  <c r="AC42" i="3"/>
  <c r="AV55" i="6"/>
  <c r="DO26" i="5"/>
  <c r="DO28" i="5" s="1"/>
  <c r="I63" i="3"/>
  <c r="BD44" i="3"/>
  <c r="BD46" i="3" s="1"/>
  <c r="FD20" i="5"/>
  <c r="AF24" i="3"/>
  <c r="AG24" i="3" s="1"/>
  <c r="C24" i="18" s="1"/>
  <c r="AG37" i="3"/>
  <c r="C37" i="18" s="1"/>
  <c r="J37" i="18" s="1"/>
  <c r="C63" i="3"/>
  <c r="C64" i="3" s="1"/>
  <c r="C46" i="2"/>
  <c r="HX31" i="5"/>
  <c r="AP44" i="3"/>
  <c r="AP46" i="3" s="1"/>
  <c r="AP63" i="3" s="1"/>
  <c r="AP64" i="3" s="1"/>
  <c r="BJ15" i="3"/>
  <c r="F15" i="2" s="1"/>
  <c r="AI18" i="3"/>
  <c r="BJ28" i="5"/>
  <c r="K42" i="3" s="1"/>
  <c r="K44" i="3" s="1"/>
  <c r="K46" i="3" s="1"/>
  <c r="DW30" i="5"/>
  <c r="BC19" i="5"/>
  <c r="AL44" i="3"/>
  <c r="AL46" i="3" s="1"/>
  <c r="CQ23" i="5"/>
  <c r="U63" i="3"/>
  <c r="U64" i="3" s="1"/>
  <c r="BH64" i="3"/>
  <c r="BZ20" i="5"/>
  <c r="M42" i="3" s="1"/>
  <c r="M44" i="3" s="1"/>
  <c r="M46" i="3" s="1"/>
  <c r="BT19" i="5"/>
  <c r="AK42" i="3" s="1"/>
  <c r="AK44" i="3" s="1"/>
  <c r="AK46" i="3" s="1"/>
  <c r="AK63" i="3" s="1"/>
  <c r="AK64" i="3" s="1"/>
  <c r="BG64" i="3"/>
  <c r="FL18" i="5"/>
  <c r="AR42" i="3" s="1"/>
  <c r="AR44" i="3" s="1"/>
  <c r="AR46" i="3" s="1"/>
  <c r="GP19" i="5"/>
  <c r="GP20" i="5" s="1"/>
  <c r="GR19" i="5"/>
  <c r="AV42" i="3" s="1"/>
  <c r="AV44" i="3" s="1"/>
  <c r="AV46" i="3" s="1"/>
  <c r="AV63" i="3" s="1"/>
  <c r="AV64" i="3" s="1"/>
  <c r="AE64" i="3"/>
  <c r="G31" i="2"/>
  <c r="I31" i="2" s="1"/>
  <c r="Y64" i="3"/>
  <c r="O44" i="3"/>
  <c r="O46" i="3" s="1"/>
  <c r="HH27" i="5"/>
  <c r="AX42" i="3"/>
  <c r="AX44" i="3" s="1"/>
  <c r="AX46" i="3" s="1"/>
  <c r="L63" i="3"/>
  <c r="L64" i="3" s="1"/>
  <c r="E32" i="3"/>
  <c r="DV30" i="5"/>
  <c r="S35" i="3"/>
  <c r="F17" i="2"/>
  <c r="AZ59" i="3"/>
  <c r="BJ53" i="3"/>
  <c r="BC63" i="3"/>
  <c r="BC64" i="3" s="1"/>
  <c r="BB35" i="6"/>
  <c r="AC56" i="3"/>
  <c r="AD10" i="6"/>
  <c r="AB9" i="3"/>
  <c r="GI38" i="5"/>
  <c r="DE19" i="5"/>
  <c r="H44" i="5"/>
  <c r="AH41" i="3" s="1"/>
  <c r="ET30" i="5"/>
  <c r="ET25" i="5"/>
  <c r="V42" i="3" s="1"/>
  <c r="N63" i="3"/>
  <c r="N64" i="3" s="1"/>
  <c r="I64" i="3"/>
  <c r="J42" i="3"/>
  <c r="J44" i="3" s="1"/>
  <c r="J46" i="3" s="1"/>
  <c r="BB19" i="5"/>
  <c r="CR23" i="5"/>
  <c r="AG29" i="3"/>
  <c r="D29" i="2"/>
  <c r="E29" i="2" s="1"/>
  <c r="G29" i="2" s="1"/>
  <c r="I29" i="2" s="1"/>
  <c r="HO21" i="5"/>
  <c r="H18" i="3"/>
  <c r="AF14" i="3"/>
  <c r="BQ20" i="5"/>
  <c r="AD21" i="6"/>
  <c r="AA43" i="3" s="1"/>
  <c r="AF43" i="3" s="1"/>
  <c r="AG55" i="3"/>
  <c r="D55" i="2"/>
  <c r="E55" i="2" s="1"/>
  <c r="G55" i="2" s="1"/>
  <c r="I55" i="2" s="1"/>
  <c r="DH18" i="5"/>
  <c r="AM42" i="3" s="1"/>
  <c r="AN50" i="5"/>
  <c r="AN51" i="5" s="1"/>
  <c r="AF17" i="3"/>
  <c r="AG34" i="3"/>
  <c r="D34" i="2"/>
  <c r="E34" i="2" s="1"/>
  <c r="G34" i="2" s="1"/>
  <c r="I34" i="2" s="1"/>
  <c r="AW59" i="3"/>
  <c r="BJ56" i="3"/>
  <c r="H34" i="6"/>
  <c r="AX59" i="3"/>
  <c r="BJ54" i="3"/>
  <c r="BK23" i="3"/>
  <c r="BJ27" i="3"/>
  <c r="F23" i="2"/>
  <c r="AO35" i="3"/>
  <c r="DX30" i="5"/>
  <c r="F45" i="5"/>
  <c r="F47" i="5" s="1"/>
  <c r="D32" i="3"/>
  <c r="HP21" i="5"/>
  <c r="BI64" i="3"/>
  <c r="P20" i="5"/>
  <c r="AG39" i="3"/>
  <c r="C39" i="18" s="1"/>
  <c r="J39" i="18" s="1"/>
  <c r="D39" i="2"/>
  <c r="E39" i="2" s="1"/>
  <c r="CP23" i="5"/>
  <c r="BR20" i="5"/>
  <c r="F36" i="2"/>
  <c r="DF19" i="5"/>
  <c r="CY17" i="5"/>
  <c r="CZ17" i="5" s="1"/>
  <c r="CZ18" i="5" s="1"/>
  <c r="CX17" i="5"/>
  <c r="ED21" i="5"/>
  <c r="EC23" i="5"/>
  <c r="EC25" i="5" s="1"/>
  <c r="BE48" i="3"/>
  <c r="BE63" i="3"/>
  <c r="BE64" i="3" s="1"/>
  <c r="AU63" i="3"/>
  <c r="AU64" i="3" s="1"/>
  <c r="N22" i="5"/>
  <c r="E41" i="3" s="1"/>
  <c r="AF41" i="3" s="1"/>
  <c r="L22" i="5"/>
  <c r="L23" i="5" s="1"/>
  <c r="L25" i="5" s="1"/>
  <c r="O22" i="5"/>
  <c r="O23" i="5" s="1"/>
  <c r="O25" i="5" s="1"/>
  <c r="M22" i="5"/>
  <c r="M23" i="5" s="1"/>
  <c r="M25" i="5" s="1"/>
  <c r="AH32" i="3"/>
  <c r="AY44" i="3"/>
  <c r="AY46" i="3" s="1"/>
  <c r="BJ30" i="3"/>
  <c r="AG15" i="3"/>
  <c r="C15" i="18" s="1"/>
  <c r="J15" i="18" s="1"/>
  <c r="D15" i="2"/>
  <c r="E15" i="2" s="1"/>
  <c r="AL25" i="6"/>
  <c r="AB42" i="3" s="1"/>
  <c r="AB44" i="3" s="1"/>
  <c r="AB46" i="3" s="1"/>
  <c r="AS63" i="3"/>
  <c r="AS64" i="3" s="1"/>
  <c r="Q44" i="3"/>
  <c r="Q46" i="3" s="1"/>
  <c r="EU25" i="5"/>
  <c r="EU27" i="5" s="1"/>
  <c r="BD33" i="6"/>
  <c r="BD35" i="6" s="1"/>
  <c r="BC35" i="6"/>
  <c r="BB64" i="3"/>
  <c r="HW31" i="5"/>
  <c r="AN27" i="6"/>
  <c r="CB21" i="5"/>
  <c r="Z59" i="3"/>
  <c r="AF53" i="3"/>
  <c r="W35" i="3"/>
  <c r="GJ38" i="5"/>
  <c r="AF36" i="3"/>
  <c r="BF64" i="3"/>
  <c r="AD64" i="3"/>
  <c r="AK50" i="5"/>
  <c r="AK51" i="5" s="1"/>
  <c r="AL49" i="5"/>
  <c r="AM35" i="3"/>
  <c r="HL21" i="5"/>
  <c r="F36" i="6"/>
  <c r="X42" i="3" s="1"/>
  <c r="X44" i="3" s="1"/>
  <c r="X46" i="3" s="1"/>
  <c r="AF40" i="3"/>
  <c r="BJ37" i="3"/>
  <c r="AZ44" i="3"/>
  <c r="AZ46" i="3" s="1"/>
  <c r="AL9" i="5"/>
  <c r="I9" i="3"/>
  <c r="F63" i="3"/>
  <c r="F64" i="3" s="1"/>
  <c r="U48" i="3"/>
  <c r="AQ44" i="3"/>
  <c r="AQ46" i="3" s="1"/>
  <c r="BJ39" i="3"/>
  <c r="CW18" i="5"/>
  <c r="AM50" i="5"/>
  <c r="AM51" i="5" s="1"/>
  <c r="P21" i="5"/>
  <c r="AI35" i="3" s="1"/>
  <c r="AT35" i="3"/>
  <c r="AB42" i="11" l="1"/>
  <c r="AB44" i="11" s="1"/>
  <c r="AB61" i="11" s="1"/>
  <c r="AB62" i="11" s="1"/>
  <c r="AU40" i="11"/>
  <c r="G42" i="11"/>
  <c r="G44" i="11" s="1"/>
  <c r="G61" i="11" s="1"/>
  <c r="G62" i="11" s="1"/>
  <c r="X40" i="11"/>
  <c r="D24" i="2"/>
  <c r="AF27" i="3"/>
  <c r="BK58" i="3"/>
  <c r="C58" i="18"/>
  <c r="J58" i="18" s="1"/>
  <c r="BK34" i="3"/>
  <c r="C34" i="18"/>
  <c r="J34" i="18" s="1"/>
  <c r="BK55" i="3"/>
  <c r="C55" i="18"/>
  <c r="J55" i="18" s="1"/>
  <c r="BK29" i="3"/>
  <c r="C29" i="18"/>
  <c r="J29" i="18" s="1"/>
  <c r="V44" i="3"/>
  <c r="V46" i="3" s="1"/>
  <c r="E42" i="18"/>
  <c r="E44" i="18" s="1"/>
  <c r="E46" i="18" s="1"/>
  <c r="EV31" i="5"/>
  <c r="EV32" i="5"/>
  <c r="I24" i="18"/>
  <c r="I27" i="18" s="1"/>
  <c r="I42" i="18" s="1"/>
  <c r="I44" i="18" s="1"/>
  <c r="I46" i="18" s="1"/>
  <c r="C27" i="18"/>
  <c r="AC44" i="3"/>
  <c r="AC46" i="3" s="1"/>
  <c r="G42" i="18"/>
  <c r="G44" i="18" s="1"/>
  <c r="G46" i="18" s="1"/>
  <c r="EF25" i="5"/>
  <c r="AC59" i="3"/>
  <c r="AC48" i="3" s="1"/>
  <c r="G56" i="18"/>
  <c r="G59" i="18" s="1"/>
  <c r="G48" i="18" s="1"/>
  <c r="BK15" i="3"/>
  <c r="F18" i="2"/>
  <c r="AW9" i="3"/>
  <c r="GR9" i="5"/>
  <c r="GR20" i="5"/>
  <c r="BD63" i="3"/>
  <c r="BD64" i="3" s="1"/>
  <c r="C63" i="2"/>
  <c r="C64" i="2" s="1"/>
  <c r="O63" i="3"/>
  <c r="O64" i="3" s="1"/>
  <c r="BJ29" i="5"/>
  <c r="C50" i="2"/>
  <c r="BJ18" i="3"/>
  <c r="G15" i="2"/>
  <c r="I15" i="2" s="1"/>
  <c r="AL63" i="3"/>
  <c r="AL64" i="3" s="1"/>
  <c r="AL27" i="6"/>
  <c r="BJ35" i="3"/>
  <c r="F35" i="2" s="1"/>
  <c r="AM44" i="3"/>
  <c r="AM46" i="3" s="1"/>
  <c r="AM63" i="3" s="1"/>
  <c r="AM64" i="3" s="1"/>
  <c r="FL19" i="5"/>
  <c r="BZ21" i="5"/>
  <c r="M63" i="3"/>
  <c r="M64" i="3" s="1"/>
  <c r="AR63" i="3"/>
  <c r="AR64" i="3" s="1"/>
  <c r="DH19" i="5"/>
  <c r="H45" i="5"/>
  <c r="H47" i="5" s="1"/>
  <c r="H49" i="5" s="1"/>
  <c r="AH42" i="3" s="1"/>
  <c r="AH44" i="3" s="1"/>
  <c r="AH46" i="3" s="1"/>
  <c r="BT20" i="5"/>
  <c r="M27" i="5"/>
  <c r="M28" i="5" s="1"/>
  <c r="O27" i="5"/>
  <c r="O28" i="5" s="1"/>
  <c r="AG41" i="3"/>
  <c r="C41" i="18" s="1"/>
  <c r="J41" i="18" s="1"/>
  <c r="D41" i="2"/>
  <c r="E41" i="2" s="1"/>
  <c r="BK37" i="3"/>
  <c r="F37" i="2"/>
  <c r="G37" i="2" s="1"/>
  <c r="I37" i="2" s="1"/>
  <c r="BK39" i="3"/>
  <c r="F39" i="2"/>
  <c r="G39" i="2" s="1"/>
  <c r="I39" i="2" s="1"/>
  <c r="AZ63" i="3"/>
  <c r="AZ64" i="3" s="1"/>
  <c r="F37" i="6"/>
  <c r="AF32" i="3"/>
  <c r="AX48" i="3"/>
  <c r="AX63" i="3"/>
  <c r="AX64" i="3" s="1"/>
  <c r="AF18" i="3"/>
  <c r="AG14" i="3"/>
  <c r="C14" i="18" s="1"/>
  <c r="D14" i="2"/>
  <c r="CY18" i="5"/>
  <c r="ET27" i="5"/>
  <c r="X63" i="3"/>
  <c r="X64" i="3" s="1"/>
  <c r="Q63" i="3"/>
  <c r="Q64" i="3" s="1"/>
  <c r="BK30" i="3"/>
  <c r="F30" i="2"/>
  <c r="G30" i="2" s="1"/>
  <c r="I30" i="2" s="1"/>
  <c r="F56" i="2"/>
  <c r="AG43" i="3"/>
  <c r="D43" i="2"/>
  <c r="E43" i="2" s="1"/>
  <c r="G43" i="2" s="1"/>
  <c r="I43" i="2" s="1"/>
  <c r="AT9" i="5"/>
  <c r="J9" i="3"/>
  <c r="AB63" i="3"/>
  <c r="AB64" i="3" s="1"/>
  <c r="ED23" i="5"/>
  <c r="T42" i="3" s="1"/>
  <c r="T35" i="3"/>
  <c r="AF35" i="3" s="1"/>
  <c r="AW48" i="3"/>
  <c r="AW63" i="3"/>
  <c r="AW64" i="3" s="1"/>
  <c r="AD23" i="6"/>
  <c r="ET31" i="5"/>
  <c r="V56" i="3" s="1"/>
  <c r="V54" i="3"/>
  <c r="E54" i="18" s="1"/>
  <c r="AL10" i="6"/>
  <c r="BC9" i="3"/>
  <c r="AC9" i="3"/>
  <c r="AZ48" i="3"/>
  <c r="AQ63" i="3"/>
  <c r="AQ64" i="3" s="1"/>
  <c r="AL50" i="5"/>
  <c r="H42" i="3" s="1"/>
  <c r="H44" i="3" s="1"/>
  <c r="H46" i="3" s="1"/>
  <c r="AG36" i="3"/>
  <c r="D36" i="2"/>
  <c r="E36" i="2" s="1"/>
  <c r="G36" i="2" s="1"/>
  <c r="I36" i="2" s="1"/>
  <c r="AG27" i="3"/>
  <c r="BK24" i="3"/>
  <c r="BK27" i="3" s="1"/>
  <c r="F49" i="5"/>
  <c r="D42" i="3" s="1"/>
  <c r="H36" i="6"/>
  <c r="BA42" i="3" s="1"/>
  <c r="BA44" i="3" s="1"/>
  <c r="BA46" i="3" s="1"/>
  <c r="AG17" i="3"/>
  <c r="D17" i="2"/>
  <c r="E17" i="2" s="1"/>
  <c r="G17" i="2" s="1"/>
  <c r="I17" i="2" s="1"/>
  <c r="BJ59" i="3"/>
  <c r="BJ48" i="3" s="1"/>
  <c r="F53" i="2"/>
  <c r="AA44" i="3"/>
  <c r="AA46" i="3" s="1"/>
  <c r="AG53" i="3"/>
  <c r="C53" i="18" s="1"/>
  <c r="J53" i="18" s="1"/>
  <c r="D53" i="2"/>
  <c r="D27" i="2"/>
  <c r="E24" i="2"/>
  <c r="AY63" i="3"/>
  <c r="AY64" i="3" s="1"/>
  <c r="P22" i="5"/>
  <c r="AI41" i="3" s="1"/>
  <c r="BJ41" i="3" s="1"/>
  <c r="AG40" i="3"/>
  <c r="D40" i="2"/>
  <c r="E40" i="2" s="1"/>
  <c r="G40" i="2" s="1"/>
  <c r="I40" i="2" s="1"/>
  <c r="Z48" i="3"/>
  <c r="L27" i="5"/>
  <c r="L28" i="5" s="1"/>
  <c r="P42" i="3"/>
  <c r="P44" i="3" s="1"/>
  <c r="P46" i="3" s="1"/>
  <c r="CX18" i="5"/>
  <c r="AI32" i="3"/>
  <c r="BJ32" i="3" s="1"/>
  <c r="K63" i="3"/>
  <c r="K64" i="3" s="1"/>
  <c r="F27" i="2"/>
  <c r="G23" i="2"/>
  <c r="F54" i="2"/>
  <c r="Z63" i="3"/>
  <c r="Z64" i="3" s="1"/>
  <c r="J63" i="3"/>
  <c r="J64" i="3" s="1"/>
  <c r="N23" i="5"/>
  <c r="N25" i="5" s="1"/>
  <c r="Y40" i="11" l="1"/>
  <c r="D40" i="10"/>
  <c r="X42" i="11"/>
  <c r="X44" i="11" s="1"/>
  <c r="X61" i="11" s="1"/>
  <c r="X62" i="11" s="1"/>
  <c r="F40" i="10"/>
  <c r="AV40" i="11"/>
  <c r="AV42" i="11" s="1"/>
  <c r="AV44" i="11" s="1"/>
  <c r="AU42" i="11"/>
  <c r="AU44" i="11" s="1"/>
  <c r="AU61" i="11" s="1"/>
  <c r="AU62" i="11" s="1"/>
  <c r="BK17" i="3"/>
  <c r="C17" i="18"/>
  <c r="J17" i="18" s="1"/>
  <c r="J14" i="18"/>
  <c r="AC63" i="3"/>
  <c r="AC64" i="3" s="1"/>
  <c r="J24" i="18"/>
  <c r="J27" i="18" s="1"/>
  <c r="BK43" i="3"/>
  <c r="C43" i="18"/>
  <c r="J43" i="18" s="1"/>
  <c r="BK40" i="3"/>
  <c r="C40" i="18"/>
  <c r="J40" i="18" s="1"/>
  <c r="BK36" i="3"/>
  <c r="C36" i="18"/>
  <c r="J36" i="18" s="1"/>
  <c r="AF56" i="3"/>
  <c r="D56" i="2" s="1"/>
  <c r="E56" i="2" s="1"/>
  <c r="G56" i="2" s="1"/>
  <c r="I56" i="2" s="1"/>
  <c r="E56" i="18"/>
  <c r="E59" i="18" s="1"/>
  <c r="E48" i="18" s="1"/>
  <c r="AX9" i="3"/>
  <c r="GZ9" i="5"/>
  <c r="P23" i="5"/>
  <c r="P25" i="5" s="1"/>
  <c r="H50" i="5"/>
  <c r="AL51" i="5"/>
  <c r="ET32" i="5"/>
  <c r="N27" i="5"/>
  <c r="E42" i="3" s="1"/>
  <c r="E44" i="3" s="1"/>
  <c r="E46" i="3" s="1"/>
  <c r="AH63" i="3"/>
  <c r="H63" i="3"/>
  <c r="H64" i="3" s="1"/>
  <c r="E53" i="2"/>
  <c r="AG35" i="3"/>
  <c r="D35" i="2"/>
  <c r="E35" i="2" s="1"/>
  <c r="G35" i="2" s="1"/>
  <c r="H37" i="6"/>
  <c r="AN10" i="6"/>
  <c r="BD9" i="3"/>
  <c r="AV10" i="6" s="1"/>
  <c r="T44" i="3"/>
  <c r="T46" i="3" s="1"/>
  <c r="D18" i="2"/>
  <c r="E14" i="2"/>
  <c r="AG18" i="3"/>
  <c r="BK14" i="3"/>
  <c r="BK18" i="3" s="1"/>
  <c r="I23" i="2"/>
  <c r="P63" i="3"/>
  <c r="P64" i="3" s="1"/>
  <c r="F32" i="2"/>
  <c r="G24" i="2"/>
  <c r="I24" i="2" s="1"/>
  <c r="E27" i="2"/>
  <c r="BK53" i="3"/>
  <c r="AF54" i="3"/>
  <c r="V59" i="3"/>
  <c r="BB9" i="5"/>
  <c r="K9" i="3"/>
  <c r="D44" i="3"/>
  <c r="D46" i="3" s="1"/>
  <c r="BA63" i="3"/>
  <c r="BA64" i="3" s="1"/>
  <c r="BK41" i="3"/>
  <c r="F41" i="2"/>
  <c r="G41" i="2" s="1"/>
  <c r="AA63" i="3"/>
  <c r="AA64" i="3" s="1"/>
  <c r="F59" i="2"/>
  <c r="F48" i="2" s="1"/>
  <c r="F50" i="5"/>
  <c r="BB10" i="6"/>
  <c r="AD9" i="3"/>
  <c r="AE9" i="3" s="1"/>
  <c r="ED25" i="5"/>
  <c r="AG32" i="3"/>
  <c r="D32" i="2"/>
  <c r="E32" i="2" s="1"/>
  <c r="P27" i="5"/>
  <c r="AI42" i="3" s="1"/>
  <c r="F42" i="10" l="1"/>
  <c r="F44" i="10" s="1"/>
  <c r="F61" i="10" s="1"/>
  <c r="F62" i="10" s="1"/>
  <c r="E40" i="10"/>
  <c r="E42" i="10" s="1"/>
  <c r="E44" i="10" s="1"/>
  <c r="D42" i="10"/>
  <c r="D44" i="10" s="1"/>
  <c r="D61" i="10" s="1"/>
  <c r="D62" i="10" s="1"/>
  <c r="J18" i="18"/>
  <c r="AV48" i="11"/>
  <c r="AV61" i="11"/>
  <c r="AV62" i="11" s="1"/>
  <c r="Y42" i="11"/>
  <c r="Y44" i="11" s="1"/>
  <c r="C39" i="19"/>
  <c r="C18" i="18"/>
  <c r="AG56" i="3"/>
  <c r="BK56" i="3" s="1"/>
  <c r="BK32" i="3"/>
  <c r="C32" i="18"/>
  <c r="J32" i="18" s="1"/>
  <c r="BK35" i="3"/>
  <c r="C35" i="18"/>
  <c r="J35" i="18" s="1"/>
  <c r="HH9" i="5"/>
  <c r="AY9" i="3"/>
  <c r="G27" i="2"/>
  <c r="D54" i="2"/>
  <c r="AG54" i="3"/>
  <c r="C54" i="18" s="1"/>
  <c r="J54" i="18" s="1"/>
  <c r="AF59" i="3"/>
  <c r="T63" i="3"/>
  <c r="T64" i="3" s="1"/>
  <c r="AH64" i="3"/>
  <c r="E63" i="3"/>
  <c r="E64" i="3" s="1"/>
  <c r="BJ9" i="5"/>
  <c r="L9" i="3"/>
  <c r="AI44" i="3"/>
  <c r="AI46" i="3" s="1"/>
  <c r="D63" i="3"/>
  <c r="G14" i="2"/>
  <c r="E18" i="2"/>
  <c r="G53" i="2"/>
  <c r="G32" i="2"/>
  <c r="V48" i="3"/>
  <c r="V63" i="3"/>
  <c r="V64" i="3" s="1"/>
  <c r="I27" i="2"/>
  <c r="P28" i="5"/>
  <c r="N28" i="5"/>
  <c r="Y48" i="11" l="1"/>
  <c r="Y61" i="11"/>
  <c r="Y62" i="11" s="1"/>
  <c r="E48" i="10"/>
  <c r="E61" i="10"/>
  <c r="E62" i="10" s="1"/>
  <c r="H39" i="19"/>
  <c r="H41" i="19" s="1"/>
  <c r="H43" i="19" s="1"/>
  <c r="H47" i="19" s="1"/>
  <c r="C41" i="19"/>
  <c r="C43" i="19" s="1"/>
  <c r="G40" i="10"/>
  <c r="G42" i="10" s="1"/>
  <c r="G44" i="10" s="1"/>
  <c r="C56" i="18"/>
  <c r="J56" i="18" s="1"/>
  <c r="J59" i="18" s="1"/>
  <c r="HP9" i="5"/>
  <c r="AZ9" i="3"/>
  <c r="HX9" i="5" s="1"/>
  <c r="E54" i="2"/>
  <c r="D59" i="2"/>
  <c r="D48" i="2" s="1"/>
  <c r="G18" i="2"/>
  <c r="D64" i="3"/>
  <c r="BR9" i="5"/>
  <c r="AK9" i="3"/>
  <c r="BT9" i="5" s="1"/>
  <c r="M9" i="3"/>
  <c r="AF48" i="3"/>
  <c r="I53" i="2"/>
  <c r="AI63" i="3"/>
  <c r="BK54" i="3"/>
  <c r="BK59" i="3" s="1"/>
  <c r="BK48" i="3" s="1"/>
  <c r="AG59" i="3"/>
  <c r="AG48" i="3" s="1"/>
  <c r="C17" i="8" l="1"/>
  <c r="C18" i="8" s="1"/>
  <c r="C21" i="8" s="1"/>
  <c r="G61" i="10"/>
  <c r="G62" i="10" s="1"/>
  <c r="G48" i="10"/>
  <c r="C47" i="19"/>
  <c r="D47" i="19" s="1"/>
  <c r="E47" i="19" s="1"/>
  <c r="C59" i="18"/>
  <c r="C48" i="18" s="1"/>
  <c r="J48" i="18" s="1"/>
  <c r="BZ9" i="5"/>
  <c r="N9" i="3"/>
  <c r="AL9" i="3"/>
  <c r="CB9" i="5" s="1"/>
  <c r="AI64" i="3"/>
  <c r="G54" i="2"/>
  <c r="E59" i="2"/>
  <c r="F47" i="19" l="1"/>
  <c r="G47" i="19" s="1"/>
  <c r="H33" i="10"/>
  <c r="I33" i="10" s="1"/>
  <c r="C28" i="8"/>
  <c r="C30" i="8" s="1"/>
  <c r="H14" i="10"/>
  <c r="H30" i="10"/>
  <c r="H39" i="10"/>
  <c r="I39" i="10" s="1"/>
  <c r="H40" i="10"/>
  <c r="I40" i="10" s="1"/>
  <c r="AD14" i="5"/>
  <c r="AC14" i="5"/>
  <c r="AC19" i="5" s="1"/>
  <c r="E48" i="2"/>
  <c r="I54" i="2"/>
  <c r="I59" i="2" s="1"/>
  <c r="I48" i="2" s="1"/>
  <c r="C12" i="1" s="1"/>
  <c r="C15" i="1" s="1"/>
  <c r="G59" i="2"/>
  <c r="CH9" i="5"/>
  <c r="O9" i="3"/>
  <c r="H17" i="10" l="1"/>
  <c r="I14" i="10"/>
  <c r="I17" i="10" s="1"/>
  <c r="H42" i="10"/>
  <c r="I30" i="10"/>
  <c r="I42" i="10" s="1"/>
  <c r="CP9" i="5"/>
  <c r="P9" i="3"/>
  <c r="CX9" i="5" s="1"/>
  <c r="AE14" i="5"/>
  <c r="G48" i="2"/>
  <c r="AD19" i="5"/>
  <c r="AD21" i="5" s="1"/>
  <c r="AC21" i="5"/>
  <c r="AC22" i="5" s="1"/>
  <c r="I44" i="10" l="1"/>
  <c r="H44" i="10"/>
  <c r="H61" i="10" s="1"/>
  <c r="H62" i="10" s="1"/>
  <c r="I11" i="10"/>
  <c r="AD22" i="5"/>
  <c r="G42" i="3"/>
  <c r="AF14" i="5"/>
  <c r="AE19" i="5"/>
  <c r="I61" i="10" l="1"/>
  <c r="I62" i="10" s="1"/>
  <c r="I48" i="10"/>
  <c r="AF19" i="5"/>
  <c r="AF21" i="5" s="1"/>
  <c r="AE21" i="5"/>
  <c r="AE22" i="5" s="1"/>
  <c r="G44" i="3"/>
  <c r="G46" i="3" s="1"/>
  <c r="G63" i="3" l="1"/>
  <c r="AF22" i="5"/>
  <c r="AJ42" i="3"/>
  <c r="G64" i="3" l="1"/>
  <c r="AJ44" i="3"/>
  <c r="AJ46" i="3" s="1"/>
  <c r="AJ63" i="3" l="1"/>
  <c r="AJ64" i="3" l="1"/>
  <c r="FX31" i="5" l="1"/>
  <c r="FX32" i="5" s="1"/>
  <c r="DW32" i="5"/>
  <c r="DW34" i="5" s="1"/>
  <c r="DO29" i="5"/>
  <c r="DO30" i="5" s="1"/>
  <c r="DN29" i="5"/>
  <c r="FZ31" i="5" l="1"/>
  <c r="W42" i="3" s="1"/>
  <c r="W44" i="3" s="1"/>
  <c r="W46" i="3" s="1"/>
  <c r="DL29" i="5"/>
  <c r="DL30" i="5" s="1"/>
  <c r="DN30" i="5"/>
  <c r="R42" i="3"/>
  <c r="DP29" i="5"/>
  <c r="GA31" i="5"/>
  <c r="GA32" i="5" s="1"/>
  <c r="DT32" i="5"/>
  <c r="DT34" i="5" s="1"/>
  <c r="DU32" i="5"/>
  <c r="DU34" i="5" s="1"/>
  <c r="GB31" i="5"/>
  <c r="DX32" i="5"/>
  <c r="DV32" i="5"/>
  <c r="FY31" i="5"/>
  <c r="FY32" i="5" s="1"/>
  <c r="DM29" i="5"/>
  <c r="DM30" i="5" s="1"/>
  <c r="FZ32" i="5" l="1"/>
  <c r="DX34" i="5"/>
  <c r="AO42" i="3"/>
  <c r="AO44" i="3" s="1"/>
  <c r="AO46" i="3" s="1"/>
  <c r="R44" i="3"/>
  <c r="R46" i="3" s="1"/>
  <c r="GB32" i="5"/>
  <c r="AT42" i="3"/>
  <c r="AT44" i="3" s="1"/>
  <c r="AT46" i="3" s="1"/>
  <c r="W63" i="3"/>
  <c r="W64" i="3" s="1"/>
  <c r="DV34" i="5"/>
  <c r="S42" i="3"/>
  <c r="S44" i="3" s="1"/>
  <c r="S46" i="3" s="1"/>
  <c r="DP30" i="5"/>
  <c r="AN42" i="3"/>
  <c r="S63" i="3" l="1"/>
  <c r="S64" i="3" s="1"/>
  <c r="BJ42" i="3"/>
  <c r="AN44" i="3"/>
  <c r="AN46" i="3" s="1"/>
  <c r="AT63" i="3"/>
  <c r="AT64" i="3" s="1"/>
  <c r="R63" i="3"/>
  <c r="AF42" i="3"/>
  <c r="AO63" i="3"/>
  <c r="AO64" i="3" s="1"/>
  <c r="AF44" i="3" l="1"/>
  <c r="AF46" i="3" s="1"/>
  <c r="D42" i="2"/>
  <c r="AG42" i="3"/>
  <c r="AF63" i="3"/>
  <c r="R64" i="3"/>
  <c r="BJ44" i="3"/>
  <c r="BJ46" i="3" s="1"/>
  <c r="F42" i="2"/>
  <c r="F44" i="2" s="1"/>
  <c r="F46" i="2" s="1"/>
  <c r="F63" i="2" s="1"/>
  <c r="F64" i="2" s="1"/>
  <c r="AN63" i="3"/>
  <c r="AG44" i="3" l="1"/>
  <c r="AG46" i="3" s="1"/>
  <c r="AG50" i="3" s="1"/>
  <c r="C42" i="18"/>
  <c r="BK42" i="3"/>
  <c r="BK44" i="3" s="1"/>
  <c r="BK46" i="3" s="1"/>
  <c r="BK50" i="3" s="1"/>
  <c r="BJ63" i="3"/>
  <c r="AN64" i="3"/>
  <c r="BJ64" i="3" s="1"/>
  <c r="D44" i="2"/>
  <c r="D46" i="2" s="1"/>
  <c r="D63" i="2" s="1"/>
  <c r="D64" i="2" s="1"/>
  <c r="E42" i="2"/>
  <c r="AG63" i="3"/>
  <c r="AG64" i="3" s="1"/>
  <c r="AF64" i="3"/>
  <c r="C44" i="18" l="1"/>
  <c r="C46" i="18" s="1"/>
  <c r="J42" i="18"/>
  <c r="J44" i="18" s="1"/>
  <c r="J46" i="18" s="1"/>
  <c r="J50" i="18" s="1"/>
  <c r="BK63" i="3"/>
  <c r="BK64" i="3" s="1"/>
  <c r="G42" i="2"/>
  <c r="E44" i="2"/>
  <c r="E46" i="2" s="1"/>
  <c r="C50" i="18" l="1"/>
  <c r="D50" i="18" s="1"/>
  <c r="E50" i="2"/>
  <c r="E63" i="2"/>
  <c r="E64" i="2" s="1"/>
  <c r="G44" i="2"/>
  <c r="G46" i="2" s="1"/>
  <c r="C17" i="1" s="1"/>
  <c r="C18" i="1" s="1"/>
  <c r="C21" i="1" s="1"/>
  <c r="C28" i="1" s="1"/>
  <c r="E50" i="18" l="1"/>
  <c r="F50" i="18" s="1"/>
  <c r="G50" i="18" s="1"/>
  <c r="G63" i="2"/>
  <c r="G64" i="2" s="1"/>
  <c r="G50" i="2"/>
  <c r="H50" i="18" l="1"/>
  <c r="I50" i="18" s="1"/>
  <c r="H35" i="2"/>
  <c r="I35" i="2" s="1"/>
  <c r="H14" i="2"/>
  <c r="H32" i="2"/>
  <c r="H42" i="2"/>
  <c r="I42" i="2" s="1"/>
  <c r="H41" i="2"/>
  <c r="I41" i="2" s="1"/>
  <c r="I32" i="2" l="1"/>
  <c r="I44" i="2" s="1"/>
  <c r="H44" i="2"/>
  <c r="I14" i="2"/>
  <c r="I18" i="2" s="1"/>
  <c r="H18" i="2"/>
  <c r="I46" i="2" l="1"/>
  <c r="I63" i="2" s="1"/>
  <c r="I64" i="2" s="1"/>
  <c r="I11" i="2"/>
  <c r="H46" i="2"/>
  <c r="H63" i="2" s="1"/>
  <c r="H64" i="2" s="1"/>
  <c r="I50" i="2" l="1"/>
  <c r="C34" i="1" l="1"/>
  <c r="C30" i="1"/>
</calcChain>
</file>

<file path=xl/sharedStrings.xml><?xml version="1.0" encoding="utf-8"?>
<sst xmlns="http://schemas.openxmlformats.org/spreadsheetml/2006/main" count="4368" uniqueCount="1494">
  <si>
    <t>(1) AMOUNT RELATED TO WHOLESALE</t>
  </si>
  <si>
    <r>
      <t>NET REVENUE CHANGE REQUEST</t>
    </r>
    <r>
      <rPr>
        <sz val="10"/>
        <rFont val="Times New Roman"/>
        <family val="1"/>
      </rPr>
      <t>ED EXH. JAP-14</t>
    </r>
  </si>
  <si>
    <t>NET REVENUE CHANGE BEFORE ATTRITION</t>
  </si>
  <si>
    <t>SUBTOTAL CHANGES TO OTHER PRICE SCHEDULES</t>
  </si>
  <si>
    <t>INCREASE TO SCHEDULE 141Y TEMPORARY FEDERAL INCOME TAX RATE CREDIT</t>
  </si>
  <si>
    <t>DECREASE TO SCHEDULE 141 EXPEDITED RATE FILING RATE ADJUSTMENT</t>
  </si>
  <si>
    <t>DECREASE TO SCHEDULE 95 POWER COST ADJUSTMENT CLAUSE</t>
  </si>
  <si>
    <r>
      <t xml:space="preserve">CHANGES TO OTHER PRICE SCHEDULES FROM </t>
    </r>
    <r>
      <rPr>
        <sz val="10"/>
        <rFont val="Times New Roman"/>
        <family val="1"/>
      </rPr>
      <t>EXH. JAP-14:</t>
    </r>
  </si>
  <si>
    <t>CONVERSION FACTOR</t>
  </si>
  <si>
    <t>TOTAL AFTER TAX COST OF CAPITAL</t>
  </si>
  <si>
    <t>OPERATING INCOME DEFICIENCY</t>
  </si>
  <si>
    <t>EQUITY</t>
  </si>
  <si>
    <t>PRO FORMA OPERATING INCOME</t>
  </si>
  <si>
    <t>SUM OF TAXES OTHER</t>
  </si>
  <si>
    <t>AFTER TAX SHORT TERM DEBT ( (LINE 1)* 79%)</t>
  </si>
  <si>
    <t>OPERATING INCOME REQUIREMENT</t>
  </si>
  <si>
    <t>TOTAL</t>
  </si>
  <si>
    <t>ANNUAL FILING FEE</t>
  </si>
  <si>
    <t>RATE OF RETURN</t>
  </si>
  <si>
    <t>BAD DEBTS</t>
  </si>
  <si>
    <t>SHORT AND LONG TERM DEBT</t>
  </si>
  <si>
    <t>RATE BASE</t>
  </si>
  <si>
    <t>DESCRIPTION</t>
  </si>
  <si>
    <t>NO.</t>
  </si>
  <si>
    <t>COST</t>
  </si>
  <si>
    <t>STRUCTURE</t>
  </si>
  <si>
    <t>LINE</t>
  </si>
  <si>
    <t>WEIGHTED</t>
  </si>
  <si>
    <t>CAPITAL</t>
  </si>
  <si>
    <t>COST OF CAPITAL - GRC</t>
  </si>
  <si>
    <t>GENERAL RATE INCREASE</t>
  </si>
  <si>
    <t>ELECTRIC RESULTS OF OPERATIONS</t>
  </si>
  <si>
    <t xml:space="preserve">PUGET SOUND ENERGY </t>
  </si>
  <si>
    <t>Revenue Requirement or (Surplus)</t>
  </si>
  <si>
    <t>Surplus / (Deficiency)</t>
  </si>
  <si>
    <t>CF</t>
  </si>
  <si>
    <t>ROR</t>
  </si>
  <si>
    <t>TOTAL RATE BASE</t>
  </si>
  <si>
    <t xml:space="preserve">  OTHER</t>
  </si>
  <si>
    <t xml:space="preserve">  ALLOWANCE FOR WORKING CAPITAL</t>
  </si>
  <si>
    <t xml:space="preserve">  DEFERRED TAXES</t>
  </si>
  <si>
    <t xml:space="preserve">  DEFERRED DEBITS AND CREDITS</t>
  </si>
  <si>
    <t>ACCUM DEPR AND AMORT</t>
  </si>
  <si>
    <t>GROSS UTILITY PLANT IN SERVICE</t>
  </si>
  <si>
    <t>RATE BASE:</t>
  </si>
  <si>
    <t>`</t>
  </si>
  <si>
    <t xml:space="preserve">RATE BASE </t>
  </si>
  <si>
    <t>NET OPERATING INCOME</t>
  </si>
  <si>
    <t>TOTAL OPERATING REV. DEDUCT.</t>
  </si>
  <si>
    <t>DEFERRED INCOME TAXES</t>
  </si>
  <si>
    <t>INCOME TAXES</t>
  </si>
  <si>
    <t>TAXES OTHER THAN INCOME TAXES</t>
  </si>
  <si>
    <t>ASC 815</t>
  </si>
  <si>
    <t>OTHER OPERATING EXPENSES</t>
  </si>
  <si>
    <t>AMORTIZ OF PROPERTY GAIN/LOSS</t>
  </si>
  <si>
    <t>AMORTIZATION</t>
  </si>
  <si>
    <t>DEPRECIATION</t>
  </si>
  <si>
    <t>ADMIN &amp; GENERAL EXPENSE</t>
  </si>
  <si>
    <t>CONSERVATION AMORTIZATION</t>
  </si>
  <si>
    <t>CUSTOMER SERVICE EXPENSES</t>
  </si>
  <si>
    <t>CUSTOMER ACCTS EXPENSES</t>
  </si>
  <si>
    <t>DISTRIBUTION EXPENSE</t>
  </si>
  <si>
    <t>TRANSMISSION EXPENSE</t>
  </si>
  <si>
    <t>OTHER POWER SUPPLY EXPENSES</t>
  </si>
  <si>
    <t>TOTAL PRODUCTION EXPENSES</t>
  </si>
  <si>
    <t xml:space="preserve"> RESIDENTIAL EXCHANGE</t>
  </si>
  <si>
    <t xml:space="preserve"> WHEELING</t>
  </si>
  <si>
    <t xml:space="preserve"> PURCHASED AND INTERCHANGED</t>
  </si>
  <si>
    <t xml:space="preserve"> FUEL</t>
  </si>
  <si>
    <t>POWER COSTS:</t>
  </si>
  <si>
    <t>OPERATING REVENUE DEDUCTIONS:</t>
  </si>
  <si>
    <t>TOTAL OPERATING REVENUES</t>
  </si>
  <si>
    <t>OTHER OPERATING REVENUES</t>
  </si>
  <si>
    <t>SALES TO OTHER UTILITIES</t>
  </si>
  <si>
    <t>SALES FROM RESALE-FIRM/SPECIAL CONTRACT</t>
  </si>
  <si>
    <t>SALES TO CUSTOMERS</t>
  </si>
  <si>
    <t>OPERATING REVENUES</t>
  </si>
  <si>
    <t>g = e + f</t>
  </si>
  <si>
    <t>f</t>
  </si>
  <si>
    <t>e = c + d</t>
  </si>
  <si>
    <t>d</t>
  </si>
  <si>
    <t>c = a + b</t>
  </si>
  <si>
    <t>b</t>
  </si>
  <si>
    <t>a</t>
  </si>
  <si>
    <t>BASE RATES</t>
  </si>
  <si>
    <t>OPERATIONS</t>
  </si>
  <si>
    <t>ADJUSTMENTS</t>
  </si>
  <si>
    <t xml:space="preserve">OPERATIONS </t>
  </si>
  <si>
    <t>RATE</t>
  </si>
  <si>
    <t>CHANGE TO</t>
  </si>
  <si>
    <t>RESULTS OF</t>
  </si>
  <si>
    <t>PROFORMA</t>
  </si>
  <si>
    <t xml:space="preserve">RESTATING </t>
  </si>
  <si>
    <t>AFTER</t>
  </si>
  <si>
    <t>NET REVENUE</t>
  </si>
  <si>
    <t>ADJUSTED</t>
  </si>
  <si>
    <t>RESTATED</t>
  </si>
  <si>
    <t>ACTUAL</t>
  </si>
  <si>
    <t>AND ADJUSTMENTS</t>
  </si>
  <si>
    <t>EXH. SEF-4E page 1 of 7</t>
  </si>
  <si>
    <t>ELECTRIC STATEMENT OF OPERATING INCOME</t>
  </si>
  <si>
    <t>*</t>
  </si>
  <si>
    <t>be = ∑ ad thru bd</t>
  </si>
  <si>
    <t>bg</t>
  </si>
  <si>
    <t>bf</t>
  </si>
  <si>
    <t>bd</t>
  </si>
  <si>
    <t>bc</t>
  </si>
  <si>
    <t>bb</t>
  </si>
  <si>
    <t>ba</t>
  </si>
  <si>
    <t>az</t>
  </si>
  <si>
    <t>ay</t>
  </si>
  <si>
    <t>ax</t>
  </si>
  <si>
    <t>aw</t>
  </si>
  <si>
    <t>av</t>
  </si>
  <si>
    <t>au</t>
  </si>
  <si>
    <t>at</t>
  </si>
  <si>
    <t>as</t>
  </si>
  <si>
    <t>ar</t>
  </si>
  <si>
    <t>aq</t>
  </si>
  <si>
    <t>ap</t>
  </si>
  <si>
    <t>ao</t>
  </si>
  <si>
    <t>an</t>
  </si>
  <si>
    <t>am</t>
  </si>
  <si>
    <t>al</t>
  </si>
  <si>
    <t>ak</t>
  </si>
  <si>
    <t>aj</t>
  </si>
  <si>
    <t>ai</t>
  </si>
  <si>
    <t>ah</t>
  </si>
  <si>
    <t>ag</t>
  </si>
  <si>
    <t>af</t>
  </si>
  <si>
    <t>ad</t>
  </si>
  <si>
    <t>ac = a + ab</t>
  </si>
  <si>
    <t>ab = ∑ b thru aa</t>
  </si>
  <si>
    <t>ac</t>
  </si>
  <si>
    <t>ab</t>
  </si>
  <si>
    <t>aa</t>
  </si>
  <si>
    <t>z</t>
  </si>
  <si>
    <t>y</t>
  </si>
  <si>
    <t>x</t>
  </si>
  <si>
    <t xml:space="preserve">w </t>
  </si>
  <si>
    <t>v</t>
  </si>
  <si>
    <t>u</t>
  </si>
  <si>
    <t>t</t>
  </si>
  <si>
    <t>s</t>
  </si>
  <si>
    <t>r</t>
  </si>
  <si>
    <t xml:space="preserve">q </t>
  </si>
  <si>
    <t xml:space="preserve">p </t>
  </si>
  <si>
    <t>o</t>
  </si>
  <si>
    <t>n</t>
  </si>
  <si>
    <t>m</t>
  </si>
  <si>
    <t>l</t>
  </si>
  <si>
    <t>k</t>
  </si>
  <si>
    <t>j</t>
  </si>
  <si>
    <t>i</t>
  </si>
  <si>
    <t>h</t>
  </si>
  <si>
    <t>g</t>
  </si>
  <si>
    <t>e</t>
  </si>
  <si>
    <t xml:space="preserve">c </t>
  </si>
  <si>
    <t>OPEN</t>
  </si>
  <si>
    <t>SYSTEM (EMS)</t>
  </si>
  <si>
    <t>WEIGHT CABLE</t>
  </si>
  <si>
    <t>EIM</t>
  </si>
  <si>
    <t>ASSETS &amp; LIAB</t>
  </si>
  <si>
    <t>DAMAGE</t>
  </si>
  <si>
    <t>TAX</t>
  </si>
  <si>
    <t>HR TOPS</t>
  </si>
  <si>
    <t>ESCALATIONS</t>
  </si>
  <si>
    <t>IMPROVEMENT</t>
  </si>
  <si>
    <t>TECTED DFIT</t>
  </si>
  <si>
    <t>AMORT</t>
  </si>
  <si>
    <t>&amp; DFRL</t>
  </si>
  <si>
    <t>RENT EXP</t>
  </si>
  <si>
    <t/>
  </si>
  <si>
    <t>REMEDIATION</t>
  </si>
  <si>
    <t>PROPERTY SALES</t>
  </si>
  <si>
    <t>INSURANCE</t>
  </si>
  <si>
    <t>PLAN</t>
  </si>
  <si>
    <t>INCREASE</t>
  </si>
  <si>
    <t>LIABILITY INS</t>
  </si>
  <si>
    <t>&amp; FILING FEE</t>
  </si>
  <si>
    <t>INTEREST</t>
  </si>
  <si>
    <t>NORMALIZATION</t>
  </si>
  <si>
    <t>&amp; EXPENSES</t>
  </si>
  <si>
    <t>815</t>
  </si>
  <si>
    <t>SOLAR</t>
  </si>
  <si>
    <t>COSTS</t>
  </si>
  <si>
    <t xml:space="preserve"> INSURANCE</t>
  </si>
  <si>
    <t>PAYROLL TAX</t>
  </si>
  <si>
    <t>LIAB INSURANCE</t>
  </si>
  <si>
    <t>EXPENSE</t>
  </si>
  <si>
    <t>CUST DEPOSITS</t>
  </si>
  <si>
    <t>PAY</t>
  </si>
  <si>
    <t>DEBTS</t>
  </si>
  <si>
    <t>DAMAGES</t>
  </si>
  <si>
    <t>REV &amp; EXP</t>
  </si>
  <si>
    <t>INCOME TAX</t>
  </si>
  <si>
    <t>PROFORMING</t>
  </si>
  <si>
    <t>ENERGY MGMT</t>
  </si>
  <si>
    <t>HIGH MOLECULAR</t>
  </si>
  <si>
    <t>REMOVE</t>
  </si>
  <si>
    <t xml:space="preserve">REGULATORY </t>
  </si>
  <si>
    <t xml:space="preserve">STORM </t>
  </si>
  <si>
    <t>MONTANA</t>
  </si>
  <si>
    <t>POWER</t>
  </si>
  <si>
    <t>CONTRACT</t>
  </si>
  <si>
    <t>PUBLIC</t>
  </si>
  <si>
    <t>REMOVE UNPRO-</t>
  </si>
  <si>
    <t>CREDIT  CARD</t>
  </si>
  <si>
    <t>GTZ PLANT</t>
  </si>
  <si>
    <t>ANNUALIZE</t>
  </si>
  <si>
    <t>AMI</t>
  </si>
  <si>
    <t>ENVIRON</t>
  </si>
  <si>
    <t>DEFERRED G/L ON</t>
  </si>
  <si>
    <t>EMPLOYEE</t>
  </si>
  <si>
    <t>INVESTMENT</t>
  </si>
  <si>
    <t>WAGE</t>
  </si>
  <si>
    <t>PROPERTY &amp;</t>
  </si>
  <si>
    <t>D&amp;O</t>
  </si>
  <si>
    <t xml:space="preserve">EXCISE TAX </t>
  </si>
  <si>
    <t>TAX BENEFIT OF</t>
  </si>
  <si>
    <t>TEMPERATURE</t>
  </si>
  <si>
    <t>REVENUES</t>
  </si>
  <si>
    <t>RESTATING</t>
  </si>
  <si>
    <t>COLSTRIP</t>
  </si>
  <si>
    <t>ASC</t>
  </si>
  <si>
    <t>WILD HORSE</t>
  </si>
  <si>
    <t>AMA TO EOP</t>
  </si>
  <si>
    <t>WAGE &amp;</t>
  </si>
  <si>
    <t>PROPERTY AND</t>
  </si>
  <si>
    <t>PENSION</t>
  </si>
  <si>
    <t>RATE CASE</t>
  </si>
  <si>
    <t xml:space="preserve">INTEREST ON </t>
  </si>
  <si>
    <t>INCENTIVE</t>
  </si>
  <si>
    <t>BAD</t>
  </si>
  <si>
    <t>INJURIES &amp;</t>
  </si>
  <si>
    <t>PASS-THROUGH</t>
  </si>
  <si>
    <t>FEDERAL</t>
  </si>
  <si>
    <t>reversing</t>
  </si>
  <si>
    <t>ELECTRIC</t>
  </si>
  <si>
    <t>COMMON</t>
  </si>
  <si>
    <t>EXH. SEF-4E page 7 of 7</t>
  </si>
  <si>
    <t>EXH. SEF-4E page 6 of 7</t>
  </si>
  <si>
    <t>EXH. SEF-4E page 5 of 7</t>
  </si>
  <si>
    <t>EXH. SEF-4E page 4 of 7</t>
  </si>
  <si>
    <t>EXH. SEF-4E page 3 of 7</t>
  </si>
  <si>
    <t>EXH. SEF-4E page 2 of 7</t>
  </si>
  <si>
    <t>COST OF CAPITAL - TEST YEAR</t>
  </si>
  <si>
    <t>RESTATED AND PROFORMA AMOUNTS AND SO ONLY THE AMOUNT OF THE ADJUSTMENTS IS DISPLAYED</t>
  </si>
  <si>
    <t>NOTE 1 - BECAUSE REVENUES ARE REFLECTED IN MULTIPLE REVENUE REQUIREMENT ADJUSTMENTS, IT IS NOT POSSIBLE TO PORTRAY TEST YEAR,</t>
  </si>
  <si>
    <t>INCREASE (DECREASE) NOI</t>
  </si>
  <si>
    <t>INCREASE (DECREASE) FIT</t>
  </si>
  <si>
    <t>INCREASE (DECREASE) OPERATING INCOME BEFORE FIT</t>
  </si>
  <si>
    <t>INCREASE (DECREASE) FIT @</t>
  </si>
  <si>
    <t>INCREASE (DECREASE) INCOME</t>
  </si>
  <si>
    <t>GREEN POWER - SCH 135/136 TAXES PORTION OF ADMIN</t>
  </si>
  <si>
    <t>GREEN POWER - SCH 135/136 BENEFITS PORTION OF ADMIN</t>
  </si>
  <si>
    <t>TOTAL INCREASE (DECREASE) RSI</t>
  </si>
  <si>
    <t>GREEN POWER - SCH 135/136 CHARGED TO C.99999.03.37.01</t>
  </si>
  <si>
    <t xml:space="preserve">STATE UTILITY TAX </t>
  </si>
  <si>
    <t>GREEN POWER - SCH 135/136 TAGS CHARGED TO 557 (removed in Pwr Cost Adj)</t>
  </si>
  <si>
    <t>ANNUAL FILING FEE @</t>
  </si>
  <si>
    <t>REMOVE AMORT ON INTEREST ON REC PROCEEDS SCH 137</t>
  </si>
  <si>
    <t>UNCOLLECTIBLES @</t>
  </si>
  <si>
    <t xml:space="preserve">(2)  AMORT OF DEFERRAL OF RETURN ON INVESTMENT </t>
  </si>
  <si>
    <t>REMOVE RESIDENTIAL EXCHANGE - SCH 194</t>
  </si>
  <si>
    <t>(1)  PRO FORMA PLANT ADDITIONS</t>
  </si>
  <si>
    <t>REMOVE LOW INCOME AMORTIZATION - SCHEDULE 129</t>
  </si>
  <si>
    <t>REMOVE MUNICIPAL TAXES - SCHEDULE 81</t>
  </si>
  <si>
    <t>TOTAL INCREASE (DECREASE) EXPENSES</t>
  </si>
  <si>
    <t>REMOVE PROPERTY TAX AMORTIZATION EXP - SCHEDULE 140</t>
  </si>
  <si>
    <t>REMOVE ACCRUAL FOR FUTURE PTC LIABILITY</t>
  </si>
  <si>
    <t>REMOVE CONSERVATION RIDER - SCHEDULE 120</t>
  </si>
  <si>
    <t>NOTE 1</t>
  </si>
  <si>
    <t>REMOVE SCHEDULE 95A TREASURY GRANTS AMORTIZATION OF INTEREST AND GRANTS</t>
  </si>
  <si>
    <t>REMOVE EXPENSES ASSOCIATED WITH RIDERS</t>
  </si>
  <si>
    <t>INCREASE (DECREASE ) EXPENSE</t>
  </si>
  <si>
    <t>Four Factor Allocator</t>
  </si>
  <si>
    <t>TOTAL OPERATING EXPENSES</t>
  </si>
  <si>
    <t>STATE UTILITY TAX</t>
  </si>
  <si>
    <t>AMORT OF DEF'D DEPREC THROUGH APR 2020:  3YRS MAY '20 - APR '23  (3)</t>
  </si>
  <si>
    <t>AMORTIZATION OF CARRYING CHARGES DEFERRAL</t>
  </si>
  <si>
    <t>INCREASE(DECREASE) NOI</t>
  </si>
  <si>
    <t>TOTAL ADJUSTMENT TO RATEBASE</t>
  </si>
  <si>
    <t>TOTAL INCREASE (DECREASE) REVENUES - RETAIL</t>
  </si>
  <si>
    <t>AMORT OF DEF'D RETURN THROUGH APR 2020:  3YRS MAY '20 - APR '23  (2)</t>
  </si>
  <si>
    <t>AMORTIZATION OF AMORTIZATION DEFERRAL</t>
  </si>
  <si>
    <t>INCREASE(DECREASE) FIT</t>
  </si>
  <si>
    <t>DFIT</t>
  </si>
  <si>
    <t>PORTION OF LINE 6 ASSOCIATED WITH RETAIL CUSTOMERS</t>
  </si>
  <si>
    <t>ADJUSTMENTS TO OTHER OPERATING REVENUES</t>
  </si>
  <si>
    <t>DERCIATION EXPENSE ON UTILITY PLANT</t>
  </si>
  <si>
    <t>ADJUSTMENT TO ACCUM. DEPREC. AT 100% DEPREC. EXP. LINE 8</t>
  </si>
  <si>
    <t>INCREASE(DECREASE) OPERATING EXPENSE (LINE 3)</t>
  </si>
  <si>
    <t>DECREASE REVENUE SENSITIVE ITEMS FOR DECREASE IN REVENUES:</t>
  </si>
  <si>
    <t>PORTION OF LINE 6 ASSOCIATED WITH WHOLESALE CUSTOMERS</t>
  </si>
  <si>
    <t>POWEREX TRANSMISSION REVENUE FOR MICROSOFT-NON-RETAIL</t>
  </si>
  <si>
    <t>DEPRECIATION EXPENSE  (1)</t>
  </si>
  <si>
    <t>OPERATING EXPENSE</t>
  </si>
  <si>
    <t>TOTAL INCREASE (DECREASE) EXPENSE</t>
  </si>
  <si>
    <t>ADJUSTMENT TO RATE BASE</t>
  </si>
  <si>
    <t xml:space="preserve">INCREASE (DECREASE) FIT @ </t>
  </si>
  <si>
    <t>REMOVE 24 MONTH GAAP RESERVE</t>
  </si>
  <si>
    <t>LRO AND COMMISSIONS</t>
  </si>
  <si>
    <t>INCREASE (DECREASE) IN EXPENSE</t>
  </si>
  <si>
    <t>INCREASE (DECREASE) OPERATING EXPENSE</t>
  </si>
  <si>
    <t>TOTAL INCREASE (DECREASE) IN REVENUES</t>
  </si>
  <si>
    <t>NET RATEBASE</t>
  </si>
  <si>
    <t>SOUTH WHIDBEY BUSINESS OFFICE (2 FLOORS)</t>
  </si>
  <si>
    <t>REMOVE JPUD GAIN ON SALE SCH 133</t>
  </si>
  <si>
    <t>REMOVE REVENUE DEFERRALS FOR TAX REFORM</t>
  </si>
  <si>
    <t>ELLENSBURG OFFICE 90 DAYS.</t>
  </si>
  <si>
    <t>COSTS APPLICABLE TO OPERATIONS</t>
  </si>
  <si>
    <t>TOTAL WAGES &amp; TAXES</t>
  </si>
  <si>
    <t>INCREASE (DECREASE ) IN EXPENSE</t>
  </si>
  <si>
    <t>GREEN POWER - SCH 135/136 ELIMINATE UNDER EXPENSED</t>
  </si>
  <si>
    <t>REMOVE CURRENT PERIOD DECOUPLING DEFERRALS</t>
  </si>
  <si>
    <t>TOTAL DEPRECIATION DEFERRALS</t>
  </si>
  <si>
    <t>BELLINGHAM BUSINESS OFFICE</t>
  </si>
  <si>
    <t>PAYROLL TAXES</t>
  </si>
  <si>
    <t>PAYROLL TAXES ASSOCI WITH MERIT PAY</t>
  </si>
  <si>
    <t>GREEN POWER - SCH 135/136 (TAGS ELIM IN PAGE 4.03)</t>
  </si>
  <si>
    <t>INCREASE (DECREASE) OPERATING INCOME BEFORE INCOME TAXES</t>
  </si>
  <si>
    <t>REMOVE OVEREARNINGS ACCRUALS</t>
  </si>
  <si>
    <t xml:space="preserve">DFIT ON DEPRECIATION DEFERRAL </t>
  </si>
  <si>
    <t>OAK HARBOR OFFICE</t>
  </si>
  <si>
    <t>TOTAL DEFERRED DEPRECIATION</t>
  </si>
  <si>
    <t>REMOVE DECOUPLING SCH 142 SURCHARGE AMORT EXPENSE</t>
  </si>
  <si>
    <t>DFIT ON DEPRECIATION DEFERRAL  (2)</t>
  </si>
  <si>
    <t>ACCUM AMORT ON DEPRECIATION DEFERRAL</t>
  </si>
  <si>
    <t>SMALL OFFICES:</t>
  </si>
  <si>
    <t>INCREASE (DECREASE) EXPENSE</t>
  </si>
  <si>
    <t>TOTAL WAGE INCREASE</t>
  </si>
  <si>
    <t>TOTAL INCENTIVE / MERIT PAY</t>
  </si>
  <si>
    <t>REMOVE DECOUPLING SCH 142 REVENUE</t>
  </si>
  <si>
    <t>ADJUSTMENTS TO SALES TO CUSTOMERS</t>
  </si>
  <si>
    <t>ACCUM AMORT ON DEPRECIATION DEFERRAL  (2)</t>
  </si>
  <si>
    <t>N/A</t>
  </si>
  <si>
    <t xml:space="preserve">INCREASE (DECREASE) FIT </t>
  </si>
  <si>
    <t>DEPRECIATION DEFERRAL</t>
  </si>
  <si>
    <t>VERNELL</t>
  </si>
  <si>
    <t>ADMIN. &amp; GENERAL</t>
  </si>
  <si>
    <t>INCREASE(DECREASE) FIT @ 21%</t>
  </si>
  <si>
    <t>REMOVE EXPENSES ASSOCIATED WITH SCH 137 REC PROCEEDS</t>
  </si>
  <si>
    <t>STATE UTILITY TAX @</t>
  </si>
  <si>
    <t>OTHER</t>
  </si>
  <si>
    <t>DEPRECIATION DEFERRAL  (3)</t>
  </si>
  <si>
    <t>DEPRECIATION EXPENSE</t>
  </si>
  <si>
    <t>DEFERRALS</t>
  </si>
  <si>
    <t>BOTHELL G/H</t>
  </si>
  <si>
    <t>TOTAL DEPRECIATION AND ACCRETION</t>
  </si>
  <si>
    <t>INVESTMENT PLAN APPLICABLE TO UA</t>
  </si>
  <si>
    <t>SALES</t>
  </si>
  <si>
    <t>REMOVE REC PROCEEDS - SCH 137</t>
  </si>
  <si>
    <t>BOTHELL O</t>
  </si>
  <si>
    <t>411.10 ELEC. ASSET RETIREMENT OBLIGATION ACCRETION</t>
  </si>
  <si>
    <t>CHARGED TO EXPENSE</t>
  </si>
  <si>
    <t>UA</t>
  </si>
  <si>
    <t>CUSTOMER SERVICE</t>
  </si>
  <si>
    <t>MIGRATE SCHEDULE 40 PURSUANT TO UE-170033</t>
  </si>
  <si>
    <t>411.1 ANNUAL AMORTIZATION</t>
  </si>
  <si>
    <t>TOTAL UTILITY PLANT</t>
  </si>
  <si>
    <t>PARKING</t>
  </si>
  <si>
    <t>403.1 ELEC. ASSET RETIREMENT COST DEPRECIATION</t>
  </si>
  <si>
    <t>APPLICABLE TO OPERATIONS @</t>
  </si>
  <si>
    <t>CUSTOMER ACCTS</t>
  </si>
  <si>
    <t xml:space="preserve">     2014 AND 2013 PCORC EXPENSES TO BE NORMALIZED</t>
  </si>
  <si>
    <t>INCREASE(DECREASE) FIT @</t>
  </si>
  <si>
    <t>PROFORMA INTEREST</t>
  </si>
  <si>
    <t>DEFERRED INCOME TAX LIABILITY  (1)</t>
  </si>
  <si>
    <t>TOTAL  RATEBASE</t>
  </si>
  <si>
    <t>EXPENSES:</t>
  </si>
  <si>
    <t>DEFERRED INCOME TAX LIABILITY</t>
  </si>
  <si>
    <t>EST BLDG</t>
  </si>
  <si>
    <t xml:space="preserve">INCREASE (DECREASE) FIT @ 21% </t>
  </si>
  <si>
    <t>SUBTOTAL DEPRECIATION EXPENSE 403</t>
  </si>
  <si>
    <t>INVESTMENT PLAN APPLICABLE TO IBEW</t>
  </si>
  <si>
    <t>DISTRIBUTION</t>
  </si>
  <si>
    <t xml:space="preserve">EXPENSES OF LAST 2 COMPLETED PCORCS </t>
  </si>
  <si>
    <t xml:space="preserve">INCREASE(DECREASE) OPERATING EXPENSE </t>
  </si>
  <si>
    <t>INCREASE/(DECREASE) IN OPERATING EXPENSE (LINE 3)</t>
  </si>
  <si>
    <t>REMOVE MUNICIPAL TAXES - SCHEDULE 81 - WHOLESALE CUSTOMERS</t>
  </si>
  <si>
    <t>WEIGHTED COST OF DEBT</t>
  </si>
  <si>
    <t>TEMPERATURE NORMALIZATION ADJUSTMENT</t>
  </si>
  <si>
    <t>ACCUM DEPRECIATION  (1)</t>
  </si>
  <si>
    <t xml:space="preserve">DEFERRED FIT </t>
  </si>
  <si>
    <t>INCREASE (DECREASE) EXPENSE  (LINE 2)</t>
  </si>
  <si>
    <t>ACCUM DEPRECIATION</t>
  </si>
  <si>
    <t>PSE BLDG 4TH SUBLEASE</t>
  </si>
  <si>
    <t>404 ELEC. PORTION OF COMMON</t>
  </si>
  <si>
    <t>TOTAL INSURANCE COSTS</t>
  </si>
  <si>
    <t>IBEW</t>
  </si>
  <si>
    <t>TRANSMISSION</t>
  </si>
  <si>
    <t>REMOVE MUNICIPAL TAXES - SCHEDULE 81 - RETAIL CUSTOMERS</t>
  </si>
  <si>
    <t>REMOVE SCHEDULE 141 - EXPEDITED RATE FILING</t>
  </si>
  <si>
    <t xml:space="preserve">ACCUM DEPRECIATION </t>
  </si>
  <si>
    <t>PLANT ADDITIONS JAN-JUN 2019</t>
  </si>
  <si>
    <t>PSE BLDG 4TH FLOOR RENT</t>
  </si>
  <si>
    <t>PLANT ADDITIONS JAN-JUN 2019  (1)</t>
  </si>
  <si>
    <t>TOTAL INCREASE (DECREASE) OPERATING EXPENSE</t>
  </si>
  <si>
    <t>404 ELEC. DEPRECIATION EXPENSE</t>
  </si>
  <si>
    <t>UNION EMPLOYEES</t>
  </si>
  <si>
    <t>OTHER POWER SUPPLY</t>
  </si>
  <si>
    <t>INCREASE(DECREASE) EXPENSE</t>
  </si>
  <si>
    <t xml:space="preserve">      2017 AND 2011 GRC EXPENSES TO BE NORMALIZED</t>
  </si>
  <si>
    <t>INCREASE(DECREASE) EXCISE AND WUTC FILING FEE</t>
  </si>
  <si>
    <t>INCREASE/(DECREASE) IN EXPENSE</t>
  </si>
  <si>
    <t>REMOVE PROPERTY TAX TRACKER - SCHEDULE 140</t>
  </si>
  <si>
    <t>NET RATE BASE</t>
  </si>
  <si>
    <t xml:space="preserve">INCREASE(DECREASE) NOI </t>
  </si>
  <si>
    <t>AVERAGE PRICING PER KWH</t>
  </si>
  <si>
    <t>REMOVE SCHEDULE 95 - POWER COST ONLY RATE CASE</t>
  </si>
  <si>
    <t>PLANT BALANCE</t>
  </si>
  <si>
    <t>UNPROTECTED DFIT</t>
  </si>
  <si>
    <t>APPROVED IN  UE-170033 &amp; PENDING APPROVAL</t>
  </si>
  <si>
    <t>UTILITY PLANT</t>
  </si>
  <si>
    <t>PSE BLDG</t>
  </si>
  <si>
    <t>403 ELEC. PORTION OF COMMON</t>
  </si>
  <si>
    <t>NON-UNION EMPLOYEES</t>
  </si>
  <si>
    <t>INVESTMENT PLAN APPLICABLE TO MANAGEMENT</t>
  </si>
  <si>
    <t>PURCHASED POWER</t>
  </si>
  <si>
    <t>LIABILITY INSURANCE EXPENSE</t>
  </si>
  <si>
    <t>EXPENSES OF LAST 2 COMPLETED GRCS</t>
  </si>
  <si>
    <t>WUTC FILING FEE</t>
  </si>
  <si>
    <t xml:space="preserve">UNCOLLECTIBLES CHARGED TO EXPENSE </t>
  </si>
  <si>
    <t>INJURIES &amp; DAMAGES PAYMENTS IN EXCESS OF ACCRUALS</t>
  </si>
  <si>
    <t xml:space="preserve"> </t>
  </si>
  <si>
    <t>INCREASE(DECREASE) DEFERRED FIT</t>
  </si>
  <si>
    <t>REMOVE SCHEDULE 95A - FEDERAL INCENTIVE TRACKER</t>
  </si>
  <si>
    <t>RATEBASE (AMA) UTILITY PLANT RATEBASE</t>
  </si>
  <si>
    <t>UTILITY PLANT RATEBASE</t>
  </si>
  <si>
    <t>RATEBASE:</t>
  </si>
  <si>
    <t xml:space="preserve">AMORTIZATION of NET DEFERRED GAIN </t>
  </si>
  <si>
    <t>EXPENSES TO BE NORMALIZED:</t>
  </si>
  <si>
    <t xml:space="preserve">AMORTIZATION OF NET DEFERRED GAIN </t>
  </si>
  <si>
    <t>403 ELEC. DEPRECIATION EXPENSE</t>
  </si>
  <si>
    <t>BENEFIT CONTRIBUTION:</t>
  </si>
  <si>
    <t>NON-UNION (INC. EXECUTIVES)</t>
  </si>
  <si>
    <t>WAGES:</t>
  </si>
  <si>
    <t>PROPERTY INSURANCE EXPENSE</t>
  </si>
  <si>
    <t>QUALIFIED RETIREMENT FUND</t>
  </si>
  <si>
    <t>INTEREST EXPENSE AT MOST CURRENT INTEREST RATE</t>
  </si>
  <si>
    <t>D &amp; O INS. CHG  EXPENSE</t>
  </si>
  <si>
    <t>EXCISE TAXES</t>
  </si>
  <si>
    <t>INCENTIVE / MERIT PAY:</t>
  </si>
  <si>
    <t>INJURIES &amp; DAMAGES ACCRUALS</t>
  </si>
  <si>
    <t>REMOVE REVENUE ASSOCIATED WITH RIDERS:</t>
  </si>
  <si>
    <t>GPI IN KWH</t>
  </si>
  <si>
    <t>REMOVE SCHEDULE 132 - MERGER RATE CREDIT</t>
  </si>
  <si>
    <t>(e)=(d)-(b)</t>
  </si>
  <si>
    <t>(d)</t>
  </si>
  <si>
    <t>(c)=(b)-(a)</t>
  </si>
  <si>
    <t>(b)</t>
  </si>
  <si>
    <t>(a)</t>
  </si>
  <si>
    <t>%'s</t>
  </si>
  <si>
    <t>ADJUSTMENT</t>
  </si>
  <si>
    <t>TY</t>
  </si>
  <si>
    <t>2019 GENERAL RATE CASE</t>
  </si>
  <si>
    <t>12 MONTHS ENDED DECEMBER 31, 2018</t>
  </si>
  <si>
    <t>CONTRACT ESCALATIONS</t>
  </si>
  <si>
    <t>PUBLIC IMPROVEMENT</t>
  </si>
  <si>
    <t>UNPROTECTED EXCESS DEFERRED INCOME TAXES</t>
  </si>
  <si>
    <t>CREDIT CARD PAYMENT PROCESSING FEES</t>
  </si>
  <si>
    <t>GET TO ZERO PROFORMA PLANT ADDITIONS AND DEFERRAL ADJUSTMENT</t>
  </si>
  <si>
    <t>ANNUALIZE RENT EXPENSE</t>
  </si>
  <si>
    <t>ENVIROMENTAL REMEDIATION</t>
  </si>
  <si>
    <t>DEFERRED GAINS/LOSSES ON PROPERTY SALES</t>
  </si>
  <si>
    <t>AMA TO EOP DEPRECIATION</t>
  </si>
  <si>
    <t>AMA TO EOP RATE BASE</t>
  </si>
  <si>
    <t>EMPLOYEE INSURANCE</t>
  </si>
  <si>
    <t>INVESTMENT PLAN</t>
  </si>
  <si>
    <t>WAGE INCREASE</t>
  </si>
  <si>
    <t>PROPERTY &amp; LIABILITY INSURANCE</t>
  </si>
  <si>
    <t>PENSION PLAN</t>
  </si>
  <si>
    <t>RATE CASE EXPENSES</t>
  </si>
  <si>
    <t>INTEREST ON CUSTOMER DEPOSITS</t>
  </si>
  <si>
    <t>DIRECTORS &amp; OFFICERS INSURANCE</t>
  </si>
  <si>
    <t>EXCISE TAX &amp; FILING FEE</t>
  </si>
  <si>
    <t>INCENTIVE PAY</t>
  </si>
  <si>
    <t>NORMALIZE INJURIES AND DAMAGES</t>
  </si>
  <si>
    <t>PASS-THROUGH REVENUES AND EXPENSES</t>
  </si>
  <si>
    <t>TAX BENEFIT OF PRO FORMA INTEREST</t>
  </si>
  <si>
    <t>FEDERAL INCOME TAX</t>
  </si>
  <si>
    <t>TEMPERATURE NORMALIZATION</t>
  </si>
  <si>
    <t>REVENUES AND EXPENSES</t>
  </si>
  <si>
    <t>Exh. SEF-6E page 29 of 29</t>
  </si>
  <si>
    <t>Exh. SEF-6E page 28 of 29</t>
  </si>
  <si>
    <t>Exh. SEF-6E page 27 of 29</t>
  </si>
  <si>
    <t>Exh. SEF-6E page 26 of 29</t>
  </si>
  <si>
    <t>Exh. SEF-6E page 25 of 29</t>
  </si>
  <si>
    <t>Exh. SEF-6E page 24 of 29</t>
  </si>
  <si>
    <t>Exh. SEF-6E page 23 of 29</t>
  </si>
  <si>
    <t>Exh. SEF-6E page 22 of 29</t>
  </si>
  <si>
    <t>Exh. SEF-6E page 21 of 29</t>
  </si>
  <si>
    <t>Exh. SEF-6E page 20 of 29</t>
  </si>
  <si>
    <t>Exh. SEF-6E page 19 of 29</t>
  </si>
  <si>
    <t>Exh. SEF-6E page 18 of 29</t>
  </si>
  <si>
    <t>Exh. SEF-6E page 17 of 29</t>
  </si>
  <si>
    <t>Exh. SEF-6E page 16 of 29</t>
  </si>
  <si>
    <t>Exh. SEF-6E page 15 of 29</t>
  </si>
  <si>
    <t>Exh. SEF-6E page 14 of 29</t>
  </si>
  <si>
    <t>Exh. SEF-6E page 13 of 29</t>
  </si>
  <si>
    <t>Exh. SEF-6E page 12 of 29</t>
  </si>
  <si>
    <t>Exh. SEF-6E page 11 of 29</t>
  </si>
  <si>
    <t>Exh. SEF-6E page 10 of 29</t>
  </si>
  <si>
    <t>Exh. SEF-6E page 9 of 29</t>
  </si>
  <si>
    <t>Exh. SEF-6E page 8 of 29</t>
  </si>
  <si>
    <t>Exh. SEF-6E page 7 of 29</t>
  </si>
  <si>
    <t>Exh. SEF-6E page 6 of 29</t>
  </si>
  <si>
    <t>Exh. SEF-6E page 5 of 29</t>
  </si>
  <si>
    <t>Exh. SEF-6E page 4 of 29</t>
  </si>
  <si>
    <t>Exh. SEF-6E page 3 of 29</t>
  </si>
  <si>
    <t>Exh. SEF-6E page 2 of 29</t>
  </si>
  <si>
    <t>Exh. SEF-6E page 1 of 29</t>
  </si>
  <si>
    <t xml:space="preserve">TOTAL REGULATORY AMORT </t>
  </si>
  <si>
    <t>TOTAL AMORTIZATION OF REG ASSETS/LIABS</t>
  </si>
  <si>
    <t>ELECTRON UNRECOVERED COST (2014 PCORC) (FERC 407.0)</t>
  </si>
  <si>
    <t>WHITE RIVER PLANT COSTS (FERC 407.0)</t>
  </si>
  <si>
    <t>SNOQUALMIE TREASURY GRANT DEFERRAL (2014 PCORC) (FERC 407.4)</t>
  </si>
  <si>
    <t>BAKER TREASURY GRANT DEFERRAL (2014 PCORC) (FERC 407.4)</t>
  </si>
  <si>
    <t>FERNDALE DEFERRAL (2013 PCORC) (FERC 407.3)</t>
  </si>
  <si>
    <t>SNOQUALMIE LICENSE UPGRADE DEFERRAL (2013 PCORC) (FERC 407.3)</t>
  </si>
  <si>
    <t>BAKER LICENSE UPGRADE DEFERRAL (2013 PCORC) (FERC 407.3)</t>
  </si>
  <si>
    <t>CARRYING CHARGES ON LSR PP TRANSM $99.8M (FERC 407.3)</t>
  </si>
  <si>
    <t>|------------  (Note 1)  ------------|</t>
  </si>
  <si>
    <t>LOWER SNAKE RIVER PP TRANSM PRINCIPAL $99.8M</t>
  </si>
  <si>
    <t>COLSTRIP 1&amp;2 (WECo) PREPAYMENT</t>
  </si>
  <si>
    <t>CHELAN PUD</t>
  </si>
  <si>
    <t>MINT FARM DEFFRED - UE-090704 (FERC 407.3)</t>
  </si>
  <si>
    <t>INCREASE / (DECREASE) NOI</t>
  </si>
  <si>
    <t>WESTCOAST PIPELINE CAPACITY - UE-100503 (BNP PARIBUS)</t>
  </si>
  <si>
    <t>INCREASE / (DECREASE) FIT @ 21%</t>
  </si>
  <si>
    <t>WESTCOAST PIPELINE CAPACITY - UE-082013 (FB ENERGY)</t>
  </si>
  <si>
    <t>IMPACT ON ACCUM DEF FED INC TAXES FOR EDIT REVERSAL</t>
  </si>
  <si>
    <t>AMORTIZATION OF REGULATORY ASSET/LIABILITY</t>
  </si>
  <si>
    <t xml:space="preserve">NET INCREASE / (DECREASE) PRODUCTION EXPENSE </t>
  </si>
  <si>
    <t>IMPACT ON ACCUM DEF FED INC TAXES FOR CHANGE IN ACCUM DEP</t>
  </si>
  <si>
    <t>STATE UTILITY TAX INCREASE ON HIGHER TRANSM REV</t>
  </si>
  <si>
    <t>IMPACT ON ACCUM DEP FOR CHANGE TO DEP EXPENSE</t>
  </si>
  <si>
    <t>TOTAL REGULATORY ASSETS</t>
  </si>
  <si>
    <t>INCREASE / (DECREASE) EXPENSE</t>
  </si>
  <si>
    <t>WHITE RIVER PLANT COSTS (2004 GRC)</t>
  </si>
  <si>
    <t>EQUITY RETURN ON CENTRALIA COAL TRANSITION PPA</t>
  </si>
  <si>
    <t>ELECTRON UNRECOVERED COST (2014 PCORC) (FERC 407.3)</t>
  </si>
  <si>
    <t>TRANSMISSION REVENUE - COLSTRIP, 3RD AC &amp; NI</t>
  </si>
  <si>
    <t>REVERSAL OF NET EXCESS DEFERRED TAXES</t>
  </si>
  <si>
    <t>500KV TRANSMISSION EXPENSE</t>
  </si>
  <si>
    <t>FIT ON DEPRECIATION EXPENSE</t>
  </si>
  <si>
    <t>PRODUCTION O&amp;M</t>
  </si>
  <si>
    <t>ADJUST DEPRECIATION EXPENSE FOR NEW DEPRECIATION RATES</t>
  </si>
  <si>
    <t>OTHER PRODUCTION COSTS</t>
  </si>
  <si>
    <t>ADJUSTMENT TO COLSTRIP 3&amp;4 NET OPERATING INCOME AND RATE BASE</t>
  </si>
  <si>
    <t>PURCHASES / (SALES) OF NON -CORE GAS (456)</t>
  </si>
  <si>
    <t>EIM EXPENSE</t>
  </si>
  <si>
    <t>SALES TO OTHER UTILITIES (447)</t>
  </si>
  <si>
    <t>DEFERRED STORM DAMAGE AMORTIZATION EXPENSE</t>
  </si>
  <si>
    <t>WILD HORSE SOLAR OPERATING EXPENSE</t>
  </si>
  <si>
    <t>WHEELING  (565)</t>
  </si>
  <si>
    <t>TOTAL PLANT</t>
  </si>
  <si>
    <t>NET WH SOLAR PLANT RATEBASE</t>
  </si>
  <si>
    <t>REMOVE COLSTRIP 1&amp;2 ARAM (TEST YEAR AMOUNT)</t>
  </si>
  <si>
    <t xml:space="preserve">CHELAN - ROCK ISLAND SECURITY DEPOSIT </t>
  </si>
  <si>
    <t>FIT ON DEPRECIATION EXPENSE REMOVAL</t>
  </si>
  <si>
    <t>SUBTOTAL RESTATING</t>
  </si>
  <si>
    <t>INCREASE(DECREASE) OPERATING INCOME</t>
  </si>
  <si>
    <t>OTHER POWER EXPENSE (557)</t>
  </si>
  <si>
    <t>REMOVE RESTATED DEPRECIATION EXPENSE</t>
  </si>
  <si>
    <t>PRODUCTION FACTOR ON RATE YEAR</t>
  </si>
  <si>
    <t>PURCHASED POWER (555)</t>
  </si>
  <si>
    <t>STORM DAMAGE EXPENSE - TRANSMISSION</t>
  </si>
  <si>
    <t>NATURAL GAS FUEL (547)</t>
  </si>
  <si>
    <t>MONTANA TAX EXPENSE</t>
  </si>
  <si>
    <t>COAL FUEL (501)</t>
  </si>
  <si>
    <t>ADJUSTMENT TO COLSTRIP 1&amp;2 NET OPERATING INCOME AND RATE BASE</t>
  </si>
  <si>
    <t>AMA OF REGULATORY ASSET/LIABILITY NET OF ACCUM AMORT AND DFIT</t>
  </si>
  <si>
    <t>STORM DAMAGE EXPENSE - DISTRIBUTION</t>
  </si>
  <si>
    <t>ASC 815 OPERATING EXPENSE</t>
  </si>
  <si>
    <t>WILD HORSE SOLAR RATEBASE (AMA)</t>
  </si>
  <si>
    <t>VARIABLE ENERGY COSTS FROM POWER COST WITNESS</t>
  </si>
  <si>
    <t>E=D-B</t>
  </si>
  <si>
    <t>D</t>
  </si>
  <si>
    <t>C =B-A</t>
  </si>
  <si>
    <t>B</t>
  </si>
  <si>
    <t>A</t>
  </si>
  <si>
    <t>IN ADJ 6.19ER</t>
  </si>
  <si>
    <t>ADJ 7.07ER</t>
  </si>
  <si>
    <t>AS RESTATED</t>
  </si>
  <si>
    <t>ENERGY  MANAGEMENT SYSTEM (EMS)</t>
  </si>
  <si>
    <t>HIGH MOLECULAR WEIGHT CABLE</t>
  </si>
  <si>
    <t>ENERGY IMBALANCE MARKET ("EIM")</t>
  </si>
  <si>
    <t>COLSTRIP DEPRECIATION</t>
  </si>
  <si>
    <t>REGULATORY ASSETS AND LIABILITIES</t>
  </si>
  <si>
    <t>STORM DAMAGE</t>
  </si>
  <si>
    <t>ACCOUNTING STANDARDS CODIFICATION 815 (FORMERLY SFAS 133)</t>
  </si>
  <si>
    <t>WILD HORSE SOLAR</t>
  </si>
  <si>
    <t>MONTANA ELECTRIC ENERGY TAX</t>
  </si>
  <si>
    <t>POWER COST</t>
  </si>
  <si>
    <t>PUGET SOUND ENERGY-ELECTRIC</t>
  </si>
  <si>
    <t>12 ME APRIL 2021</t>
  </si>
  <si>
    <t>RY</t>
  </si>
  <si>
    <t>PUGET SOUND ENERGY - ELECTRIC</t>
  </si>
  <si>
    <t>Comp</t>
  </si>
  <si>
    <t>Exhibit No.</t>
  </si>
  <si>
    <t>EXHIBIT</t>
  </si>
  <si>
    <t>UE-__________</t>
  </si>
  <si>
    <t>DOCKETNUMBER</t>
  </si>
  <si>
    <t>TESTYEAR</t>
  </si>
  <si>
    <t>CASE</t>
  </si>
  <si>
    <t>FIT</t>
  </si>
  <si>
    <t>DECREASE TO SCHEDULE 149 GAS COST RECOVERY MECHANISM FOR PIPELINE REPLACEMENT</t>
  </si>
  <si>
    <r>
      <t xml:space="preserve">CHANGES TO OTHER PRICE SCHEDULES FROM </t>
    </r>
    <r>
      <rPr>
        <sz val="11"/>
        <rFont val="Times New Roman"/>
        <family val="1"/>
      </rPr>
      <t>EXH. JAP-15:</t>
    </r>
  </si>
  <si>
    <t>COST OF CAPITAL - PROFORMA</t>
  </si>
  <si>
    <t>RESULTS OF OPERATIONS</t>
  </si>
  <si>
    <t xml:space="preserve">  DEPRECIATION AND OTHER LIABILITIES</t>
  </si>
  <si>
    <t xml:space="preserve">  ACCUMULATED DEFERRED FIT - LIBERALIZED</t>
  </si>
  <si>
    <t xml:space="preserve">  ACCUMULATED DEPRECIATION</t>
  </si>
  <si>
    <t>PURCHASED GAS</t>
  </si>
  <si>
    <t>GAS COSTS:</t>
  </si>
  <si>
    <t>MUNICIPAL ADDITIONS</t>
  </si>
  <si>
    <t>NATURAL GAS STATEMENT OF OPERATING INCOME</t>
  </si>
  <si>
    <t>EXH. SEF-4G page 1 of 5</t>
  </si>
  <si>
    <t>Total</t>
  </si>
  <si>
    <t>CRM</t>
  </si>
  <si>
    <t>at = w + as</t>
  </si>
  <si>
    <t>as ∑ x thru ar</t>
  </si>
  <si>
    <t>ae</t>
  </si>
  <si>
    <t>w = a + v</t>
  </si>
  <si>
    <t>v = ∑ b through u</t>
  </si>
  <si>
    <t xml:space="preserve">t </t>
  </si>
  <si>
    <t xml:space="preserve">s </t>
  </si>
  <si>
    <t xml:space="preserve">r </t>
  </si>
  <si>
    <t>2018 CRM</t>
  </si>
  <si>
    <t>HR TOP</t>
  </si>
  <si>
    <t>GTZ</t>
  </si>
  <si>
    <t>OF INTEREST</t>
  </si>
  <si>
    <t>INS</t>
  </si>
  <si>
    <t>DEP INT</t>
  </si>
  <si>
    <t>SCH. 149</t>
  </si>
  <si>
    <t>DEFERRED G/L</t>
  </si>
  <si>
    <t>TAX BENEFIT</t>
  </si>
  <si>
    <t xml:space="preserve">EMPLOYEE </t>
  </si>
  <si>
    <t>PROP &amp; LIAB</t>
  </si>
  <si>
    <t>CUST</t>
  </si>
  <si>
    <t>PROFORMA'D</t>
  </si>
  <si>
    <t>8.02 GP</t>
  </si>
  <si>
    <t>8.01 GP</t>
  </si>
  <si>
    <t>GAS</t>
  </si>
  <si>
    <t>EXH. SEF-4G page 5 of 5</t>
  </si>
  <si>
    <t>EXH. SEF-4G page 4 of 5</t>
  </si>
  <si>
    <t>EXH. SEF-4G page 3 of 5</t>
  </si>
  <si>
    <t>EXH. SEF-4G page 2 of 5</t>
  </si>
  <si>
    <t>INCREASE (DECREASE) FIT  (LINE 26 * 21%)</t>
  </si>
  <si>
    <t>INCREASE (DECREASE) OPERATING INCOME</t>
  </si>
  <si>
    <t>INCREASE (DECREASE) TAXES OTHER THAN FIT</t>
  </si>
  <si>
    <t>REMOVE MUNICIPAL TAXES ASSOC WITH SALES TO CUSTOMERS</t>
  </si>
  <si>
    <t>REMOVE CARBON OFFSET 908 EXPENSE - SCHEDULE 137</t>
  </si>
  <si>
    <t>REMOVE CARBON OFFSET 805 EXPENSE - SCHEDULE 137</t>
  </si>
  <si>
    <t>REMOVE PGA DEFERRAL AMORTIZATION EXP - SCHEDULE 106</t>
  </si>
  <si>
    <t>TOTAL INCREASE (DECREASE) IN COSTS</t>
  </si>
  <si>
    <t>REMOVE CONSERVATION AMORTIZATION - SCHEDULE 120</t>
  </si>
  <si>
    <t>ANNUALIZE PGA GAS COSTS</t>
  </si>
  <si>
    <t>OPERTATING EXPENSES:</t>
  </si>
  <si>
    <t xml:space="preserve">TOTAL </t>
  </si>
  <si>
    <t>DEPRECIATION EXPENSE ON UTILITY PLANT</t>
  </si>
  <si>
    <t>INCREASE (DECREASE) FIT @ 21%</t>
  </si>
  <si>
    <t xml:space="preserve">ADJUSTMENT TO ACCUM. DEPREC. AT 100% DEPREC. EXP. </t>
  </si>
  <si>
    <t xml:space="preserve">          SUB-TOTAL OTHER OPERATING REVNUE</t>
  </si>
  <si>
    <t>LRO and Commissions</t>
  </si>
  <si>
    <t>REMOVE JACKSON PRAIRIE</t>
  </si>
  <si>
    <t>South Whidbey Business Office (Freeland)</t>
  </si>
  <si>
    <t>REMOVE PGA CURTAILMENT</t>
  </si>
  <si>
    <t>Ellensburg Office</t>
  </si>
  <si>
    <t>Bellingham Business Office</t>
  </si>
  <si>
    <t>TOTAL (INCREASE) DECREASE REVENUES</t>
  </si>
  <si>
    <t>REMOVE DECOUPLING DEFERRALS FROM TEST YEAR</t>
  </si>
  <si>
    <t>Oak Harbor Office</t>
  </si>
  <si>
    <t>TOTAL PROFORMA COSTS (LN 2 + LN 5 + LN 8)</t>
  </si>
  <si>
    <t>REMOVE MUNICIPAL TAXES ASSOC WITH OTHER OPRTG REV</t>
  </si>
  <si>
    <t>REMOVE EARNINGS SHARING ACCRUALS</t>
  </si>
  <si>
    <t>Small Offices:</t>
  </si>
  <si>
    <t>REMOVE PROPERTY TAXES ASSOC WITH OTHER OPRTG REV</t>
  </si>
  <si>
    <t>RENTALS - MERGER RATE CREDIT ON SCH 132</t>
  </si>
  <si>
    <t>Vernell</t>
  </si>
  <si>
    <t>Bothell G/H</t>
  </si>
  <si>
    <t>PURCHASED GAS COST</t>
  </si>
  <si>
    <t>Bothell O</t>
  </si>
  <si>
    <t>411.10 GAS ASSET RETIREMENT OBLIGATION ACCRETION</t>
  </si>
  <si>
    <t xml:space="preserve">          SUB-TOTAL RETAIL REVENUE</t>
  </si>
  <si>
    <t>Parking</t>
  </si>
  <si>
    <t>403.1 GAS ASSET RETIREMENT COST DEPRECIATION</t>
  </si>
  <si>
    <t xml:space="preserve">INCREASE(DECREASE) FIT </t>
  </si>
  <si>
    <t>REMOVE OTHER ASSOC WITH CARBON OFFSET - SCHEDULE 137</t>
  </si>
  <si>
    <t xml:space="preserve"> OTHER</t>
  </si>
  <si>
    <t>INCREASE (DECREASE) FIT @ 21% (LINE 4 X 21%)</t>
  </si>
  <si>
    <t>REMOVE CARBON OFFSET - SCHEDULE 137</t>
  </si>
  <si>
    <t xml:space="preserve"> ANNUALIZE TAX REFORM  (DOCKET UG-180283)</t>
  </si>
  <si>
    <t>PSE BLDG 4th Sublease</t>
  </si>
  <si>
    <t>404 GAS PORTION OF COMMON</t>
  </si>
  <si>
    <t>STORAGE, LNG T&amp;G</t>
  </si>
  <si>
    <t>INCREASE(DECREASE) OPERATING EXPENSE (LINE 2)</t>
  </si>
  <si>
    <t>INCREASE(DECREASE ) IN INCOME</t>
  </si>
  <si>
    <t>REMOVE REVENUE ASSOC WITH PGA AMORTIZATION - SCHEDULE 106</t>
  </si>
  <si>
    <t>AVERAGE PRICING PER THERM</t>
  </si>
  <si>
    <t xml:space="preserve">  REMOVE MERGER RATE CREDIT SCHEDULE 132</t>
  </si>
  <si>
    <t>PSE BLDG 4th Floor Rent</t>
  </si>
  <si>
    <t>404 GAS DEPRECIATION EXPENSE</t>
  </si>
  <si>
    <t>OTHER GAS SUPPLY</t>
  </si>
  <si>
    <t>EXPENSES OF LAST 2 COMPLETED GRCS (2017 GRC AND 2011 GRC) TO BE NORMALIZED</t>
  </si>
  <si>
    <t xml:space="preserve">  ANNUALIZE PGA RATE</t>
  </si>
  <si>
    <t>403 GAS PORTION OF COMMON</t>
  </si>
  <si>
    <t>PRODUCTION MANUF. GAS</t>
  </si>
  <si>
    <t>REMOVE CONSERVATION TRACKER - SCHEDULE 120</t>
  </si>
  <si>
    <t>THERMS</t>
  </si>
  <si>
    <t xml:space="preserve">  REMOVE SCHEDULE 141</t>
  </si>
  <si>
    <t>403 GAS DEPRECIATION EXPENSE</t>
  </si>
  <si>
    <t>REMOVE LOW INCOME RIDER - SCHEDULE 129</t>
  </si>
  <si>
    <t>REMOVE REVENUES ASSOCIATED WITH RIDERS:</t>
  </si>
  <si>
    <t>TO REVENUE</t>
  </si>
  <si>
    <t>WRITEOFF'S</t>
  </si>
  <si>
    <t>PERCENT</t>
  </si>
  <si>
    <t>PAYMENT PROCESSING FEES</t>
  </si>
  <si>
    <t>DEPRECIATION RESTATEMENT</t>
  </si>
  <si>
    <t>Exh. SEF-6G page 29 of 29</t>
  </si>
  <si>
    <t>Exh. SEF-6G page 28 of 29</t>
  </si>
  <si>
    <t>Exh. SEF-6G page 27 of 29</t>
  </si>
  <si>
    <t>Exh. SEF-6G page 26 of 29</t>
  </si>
  <si>
    <t>Exh. SEF-6G page 25 of 29</t>
  </si>
  <si>
    <t>Exh. SEF-6G page 24 of 29</t>
  </si>
  <si>
    <t>Exh. SEF-6G page 23 of 29</t>
  </si>
  <si>
    <t>Exh. SEF-6G page 22 of 29</t>
  </si>
  <si>
    <t>Exh. SEF-6G page 21 of 29</t>
  </si>
  <si>
    <t>Exh. SEF-6G page 20 of 29</t>
  </si>
  <si>
    <t>Exh. SEF-6G page 19 of 29</t>
  </si>
  <si>
    <t>Exh. SEF-6G page 18 of 29</t>
  </si>
  <si>
    <t>Exh. SEF-6G page 17 of 29</t>
  </si>
  <si>
    <t>Exh. SEF-6G page 16 of 29</t>
  </si>
  <si>
    <t>Exh. SEF-6G page 15 of 29</t>
  </si>
  <si>
    <t>Exh. SEF-6G page 14 of 29</t>
  </si>
  <si>
    <t>Exh. SEF-6G page 13 of 29</t>
  </si>
  <si>
    <t>Exh. SEF-6G page 12 of 29</t>
  </si>
  <si>
    <t>Exh. SEF-6G page 11 of 29</t>
  </si>
  <si>
    <t>Exh. SEF-6G page 10 of 29</t>
  </si>
  <si>
    <t>Exh. SEF-6G page 9 of 29</t>
  </si>
  <si>
    <t>Exh. SEF-6G page 8 of 29</t>
  </si>
  <si>
    <t>Exh. SEF-6G page 7 of 29</t>
  </si>
  <si>
    <t>Exh. SEF-6G page 6 of 29</t>
  </si>
  <si>
    <t>Exh. SEF-6G page 5 of 29</t>
  </si>
  <si>
    <t>Exh. SEF-6G page 4 of 29</t>
  </si>
  <si>
    <t>Exh. SEF-6G page 3 of 29</t>
  </si>
  <si>
    <t>Exh. SEF-6G page 2 of 29</t>
  </si>
  <si>
    <t>Exh. SEF-6G page 1 of 29</t>
  </si>
  <si>
    <t>TOTAL  ADJUSTMENT TO RATEBASE</t>
  </si>
  <si>
    <t>ACCUMULATED DEFERRED INCOME TAXES</t>
  </si>
  <si>
    <t>PLANT</t>
  </si>
  <si>
    <t>INCREASE (DECREASE) TAXES OTHER</t>
  </si>
  <si>
    <t>INCREASE (DECREASE) EXPENSES</t>
  </si>
  <si>
    <t>ADJUSTMENT TO EXPENSE</t>
  </si>
  <si>
    <t xml:space="preserve"> ADJUSTED DEPRECIATION EXPENSE</t>
  </si>
  <si>
    <t>403 DEPRECIATION EXPENSE</t>
  </si>
  <si>
    <t>ADJUSTMENT TO OPERATING EXPENSES</t>
  </si>
  <si>
    <t xml:space="preserve">PROFORM SCH. 149 REVENUE </t>
  </si>
  <si>
    <t>ADJUSTMENT TO OPERATING REVENUES</t>
  </si>
  <si>
    <t>ADJ 8.02 GP</t>
  </si>
  <si>
    <t>ADJ 8.01 GP</t>
  </si>
  <si>
    <t>PROFORM EXISTING CRM</t>
  </si>
  <si>
    <t xml:space="preserve">REMOVE 2018 CRM </t>
  </si>
  <si>
    <t>Exh. SEF-8G page 2 of 2</t>
  </si>
  <si>
    <t>Exh. SEF-8G page 1 of 2</t>
  </si>
  <si>
    <t>PUGET SOUND ENERGY - NATURAL GAS</t>
  </si>
  <si>
    <t>UG_________</t>
  </si>
  <si>
    <t>Summary Working Capital</t>
  </si>
  <si>
    <t>New Format From 2017 GRC</t>
  </si>
  <si>
    <t>12/31/2018-AMA</t>
  </si>
  <si>
    <t>12/31/2018-EOP</t>
  </si>
  <si>
    <t>Line No.</t>
  </si>
  <si>
    <t>Description</t>
  </si>
  <si>
    <t>With New Accounts and Coding</t>
  </si>
  <si>
    <t>Average Invested Capital</t>
  </si>
  <si>
    <t>Total Average Invested Capital</t>
  </si>
  <si>
    <t>3 subcategories Investments:</t>
  </si>
  <si>
    <t>Total Electric Rate Base and Operating</t>
  </si>
  <si>
    <t>Total Gas Rate Base and Operating</t>
  </si>
  <si>
    <r>
      <t>Total Electric and Gas Investment (</t>
    </r>
    <r>
      <rPr>
        <sz val="8"/>
        <rFont val="Arial"/>
        <family val="2"/>
      </rPr>
      <t>lines 7 + 9</t>
    </r>
    <r>
      <rPr>
        <b/>
        <sz val="10"/>
        <rFont val="Arial"/>
        <family val="2"/>
      </rPr>
      <t>)</t>
    </r>
  </si>
  <si>
    <t>Total Non Operating Investments</t>
  </si>
  <si>
    <r>
      <t>Total Average Investments (</t>
    </r>
    <r>
      <rPr>
        <sz val="8"/>
        <rFont val="Arial"/>
        <family val="2"/>
      </rPr>
      <t>Lines 11+13</t>
    </r>
    <r>
      <rPr>
        <sz val="10"/>
        <rFont val="Arial"/>
        <family val="2"/>
      </rPr>
      <t>)</t>
    </r>
  </si>
  <si>
    <t>Investor Supplied Working Capital</t>
  </si>
  <si>
    <t>Working Capital Spread</t>
  </si>
  <si>
    <t>Electric</t>
  </si>
  <si>
    <t>(lines 7 / line 15) Total Elec RB / Total Average Investments</t>
  </si>
  <si>
    <t>Gas</t>
  </si>
  <si>
    <t>(lines 9 / line 15) Total Gas RB / Total Average Investments</t>
  </si>
  <si>
    <t>Non-Utility</t>
  </si>
  <si>
    <t>(lines 13 / line 15) Total Non-Oper / Total Average Investments</t>
  </si>
  <si>
    <t>Total Working Capital</t>
  </si>
  <si>
    <t>PUGET SOUND ENERGY-ELECTRIC &amp; GAS</t>
  </si>
  <si>
    <t>FOR THE TWELVE MONTHS ENDED DECEMBER 31, 2018</t>
  </si>
  <si>
    <t>ALLOCATION METHODS</t>
  </si>
  <si>
    <t>Method</t>
  </si>
  <si>
    <t>12 Month Average Number of Customers</t>
  </si>
  <si>
    <t>Percent</t>
  </si>
  <si>
    <t>Joint Meter Reading Customers</t>
  </si>
  <si>
    <t>Non-Production Plant</t>
  </si>
  <si>
    <t xml:space="preserve"> Distribution</t>
  </si>
  <si>
    <t xml:space="preserve"> Transmission </t>
  </si>
  <si>
    <t xml:space="preserve"> Direct General Plant</t>
  </si>
  <si>
    <t>4-Factor Allocator</t>
  </si>
  <si>
    <t xml:space="preserve">  </t>
  </si>
  <si>
    <t xml:space="preserve">     Number of Customers</t>
  </si>
  <si>
    <t xml:space="preserve">     Percent</t>
  </si>
  <si>
    <t xml:space="preserve">     Labor - Direct Charge to O&amp;M</t>
  </si>
  <si>
    <t xml:space="preserve">     T&amp;D O&amp;M Expense (Less Labor)</t>
  </si>
  <si>
    <t xml:space="preserve">     Net Classified Plant (Excluding General (Common) Plant)</t>
  </si>
  <si>
    <t>Total Percentages</t>
  </si>
  <si>
    <t>Employee Benefits</t>
  </si>
  <si>
    <t>Direct Labor Accts 500-935</t>
  </si>
  <si>
    <t>O&amp;M Split</t>
  </si>
  <si>
    <t>Combined</t>
  </si>
  <si>
    <t>Utility</t>
  </si>
  <si>
    <t>Capital</t>
  </si>
  <si>
    <t>Percent Total</t>
  </si>
  <si>
    <t>EXH. SEF-9 page 1 of 2</t>
  </si>
  <si>
    <t>DETERMINATION OF ELECTRIC BASE AMOUNTS FOR ATTRITION</t>
  </si>
  <si>
    <t>DECEMBER 31, 2018</t>
  </si>
  <si>
    <t>c</t>
  </si>
  <si>
    <t xml:space="preserve">REMOVE </t>
  </si>
  <si>
    <t xml:space="preserve">INCLUDE </t>
  </si>
  <si>
    <t>ADJ 6.18ER</t>
  </si>
  <si>
    <t>ADJ 6.19ER</t>
  </si>
  <si>
    <t>ADJ 7.03ER</t>
  </si>
  <si>
    <t>ADJ 6.01EP</t>
  </si>
  <si>
    <t>EXH SEF-9</t>
  </si>
  <si>
    <t>WH SOLAR</t>
  </si>
  <si>
    <t>DECOUPLING</t>
  </si>
  <si>
    <t>PAGE</t>
  </si>
  <si>
    <t>ATTRITION</t>
  </si>
  <si>
    <t>AMA V EOP</t>
  </si>
  <si>
    <t>2 OF 3</t>
  </si>
  <si>
    <t>BASE</t>
  </si>
  <si>
    <t>SEF-4E p 4 of 7</t>
  </si>
  <si>
    <t>SEF-4E p 3 of 7</t>
  </si>
  <si>
    <t>RATES USED</t>
  </si>
  <si>
    <t>BAD DEBT</t>
  </si>
  <si>
    <t>FILING FEE</t>
  </si>
  <si>
    <t>EXH. SEF-9 page 2 of 2</t>
  </si>
  <si>
    <t>DETERMINATION OF GAS BASE AMOUNTS FOR ATTRITION</t>
  </si>
  <si>
    <t>PGA</t>
  </si>
  <si>
    <t>MECHANISM</t>
  </si>
  <si>
    <t>ADJ 6.18GR</t>
  </si>
  <si>
    <t>ADJ 6.19GR</t>
  </si>
  <si>
    <t>ADJ 6.01GP</t>
  </si>
  <si>
    <t>SEF-4G p 2 of 4</t>
  </si>
  <si>
    <t>ACTUAL COST PER CUSTOMER TOTAL</t>
  </si>
  <si>
    <t>ACTUAL COST PER CUSTOMER DEPREC &amp; AMORT</t>
  </si>
  <si>
    <t>ACTUAL COST PER CUSTOMER O&amp;M</t>
  </si>
  <si>
    <t>AVERAGE CUSTOMER COUNT</t>
  </si>
  <si>
    <t>SUBTOTAL DEPRECIATION &amp; AMORTIZATION</t>
  </si>
  <si>
    <t xml:space="preserve">DEPRECIATION </t>
  </si>
  <si>
    <t>SUBTOTAL O&amp;M</t>
  </si>
  <si>
    <t>CUSTOMER ACCOUNT EXPENSES</t>
  </si>
  <si>
    <t>COMBINED EXPENSES:</t>
  </si>
  <si>
    <t>DESCR</t>
  </si>
  <si>
    <t xml:space="preserve">GROWTH </t>
  </si>
  <si>
    <t>COMPOUND</t>
  </si>
  <si>
    <t xml:space="preserve">RESTATED </t>
  </si>
  <si>
    <t>2013 to 2018</t>
  </si>
  <si>
    <t>12ME Dec 2018</t>
  </si>
  <si>
    <t>12ME Dec 2017</t>
  </si>
  <si>
    <t>12ME Dec 2016</t>
  </si>
  <si>
    <t>12ME Dec 2015</t>
  </si>
  <si>
    <t>12ME Dec 2014</t>
  </si>
  <si>
    <t>12ME Dec 2013</t>
  </si>
  <si>
    <t xml:space="preserve">COMMISSION BASIS REPORT </t>
  </si>
  <si>
    <t>COMBINED RESULTS OF OPERATIONS</t>
  </si>
  <si>
    <t>PUGET SOUND ENERGY</t>
  </si>
  <si>
    <t xml:space="preserve">UE-190211 </t>
  </si>
  <si>
    <t xml:space="preserve">UE-180255 </t>
  </si>
  <si>
    <t xml:space="preserve">UE-170221 </t>
  </si>
  <si>
    <t xml:space="preserve">UE-160375 </t>
  </si>
  <si>
    <t>UE-150528</t>
  </si>
  <si>
    <t>UE-140536</t>
  </si>
  <si>
    <t xml:space="preserve">UG-190212 </t>
  </si>
  <si>
    <t>UG-1802556</t>
  </si>
  <si>
    <t>UG-1702212</t>
  </si>
  <si>
    <t>UG-1603756</t>
  </si>
  <si>
    <t>UG-150529</t>
  </si>
  <si>
    <t>UG-140537</t>
  </si>
  <si>
    <t>GAS RESULTS OF OPERATIONS</t>
  </si>
  <si>
    <t>Puget Sound Energy</t>
  </si>
  <si>
    <t>EXH. SEF-5E page 1 and 2 of 5</t>
  </si>
  <si>
    <t>Electric Rate Base</t>
  </si>
  <si>
    <t>4-Factor (Dec 2018 CBR)</t>
  </si>
  <si>
    <t>AMA</t>
  </si>
  <si>
    <t>EOP</t>
  </si>
  <si>
    <t>Restated</t>
  </si>
  <si>
    <t>Account</t>
  </si>
  <si>
    <t>Rate Base</t>
  </si>
  <si>
    <t>101 / 102 / 230XXXX1</t>
  </si>
  <si>
    <t>Electric Plant in Service</t>
  </si>
  <si>
    <t>101 / 253XXXX3</t>
  </si>
  <si>
    <t>Common Plant-Allocation to Electric</t>
  </si>
  <si>
    <t>114XXXX1</t>
  </si>
  <si>
    <t>Electric Plant Aquisition Adjustment</t>
  </si>
  <si>
    <t>6a</t>
  </si>
  <si>
    <t>18600001 / 451/ 461</t>
  </si>
  <si>
    <t>Snoqualmie Deferral -UE-130559</t>
  </si>
  <si>
    <t>6b</t>
  </si>
  <si>
    <t>18600801 / 811/ 821</t>
  </si>
  <si>
    <t>Baker Deferral - UE-131387</t>
  </si>
  <si>
    <t>6c</t>
  </si>
  <si>
    <t>1822XXX1</t>
  </si>
  <si>
    <t>White River Deferred Plant Costs</t>
  </si>
  <si>
    <t>6d</t>
  </si>
  <si>
    <t>1823XXX1</t>
  </si>
  <si>
    <t>White River Deferred Relicensing &amp; CWIP</t>
  </si>
  <si>
    <t>6e</t>
  </si>
  <si>
    <t>16599011 &amp;18232321</t>
  </si>
  <si>
    <t>Prepaid Colstrip 1&amp;2 WECo Coal Resrv Ded.</t>
  </si>
  <si>
    <t>6f</t>
  </si>
  <si>
    <t>18600531 / 671/ 691/791</t>
  </si>
  <si>
    <t>Ferndale Deferral - UE-12843</t>
  </si>
  <si>
    <t>6g</t>
  </si>
  <si>
    <t>Hopkins II Wake Effect Settlement</t>
  </si>
  <si>
    <t>6h</t>
  </si>
  <si>
    <t>18230381/18230391</t>
  </si>
  <si>
    <t>Goldendale Deferral -UE-070533</t>
  </si>
  <si>
    <t>6i</t>
  </si>
  <si>
    <t>Mint Farm Deferral</t>
  </si>
  <si>
    <t>6j</t>
  </si>
  <si>
    <t>1340xxxx</t>
  </si>
  <si>
    <t>BPA Deposits</t>
  </si>
  <si>
    <t>6k</t>
  </si>
  <si>
    <t>18606XX</t>
  </si>
  <si>
    <t>WHE Deferred Costs-UE-090704</t>
  </si>
  <si>
    <t>6l</t>
  </si>
  <si>
    <t>Prepaid Major Maint Sumas</t>
  </si>
  <si>
    <t>6m</t>
  </si>
  <si>
    <t>Chelan PUD Contract Initiation</t>
  </si>
  <si>
    <t>6n</t>
  </si>
  <si>
    <t>Upper Baker - Unrecovered Plant &amp; Reg. Study Costs</t>
  </si>
  <si>
    <t>6o</t>
  </si>
  <si>
    <t>18232301 &amp; 311 &amp; 331</t>
  </si>
  <si>
    <t>LSR Deposit Carry Charge &amp; Deferral UE-100882</t>
  </si>
  <si>
    <t>6p</t>
  </si>
  <si>
    <t>Electron Unrecovered Loss</t>
  </si>
  <si>
    <t>Colstrip Common FERC Adj - Reg Asset</t>
  </si>
  <si>
    <t>Accum Amortization Colstrip-Common FERC</t>
  </si>
  <si>
    <t>Colstrip Def Depr FERC Adj - Reg</t>
  </si>
  <si>
    <t>BPA Power Exch Invstmt - Reg Asset</t>
  </si>
  <si>
    <t>BPA Power Exch Inv Amortization - Reg Asset</t>
  </si>
  <si>
    <t>Electric - Def AFUDC - Regulatory Asset</t>
  </si>
  <si>
    <t>Capitalized OH</t>
  </si>
  <si>
    <t>Electric - Plant Held for Future Use</t>
  </si>
  <si>
    <t>Common Plant Held for Fut Use-Alloc to Electric</t>
  </si>
  <si>
    <t>Electric - Const Completed Non Classified</t>
  </si>
  <si>
    <t>16a</t>
  </si>
  <si>
    <t>Common - Const Completed Non Classified</t>
  </si>
  <si>
    <t>108XXXX1</t>
  </si>
  <si>
    <t>Elec-Accum Depreciation</t>
  </si>
  <si>
    <t>108XXXX3</t>
  </si>
  <si>
    <t>Common Accum Depr-Allocation to Electric</t>
  </si>
  <si>
    <t>111XXXX1</t>
  </si>
  <si>
    <t>Elec-Accum Amortization</t>
  </si>
  <si>
    <t>Common Accum Amort-Allocation to Electric</t>
  </si>
  <si>
    <t>115XXXX1</t>
  </si>
  <si>
    <t>Accum Amort Acq Adj - Electric</t>
  </si>
  <si>
    <t>22840331,341, 19003011,25400491</t>
  </si>
  <si>
    <t>Snoqualmie &amp; Baker Treasury Grants</t>
  </si>
  <si>
    <t>22a</t>
  </si>
  <si>
    <t>108XX999</t>
  </si>
  <si>
    <t>Treasury Grant Accounts 1700033 GRC</t>
  </si>
  <si>
    <t>CIAC after 10/8/76 - Accum Def Income Tax</t>
  </si>
  <si>
    <t>CIAC - 1986 Changes - Accum Def Income Tax</t>
  </si>
  <si>
    <t>CIAC - 7/1/87 - Accum Def Income Tax</t>
  </si>
  <si>
    <t>Vacation Pay - Accum Def Inc Taxes</t>
  </si>
  <si>
    <t>26a</t>
  </si>
  <si>
    <t>Cabot Gas Contract - Accum Def Inc Taxe</t>
  </si>
  <si>
    <t>26b</t>
  </si>
  <si>
    <t>DFIT - Westcoast Capacity Assignment - Electric</t>
  </si>
  <si>
    <t>26c</t>
  </si>
  <si>
    <t>DFIT- BNP Electric</t>
  </si>
  <si>
    <t>RB-Consv Pre91 Tax Settlmt - Accum Def Inc Tax</t>
  </si>
  <si>
    <t>DFFIT SSCM INT - ELEC</t>
  </si>
  <si>
    <t>235XXXX1</t>
  </si>
  <si>
    <t>Customer Deposits - Electric</t>
  </si>
  <si>
    <t>28a</t>
  </si>
  <si>
    <t>Customer Deposits - Common</t>
  </si>
  <si>
    <t>Residential Exchange</t>
  </si>
  <si>
    <t>25400191&amp; 25400201</t>
  </si>
  <si>
    <t>Westcoast Pipeline Capacity Regulatory Liabilities</t>
  </si>
  <si>
    <t>252XXXX1</t>
  </si>
  <si>
    <t>Cust Advances for Construction</t>
  </si>
  <si>
    <t>Major Projects - Property Tax Expense</t>
  </si>
  <si>
    <t>Def Inc Tax - Pre 1981 Additions</t>
  </si>
  <si>
    <t>28200121, 161/28300341</t>
  </si>
  <si>
    <t>Def Inc Tax - Post 1980 Additions</t>
  </si>
  <si>
    <t>Colstrip 3 &amp; 4 Deferred Inc Tax</t>
  </si>
  <si>
    <t>Excess Def Taxes - Centralia Sale</t>
  </si>
  <si>
    <t>35-1</t>
  </si>
  <si>
    <t>28200151</t>
  </si>
  <si>
    <t>Def FIT Indirect Cost Adj - Electric</t>
  </si>
  <si>
    <t>35a</t>
  </si>
  <si>
    <t>283XXXXX</t>
  </si>
  <si>
    <t>Electric Portion of Common Deferred Taxes</t>
  </si>
  <si>
    <t>35a2</t>
  </si>
  <si>
    <t>19000433</t>
  </si>
  <si>
    <t>NOL Carryforward</t>
  </si>
  <si>
    <t>Def Inc Tax - Energy Conservation &amp; FAS 133</t>
  </si>
  <si>
    <t>Def FIT Bond Redemption Costs</t>
  </si>
  <si>
    <t>37a</t>
  </si>
  <si>
    <t>Accum Def Inc Tax - Snoqualmie</t>
  </si>
  <si>
    <t>37b</t>
  </si>
  <si>
    <t>Accum Def Inc Tax - Baker</t>
  </si>
  <si>
    <t>37c</t>
  </si>
  <si>
    <t>Def FIT - White River Water Right</t>
  </si>
  <si>
    <t>37d</t>
  </si>
  <si>
    <t>Accum Def Inc Tax - Ferndale</t>
  </si>
  <si>
    <t>37e</t>
  </si>
  <si>
    <t>Deferred Taxes WNP#3</t>
  </si>
  <si>
    <t>37f</t>
  </si>
  <si>
    <t>Deferred FIT FAS 143 Whitehorn 2 &amp;3</t>
  </si>
  <si>
    <t>37g</t>
  </si>
  <si>
    <t>Common DFIT Summit Purchase Opt Buyout - Elec</t>
  </si>
  <si>
    <t>37h</t>
  </si>
  <si>
    <t>Def FIT - Wind Loss Settlement Agreemen</t>
  </si>
  <si>
    <t>37i</t>
  </si>
  <si>
    <t>DFIT - Electron Unrecovered Loss</t>
  </si>
  <si>
    <t>37j</t>
  </si>
  <si>
    <t>28300601\28300611\28300661</t>
  </si>
  <si>
    <t>DFIT Mint Fam Costs-UE-090704</t>
  </si>
  <si>
    <t>37k</t>
  </si>
  <si>
    <t>28300631\28300641\28300671</t>
  </si>
  <si>
    <t>DFIT  Wild Horse  Costs-UE-090704</t>
  </si>
  <si>
    <t>37l</t>
  </si>
  <si>
    <t>DFIT - Interest Chelan PUD Reg Asset</t>
  </si>
  <si>
    <t>37m</t>
  </si>
  <si>
    <t xml:space="preserve">28300081 &amp; 28300721  </t>
  </si>
  <si>
    <t>DFIT BPA Prepayment &amp; LSR</t>
  </si>
  <si>
    <t>124001X1</t>
  </si>
  <si>
    <t>Conservation Rate Base</t>
  </si>
  <si>
    <t>39</t>
  </si>
  <si>
    <t>1995 Conservation Trust Rate Base</t>
  </si>
  <si>
    <t>Working Capital- Rate Base</t>
  </si>
  <si>
    <t>Electric Rate Base Change</t>
  </si>
  <si>
    <t>Gross Utility Plant in Service</t>
  </si>
  <si>
    <t>Lines 4-6 &amp; 14-16a</t>
  </si>
  <si>
    <t>Less Accum Dep and Amort</t>
  </si>
  <si>
    <t>Lines 17-21 &amp; 22a</t>
  </si>
  <si>
    <t>Deferred Debits and Credits</t>
  </si>
  <si>
    <t>Lines 6a-13, 22 &amp; 29.1</t>
  </si>
  <si>
    <t>Deferred Taxes</t>
  </si>
  <si>
    <t>Lines 23-27.1 &amp; 31-37m</t>
  </si>
  <si>
    <t>Allowance for Working Capital</t>
  </si>
  <si>
    <t>Line 41</t>
  </si>
  <si>
    <t>Customer Deposits/Advances</t>
  </si>
  <si>
    <t>Lines 28 &amp; 28a, 30</t>
  </si>
  <si>
    <t>Total Rate Base</t>
  </si>
  <si>
    <t>EXH. SEF-5G page 1 of 4</t>
  </si>
  <si>
    <t>Gas Rate Base</t>
  </si>
  <si>
    <t xml:space="preserve">    Line</t>
  </si>
  <si>
    <t xml:space="preserve">     No.</t>
  </si>
  <si>
    <t xml:space="preserve">           </t>
  </si>
  <si>
    <t>Gas Utility Plant in Service</t>
  </si>
  <si>
    <t>2c</t>
  </si>
  <si>
    <t xml:space="preserve">Common Plant-Allocation to Gas </t>
  </si>
  <si>
    <t>Gas Stored Underground - Non current</t>
  </si>
  <si>
    <t xml:space="preserve">   Total Plant in Service and Other Assets</t>
  </si>
  <si>
    <t>Accumulated Provision for Depreciation</t>
  </si>
  <si>
    <t>7c</t>
  </si>
  <si>
    <t>Common Accumulated Depreciation-Allocation to Gas</t>
  </si>
  <si>
    <t>Customer Advances for Construction</t>
  </si>
  <si>
    <t>Contributions in Aid of Construction - Accum. Def. FIT.</t>
  </si>
  <si>
    <t>Liberalized Depreciation Total Accum. Def. FIT - Liberalized</t>
  </si>
  <si>
    <t>12a</t>
  </si>
  <si>
    <t>Customer Deposits</t>
  </si>
  <si>
    <t xml:space="preserve">   Accumulated Depreciation and Other Liabilities</t>
  </si>
  <si>
    <t>Net Operating Investment</t>
  </si>
  <si>
    <t>Total Gas Rate Base</t>
  </si>
  <si>
    <t>Power Cost Baseline Rate</t>
  </si>
  <si>
    <t>Variable Production Costs</t>
  </si>
  <si>
    <t xml:space="preserve">Fixed Production Costs </t>
  </si>
  <si>
    <t>Transmission Exp - 500KV</t>
  </si>
  <si>
    <t>Rev Req (Column (II) )</t>
  </si>
  <si>
    <t>Sensitive Items</t>
  </si>
  <si>
    <t>Montana Electric Energy Tax</t>
  </si>
  <si>
    <t>After Rev.</t>
  </si>
  <si>
    <t>Before Rev.</t>
  </si>
  <si>
    <t>Property Insurance</t>
  </si>
  <si>
    <t>Test Year DELIVERED Load (MWh's)</t>
  </si>
  <si>
    <t>Grossed up for RSI</t>
  </si>
  <si>
    <t>Revenue Sensitive Items</t>
  </si>
  <si>
    <t>Subtotal &amp; Baseline Rate</t>
  </si>
  <si>
    <t>F</t>
  </si>
  <si>
    <t>Depreciation-Transmission</t>
  </si>
  <si>
    <t>Depreciation-Production (FERC 403)</t>
  </si>
  <si>
    <t>V</t>
  </si>
  <si>
    <t>456-Purch/Sales Non-Core Gas</t>
  </si>
  <si>
    <t>447-Sales to Others</t>
  </si>
  <si>
    <t>Production O&amp;M</t>
  </si>
  <si>
    <t>Variable Transmission Income</t>
  </si>
  <si>
    <t>Brokerage Fees #55700003</t>
  </si>
  <si>
    <t>15e</t>
  </si>
  <si>
    <t>Payroll Taxes on Production Wages</t>
  </si>
  <si>
    <t>15d</t>
  </si>
  <si>
    <t>15c</t>
  </si>
  <si>
    <t>15b</t>
  </si>
  <si>
    <t>Payroll Overheads - Benefits</t>
  </si>
  <si>
    <t>15a</t>
  </si>
  <si>
    <t>557-Other Power Exp</t>
  </si>
  <si>
    <t>Fixed Asset Recovery-Prod Factored (on Row 5)</t>
  </si>
  <si>
    <t>Fixed Asset Recovery Other (on Row 4)</t>
  </si>
  <si>
    <t>Equity Adder Centralia Coal Transition PPA</t>
  </si>
  <si>
    <t>10a</t>
  </si>
  <si>
    <t>Regulatory Asset Recovery (on Row 3)</t>
  </si>
  <si>
    <t>(V)</t>
  </si>
  <si>
    <t>(IV)</t>
  </si>
  <si>
    <t>(III)</t>
  </si>
  <si>
    <t>(II)</t>
  </si>
  <si>
    <t>(I)</t>
  </si>
  <si>
    <t>9A</t>
  </si>
  <si>
    <t>in PCA</t>
  </si>
  <si>
    <t>In Decoupling</t>
  </si>
  <si>
    <t>$/MWh</t>
  </si>
  <si>
    <t>Prod Costs</t>
  </si>
  <si>
    <t>Test Yr</t>
  </si>
  <si>
    <t>Variable</t>
  </si>
  <si>
    <t>Fixed</t>
  </si>
  <si>
    <r>
      <t>Net of tax rate of return</t>
    </r>
    <r>
      <rPr>
        <sz val="11"/>
        <color rgb="FF0000CC"/>
        <rFont val="Arial"/>
        <family val="2"/>
      </rPr>
      <t xml:space="preserve"> </t>
    </r>
  </si>
  <si>
    <t>Production Rate Base (Fixed)</t>
  </si>
  <si>
    <t>Transmission Rate Base (Fixed)</t>
  </si>
  <si>
    <t>Regulatory Assets (1) (Variable)</t>
  </si>
  <si>
    <t>EOP Test Year</t>
  </si>
  <si>
    <t>Row</t>
  </si>
  <si>
    <t>2019 GRC</t>
  </si>
  <si>
    <t>Exhibit A-1 Power Cost Baseline Rate</t>
  </si>
  <si>
    <t>32 - TOTAL OPERATING REV. DEDUCT.</t>
  </si>
  <si>
    <t>31 - DEFERRED INCOME TAXES</t>
  </si>
  <si>
    <t>30 - INCOME TAXES</t>
  </si>
  <si>
    <t>29 - TAXES OTHER THAN INCOME TAXES</t>
  </si>
  <si>
    <t>28 - ASC 815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</si>
  <si>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</si>
  <si>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</si>
  <si>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</si>
  <si>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</si>
  <si>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</si>
  <si>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</si>
  <si>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</si>
  <si>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</si>
  <si>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</si>
  <si>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</si>
  <si>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</si>
  <si>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16</t>
  </si>
  <si>
    <t>15 - TOTAL PRODUCTION EXPENSES</t>
  </si>
  <si>
    <t>14 - RESIDENTIAL EXCHANGE</t>
  </si>
  <si>
    <t>13 -  WHEELING</t>
  </si>
  <si>
    <t>12 -  PURCHASED AND INTERCHANGED</t>
  </si>
  <si>
    <t>11 -  FUEL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</si>
  <si>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</si>
  <si>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</si>
  <si>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</si>
  <si>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</si>
  <si>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</si>
  <si>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</si>
  <si>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</si>
  <si>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</si>
  <si>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</si>
  <si>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</si>
  <si>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</si>
  <si>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(Allocation of Common is based on allocation factors developed for December 2018)</t>
  </si>
  <si>
    <t>FOR THE 12 MONTHS ENDED DECEMBER 31, 2018</t>
  </si>
  <si>
    <t>PERIODIC ALLOCATED RESULTS OF OPERATIONS</t>
  </si>
  <si>
    <t>BALANCE SHEET</t>
  </si>
  <si>
    <t>As of December 31, 2018</t>
  </si>
  <si>
    <t>FERC Account and Description</t>
  </si>
  <si>
    <t>*ASSETS</t>
  </si>
  <si>
    <t>**UTILITY PLANT</t>
  </si>
  <si>
    <t>***Electric Plant</t>
  </si>
  <si>
    <t>101 Electric Plant in Service</t>
  </si>
  <si>
    <t>102 Electric Plant Purchased or Sold</t>
  </si>
  <si>
    <t>105 Electric Plant Held for Future Use</t>
  </si>
  <si>
    <t>106 Comp.Construction Not Classfd.-Electric</t>
  </si>
  <si>
    <t>107 Construction Work in Prog. - Electric</t>
  </si>
  <si>
    <t>114 Electric Plant Acquisition Adjustments</t>
  </si>
  <si>
    <t>Total Electric Plant</t>
  </si>
  <si>
    <t>***Gas Plant</t>
  </si>
  <si>
    <t>101 Gas Plant in Service</t>
  </si>
  <si>
    <t>105 Gas Plant Held for Future Use</t>
  </si>
  <si>
    <t>106 Comp. Construction Not Classfd.- Gas</t>
  </si>
  <si>
    <t>107 Construction Work in Progress - Gas</t>
  </si>
  <si>
    <t>117.1 Gas Stored - Base Gas</t>
  </si>
  <si>
    <t>117.3 Gas Strd.in Resvr.&amp; Pipln.-Noncurr.</t>
  </si>
  <si>
    <t>Total Gas Plant</t>
  </si>
  <si>
    <t>***Common Plant</t>
  </si>
  <si>
    <t>101 Plant in Service - Common</t>
  </si>
  <si>
    <t>101.1 - Property under capital leases</t>
  </si>
  <si>
    <t>105 Common Plant Held for Future Use</t>
  </si>
  <si>
    <t>106 Comp Construction Not Classfd. - Common</t>
  </si>
  <si>
    <t>107 Construction Work in Progress - Common</t>
  </si>
  <si>
    <t>Total Common Plant</t>
  </si>
  <si>
    <t>***Accumulated Depreciation and Amortization</t>
  </si>
  <si>
    <t>108 Accumulated Provision for Depreciation</t>
  </si>
  <si>
    <t>111 Accumulated Provision for Amortization</t>
  </si>
  <si>
    <t>115 Accm.Prv.for Amort.of Plant Acquis.Adj.</t>
  </si>
  <si>
    <t>Less:  Accumulated Depr and Amortizat</t>
  </si>
  <si>
    <t>**NET UTILITY PLANT</t>
  </si>
  <si>
    <t>**OTHER PROPERTY AND INVESTMENTS</t>
  </si>
  <si>
    <t>***Other Investments</t>
  </si>
  <si>
    <t>121 Nonutility Property</t>
  </si>
  <si>
    <t>122 Accm.Prov.for Depr.&amp; Amort.Non-utilty P</t>
  </si>
  <si>
    <t>123.1 Investment in Subsidiary Companies</t>
  </si>
  <si>
    <t>124 Other Investments</t>
  </si>
  <si>
    <t>***Total Other Investments</t>
  </si>
  <si>
    <t>**TOTAL OTHER PROPERTY AND INVESTMENT</t>
  </si>
  <si>
    <t>**CURRENT ASSETS</t>
  </si>
  <si>
    <t>***Cash</t>
  </si>
  <si>
    <t>131 Cash</t>
  </si>
  <si>
    <t>134 Other Special Deposits</t>
  </si>
  <si>
    <t>135 Working Funds</t>
  </si>
  <si>
    <t>136 Temporary Cash Investments</t>
  </si>
  <si>
    <t>***Total Cash</t>
  </si>
  <si>
    <t>***Restricted Cash</t>
  </si>
  <si>
    <t>***Total Restricted Cash</t>
  </si>
  <si>
    <t>***Accounts Receivable</t>
  </si>
  <si>
    <t>141 Notes Receivable</t>
  </si>
  <si>
    <t>142 Customer Accounts Receivable</t>
  </si>
  <si>
    <t>143 Other Accounts Receivable</t>
  </si>
  <si>
    <t>146 Accounts Receiv.from Assoc. Companies</t>
  </si>
  <si>
    <t>171 Interest and Dividends Receivable</t>
  </si>
  <si>
    <t>173 Accrued Utility Revenues</t>
  </si>
  <si>
    <t>185 Temporary Facilities</t>
  </si>
  <si>
    <t>191 Unrecovered Purchased Gas Costs</t>
  </si>
  <si>
    <t>***Total Accounts Receivable</t>
  </si>
  <si>
    <t>***Allowance for Doubtful Accounts</t>
  </si>
  <si>
    <t>144 - Accumulated provision for uncollectible account credit</t>
  </si>
  <si>
    <t>***Less: Allowance for Doubtful Accounts</t>
  </si>
  <si>
    <t>***Materials and Supplies</t>
  </si>
  <si>
    <t>151 Fuel Stock</t>
  </si>
  <si>
    <t>154 Plant Materials and Operating Supplies</t>
  </si>
  <si>
    <t>156 Other Materials and Supplies</t>
  </si>
  <si>
    <t>158.1 Carbon Allowances</t>
  </si>
  <si>
    <t>163 Stores Expense Undistributed</t>
  </si>
  <si>
    <t>164.1 Gas Stored - Current</t>
  </si>
  <si>
    <t>164.2 Liquefied Natural Gas Stored</t>
  </si>
  <si>
    <t>***Total Materials and Supplies</t>
  </si>
  <si>
    <t>***Unrealized Gain-Derivative Instrumnts (ST)</t>
  </si>
  <si>
    <t>175 Invest in Derivative Instrumnts -Opt ST</t>
  </si>
  <si>
    <t>176 Invest in Derivative Instrumnts-Gain ST</t>
  </si>
  <si>
    <t>***Unrealized Gain on Derivatives (ST)</t>
  </si>
  <si>
    <t>***Prepayments and Other Current Assets</t>
  </si>
  <si>
    <t>165 Prepayments</t>
  </si>
  <si>
    <t>174 Misc.Current and Accrued Assets</t>
  </si>
  <si>
    <t>186 Miscellaneous Deferred Debits</t>
  </si>
  <si>
    <t>***Total Prepayments &amp; Othr.Currt.Assets</t>
  </si>
  <si>
    <t>Current Deferred Taxes</t>
  </si>
  <si>
    <t>Total Current Deferred Taxes</t>
  </si>
  <si>
    <t>**TOTAL CURRENT ASSETS</t>
  </si>
  <si>
    <t>**LONG-TERM ASSETS</t>
  </si>
  <si>
    <t>128 Qualified Pension Plan Funded Status</t>
  </si>
  <si>
    <t>165 Long-Term Prepaid</t>
  </si>
  <si>
    <t>165.8 Long-Term Prepaid Contra</t>
  </si>
  <si>
    <t>165.9 Long-Term Prepaid</t>
  </si>
  <si>
    <t>175 Invest in Derivative Instrumnts -Opt LT</t>
  </si>
  <si>
    <t>176 Invest in Derivative Instrumnts-Gain LT</t>
  </si>
  <si>
    <t>181 Unamortized Debt Expense</t>
  </si>
  <si>
    <t>182.1 Extraordinary Property Losses</t>
  </si>
  <si>
    <t>182.2 Unrecovered Plant &amp; Reg Study Costs</t>
  </si>
  <si>
    <t>Subtotal WUTC AFUDC</t>
  </si>
  <si>
    <t>182.3 Other Regulatory Assets</t>
  </si>
  <si>
    <t>183 Prelm. Survey and Investigation Charges</t>
  </si>
  <si>
    <t>184 Clearing Accounts</t>
  </si>
  <si>
    <t>187 Def.Losses from Dispos.of Utility Plant</t>
  </si>
  <si>
    <t>189 Unamortized Loss on Reacquired Debt</t>
  </si>
  <si>
    <t>**TOTAL LONG-TERM ASSETS</t>
  </si>
  <si>
    <t>*TOTAL ASSETS</t>
  </si>
  <si>
    <t>*CAPITALIZATION AND LIABILITIES</t>
  </si>
  <si>
    <t>**CURRENT LIABILITIES</t>
  </si>
  <si>
    <t>230 Asset Retirement Obligations</t>
  </si>
  <si>
    <t>244 FAS 133 Opt Unrealized Loss ST</t>
  </si>
  <si>
    <t>245 FAS 133 Unrealized Loss ST</t>
  </si>
  <si>
    <t>231 Notes Payable</t>
  </si>
  <si>
    <t>232 Accounts Payable</t>
  </si>
  <si>
    <t>233 Notes Payable to Associated Companies</t>
  </si>
  <si>
    <t>234 Accounts Payable to Asscted Companies</t>
  </si>
  <si>
    <t>235 Customer Deposits</t>
  </si>
  <si>
    <t>236 Taxes Accrued</t>
  </si>
  <si>
    <t>237 Interest Accrued</t>
  </si>
  <si>
    <t>238 Dividends Declared</t>
  </si>
  <si>
    <t>241 Tax Collections Payable</t>
  </si>
  <si>
    <t>242 Misc. Current and Accrued Liabilities</t>
  </si>
  <si>
    <t>243 Obligations Under Cap.Leases - Current</t>
  </si>
  <si>
    <t>**TOTAL CURRENT LIABILITIES</t>
  </si>
  <si>
    <t>**DEFERRED TAXES</t>
  </si>
  <si>
    <t>***Reg. Liability for Def.Income Tax</t>
  </si>
  <si>
    <t>283 Accum.Deferred Income Taxes - Other</t>
  </si>
  <si>
    <t>***Total Reg.Liab.for Def.Income Tax</t>
  </si>
  <si>
    <t>***Deferred Income Tax</t>
  </si>
  <si>
    <t>255 Accum.Deferred Investment Tax Credits</t>
  </si>
  <si>
    <t>282 Accum. Def. Income Taxes - Other Prop.</t>
  </si>
  <si>
    <t>***Total Deferred Income Tax</t>
  </si>
  <si>
    <t>**TOTAL DEFERRED TAXES</t>
  </si>
  <si>
    <t>**OTHER DEFERRED CREDITS</t>
  </si>
  <si>
    <t>Subtotal 227 Oblig Under Cap Lease - Noncurr</t>
  </si>
  <si>
    <t>Total Unrealized Loss on Derivatives -LT</t>
  </si>
  <si>
    <t>228.2 Accum. Prov.for Injuries and Damages</t>
  </si>
  <si>
    <t>228.3 Pension &amp; Post Retirement Liabilities</t>
  </si>
  <si>
    <t>228.4 Accum. Misc.Operating Provisions</t>
  </si>
  <si>
    <t>229  Accum Provision for Rate Refunds</t>
  </si>
  <si>
    <t>230 Asset Retirement Obligations (FAS 143)</t>
  </si>
  <si>
    <t>252 Customer Advances for Construction</t>
  </si>
  <si>
    <t>253 Other Deferred Credits</t>
  </si>
  <si>
    <t>254 Other Regulatory Liabilities</t>
  </si>
  <si>
    <t>256 Def. Gains from Dispos.of Utility Plt</t>
  </si>
  <si>
    <t>257 Unamortized Gain on Reacquired Debt</t>
  </si>
  <si>
    <t>**TOTAL OTHER DEFERRED CREDITS</t>
  </si>
  <si>
    <t>**CAPITALIZATION</t>
  </si>
  <si>
    <t>***SHAREHOLDER'S EQUITY</t>
  </si>
  <si>
    <t>****Common Equity</t>
  </si>
  <si>
    <t>201 Common Stock Issued</t>
  </si>
  <si>
    <t>207 Premium on Capital Stock</t>
  </si>
  <si>
    <t>211 Miscellaneous Paid-in Capital</t>
  </si>
  <si>
    <t>214 Capital Stock Expense</t>
  </si>
  <si>
    <t>215 Appropriated Retained Earnings</t>
  </si>
  <si>
    <t>216 Unappropriated Retained Earnings</t>
  </si>
  <si>
    <t>216.1 Unappr.Undistrib.Subsidiary Earnings</t>
  </si>
  <si>
    <t>219 Other Comprehensive Income</t>
  </si>
  <si>
    <t>433 Balance Transferred from Income</t>
  </si>
  <si>
    <t>438 Dividends Declared - Common Stock</t>
  </si>
  <si>
    <t>439 Adjustments to Retained Earnings</t>
  </si>
  <si>
    <t>****Total Common Equity</t>
  </si>
  <si>
    <t>***TOTAL SHAREHOLDER'S EQUITY</t>
  </si>
  <si>
    <t>***REDEEMABLE SECURITIES AND LONG-TERM DEBT</t>
  </si>
  <si>
    <t>****Preferred Stock - Manditorily Redeemable Capital</t>
  </si>
  <si>
    <t>****Total Preferred Stock - Mand Redeem</t>
  </si>
  <si>
    <t>****Corporation Obligated, Mand Redeemable</t>
  </si>
  <si>
    <t>Preferred Stock Subscribed</t>
  </si>
  <si>
    <t>****Corporation Obligated, Mand Redeem</t>
  </si>
  <si>
    <t>****Long-term Debt</t>
  </si>
  <si>
    <t>221 Junior Subordinated Debt</t>
  </si>
  <si>
    <t>221 Bonds</t>
  </si>
  <si>
    <t>226 Unamort.Disct. on Long-term Debt-Debit</t>
  </si>
  <si>
    <t>Long-term Debt</t>
  </si>
  <si>
    <t>****Long-term Debt Total</t>
  </si>
  <si>
    <t>***REDEEMABLE SECURITIES AND LTD</t>
  </si>
  <si>
    <t>**TOTAL CAPITALIZATION</t>
  </si>
  <si>
    <t>*TOTAL CAPITALIZATION AND LIABILITIES</t>
  </si>
  <si>
    <t>December 2018</t>
  </si>
  <si>
    <t>December 2018 AMA</t>
  </si>
  <si>
    <t>SURPLUS / (DEFICIENCY)</t>
  </si>
  <si>
    <t>REVENUE REQUIREMENT OR (SURPLUS)</t>
  </si>
  <si>
    <t>JAP-4 p 1</t>
  </si>
  <si>
    <r>
      <t xml:space="preserve">501-Steam Fuel </t>
    </r>
    <r>
      <rPr>
        <sz val="11"/>
        <color rgb="FFFF0000"/>
        <rFont val="Arial"/>
        <family val="2"/>
      </rPr>
      <t>Incl Reg Amort</t>
    </r>
  </si>
  <si>
    <r>
      <t xml:space="preserve">555-Purchased power </t>
    </r>
    <r>
      <rPr>
        <sz val="11"/>
        <color rgb="FFFF0000"/>
        <rFont val="Arial"/>
        <family val="2"/>
      </rPr>
      <t>Incl Reg Amort</t>
    </r>
  </si>
  <si>
    <r>
      <t xml:space="preserve">547-Fuel </t>
    </r>
    <r>
      <rPr>
        <sz val="11"/>
        <color rgb="FFFF0000"/>
        <rFont val="Arial"/>
        <family val="2"/>
      </rPr>
      <t>Incl Reg Amort</t>
    </r>
  </si>
  <si>
    <r>
      <t xml:space="preserve">565-Wheeling </t>
    </r>
    <r>
      <rPr>
        <sz val="11"/>
        <color rgb="FFFF0000"/>
        <rFont val="Arial"/>
        <family val="2"/>
      </rPr>
      <t>Incl Reg Amort</t>
    </r>
  </si>
  <si>
    <r>
      <t xml:space="preserve">Amortization  - Reg Assets - </t>
    </r>
    <r>
      <rPr>
        <sz val="11"/>
        <color rgb="FFFF0000"/>
        <rFont val="Arial"/>
        <family val="2"/>
      </rPr>
      <t>Non PC Only</t>
    </r>
  </si>
  <si>
    <t>EXH. SEF-5E page 3 of 5 
EXH. SEF-5G page 2 of 4</t>
  </si>
  <si>
    <t>EXH. SEF-5E page 4 of 5 
EXH. SEF-5G page 3 of 4</t>
  </si>
  <si>
    <t>EXH. SEF-5E page 5 of 5
Exh. SEF-5G page 4 of 4</t>
  </si>
  <si>
    <t>AMORTIZATION OF DEFERRED ENVIRONMENTAL REMEDIATION COSTS AND RECOVERIES</t>
  </si>
  <si>
    <t>FOUR FACTOR ALLOCATOR</t>
  </si>
  <si>
    <t>NOTE 1 - BECAUSE REVENUES ARE REFLECTED IN MULTIPLE REVENUE REQUIREMENT ADJUSTMENTS, IT IS NOT POSSIBLE TO PORTRAY TEST</t>
  </si>
  <si>
    <t>YEAR, RESTATED AND PROFORMA AMOUNTS AND SO ONLY THE AMOUNT OF THE ADJUSTMENTS IS DISPLAYED</t>
  </si>
  <si>
    <t xml:space="preserve">NON-DECOUPLED / DECOUPLED </t>
  </si>
  <si>
    <t>NON-DECOUPLED THERMS</t>
  </si>
  <si>
    <t>DECOUPLED THERMS</t>
  </si>
  <si>
    <t xml:space="preserve">ACCUM DEPRECIATION  </t>
  </si>
  <si>
    <t xml:space="preserve">DEFERRED INCOME TAX LIABILITY  </t>
  </si>
  <si>
    <t xml:space="preserve">DEPRECIATION EXPENSE  </t>
  </si>
  <si>
    <t>(NOTE 1) THE ADJUSTMENTS FOR AMORTIZATION OF POWER COST RELATED REGULATORY ASSETS AND LIABILITIES ARE PERFORMED IN THE POWER COST</t>
  </si>
  <si>
    <t>ADJUSTMENT (ADJUSTMENT NO. 9.01) AND THEREFORE ARE NOT ADJUSTED HERE.</t>
  </si>
  <si>
    <t>(NOTE 2) THE COMPONENTS OF THE ADJUSTMENT ARE AS FOLLOWS:</t>
  </si>
  <si>
    <t>BALANCE OF REGULATORY ASSET OR LIABILITY</t>
  </si>
  <si>
    <t>TOTAL ADJUSTMENT</t>
  </si>
  <si>
    <t>EXH. SEF-10 page 1 of 3</t>
  </si>
  <si>
    <t>EXH. SEF-10 page 2 of 3</t>
  </si>
  <si>
    <t>EXH. SEF-10 page 3 of 3</t>
  </si>
  <si>
    <t>EXH. SEF-11 Page 1 of 1</t>
  </si>
  <si>
    <t>EXH. SJK-3 Page 1 of 1</t>
  </si>
  <si>
    <t>EXH. SEF-3E page 1 of 6</t>
  </si>
  <si>
    <t>EXH. SEF-3E page 3 of 6</t>
  </si>
  <si>
    <t>EXH. SEF-3E page 4 of 6</t>
  </si>
  <si>
    <t>EXH. SEF-3E page 5 of 6</t>
  </si>
  <si>
    <t>Exhibit A-1 Power Cost Baseline Rates With and Without Microsoft</t>
  </si>
  <si>
    <t>EXH. SEF-3E page 6 of 6</t>
  </si>
  <si>
    <t>Exhibit H to the 2017 GRC - Multi-Party Settelement</t>
  </si>
  <si>
    <t>&lt;=Settlement=&gt;</t>
  </si>
  <si>
    <t>&lt;=Contingent Calculation - NO MS Settlement=&gt;</t>
  </si>
  <si>
    <t xml:space="preserve">Test Year </t>
  </si>
  <si>
    <t>Regulatory Assets (1) (Fixed)</t>
  </si>
  <si>
    <t>Settlement Variable PF=&gt;</t>
  </si>
  <si>
    <t>NO MS Variable PF=&gt;</t>
  </si>
  <si>
    <t>Microsoft Update</t>
  </si>
  <si>
    <t>AMOUNT</t>
  </si>
  <si>
    <t>UE-190166</t>
  </si>
  <si>
    <t>Increase</t>
  </si>
  <si>
    <t>Net of tax rate of return</t>
  </si>
  <si>
    <t xml:space="preserve">Fixed </t>
  </si>
  <si>
    <t xml:space="preserve">Variable </t>
  </si>
  <si>
    <t>Prod Cost</t>
  </si>
  <si>
    <t>Total Variable Costs per Exhibit A-1</t>
  </si>
  <si>
    <t>F/V</t>
  </si>
  <si>
    <t>In PCA</t>
  </si>
  <si>
    <t>DEFICIENCY ASSOCIATED WITH POWER COSTS FROM EXH. SEF-3E PAGE 5</t>
  </si>
  <si>
    <t>Total Grossed Up Variable Costs per Exhibit A-1</t>
  </si>
  <si>
    <t>NET REVENUE CHANGE AFTER ATTRITION</t>
  </si>
  <si>
    <t>Load in MWh's</t>
  </si>
  <si>
    <t>Dollar per MWh</t>
  </si>
  <si>
    <t>Current Load in MWh's</t>
  </si>
  <si>
    <t>Increase in Power Costs</t>
  </si>
  <si>
    <t>501-Steam Fuel Incl PC Reg Amort</t>
  </si>
  <si>
    <t>555-Purchased power Incl PC Reg Amort</t>
  </si>
  <si>
    <t>Payroll Overheads - Benefits (Inc. Worker's Comp)</t>
  </si>
  <si>
    <t>Brokerage Fees 55700003</t>
  </si>
  <si>
    <t>547-Fuel Incl PC Reg Amort</t>
  </si>
  <si>
    <t>565-Wheeling Incl PC Reg Amort</t>
  </si>
  <si>
    <t>Transmission Revenue 456.1</t>
  </si>
  <si>
    <t>ATTRITION ADJUSTMENT</t>
  </si>
  <si>
    <t>NET REVENUE CHANGE AFTER ATTRITION FROM EXH. SEF-3E PAGE 4</t>
  </si>
  <si>
    <t>REDUCTION TO SUPPORTED AMOUNT</t>
  </si>
  <si>
    <t>Amortization  - Regulatory Assets &amp; Liab - Non PC Only (1)</t>
  </si>
  <si>
    <t>N/A (formerly hedging line of credit)</t>
  </si>
  <si>
    <t>Test Year DELIVERED Load (MWH's)</t>
  </si>
  <si>
    <t xml:space="preserve"> &lt;-- includes Firm Wholesale</t>
  </si>
  <si>
    <t>Baseline Rate Summarized</t>
  </si>
  <si>
    <t>BLR Net of RSI</t>
  </si>
  <si>
    <t>BLR Grossed Up for RSI</t>
  </si>
  <si>
    <t>(1) - Amortization is picked up in Regulatory Assets and Liabilities Adjustment and White River Adjustment.</t>
  </si>
  <si>
    <t>NET REVENUE CHANGE AFTER ATTRITION SUPPORTED BY RON AMEN</t>
  </si>
  <si>
    <r>
      <t xml:space="preserve">NET REVENUE CHANGE REQUESTED </t>
    </r>
    <r>
      <rPr>
        <sz val="11"/>
        <rFont val="Times New Roman"/>
        <family val="1"/>
      </rPr>
      <t>EXH. JAP-15</t>
    </r>
  </si>
  <si>
    <t>RECLASSIFY TRANSPORTATION REVENUES FROM OTHER OPERATING</t>
  </si>
  <si>
    <t>RECLASSIFY TRANSPORTATION REVENUES TO SALES TO CUSTOMERS</t>
  </si>
  <si>
    <t>LESS AVOIDED DEPRECIATION FROM AMR RETIREMENTS IN RATE YR (1)</t>
  </si>
  <si>
    <t>(3)  AMORT OF DEFERRAL OF DEPRRECIATION</t>
  </si>
  <si>
    <t>(3)  AMORT OF DEFERRAL OF DEPRECIATION</t>
  </si>
  <si>
    <t xml:space="preserve">TOTAL PROFORMA COSTS </t>
  </si>
  <si>
    <t>INCREASE(DECREASE) OPERATING EXPENSE</t>
  </si>
  <si>
    <t>INCREASE(DECREASE) PRODUCTION FACTORED EXPENSE</t>
  </si>
  <si>
    <t>NET PLANT RATEBASE</t>
  </si>
  <si>
    <t xml:space="preserve">PLANT ADDITIONS </t>
  </si>
  <si>
    <t>BROKERAGE FEES (557 VARIABLE)</t>
  </si>
  <si>
    <t>MINT FARM DEFD - UE-090704 (FERC 407.3)</t>
  </si>
  <si>
    <t>Determination of Net Power Costs</t>
  </si>
  <si>
    <t xml:space="preserve">Test Year:  12MOE Dec 2018  </t>
  </si>
  <si>
    <t>Factor</t>
  </si>
  <si>
    <t>Complement</t>
  </si>
  <si>
    <t xml:space="preserve">Rate Year:  12MOE April 2021  </t>
  </si>
  <si>
    <t>Fixed PF</t>
  </si>
  <si>
    <t>Variable PF</t>
  </si>
  <si>
    <t>Restated TY</t>
  </si>
  <si>
    <t>RY:  PKW and RJR</t>
  </si>
  <si>
    <t>Remove</t>
  </si>
  <si>
    <t>Net RY Before</t>
  </si>
  <si>
    <t>Line</t>
  </si>
  <si>
    <t xml:space="preserve">FERC </t>
  </si>
  <si>
    <t>12MOE Dec 2018</t>
  </si>
  <si>
    <t>12MOE Apr 2021</t>
  </si>
  <si>
    <t>Benefits</t>
  </si>
  <si>
    <t>Payroll Tax</t>
  </si>
  <si>
    <t>Prod Factor</t>
  </si>
  <si>
    <t>VARIABLE ENERGY COSTS + 557</t>
  </si>
  <si>
    <t>BROKERAGE FEES</t>
  </si>
  <si>
    <t>various</t>
  </si>
  <si>
    <t xml:space="preserve">TRANS. EXP. INCL. 500KV O&amp;M </t>
  </si>
  <si>
    <t>456-17</t>
  </si>
  <si>
    <t>456-1 VARIABLE TRANSM. INCOME - COLSTRIP, 3RD AC &amp; NI</t>
  </si>
  <si>
    <t>n/a</t>
  </si>
  <si>
    <t>EQUITY RETURN ON CENTRALIA TRANSITION COAL PPA</t>
  </si>
  <si>
    <t>Exh. SEF-7E page 1 of 11</t>
  </si>
  <si>
    <t>Exh. SEF-7E page 3 of 11</t>
  </si>
  <si>
    <t>Exh. SEF-7E page 4 of 11</t>
  </si>
  <si>
    <t>Exh. SEF-7E page 5 of 11</t>
  </si>
  <si>
    <t>Exh. SEF-7E page 6 of 11</t>
  </si>
  <si>
    <t>Exh. SEF-7E page 7 of 11</t>
  </si>
  <si>
    <t>Exh. SEF-7E page 8 of 11</t>
  </si>
  <si>
    <t>Exh. SEF-7E page 9 of 11</t>
  </si>
  <si>
    <t>Exh. SEF-7E page 10 of 11</t>
  </si>
  <si>
    <t>Exh. SEF-7 Page 2 of 11</t>
  </si>
  <si>
    <t>EXH. SEF-3E page 2 of 6</t>
  </si>
  <si>
    <t>bf = ac + be</t>
  </si>
  <si>
    <t>Adj. 7.01ER p.2</t>
  </si>
  <si>
    <t>Adj. 7.01EP p.2</t>
  </si>
  <si>
    <t>ADJ 7.01 ER, p.1</t>
  </si>
  <si>
    <t>ADJ 7.01 EP, p.1</t>
  </si>
  <si>
    <t xml:space="preserve"> REVENUE CHANGE BEFORE ATTRITION AND RIDERS (1)</t>
  </si>
  <si>
    <t xml:space="preserve"> REVENUE CHANGE BEFORE ATTRITION AND RIDERS</t>
  </si>
  <si>
    <t>EXH. SEF-3G page 1 of 4</t>
  </si>
  <si>
    <t>EXH. SEF-3G page 2 of 4</t>
  </si>
  <si>
    <t>EXH. SEF-3G page 3 of 4</t>
  </si>
  <si>
    <t>EXH. SEF-3G page 4 of 4</t>
  </si>
  <si>
    <t>ATTRITION DEFICIENCY SUPPORTED BY RON AMEN (EXH. RJA-4)</t>
  </si>
  <si>
    <t>CHANGES TO OTHER PRICE SCHEDULES</t>
  </si>
  <si>
    <t>ATTRITION DEFICIENCY FROM RON AMEN EXH. RJA-3 (DOES NOT INCLUDE POWER COSTS)</t>
  </si>
  <si>
    <t>Exh. SEF-7E page 11 of 11</t>
  </si>
  <si>
    <t xml:space="preserve"> RESULTS OF OPERATIONS</t>
  </si>
  <si>
    <t>ANNUALIZE TAX REFORM REVENUES EFFECTIVE 5-1-2018 FROM UE-180282 - SALES FOR RESALE FIRM</t>
  </si>
  <si>
    <t>ANNUALIZE TAX REFORM REVENUES EFFECTIVE 5-1-2018 FROM UE-180282 - SALES TO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</si>
</sst>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0"/>
    <numFmt numFmtId="166" formatCode="_(* #,##0.000000_);_(* \(#,##0.000000\);_(* &quot;-&quot;??????_);_(@_)"/>
    <numFmt numFmtId="167" formatCode="0.0000%"/>
    <numFmt numFmtId="168" formatCode="&quot;$&quot;#,##0"/>
    <numFmt numFmtId="169" formatCode="_(&quot;$&quot;* #,##0_);[Red]_(&quot;$&quot;* \(#,##0\);_(&quot;$&quot;* &quot;-&quot;_);_(@_)"/>
    <numFmt numFmtId="170" formatCode="_(&quot;$&quot;* #,##0_);_(&quot;$&quot;* \(#,##0\);_(&quot;$&quot;* &quot;-&quot;??_);_(@_)"/>
    <numFmt numFmtId="171" formatCode="0.00\ &quot;EP&quot;"/>
    <numFmt numFmtId="172" formatCode="0.00\ &quot;ER&quot;"/>
    <numFmt numFmtId="173" formatCode="#,##0.0000"/>
    <numFmt numFmtId="174" formatCode="#,##0;\(#,##0\)"/>
    <numFmt numFmtId="175" formatCode="0.0000000"/>
    <numFmt numFmtId="176" formatCode="yyyy"/>
    <numFmt numFmtId="177" formatCode="_(&quot;$&quot;* #,##0.000000_);_(&quot;$&quot;* \(#,##0.000000\);_(&quot;$&quot;* &quot;-&quot;??????_);_(@_)"/>
    <numFmt numFmtId="178" formatCode="&quot;ADJ&quot;\ 0.00\ &quot;EP&quot;"/>
    <numFmt numFmtId="179" formatCode="&quot;ADJ&quot;\ 0.00\ &quot;ER&quot;"/>
    <numFmt numFmtId="180" formatCode="0.0%"/>
    <numFmt numFmtId="181" formatCode="0.0000"/>
    <numFmt numFmtId="182" formatCode="_(&quot;$&quot;* #,##0.000_);_(&quot;$&quot;* \(#,##0.000\);_(&quot;$&quot;* &quot;-&quot;??_);_(@_)"/>
    <numFmt numFmtId="183" formatCode="0.00\ &quot;GP&quot;"/>
    <numFmt numFmtId="184" formatCode="0.00\ &quot;GR&quot;"/>
    <numFmt numFmtId="185" formatCode="0.00000"/>
    <numFmt numFmtId="186" formatCode="#,##0.000;\(#,##0.000\)"/>
    <numFmt numFmtId="187" formatCode="0.00000%"/>
    <numFmt numFmtId="188" formatCode="0.000000%"/>
    <numFmt numFmtId="189" formatCode="0.0000000%"/>
    <numFmt numFmtId="190" formatCode="_(* #,##0.000000_);_(* \(#,##0.000000\);_(* &quot;-&quot;??_);_(@_)"/>
    <numFmt numFmtId="191" formatCode="&quot;ADJ&quot;\ 0.00\ &quot;GP&quot;"/>
    <numFmt numFmtId="192" formatCode="&quot;ADJ&quot;\ 0.00\ &quot;GR&quot;"/>
    <numFmt numFmtId="193" formatCode="&quot;PAGE&quot;\ 0.00\ &quot;GR&quot;"/>
    <numFmt numFmtId="194" formatCode="0.000000_);[Red]\(0.000000\)"/>
    <numFmt numFmtId="195" formatCode="&quot;PAGE&quot;\ 0.00\ &quot;ER&quot;"/>
    <numFmt numFmtId="196" formatCode="_(* #,##0.00000_);_(* \(#,##0.00000\);_(* &quot;-&quot;??_);_(@_)"/>
    <numFmt numFmtId="197" formatCode="0000"/>
    <numFmt numFmtId="198" formatCode="000000"/>
    <numFmt numFmtId="199" formatCode="d\.mmm\.yy"/>
    <numFmt numFmtId="200" formatCode="#."/>
    <numFmt numFmtId="201" formatCode="_(* ###0_);_(* \(###0\);_(* &quot;-&quot;_);_(@_)"/>
    <numFmt numFmtId="202" formatCode="_([$€-2]* #,##0.00_);_([$€-2]* \(#,##0.00\);_([$€-2]* &quot;-&quot;??_)"/>
    <numFmt numFmtId="203" formatCode="_(&quot;$&quot;* #,##0.0_);_(&quot;$&quot;* \(#,##0.0\);_(&quot;$&quot;* &quot;-&quot;??_);_(@_)"/>
    <numFmt numFmtId="204" formatCode="0.00_)"/>
    <numFmt numFmtId="205" formatCode="&quot;$&quot;#,##0;\-&quot;$&quot;#,##0"/>
    <numFmt numFmtId="206" formatCode="_(&quot;$&quot;* #,##0.0000_);_(&quot;$&quot;* \(#,##0.0000\);_(&quot;$&quot;* &quot;-&quot;????_);_(@_)"/>
    <numFmt numFmtId="207" formatCode="_(* #,##0.0_);_(* \(#,##0.0\);_(* &quot;-&quot;_);_(@_)"/>
    <numFmt numFmtId="208" formatCode="&quot;$&quot;#,##0.00"/>
    <numFmt numFmtId="209" formatCode="_(&quot;$&quot;* #,##0.000000_);_(&quot;$&quot;* \(#,##0.000000\);_(&quot;$&quot;* &quot;-&quot;_);_(@_)"/>
    <numFmt numFmtId="210" formatCode="0.000%"/>
    <numFmt numFmtId="211" formatCode="_(* #,##0.000_);_(* \(#,##0.000\);_(* &quot;-&quot;??_);_(@_)"/>
    <numFmt numFmtId="212" formatCode="mmmm\-yy"/>
    <numFmt numFmtId="213" formatCode="mm/dd/yy"/>
    <numFmt numFmtId="214" formatCode="[$-409]mmmm\-yy;@"/>
    <numFmt numFmtId="215" formatCode="#,###_);[Red]\(#,###\)"/>
    <numFmt numFmtId="216" formatCode="0.000"/>
    <numFmt numFmtId="217" formatCode="_(* #,##0.0000000_);_(* \(#,##0.0000000\);_(* &quot;-&quot;??_);_(@_)"/>
    <numFmt numFmtId="218" formatCode="__@"/>
    <numFmt numFmtId="219" formatCode="#,##0_);[Red]\(#,##0\);&quot; &quot;"/>
    <numFmt numFmtId="220" formatCode="0_);\(0\)"/>
    <numFmt numFmtId="221" formatCode="_(* #,##0.000000000_);_(* \(#,##0.000000000\);_(* &quot;-&quot;??_);_(@_)"/>
    <numFmt numFmtId="222" formatCode="###,000"/>
  </numFmts>
  <fonts count="2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indexed="8"/>
      <name val="Times New Roman"/>
      <family val="1"/>
    </font>
    <font>
      <sz val="8"/>
      <color theme="1"/>
      <name val="Times New Roman"/>
      <family val="1"/>
    </font>
    <font>
      <sz val="10"/>
      <color rgb="FF0000FF"/>
      <name val="Times New Roman"/>
      <family val="1"/>
    </font>
    <font>
      <sz val="10"/>
      <color rgb="FF008000"/>
      <name val="Times New Roman"/>
      <family val="1"/>
    </font>
    <font>
      <sz val="10"/>
      <color rgb="FFFF66CC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0000FF"/>
      <name val="Times New Roman"/>
      <family val="1"/>
    </font>
    <font>
      <sz val="11"/>
      <name val="Times New Roman"/>
      <family val="1"/>
    </font>
    <font>
      <u/>
      <sz val="1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name val="Times New Roman"/>
      <family val="1"/>
    </font>
    <font>
      <u/>
      <sz val="10"/>
      <color rgb="FF0000CC"/>
      <name val="Times New Roman"/>
      <family val="1"/>
    </font>
    <font>
      <b/>
      <u/>
      <sz val="10"/>
      <name val="Times New Roman"/>
      <family val="1"/>
    </font>
    <font>
      <b/>
      <sz val="11"/>
      <name val="Times New Roman"/>
      <family val="1"/>
    </font>
    <font>
      <i/>
      <sz val="10"/>
      <color rgb="FF0000FF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Helv"/>
    </font>
    <font>
      <sz val="11"/>
      <color indexed="8"/>
      <name val="Times New Roman"/>
      <family val="1"/>
    </font>
    <font>
      <sz val="11"/>
      <color rgb="FF0000FF"/>
      <name val="Times New Roman"/>
      <family val="1"/>
    </font>
    <font>
      <sz val="11"/>
      <color rgb="FF008000"/>
      <name val="Times New Roman"/>
      <family val="1"/>
    </font>
    <font>
      <sz val="11"/>
      <color rgb="FFFF66CC"/>
      <name val="Times New Roman"/>
      <family val="1"/>
    </font>
    <font>
      <b/>
      <sz val="10"/>
      <color rgb="FF0000CC"/>
      <name val="Arial"/>
      <family val="2"/>
    </font>
    <font>
      <b/>
      <sz val="10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b/>
      <u/>
      <sz val="10"/>
      <name val="Arial"/>
      <family val="2"/>
    </font>
    <font>
      <sz val="8"/>
      <color rgb="FF0000CC"/>
      <name val="Arial"/>
      <family val="2"/>
    </font>
    <font>
      <u/>
      <sz val="10"/>
      <name val="Arial"/>
      <family val="2"/>
    </font>
    <font>
      <u/>
      <sz val="8"/>
      <color rgb="FF0000CC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1"/>
      <name val="univers (E1)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theme="1"/>
      <name val="Times New Roman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b/>
      <u/>
      <sz val="9"/>
      <name val="Arial"/>
      <family val="2"/>
    </font>
    <font>
      <b/>
      <sz val="9"/>
      <color rgb="FFFF0000"/>
      <name val="Arial"/>
      <family val="2"/>
    </font>
    <font>
      <sz val="10"/>
      <color rgb="FF6600FF"/>
      <name val="Times New Roman"/>
      <family val="1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9"/>
      <name val="Times New Roman"/>
      <family val="1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indexed="56"/>
      <name val="Arial"/>
      <family val="2"/>
    </font>
    <font>
      <b/>
      <u val="doubleAccounting"/>
      <sz val="10"/>
      <name val="Arial"/>
      <family val="2"/>
    </font>
    <font>
      <sz val="10"/>
      <color rgb="FF0000CC"/>
      <name val="Arial"/>
      <family val="2"/>
    </font>
    <font>
      <sz val="11"/>
      <color theme="1"/>
      <name val="Arial"/>
      <family val="2"/>
    </font>
    <font>
      <sz val="11"/>
      <color rgb="FF0000FF"/>
      <name val="Arial"/>
      <family val="2"/>
    </font>
    <font>
      <sz val="8"/>
      <color rgb="FF0000FF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CC"/>
      <name val="Arial"/>
      <family val="2"/>
    </font>
    <font>
      <b/>
      <u/>
      <sz val="11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u val="singleAccounting"/>
      <sz val="10"/>
      <name val="Arial"/>
      <family val="2"/>
    </font>
    <font>
      <b/>
      <sz val="11"/>
      <color rgb="FF0000CC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u/>
      <sz val="11"/>
      <name val="Arial"/>
      <family val="2"/>
    </font>
    <font>
      <u/>
      <sz val="11"/>
      <color rgb="FFFF5050"/>
      <name val="Arial"/>
      <family val="2"/>
    </font>
    <font>
      <sz val="11"/>
      <color rgb="FFFF5050"/>
      <name val="Arial"/>
      <family val="2"/>
    </font>
    <font>
      <b/>
      <sz val="14"/>
      <name val="Arial"/>
      <family val="2"/>
    </font>
    <font>
      <b/>
      <sz val="14"/>
      <color rgb="FF0000FF"/>
      <name val="Times New Roman"/>
      <family val="1"/>
    </font>
    <font>
      <sz val="14"/>
      <color rgb="FF0000FF"/>
      <name val="Helv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  <scheme val="minor"/>
    </font>
    <font>
      <sz val="10"/>
      <color theme="0"/>
      <name val="Calibri"/>
      <family val="2"/>
    </font>
    <font>
      <sz val="12"/>
      <color theme="0"/>
      <name val="Calibri"/>
      <family val="2"/>
      <scheme val="minor"/>
    </font>
    <font>
      <sz val="9"/>
      <color theme="0"/>
      <name val="Calibri"/>
      <family val="2"/>
    </font>
    <font>
      <sz val="10"/>
      <color rgb="FF9C0006"/>
      <name val="Calibri"/>
      <family val="2"/>
    </font>
    <font>
      <sz val="12"/>
      <color rgb="FF9C0006"/>
      <name val="Calibri"/>
      <family val="2"/>
      <scheme val="minor"/>
    </font>
    <font>
      <sz val="9"/>
      <color rgb="FF9C0006"/>
      <name val="Calibri"/>
      <family val="2"/>
    </font>
    <font>
      <b/>
      <sz val="10"/>
      <color rgb="FFFA7D00"/>
      <name val="Calibri"/>
      <family val="2"/>
    </font>
    <font>
      <b/>
      <sz val="12"/>
      <color rgb="FFFA7D00"/>
      <name val="Calibri"/>
      <family val="2"/>
      <scheme val="minor"/>
    </font>
    <font>
      <b/>
      <sz val="9"/>
      <color rgb="FFFA7D00"/>
      <name val="Calibri"/>
      <family val="2"/>
    </font>
    <font>
      <b/>
      <sz val="10"/>
      <color theme="0"/>
      <name val="Calibri"/>
      <family val="2"/>
    </font>
    <font>
      <b/>
      <sz val="12"/>
      <color theme="0"/>
      <name val="Calibri"/>
      <family val="2"/>
      <scheme val="minor"/>
    </font>
    <font>
      <b/>
      <sz val="9"/>
      <color theme="0"/>
      <name val="Calibri"/>
      <family val="2"/>
    </font>
    <font>
      <sz val="10"/>
      <name val="Geneva"/>
    </font>
    <font>
      <i/>
      <sz val="10"/>
      <color rgb="FF7F7F7F"/>
      <name val="Calibri"/>
      <family val="2"/>
    </font>
    <font>
      <i/>
      <sz val="12"/>
      <color rgb="FF7F7F7F"/>
      <name val="Calibri"/>
      <family val="2"/>
      <scheme val="minor"/>
    </font>
    <font>
      <i/>
      <sz val="9"/>
      <color rgb="FF7F7F7F"/>
      <name val="Calibri"/>
      <family val="2"/>
    </font>
    <font>
      <sz val="10"/>
      <color rgb="FF006100"/>
      <name val="Calibri"/>
      <family val="2"/>
    </font>
    <font>
      <sz val="12"/>
      <color rgb="FF006100"/>
      <name val="Calibri"/>
      <family val="2"/>
      <scheme val="minor"/>
    </font>
    <font>
      <sz val="9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/>
      <sz val="10"/>
      <color indexed="12"/>
      <name val="Arial"/>
      <family val="2"/>
    </font>
    <font>
      <sz val="9"/>
      <color rgb="FF3F3F76"/>
      <name val="Calibri"/>
      <family val="2"/>
    </font>
    <font>
      <sz val="12"/>
      <color rgb="FF3F3F76"/>
      <name val="Calibri"/>
      <family val="2"/>
      <scheme val="minor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2"/>
      <color rgb="FFFA7D00"/>
      <name val="Calibri"/>
      <family val="2"/>
      <scheme val="minor"/>
    </font>
    <font>
      <sz val="9"/>
      <color rgb="FFFA7D00"/>
      <name val="Calibri"/>
      <family val="2"/>
    </font>
    <font>
      <sz val="10"/>
      <color rgb="FF9C6500"/>
      <name val="Calibri"/>
      <family val="2"/>
    </font>
    <font>
      <sz val="12"/>
      <color rgb="FF9C6500"/>
      <name val="Calibri"/>
      <family val="2"/>
      <scheme val="minor"/>
    </font>
    <font>
      <sz val="9"/>
      <color rgb="FF9C6500"/>
      <name val="Calibri"/>
      <family val="2"/>
    </font>
    <font>
      <b/>
      <sz val="10"/>
      <color rgb="FF3F3F3F"/>
      <name val="Calibri"/>
      <family val="2"/>
    </font>
    <font>
      <b/>
      <sz val="12"/>
      <color rgb="FF3F3F3F"/>
      <name val="Calibri"/>
      <family val="2"/>
      <scheme val="minor"/>
    </font>
    <font>
      <b/>
      <sz val="9"/>
      <color rgb="FF3F3F3F"/>
      <name val="Calibri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</font>
    <font>
      <sz val="10"/>
      <color rgb="FFFF0000"/>
      <name val="Calibri"/>
      <family val="2"/>
    </font>
    <font>
      <sz val="12"/>
      <color rgb="FFFF0000"/>
      <name val="Calibri"/>
      <family val="2"/>
      <scheme val="minor"/>
    </font>
    <font>
      <sz val="9"/>
      <color rgb="FFFF0000"/>
      <name val="Calibri"/>
      <family val="2"/>
    </font>
  </fonts>
  <fills count="1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0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27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46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CCFF33"/>
        <bgColor indexed="64"/>
      </patternFill>
    </fill>
    <fill>
      <patternFill patternType="solid">
        <fgColor indexed="31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</fills>
  <borders count="1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thin">
        <color indexed="64"/>
      </right>
      <top/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</borders>
  <cellStyleXfs count="18488">
    <xf numFmtId="0" fontId="0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79" fillId="0" borderId="7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84" fillId="0" borderId="69" applyNumberFormat="0" applyFill="0" applyAlignment="0" applyProtection="0"/>
    <xf numFmtId="0" fontId="16" fillId="0" borderId="9" applyNumberFormat="0" applyFill="0" applyAlignment="0" applyProtection="0"/>
    <xf numFmtId="0" fontId="84" fillId="0" borderId="68" applyNumberFormat="0" applyFill="0" applyAlignment="0" applyProtection="0"/>
    <xf numFmtId="0" fontId="84" fillId="0" borderId="67" applyNumberFormat="0" applyFill="0" applyAlignment="0" applyProtection="0"/>
    <xf numFmtId="0" fontId="127" fillId="0" borderId="0">
      <alignment horizontal="left" vertical="center"/>
    </xf>
    <xf numFmtId="0" fontId="42" fillId="83" borderId="0">
      <alignment horizontal="left" wrapText="1"/>
    </xf>
    <xf numFmtId="208" fontId="126" fillId="83" borderId="0">
      <alignment horizontal="left" vertical="center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4" fillId="0" borderId="0" applyFill="0" applyBorder="0" applyProtection="0">
      <alignment horizontal="left" vertical="top"/>
    </xf>
    <xf numFmtId="0" fontId="45" fillId="0" borderId="0" applyNumberFormat="0" applyBorder="0" applyAlignment="0"/>
    <xf numFmtId="0" fontId="123" fillId="0" borderId="0"/>
    <xf numFmtId="41" fontId="122" fillId="83" borderId="0">
      <alignment horizontal="left"/>
    </xf>
    <xf numFmtId="40" fontId="121" fillId="0" borderId="0" applyBorder="0">
      <alignment horizontal="right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96" fontId="45" fillId="0" borderId="0">
      <alignment horizontal="left" wrapText="1"/>
    </xf>
    <xf numFmtId="165" fontId="45" fillId="0" borderId="0">
      <alignment horizontal="left" wrapText="1"/>
    </xf>
    <xf numFmtId="39" fontId="46" fillId="111" borderId="0"/>
    <xf numFmtId="38" fontId="95" fillId="0" borderId="81"/>
    <xf numFmtId="38" fontId="58" fillId="0" borderId="66"/>
    <xf numFmtId="38" fontId="58" fillId="0" borderId="66"/>
    <xf numFmtId="38" fontId="58" fillId="0" borderId="66"/>
    <xf numFmtId="38" fontId="58" fillId="0" borderId="66"/>
    <xf numFmtId="0" fontId="120" fillId="0" borderId="0" applyNumberFormat="0" applyFill="0" applyBorder="0" applyAlignment="0" applyProtection="0"/>
    <xf numFmtId="39" fontId="45" fillId="110" borderId="0"/>
    <xf numFmtId="4" fontId="119" fillId="103" borderId="82" applyNumberFormat="0" applyProtection="0">
      <alignment horizontal="right" vertical="center"/>
    </xf>
    <xf numFmtId="4" fontId="119" fillId="102" borderId="83" applyNumberFormat="0" applyProtection="0">
      <alignment horizontal="right" vertical="center"/>
    </xf>
    <xf numFmtId="4" fontId="119" fillId="102" borderId="83" applyNumberFormat="0" applyProtection="0">
      <alignment horizontal="right" vertical="center"/>
    </xf>
    <xf numFmtId="0" fontId="118" fillId="0" borderId="0"/>
    <xf numFmtId="4" fontId="117" fillId="109" borderId="0" applyNumberFormat="0" applyProtection="0">
      <alignment horizontal="left" vertical="center" indent="1"/>
    </xf>
    <xf numFmtId="4" fontId="117" fillId="109" borderId="0" applyNumberFormat="0" applyProtection="0">
      <alignment horizontal="left" vertical="center" indent="1"/>
    </xf>
    <xf numFmtId="0" fontId="45" fillId="89" borderId="82" applyNumberFormat="0" applyProtection="0">
      <alignment horizontal="left" vertical="center" indent="1"/>
    </xf>
    <xf numFmtId="0" fontId="64" fillId="87" borderId="83" applyNumberFormat="0" applyProtection="0">
      <alignment horizontal="left" vertical="top" indent="1"/>
    </xf>
    <xf numFmtId="0" fontId="64" fillId="87" borderId="83" applyNumberFormat="0" applyProtection="0">
      <alignment horizontal="left" vertical="top" indent="1"/>
    </xf>
    <xf numFmtId="0" fontId="45" fillId="89" borderId="82" applyNumberFormat="0" applyProtection="0">
      <alignment horizontal="left" vertical="center" indent="1"/>
    </xf>
    <xf numFmtId="4" fontId="64" fillId="35" borderId="83" applyNumberFormat="0" applyProtection="0">
      <alignment horizontal="left" vertical="center" indent="1"/>
    </xf>
    <xf numFmtId="4" fontId="64" fillId="35" borderId="83" applyNumberFormat="0" applyProtection="0">
      <alignment horizontal="left" vertical="center" indent="1"/>
    </xf>
    <xf numFmtId="4" fontId="115" fillId="103" borderId="82" applyNumberFormat="0" applyProtection="0">
      <alignment horizontal="right" vertical="center"/>
    </xf>
    <xf numFmtId="4" fontId="115" fillId="102" borderId="83" applyNumberFormat="0" applyProtection="0">
      <alignment horizontal="right" vertical="center"/>
    </xf>
    <xf numFmtId="4" fontId="115" fillId="102" borderId="83" applyNumberFormat="0" applyProtection="0">
      <alignment horizontal="right" vertical="center"/>
    </xf>
    <xf numFmtId="4" fontId="64" fillId="103" borderId="82" applyNumberFormat="0" applyProtection="0">
      <alignment horizontal="right" vertical="center"/>
    </xf>
    <xf numFmtId="4" fontId="64" fillId="102" borderId="83" applyNumberFormat="0" applyProtection="0">
      <alignment horizontal="right" vertical="center"/>
    </xf>
    <xf numFmtId="4" fontId="64" fillId="102" borderId="83" applyNumberFormat="0" applyProtection="0">
      <alignment horizontal="right" vertical="center"/>
    </xf>
    <xf numFmtId="4" fontId="64" fillId="108" borderId="82" applyNumberFormat="0" applyProtection="0">
      <alignment horizontal="left" vertical="center" indent="1"/>
    </xf>
    <xf numFmtId="0" fontId="64" fillId="108" borderId="83" applyNumberFormat="0" applyProtection="0">
      <alignment horizontal="left" vertical="top" indent="1"/>
    </xf>
    <xf numFmtId="0" fontId="64" fillId="108" borderId="83" applyNumberFormat="0" applyProtection="0">
      <alignment horizontal="left" vertical="top" indent="1"/>
    </xf>
    <xf numFmtId="4" fontId="64" fillId="108" borderId="82" applyNumberFormat="0" applyProtection="0">
      <alignment horizontal="left" vertical="center" indent="1"/>
    </xf>
    <xf numFmtId="4" fontId="64" fillId="108" borderId="83" applyNumberFormat="0" applyProtection="0">
      <alignment horizontal="left" vertical="center" indent="1"/>
    </xf>
    <xf numFmtId="4" fontId="64" fillId="108" borderId="83" applyNumberFormat="0" applyProtection="0">
      <alignment horizontal="left" vertical="center" indent="1"/>
    </xf>
    <xf numFmtId="4" fontId="115" fillId="108" borderId="82" applyNumberFormat="0" applyProtection="0">
      <alignment vertical="center"/>
    </xf>
    <xf numFmtId="4" fontId="115" fillId="108" borderId="83" applyNumberFormat="0" applyProtection="0">
      <alignment vertical="center"/>
    </xf>
    <xf numFmtId="4" fontId="115" fillId="108" borderId="83" applyNumberFormat="0" applyProtection="0">
      <alignment vertical="center"/>
    </xf>
    <xf numFmtId="4" fontId="64" fillId="108" borderId="82" applyNumberFormat="0" applyProtection="0">
      <alignment vertical="center"/>
    </xf>
    <xf numFmtId="4" fontId="64" fillId="108" borderId="83" applyNumberFormat="0" applyProtection="0">
      <alignment vertical="center"/>
    </xf>
    <xf numFmtId="4" fontId="64" fillId="108" borderId="83" applyNumberFormat="0" applyProtection="0">
      <alignment vertical="center"/>
    </xf>
    <xf numFmtId="0" fontId="45" fillId="0" borderId="0"/>
    <xf numFmtId="0" fontId="45" fillId="89" borderId="82" applyNumberFormat="0" applyProtection="0">
      <alignment horizontal="left" vertical="center" indent="1"/>
    </xf>
    <xf numFmtId="0" fontId="45" fillId="85" borderId="83" applyNumberFormat="0" applyProtection="0">
      <alignment horizontal="left" vertical="top" indent="1"/>
    </xf>
    <xf numFmtId="0" fontId="45" fillId="85" borderId="83" applyNumberFormat="0" applyProtection="0">
      <alignment horizontal="left" vertical="top" indent="1"/>
    </xf>
    <xf numFmtId="0" fontId="45" fillId="89" borderId="82" applyNumberFormat="0" applyProtection="0">
      <alignment horizontal="left" vertical="center" indent="1"/>
    </xf>
    <xf numFmtId="0" fontId="45" fillId="85" borderId="83" applyNumberFormat="0" applyProtection="0">
      <alignment horizontal="left" vertical="center" indent="1"/>
    </xf>
    <xf numFmtId="0" fontId="45" fillId="85" borderId="83" applyNumberFormat="0" applyProtection="0">
      <alignment horizontal="left" vertical="center" indent="1"/>
    </xf>
    <xf numFmtId="0" fontId="45" fillId="76" borderId="82" applyNumberFormat="0" applyProtection="0">
      <alignment horizontal="left" vertical="center" indent="1"/>
    </xf>
    <xf numFmtId="0" fontId="45" fillId="107" borderId="83" applyNumberFormat="0" applyProtection="0">
      <alignment horizontal="left" vertical="top" indent="1"/>
    </xf>
    <xf numFmtId="0" fontId="45" fillId="107" borderId="83" applyNumberFormat="0" applyProtection="0">
      <alignment horizontal="left" vertical="top" indent="1"/>
    </xf>
    <xf numFmtId="0" fontId="45" fillId="76" borderId="82" applyNumberFormat="0" applyProtection="0">
      <alignment horizontal="left" vertical="center" indent="1"/>
    </xf>
    <xf numFmtId="0" fontId="45" fillId="107" borderId="83" applyNumberFormat="0" applyProtection="0">
      <alignment horizontal="left" vertical="center" indent="1"/>
    </xf>
    <xf numFmtId="0" fontId="45" fillId="107" borderId="83" applyNumberFormat="0" applyProtection="0">
      <alignment horizontal="left" vertical="center" indent="1"/>
    </xf>
    <xf numFmtId="0" fontId="45" fillId="106" borderId="82" applyNumberFormat="0" applyProtection="0">
      <alignment horizontal="left" vertical="center" indent="1"/>
    </xf>
    <xf numFmtId="0" fontId="45" fillId="87" borderId="83" applyNumberFormat="0" applyProtection="0">
      <alignment horizontal="left" vertical="top" indent="1"/>
    </xf>
    <xf numFmtId="0" fontId="45" fillId="87" borderId="83" applyNumberFormat="0" applyProtection="0">
      <alignment horizontal="left" vertical="top" indent="1"/>
    </xf>
    <xf numFmtId="0" fontId="45" fillId="106" borderId="82" applyNumberFormat="0" applyProtection="0">
      <alignment horizontal="left" vertical="center" indent="1"/>
    </xf>
    <xf numFmtId="0" fontId="45" fillId="87" borderId="83" applyNumberFormat="0" applyProtection="0">
      <alignment horizontal="left" vertical="center" indent="1"/>
    </xf>
    <xf numFmtId="0" fontId="45" fillId="87" borderId="83" applyNumberFormat="0" applyProtection="0">
      <alignment horizontal="left" vertical="center" indent="1"/>
    </xf>
    <xf numFmtId="0" fontId="45" fillId="105" borderId="82" applyNumberFormat="0" applyProtection="0">
      <alignment horizontal="left" vertical="center" indent="1"/>
    </xf>
    <xf numFmtId="0" fontId="45" fillId="104" borderId="83" applyNumberFormat="0" applyProtection="0">
      <alignment horizontal="left" vertical="top" indent="1"/>
    </xf>
    <xf numFmtId="0" fontId="45" fillId="104" borderId="83" applyNumberFormat="0" applyProtection="0">
      <alignment horizontal="left" vertical="top" indent="1"/>
    </xf>
    <xf numFmtId="0" fontId="45" fillId="105" borderId="82" applyNumberFormat="0" applyProtection="0">
      <alignment horizontal="left" vertical="center" indent="1"/>
    </xf>
    <xf numFmtId="0" fontId="45" fillId="104" borderId="83" applyNumberFormat="0" applyProtection="0">
      <alignment horizontal="left" vertical="center" indent="1"/>
    </xf>
    <xf numFmtId="0" fontId="45" fillId="104" borderId="83" applyNumberFormat="0" applyProtection="0">
      <alignment horizontal="left" vertical="center" indent="1"/>
    </xf>
    <xf numFmtId="4" fontId="64" fillId="105" borderId="82" applyNumberFormat="0" applyProtection="0">
      <alignment horizontal="left" vertical="center" indent="1"/>
    </xf>
    <xf numFmtId="4" fontId="64" fillId="87" borderId="0" applyNumberFormat="0" applyProtection="0">
      <alignment horizontal="left" vertical="center" indent="1"/>
    </xf>
    <xf numFmtId="4" fontId="64" fillId="87" borderId="0" applyNumberFormat="0" applyProtection="0">
      <alignment horizontal="left" vertical="center" indent="1"/>
    </xf>
    <xf numFmtId="4" fontId="64" fillId="103" borderId="82" applyNumberFormat="0" applyProtection="0">
      <alignment horizontal="left" vertical="center" indent="1"/>
    </xf>
    <xf numFmtId="4" fontId="64" fillId="102" borderId="0" applyNumberFormat="0" applyProtection="0">
      <alignment horizontal="left" vertical="center" indent="1"/>
    </xf>
    <xf numFmtId="4" fontId="64" fillId="102" borderId="0" applyNumberFormat="0" applyProtection="0">
      <alignment horizontal="left" vertical="center" indent="1"/>
    </xf>
    <xf numFmtId="0" fontId="45" fillId="89" borderId="82" applyNumberFormat="0" applyProtection="0">
      <alignment horizontal="left" vertical="center" indent="1"/>
    </xf>
    <xf numFmtId="4" fontId="64" fillId="35" borderId="83" applyNumberFormat="0" applyProtection="0">
      <alignment horizontal="right" vertical="center"/>
    </xf>
    <xf numFmtId="4" fontId="64" fillId="35" borderId="83" applyNumberFormat="0" applyProtection="0">
      <alignment horizontal="right" vertical="center"/>
    </xf>
    <xf numFmtId="4" fontId="116" fillId="104" borderId="0" applyNumberFormat="0" applyProtection="0">
      <alignment horizontal="left" vertical="center" indent="1"/>
    </xf>
    <xf numFmtId="4" fontId="64" fillId="103" borderId="65" applyNumberFormat="0" applyProtection="0">
      <alignment horizontal="left" vertical="center" indent="1"/>
    </xf>
    <xf numFmtId="4" fontId="64" fillId="102" borderId="0" applyNumberFormat="0" applyProtection="0">
      <alignment horizontal="left" vertical="center" indent="1"/>
    </xf>
    <xf numFmtId="4" fontId="64" fillId="102" borderId="0" applyNumberFormat="0" applyProtection="0">
      <alignment horizontal="left" vertical="center" indent="1"/>
    </xf>
    <xf numFmtId="4" fontId="113" fillId="101" borderId="82" applyNumberFormat="0" applyProtection="0">
      <alignment horizontal="left" vertical="center" indent="1"/>
    </xf>
    <xf numFmtId="4" fontId="113" fillId="100" borderId="64" applyNumberFormat="0" applyProtection="0">
      <alignment horizontal="left" vertical="center" indent="1"/>
    </xf>
    <xf numFmtId="4" fontId="113" fillId="100" borderId="64" applyNumberFormat="0" applyProtection="0">
      <alignment horizontal="left" vertical="center" indent="1"/>
    </xf>
    <xf numFmtId="4" fontId="64" fillId="99" borderId="82" applyNumberFormat="0" applyProtection="0">
      <alignment horizontal="right" vertical="center"/>
    </xf>
    <xf numFmtId="4" fontId="64" fillId="50" borderId="83" applyNumberFormat="0" applyProtection="0">
      <alignment horizontal="right" vertical="center"/>
    </xf>
    <xf numFmtId="4" fontId="64" fillId="50" borderId="83" applyNumberFormat="0" applyProtection="0">
      <alignment horizontal="right" vertical="center"/>
    </xf>
    <xf numFmtId="4" fontId="64" fillId="98" borderId="82" applyNumberFormat="0" applyProtection="0">
      <alignment horizontal="right" vertical="center"/>
    </xf>
    <xf numFmtId="4" fontId="64" fillId="97" borderId="83" applyNumberFormat="0" applyProtection="0">
      <alignment horizontal="right" vertical="center"/>
    </xf>
    <xf numFmtId="4" fontId="64" fillId="97" borderId="83" applyNumberFormat="0" applyProtection="0">
      <alignment horizontal="right" vertical="center"/>
    </xf>
    <xf numFmtId="4" fontId="64" fillId="96" borderId="82" applyNumberFormat="0" applyProtection="0">
      <alignment horizontal="right" vertical="center"/>
    </xf>
    <xf numFmtId="4" fontId="64" fillId="44" borderId="83" applyNumberFormat="0" applyProtection="0">
      <alignment horizontal="right" vertical="center"/>
    </xf>
    <xf numFmtId="4" fontId="64" fillId="44" borderId="83" applyNumberFormat="0" applyProtection="0">
      <alignment horizontal="right" vertical="center"/>
    </xf>
    <xf numFmtId="4" fontId="64" fillId="95" borderId="82" applyNumberFormat="0" applyProtection="0">
      <alignment horizontal="right" vertical="center"/>
    </xf>
    <xf numFmtId="4" fontId="64" fillId="48" borderId="83" applyNumberFormat="0" applyProtection="0">
      <alignment horizontal="right" vertical="center"/>
    </xf>
    <xf numFmtId="4" fontId="64" fillId="48" borderId="83" applyNumberFormat="0" applyProtection="0">
      <alignment horizontal="right" vertical="center"/>
    </xf>
    <xf numFmtId="4" fontId="64" fillId="94" borderId="82" applyNumberFormat="0" applyProtection="0">
      <alignment horizontal="right" vertical="center"/>
    </xf>
    <xf numFmtId="4" fontId="64" fillId="53" borderId="83" applyNumberFormat="0" applyProtection="0">
      <alignment horizontal="right" vertical="center"/>
    </xf>
    <xf numFmtId="4" fontId="64" fillId="53" borderId="83" applyNumberFormat="0" applyProtection="0">
      <alignment horizontal="right" vertical="center"/>
    </xf>
    <xf numFmtId="4" fontId="64" fillId="93" borderId="82" applyNumberFormat="0" applyProtection="0">
      <alignment horizontal="right" vertical="center"/>
    </xf>
    <xf numFmtId="4" fontId="64" fillId="49" borderId="83" applyNumberFormat="0" applyProtection="0">
      <alignment horizontal="right" vertical="center"/>
    </xf>
    <xf numFmtId="4" fontId="64" fillId="49" borderId="83" applyNumberFormat="0" applyProtection="0">
      <alignment horizontal="right" vertical="center"/>
    </xf>
    <xf numFmtId="4" fontId="64" fillId="92" borderId="82" applyNumberFormat="0" applyProtection="0">
      <alignment horizontal="right" vertical="center"/>
    </xf>
    <xf numFmtId="4" fontId="64" fillId="63" borderId="83" applyNumberFormat="0" applyProtection="0">
      <alignment horizontal="right" vertical="center"/>
    </xf>
    <xf numFmtId="4" fontId="64" fillId="63" borderId="83" applyNumberFormat="0" applyProtection="0">
      <alignment horizontal="right" vertical="center"/>
    </xf>
    <xf numFmtId="4" fontId="64" fillId="91" borderId="82" applyNumberFormat="0" applyProtection="0">
      <alignment horizontal="right" vertical="center"/>
    </xf>
    <xf numFmtId="4" fontId="64" fillId="37" borderId="83" applyNumberFormat="0" applyProtection="0">
      <alignment horizontal="right" vertical="center"/>
    </xf>
    <xf numFmtId="4" fontId="64" fillId="37" borderId="83" applyNumberFormat="0" applyProtection="0">
      <alignment horizontal="right" vertical="center"/>
    </xf>
    <xf numFmtId="4" fontId="64" fillId="90" borderId="82" applyNumberFormat="0" applyProtection="0">
      <alignment horizontal="right" vertical="center"/>
    </xf>
    <xf numFmtId="4" fontId="64" fillId="41" borderId="83" applyNumberFormat="0" applyProtection="0">
      <alignment horizontal="right" vertical="center"/>
    </xf>
    <xf numFmtId="4" fontId="64" fillId="41" borderId="83" applyNumberFormat="0" applyProtection="0">
      <alignment horizontal="right" vertical="center"/>
    </xf>
    <xf numFmtId="0" fontId="45" fillId="89" borderId="82" applyNumberFormat="0" applyProtection="0">
      <alignment horizontal="left" vertical="center" indent="1"/>
    </xf>
    <xf numFmtId="4" fontId="113" fillId="87" borderId="0" applyNumberFormat="0" applyProtection="0">
      <alignment horizontal="left" vertical="center" indent="1"/>
    </xf>
    <xf numFmtId="0" fontId="45" fillId="88" borderId="0" applyNumberFormat="0" applyProtection="0">
      <alignment horizontal="left" vertical="center" indent="1"/>
    </xf>
    <xf numFmtId="4" fontId="113" fillId="87" borderId="0" applyNumberFormat="0" applyProtection="0">
      <alignment horizontal="left" vertical="center" indent="1"/>
    </xf>
    <xf numFmtId="4" fontId="64" fillId="84" borderId="82" applyNumberFormat="0" applyProtection="0">
      <alignment horizontal="left" vertical="center" indent="1"/>
    </xf>
    <xf numFmtId="0" fontId="113" fillId="84" borderId="83" applyNumberFormat="0" applyProtection="0">
      <alignment horizontal="left" vertical="top" indent="1"/>
    </xf>
    <xf numFmtId="0" fontId="113" fillId="84" borderId="83" applyNumberFormat="0" applyProtection="0">
      <alignment horizontal="left" vertical="top" indent="1"/>
    </xf>
    <xf numFmtId="4" fontId="64" fillId="84" borderId="82" applyNumberFormat="0" applyProtection="0">
      <alignment horizontal="left" vertical="center" indent="1"/>
    </xf>
    <xf numFmtId="4" fontId="113" fillId="84" borderId="83" applyNumberFormat="0" applyProtection="0">
      <alignment horizontal="left" vertical="center" indent="1"/>
    </xf>
    <xf numFmtId="4" fontId="113" fillId="84" borderId="83" applyNumberFormat="0" applyProtection="0">
      <alignment horizontal="left" vertical="center" indent="1"/>
    </xf>
    <xf numFmtId="4" fontId="115" fillId="84" borderId="82" applyNumberFormat="0" applyProtection="0">
      <alignment vertical="center"/>
    </xf>
    <xf numFmtId="4" fontId="114" fillId="84" borderId="83" applyNumberFormat="0" applyProtection="0">
      <alignment vertical="center"/>
    </xf>
    <xf numFmtId="4" fontId="114" fillId="84" borderId="83" applyNumberFormat="0" applyProtection="0">
      <alignment vertical="center"/>
    </xf>
    <xf numFmtId="4" fontId="64" fillId="84" borderId="82" applyNumberFormat="0" applyProtection="0">
      <alignment vertical="center"/>
    </xf>
    <xf numFmtId="4" fontId="113" fillId="45" borderId="83" applyNumberFormat="0" applyProtection="0">
      <alignment vertical="center"/>
    </xf>
    <xf numFmtId="4" fontId="113" fillId="45" borderId="83" applyNumberFormat="0" applyProtection="0">
      <alignment vertical="center"/>
    </xf>
    <xf numFmtId="207" fontId="45" fillId="0" borderId="0" applyFont="0" applyFill="0" applyAlignment="0">
      <alignment horizontal="right"/>
    </xf>
    <xf numFmtId="14" fontId="46" fillId="0" borderId="0" applyNumberFormat="0" applyFill="0" applyBorder="0" applyAlignment="0" applyProtection="0">
      <alignment horizontal="left"/>
    </xf>
    <xf numFmtId="164" fontId="95" fillId="0" borderId="0" applyBorder="0" applyAlignment="0"/>
    <xf numFmtId="206" fontId="112" fillId="83" borderId="81">
      <alignment horizontal="left"/>
    </xf>
    <xf numFmtId="42" fontId="45" fillId="83" borderId="81">
      <alignment horizontal="left"/>
    </xf>
    <xf numFmtId="164" fontId="95" fillId="0" borderId="0" applyBorder="0" applyAlignment="0"/>
    <xf numFmtId="206" fontId="45" fillId="83" borderId="0"/>
    <xf numFmtId="10" fontId="45" fillId="83" borderId="0"/>
    <xf numFmtId="0" fontId="42" fillId="83" borderId="80" applyNumberFormat="0">
      <alignment horizontal="center" vertical="center" wrapText="1"/>
    </xf>
    <xf numFmtId="42" fontId="45" fillId="83" borderId="12">
      <alignment vertical="center"/>
    </xf>
    <xf numFmtId="42" fontId="45" fillId="83" borderId="0"/>
    <xf numFmtId="3" fontId="110" fillId="0" borderId="0" applyFill="0" applyBorder="0" applyAlignment="0" applyProtection="0"/>
    <xf numFmtId="0" fontId="111" fillId="0" borderId="0"/>
    <xf numFmtId="3" fontId="110" fillId="0" borderId="0" applyFill="0" applyBorder="0" applyAlignment="0" applyProtection="0"/>
    <xf numFmtId="0" fontId="79" fillId="0" borderId="0"/>
    <xf numFmtId="0" fontId="75" fillId="86" borderId="0" applyNumberFormat="0" applyFont="0" applyBorder="0" applyAlignment="0" applyProtection="0"/>
    <xf numFmtId="3" fontId="75" fillId="0" borderId="0" applyFont="0" applyFill="0" applyBorder="0" applyAlignment="0" applyProtection="0"/>
    <xf numFmtId="0" fontId="109" fillId="0" borderId="19">
      <alignment horizontal="center"/>
    </xf>
    <xf numFmtId="4" fontId="75" fillId="0" borderId="0" applyFont="0" applyFill="0" applyBorder="0" applyAlignment="0" applyProtection="0"/>
    <xf numFmtId="15" fontId="75" fillId="0" borderId="0" applyFont="0" applyFill="0" applyBorder="0" applyAlignment="0" applyProtection="0"/>
    <xf numFmtId="0" fontId="75" fillId="0" borderId="0" applyNumberFormat="0" applyFont="0" applyFill="0" applyBorder="0" applyAlignment="0" applyProtection="0">
      <alignment horizontal="left"/>
    </xf>
    <xf numFmtId="41" fontId="45" fillId="85" borderId="57"/>
    <xf numFmtId="9" fontId="4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80" fontId="45" fillId="0" borderId="0" applyFont="0" applyFill="0" applyBorder="0" applyAlignment="0" applyProtection="0"/>
    <xf numFmtId="0" fontId="79" fillId="0" borderId="0"/>
    <xf numFmtId="0" fontId="78" fillId="0" borderId="0"/>
    <xf numFmtId="0" fontId="78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8" fillId="46" borderId="82" applyNumberFormat="0" applyAlignment="0" applyProtection="0"/>
    <xf numFmtId="0" fontId="10" fillId="6" borderId="5" applyNumberFormat="0" applyAlignment="0" applyProtection="0"/>
    <xf numFmtId="0" fontId="108" fillId="39" borderId="82" applyNumberFormat="0" applyAlignment="0" applyProtection="0"/>
    <xf numFmtId="0" fontId="108" fillId="74" borderId="8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70" borderId="6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165" fontId="4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205" fontId="45" fillId="0" borderId="0"/>
    <xf numFmtId="205" fontId="45" fillId="0" borderId="0"/>
    <xf numFmtId="205" fontId="45" fillId="0" borderId="0"/>
    <xf numFmtId="204" fontId="106" fillId="0" borderId="0"/>
    <xf numFmtId="37" fontId="105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03" fillId="45" borderId="0" applyNumberFormat="0" applyBorder="0" applyAlignment="0" applyProtection="0"/>
    <xf numFmtId="0" fontId="8" fillId="4" borderId="0" applyNumberFormat="0" applyBorder="0" applyAlignment="0" applyProtection="0"/>
    <xf numFmtId="0" fontId="104" fillId="45" borderId="0" applyNumberFormat="0" applyBorder="0" applyAlignment="0" applyProtection="0"/>
    <xf numFmtId="0" fontId="103" fillId="71" borderId="0" applyNumberFormat="0" applyBorder="0" applyAlignment="0" applyProtection="0"/>
    <xf numFmtId="44" fontId="42" fillId="0" borderId="62" applyNumberFormat="0" applyFont="0" applyAlignment="0">
      <alignment horizontal="center"/>
    </xf>
    <xf numFmtId="44" fontId="42" fillId="0" borderId="62" applyNumberFormat="0" applyFont="0" applyAlignment="0">
      <alignment horizontal="center"/>
    </xf>
    <xf numFmtId="44" fontId="42" fillId="0" borderId="62" applyNumberFormat="0" applyFont="0" applyAlignment="0">
      <alignment horizontal="center"/>
    </xf>
    <xf numFmtId="44" fontId="42" fillId="0" borderId="62" applyNumberFormat="0" applyFont="0" applyAlignment="0">
      <alignment horizontal="center"/>
    </xf>
    <xf numFmtId="44" fontId="42" fillId="0" borderId="61" applyNumberFormat="0" applyFont="0" applyAlignment="0">
      <alignment horizontal="center"/>
    </xf>
    <xf numFmtId="44" fontId="42" fillId="0" borderId="61" applyNumberFormat="0" applyFont="0" applyAlignment="0">
      <alignment horizontal="center"/>
    </xf>
    <xf numFmtId="44" fontId="42" fillId="0" borderId="61" applyNumberFormat="0" applyFont="0" applyAlignment="0">
      <alignment horizontal="center"/>
    </xf>
    <xf numFmtId="44" fontId="42" fillId="0" borderId="61" applyNumberFormat="0" applyFont="0" applyAlignment="0">
      <alignment horizontal="center"/>
    </xf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02" fillId="0" borderId="60" applyNumberFormat="0" applyFill="0" applyAlignment="0" applyProtection="0"/>
    <xf numFmtId="0" fontId="12" fillId="0" borderId="6" applyNumberFormat="0" applyFill="0" applyAlignment="0" applyProtection="0"/>
    <xf numFmtId="0" fontId="101" fillId="0" borderId="59" applyNumberFormat="0" applyFill="0" applyAlignment="0" applyProtection="0"/>
    <xf numFmtId="0" fontId="100" fillId="0" borderId="58" applyNumberFormat="0" applyFill="0" applyAlignment="0" applyProtection="0"/>
    <xf numFmtId="3" fontId="99" fillId="0" borderId="0" applyFill="0" applyBorder="0" applyAlignment="0" applyProtection="0"/>
    <xf numFmtId="0" fontId="58" fillId="76" borderId="0"/>
    <xf numFmtId="41" fontId="98" fillId="84" borderId="57">
      <alignment horizontal="left"/>
      <protection locked="0"/>
    </xf>
    <xf numFmtId="10" fontId="98" fillId="84" borderId="57">
      <alignment horizontal="right"/>
      <protection locked="0"/>
    </xf>
    <xf numFmtId="41" fontId="98" fillId="84" borderId="57">
      <alignment horizontal="left"/>
      <protection locked="0"/>
    </xf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7" fillId="71" borderId="4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6" fillId="40" borderId="4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0" fontId="58" fillId="83" borderId="17" applyNumberFormat="0" applyBorder="0" applyAlignment="0" applyProtection="0"/>
    <xf numFmtId="10" fontId="58" fillId="83" borderId="17" applyNumberFormat="0" applyBorder="0" applyAlignment="0" applyProtection="0"/>
    <xf numFmtId="10" fontId="58" fillId="83" borderId="17" applyNumberFormat="0" applyBorder="0" applyAlignment="0" applyProtection="0"/>
    <xf numFmtId="10" fontId="58" fillId="83" borderId="17" applyNumberFormat="0" applyBorder="0" applyAlignment="0" applyProtection="0"/>
    <xf numFmtId="40" fontId="95" fillId="0" borderId="0"/>
    <xf numFmtId="38" fontId="9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94" fillId="0" borderId="56" applyNumberFormat="0" applyFill="0" applyAlignment="0" applyProtection="0"/>
    <xf numFmtId="0" fontId="5" fillId="0" borderId="3" applyNumberFormat="0" applyFill="0" applyAlignment="0" applyProtection="0"/>
    <xf numFmtId="0" fontId="93" fillId="0" borderId="55" applyNumberFormat="0" applyFill="0" applyAlignment="0" applyProtection="0"/>
    <xf numFmtId="0" fontId="93" fillId="0" borderId="54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92" fillId="0" borderId="52" applyNumberFormat="0" applyFill="0" applyAlignment="0" applyProtection="0"/>
    <xf numFmtId="0" fontId="4" fillId="0" borderId="2" applyNumberFormat="0" applyFill="0" applyAlignment="0" applyProtection="0"/>
    <xf numFmtId="0" fontId="91" fillId="0" borderId="53" applyNumberFormat="0" applyFill="0" applyAlignment="0" applyProtection="0"/>
    <xf numFmtId="0" fontId="91" fillId="0" borderId="52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90" fillId="0" borderId="51" applyNumberFormat="0" applyFill="0" applyAlignment="0" applyProtection="0"/>
    <xf numFmtId="0" fontId="3" fillId="0" borderId="1" applyNumberFormat="0" applyFill="0" applyAlignment="0" applyProtection="0"/>
    <xf numFmtId="0" fontId="89" fillId="0" borderId="50" applyNumberFormat="0" applyFill="0" applyAlignment="0" applyProtection="0"/>
    <xf numFmtId="0" fontId="89" fillId="0" borderId="49" applyNumberFormat="0" applyFill="0" applyAlignment="0" applyProtection="0"/>
    <xf numFmtId="14" fontId="42" fillId="82" borderId="85">
      <alignment horizontal="center" vertical="center" wrapText="1"/>
    </xf>
    <xf numFmtId="0" fontId="88" fillId="0" borderId="15">
      <alignment horizontal="left" vertical="center"/>
    </xf>
    <xf numFmtId="0" fontId="88" fillId="0" borderId="48" applyNumberFormat="0" applyAlignment="0" applyProtection="0">
      <alignment horizontal="left" vertical="center"/>
    </xf>
    <xf numFmtId="203" fontId="44" fillId="0" borderId="0" applyNumberFormat="0" applyFill="0" applyBorder="0" applyProtection="0">
      <alignment horizontal="right"/>
    </xf>
    <xf numFmtId="38" fontId="58" fillId="76" borderId="0" applyNumberFormat="0" applyBorder="0" applyAlignment="0" applyProtection="0"/>
    <xf numFmtId="38" fontId="58" fillId="76" borderId="0" applyNumberFormat="0" applyBorder="0" applyAlignment="0" applyProtection="0"/>
    <xf numFmtId="38" fontId="58" fillId="76" borderId="0" applyNumberFormat="0" applyBorder="0" applyAlignment="0" applyProtection="0"/>
    <xf numFmtId="38" fontId="58" fillId="7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7" fillId="81" borderId="0" applyNumberFormat="0" applyBorder="0" applyAlignment="0" applyProtection="0"/>
    <xf numFmtId="0" fontId="6" fillId="2" borderId="0" applyNumberFormat="0" applyBorder="0" applyAlignment="0" applyProtection="0"/>
    <xf numFmtId="0" fontId="87" fillId="43" borderId="0" applyNumberFormat="0" applyBorder="0" applyAlignment="0" applyProtection="0"/>
    <xf numFmtId="0" fontId="87" fillId="80" borderId="0" applyNumberFormat="0" applyBorder="0" applyAlignment="0" applyProtection="0"/>
    <xf numFmtId="0" fontId="78" fillId="0" borderId="0"/>
    <xf numFmtId="2" fontId="7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202" fontId="45" fillId="0" borderId="0" applyFont="0" applyFill="0" applyBorder="0" applyAlignment="0" applyProtection="0">
      <alignment horizontal="left" wrapText="1"/>
    </xf>
    <xf numFmtId="165" fontId="45" fillId="0" borderId="0"/>
    <xf numFmtId="0" fontId="84" fillId="79" borderId="0" applyNumberFormat="0" applyBorder="0" applyAlignment="0" applyProtection="0"/>
    <xf numFmtId="0" fontId="84" fillId="78" borderId="0" applyNumberFormat="0" applyBorder="0" applyAlignment="0" applyProtection="0"/>
    <xf numFmtId="0" fontId="84" fillId="77" borderId="0" applyNumberFormat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7" fillId="0" borderId="0" applyFont="0" applyFill="0" applyBorder="0" applyAlignment="0" applyProtection="0"/>
    <xf numFmtId="201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0" fontId="79" fillId="0" borderId="0"/>
    <xf numFmtId="0" fontId="78" fillId="0" borderId="0"/>
    <xf numFmtId="0" fontId="79" fillId="0" borderId="0"/>
    <xf numFmtId="0" fontId="78" fillId="0" borderId="0"/>
    <xf numFmtId="0" fontId="83" fillId="0" borderId="0" applyNumberFormat="0" applyAlignment="0"/>
    <xf numFmtId="0" fontId="82" fillId="0" borderId="0" applyNumberFormat="0" applyAlignment="0">
      <alignment horizontal="left"/>
    </xf>
    <xf numFmtId="0" fontId="79" fillId="0" borderId="0"/>
    <xf numFmtId="200" fontId="81" fillId="0" borderId="0">
      <protection locked="0"/>
    </xf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0" fontId="79" fillId="0" borderId="0"/>
    <xf numFmtId="0" fontId="78" fillId="0" borderId="0"/>
    <xf numFmtId="0" fontId="78" fillId="0" borderId="0"/>
    <xf numFmtId="3" fontId="7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5" fillId="76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74" fillId="75" borderId="47" applyNumberFormat="0" applyAlignment="0" applyProtection="0"/>
    <xf numFmtId="0" fontId="13" fillId="7" borderId="7" applyNumberFormat="0" applyAlignment="0" applyProtection="0"/>
    <xf numFmtId="0" fontId="74" fillId="62" borderId="47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3" fillId="46" borderId="46" applyNumberFormat="0" applyAlignment="0" applyProtection="0"/>
    <xf numFmtId="0" fontId="11" fillId="6" borderId="4" applyNumberFormat="0" applyAlignment="0" applyProtection="0"/>
    <xf numFmtId="0" fontId="72" fillId="39" borderId="46" applyNumberFormat="0" applyAlignment="0" applyProtection="0"/>
    <xf numFmtId="0" fontId="71" fillId="74" borderId="46" applyNumberFormat="0" applyAlignment="0" applyProtection="0"/>
    <xf numFmtId="199" fontId="70" fillId="0" borderId="0" applyFill="0" applyBorder="0" applyAlignment="0"/>
    <xf numFmtId="0" fontId="63" fillId="0" borderId="0" applyFont="0" applyFill="0" applyBorder="0" applyAlignment="0" applyProtection="0">
      <alignment horizontal="right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9" fillId="41" borderId="0" applyNumberFormat="0" applyBorder="0" applyAlignment="0" applyProtection="0"/>
    <xf numFmtId="0" fontId="7" fillId="3" borderId="0" applyNumberFormat="0" applyBorder="0" applyAlignment="0" applyProtection="0"/>
    <xf numFmtId="0" fontId="69" fillId="73" borderId="0" applyNumberFormat="0" applyBorder="0" applyAlignment="0" applyProtection="0"/>
    <xf numFmtId="0" fontId="68" fillId="6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67" fillId="7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67" fillId="4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67" fillId="71" borderId="0" applyNumberFormat="0" applyBorder="0" applyAlignment="0" applyProtection="0"/>
    <xf numFmtId="0" fontId="65" fillId="61" borderId="0" applyNumberFormat="0" applyBorder="0" applyAlignment="0" applyProtection="0"/>
    <xf numFmtId="0" fontId="65" fillId="7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6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67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67" fillId="55" borderId="0" applyNumberFormat="0" applyBorder="0" applyAlignment="0" applyProtection="0"/>
    <xf numFmtId="0" fontId="65" fillId="55" borderId="0" applyNumberFormat="0" applyBorder="0" applyAlignment="0" applyProtection="0"/>
    <xf numFmtId="0" fontId="65" fillId="5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6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67" fillId="5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67" fillId="67" borderId="0" applyNumberFormat="0" applyBorder="0" applyAlignment="0" applyProtection="0"/>
    <xf numFmtId="0" fontId="65" fillId="67" borderId="0" applyNumberFormat="0" applyBorder="0" applyAlignment="0" applyProtection="0"/>
    <xf numFmtId="0" fontId="65" fillId="6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6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67" fillId="4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67" fillId="67" borderId="0" applyNumberFormat="0" applyBorder="0" applyAlignment="0" applyProtection="0"/>
    <xf numFmtId="0" fontId="65" fillId="66" borderId="0" applyNumberFormat="0" applyBorder="0" applyAlignment="0" applyProtection="0"/>
    <xf numFmtId="0" fontId="65" fillId="6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6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67" fillId="6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67" fillId="62" borderId="0" applyNumberFormat="0" applyBorder="0" applyAlignment="0" applyProtection="0"/>
    <xf numFmtId="0" fontId="65" fillId="61" borderId="0" applyNumberFormat="0" applyBorder="0" applyAlignment="0" applyProtection="0"/>
    <xf numFmtId="0" fontId="65" fillId="6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67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67" fillId="56" borderId="0" applyNumberFormat="0" applyBorder="0" applyAlignment="0" applyProtection="0"/>
    <xf numFmtId="0" fontId="65" fillId="55" borderId="0" applyNumberFormat="0" applyBorder="0" applyAlignment="0" applyProtection="0"/>
    <xf numFmtId="0" fontId="65" fillId="54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67" fillId="53" borderId="0" applyNumberFormat="0" applyBorder="0" applyAlignment="0" applyProtection="0"/>
    <xf numFmtId="0" fontId="17" fillId="32" borderId="0" applyNumberFormat="0" applyBorder="0" applyAlignment="0" applyProtection="0"/>
    <xf numFmtId="0" fontId="67" fillId="37" borderId="0" applyNumberFormat="0" applyBorder="0" applyAlignment="0" applyProtection="0"/>
    <xf numFmtId="0" fontId="66" fillId="40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67" fillId="52" borderId="0" applyNumberFormat="0" applyBorder="0" applyAlignment="0" applyProtection="0"/>
    <xf numFmtId="0" fontId="17" fillId="28" borderId="0" applyNumberFormat="0" applyBorder="0" applyAlignment="0" applyProtection="0"/>
    <xf numFmtId="0" fontId="67" fillId="43" borderId="0" applyNumberFormat="0" applyBorder="0" applyAlignment="0" applyProtection="0"/>
    <xf numFmtId="0" fontId="66" fillId="4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67" fillId="51" borderId="0" applyNumberFormat="0" applyBorder="0" applyAlignment="0" applyProtection="0"/>
    <xf numFmtId="0" fontId="17" fillId="24" borderId="0" applyNumberFormat="0" applyBorder="0" applyAlignment="0" applyProtection="0"/>
    <xf numFmtId="0" fontId="67" fillId="41" borderId="0" applyNumberFormat="0" applyBorder="0" applyAlignment="0" applyProtection="0"/>
    <xf numFmtId="0" fontId="66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67" fillId="50" borderId="0" applyNumberFormat="0" applyBorder="0" applyAlignment="0" applyProtection="0"/>
    <xf numFmtId="0" fontId="17" fillId="20" borderId="0" applyNumberFormat="0" applyBorder="0" applyAlignment="0" applyProtection="0"/>
    <xf numFmtId="0" fontId="67" fillId="49" borderId="0" applyNumberFormat="0" applyBorder="0" applyAlignment="0" applyProtection="0"/>
    <xf numFmtId="0" fontId="66" fillId="4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67" fillId="37" borderId="0" applyNumberFormat="0" applyBorder="0" applyAlignment="0" applyProtection="0"/>
    <xf numFmtId="0" fontId="17" fillId="16" borderId="0" applyNumberFormat="0" applyBorder="0" applyAlignment="0" applyProtection="0"/>
    <xf numFmtId="0" fontId="67" fillId="48" borderId="0" applyNumberFormat="0" applyBorder="0" applyAlignment="0" applyProtection="0"/>
    <xf numFmtId="0" fontId="66" fillId="3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67" fillId="47" borderId="0" applyNumberFormat="0" applyBorder="0" applyAlignment="0" applyProtection="0"/>
    <xf numFmtId="0" fontId="17" fillId="12" borderId="0" applyNumberFormat="0" applyBorder="0" applyAlignment="0" applyProtection="0"/>
    <xf numFmtId="0" fontId="67" fillId="43" borderId="0" applyNumberFormat="0" applyBorder="0" applyAlignment="0" applyProtection="0"/>
    <xf numFmtId="0" fontId="66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5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4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5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4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5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4" fillId="4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5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4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4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5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4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5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4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5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4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4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4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4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98" fontId="63" fillId="0" borderId="0">
      <alignment horizontal="left"/>
    </xf>
    <xf numFmtId="197" fontId="62" fillId="0" borderId="0">
      <alignment horizontal="left"/>
    </xf>
    <xf numFmtId="0" fontId="61" fillId="0" borderId="0"/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0" fontId="61" fillId="0" borderId="0"/>
    <xf numFmtId="0" fontId="61" fillId="0" borderId="0"/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7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0" fontId="61" fillId="0" borderId="0"/>
    <xf numFmtId="0" fontId="61" fillId="0" borderId="0"/>
    <xf numFmtId="165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0" fontId="61" fillId="0" borderId="0"/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0" fontId="61" fillId="0" borderId="0"/>
    <xf numFmtId="0" fontId="61" fillId="0" borderId="0"/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75" fontId="45" fillId="0" borderId="0">
      <alignment horizontal="left" wrapText="1"/>
    </xf>
    <xf numFmtId="175" fontId="45" fillId="0" borderId="0">
      <alignment horizontal="left" wrapText="1"/>
    </xf>
    <xf numFmtId="175" fontId="45" fillId="0" borderId="0">
      <alignment horizontal="left" wrapText="1"/>
    </xf>
    <xf numFmtId="175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75" fontId="45" fillId="0" borderId="0">
      <alignment horizontal="left" wrapText="1"/>
    </xf>
    <xf numFmtId="165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96" fontId="45" fillId="0" borderId="0">
      <alignment horizontal="left" wrapText="1"/>
    </xf>
    <xf numFmtId="0" fontId="45" fillId="0" borderId="0"/>
    <xf numFmtId="43" fontId="45" fillId="0" borderId="0" applyFont="0" applyFill="0" applyBorder="0" applyAlignment="0" applyProtection="0"/>
    <xf numFmtId="0" fontId="138" fillId="0" borderId="0"/>
    <xf numFmtId="165" fontId="46" fillId="0" borderId="0">
      <alignment horizontal="left" wrapText="1"/>
    </xf>
    <xf numFmtId="43" fontId="46" fillId="0" borderId="0" applyFont="0" applyFill="0" applyBorder="0" applyAlignment="0" applyProtection="0"/>
    <xf numFmtId="0" fontId="45" fillId="0" borderId="0"/>
    <xf numFmtId="165" fontId="166" fillId="0" borderId="0">
      <alignment horizontal="left" wrapText="1"/>
    </xf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5" fillId="36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1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65" fillId="113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65" fillId="113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65" fillId="113" borderId="0" applyNumberFormat="0" applyBorder="0" applyAlignment="0" applyProtection="0"/>
    <xf numFmtId="0" fontId="1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65" fillId="113" borderId="0" applyNumberFormat="0" applyBorder="0" applyAlignment="0" applyProtection="0"/>
    <xf numFmtId="0" fontId="65" fillId="36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5" fillId="37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1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65" fillId="41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65" fillId="41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65" fillId="41" borderId="0" applyNumberFormat="0" applyBorder="0" applyAlignment="0" applyProtection="0"/>
    <xf numFmtId="0" fontId="1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65" fillId="41" borderId="0" applyNumberFormat="0" applyBorder="0" applyAlignment="0" applyProtection="0"/>
    <xf numFmtId="0" fontId="65" fillId="37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5" fillId="3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1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65" fillId="81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65" fillId="81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65" fillId="81" borderId="0" applyNumberFormat="0" applyBorder="0" applyAlignment="0" applyProtection="0"/>
    <xf numFmtId="0" fontId="1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65" fillId="81" borderId="0" applyNumberFormat="0" applyBorder="0" applyAlignment="0" applyProtection="0"/>
    <xf numFmtId="0" fontId="65" fillId="3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5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5" fillId="40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1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65" fillId="73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65" fillId="73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65" fillId="73" borderId="0" applyNumberFormat="0" applyBorder="0" applyAlignment="0" applyProtection="0"/>
    <xf numFmtId="0" fontId="1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65" fillId="73" borderId="0" applyNumberFormat="0" applyBorder="0" applyAlignment="0" applyProtection="0"/>
    <xf numFmtId="0" fontId="65" fillId="40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171" fillId="26" borderId="0" applyNumberFormat="0" applyBorder="0" applyAlignment="0" applyProtection="0"/>
    <xf numFmtId="0" fontId="1" fillId="26" borderId="0" applyNumberFormat="0" applyBorder="0" applyAlignment="0" applyProtection="0"/>
    <xf numFmtId="0" fontId="171" fillId="26" borderId="0" applyNumberFormat="0" applyBorder="0" applyAlignment="0" applyProtection="0"/>
    <xf numFmtId="0" fontId="65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5" fillId="43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65" fillId="43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5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5" fillId="38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1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65" fillId="4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65" fillId="4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65" fillId="40" borderId="0" applyNumberFormat="0" applyBorder="0" applyAlignment="0" applyProtection="0"/>
    <xf numFmtId="0" fontId="1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65" fillId="40" borderId="0" applyNumberFormat="0" applyBorder="0" applyAlignment="0" applyProtection="0"/>
    <xf numFmtId="0" fontId="65" fillId="38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5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5" fillId="43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1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65" fillId="36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65" fillId="36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65" fillId="36" borderId="0" applyNumberFormat="0" applyBorder="0" applyAlignment="0" applyProtection="0"/>
    <xf numFmtId="0" fontId="1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65" fillId="36" borderId="0" applyNumberFormat="0" applyBorder="0" applyAlignment="0" applyProtection="0"/>
    <xf numFmtId="0" fontId="65" fillId="43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5" fillId="37" borderId="0" applyNumberFormat="0" applyBorder="0" applyAlignment="0" applyProtection="0"/>
    <xf numFmtId="0" fontId="65" fillId="37" borderId="0" applyNumberFormat="0" applyBorder="0" applyAlignment="0" applyProtection="0"/>
    <xf numFmtId="0" fontId="171" fillId="15" borderId="0" applyNumberFormat="0" applyBorder="0" applyAlignment="0" applyProtection="0"/>
    <xf numFmtId="0" fontId="1" fillId="15" borderId="0" applyNumberFormat="0" applyBorder="0" applyAlignment="0" applyProtection="0"/>
    <xf numFmtId="0" fontId="171" fillId="15" borderId="0" applyNumberFormat="0" applyBorder="0" applyAlignment="0" applyProtection="0"/>
    <xf numFmtId="0" fontId="65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5" fillId="37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65" fillId="37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5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5" fillId="45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1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65" fillId="50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65" fillId="50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65" fillId="50" borderId="0" applyNumberFormat="0" applyBorder="0" applyAlignment="0" applyProtection="0"/>
    <xf numFmtId="0" fontId="1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65" fillId="50" borderId="0" applyNumberFormat="0" applyBorder="0" applyAlignment="0" applyProtection="0"/>
    <xf numFmtId="0" fontId="65" fillId="45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5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5" fillId="41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1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65" fillId="7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65" fillId="7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65" fillId="73" borderId="0" applyNumberFormat="0" applyBorder="0" applyAlignment="0" applyProtection="0"/>
    <xf numFmtId="0" fontId="1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65" fillId="73" borderId="0" applyNumberFormat="0" applyBorder="0" applyAlignment="0" applyProtection="0"/>
    <xf numFmtId="0" fontId="65" fillId="41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5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5" fillId="43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1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65" fillId="36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65" fillId="36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65" fillId="36" borderId="0" applyNumberFormat="0" applyBorder="0" applyAlignment="0" applyProtection="0"/>
    <xf numFmtId="0" fontId="1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65" fillId="36" borderId="0" applyNumberFormat="0" applyBorder="0" applyAlignment="0" applyProtection="0"/>
    <xf numFmtId="0" fontId="65" fillId="43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5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5" fillId="38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1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65" fillId="49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65" fillId="49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65" fillId="49" borderId="0" applyNumberFormat="0" applyBorder="0" applyAlignment="0" applyProtection="0"/>
    <xf numFmtId="0" fontId="1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65" fillId="49" borderId="0" applyNumberFormat="0" applyBorder="0" applyAlignment="0" applyProtection="0"/>
    <xf numFmtId="0" fontId="65" fillId="38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72" fillId="12" borderId="0" applyNumberFormat="0" applyBorder="0" applyAlignment="0" applyProtection="0"/>
    <xf numFmtId="0" fontId="17" fillId="12" borderId="0" applyNumberFormat="0" applyBorder="0" applyAlignment="0" applyProtection="0"/>
    <xf numFmtId="0" fontId="67" fillId="43" borderId="0" applyNumberFormat="0" applyBorder="0" applyAlignment="0" applyProtection="0"/>
    <xf numFmtId="0" fontId="172" fillId="12" borderId="0" applyNumberFormat="0" applyBorder="0" applyAlignment="0" applyProtection="0"/>
    <xf numFmtId="0" fontId="172" fillId="12" borderId="0" applyNumberFormat="0" applyBorder="0" applyAlignment="0" applyProtection="0"/>
    <xf numFmtId="0" fontId="173" fillId="12" borderId="0" applyNumberFormat="0" applyBorder="0" applyAlignment="0" applyProtection="0"/>
    <xf numFmtId="0" fontId="173" fillId="12" borderId="0" applyNumberFormat="0" applyBorder="0" applyAlignment="0" applyProtection="0"/>
    <xf numFmtId="0" fontId="173" fillId="12" borderId="0" applyNumberFormat="0" applyBorder="0" applyAlignment="0" applyProtection="0"/>
    <xf numFmtId="0" fontId="172" fillId="12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174" fillId="12" borderId="0" applyNumberFormat="0" applyBorder="0" applyAlignment="0" applyProtection="0"/>
    <xf numFmtId="0" fontId="174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173" fillId="12" borderId="0" applyNumberFormat="0" applyBorder="0" applyAlignment="0" applyProtection="0"/>
    <xf numFmtId="0" fontId="67" fillId="47" borderId="0" applyNumberFormat="0" applyBorder="0" applyAlignment="0" applyProtection="0"/>
    <xf numFmtId="0" fontId="172" fillId="12" borderId="0" applyNumberFormat="0" applyBorder="0" applyAlignment="0" applyProtection="0"/>
    <xf numFmtId="0" fontId="67" fillId="43" borderId="0" applyNumberFormat="0" applyBorder="0" applyAlignment="0" applyProtection="0"/>
    <xf numFmtId="0" fontId="67" fillId="47" borderId="0" applyNumberFormat="0" applyBorder="0" applyAlignment="0" applyProtection="0"/>
    <xf numFmtId="0" fontId="174" fillId="12" borderId="0" applyNumberFormat="0" applyBorder="0" applyAlignment="0" applyProtection="0"/>
    <xf numFmtId="0" fontId="67" fillId="43" borderId="0" applyNumberFormat="0" applyBorder="0" applyAlignment="0" applyProtection="0"/>
    <xf numFmtId="0" fontId="172" fillId="16" borderId="0" applyNumberFormat="0" applyBorder="0" applyAlignment="0" applyProtection="0"/>
    <xf numFmtId="0" fontId="17" fillId="16" borderId="0" applyNumberFormat="0" applyBorder="0" applyAlignment="0" applyProtection="0"/>
    <xf numFmtId="0" fontId="67" fillId="48" borderId="0" applyNumberFormat="0" applyBorder="0" applyAlignment="0" applyProtection="0"/>
    <xf numFmtId="0" fontId="172" fillId="16" borderId="0" applyNumberFormat="0" applyBorder="0" applyAlignment="0" applyProtection="0"/>
    <xf numFmtId="0" fontId="172" fillId="16" borderId="0" applyNumberFormat="0" applyBorder="0" applyAlignment="0" applyProtection="0"/>
    <xf numFmtId="0" fontId="173" fillId="16" borderId="0" applyNumberFormat="0" applyBorder="0" applyAlignment="0" applyProtection="0"/>
    <xf numFmtId="0" fontId="173" fillId="16" borderId="0" applyNumberFormat="0" applyBorder="0" applyAlignment="0" applyProtection="0"/>
    <xf numFmtId="0" fontId="173" fillId="16" borderId="0" applyNumberFormat="0" applyBorder="0" applyAlignment="0" applyProtection="0"/>
    <xf numFmtId="0" fontId="172" fillId="16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174" fillId="16" borderId="0" applyNumberFormat="0" applyBorder="0" applyAlignment="0" applyProtection="0"/>
    <xf numFmtId="0" fontId="174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67" fillId="37" borderId="0" applyNumberFormat="0" applyBorder="0" applyAlignment="0" applyProtection="0"/>
    <xf numFmtId="0" fontId="67" fillId="37" borderId="0" applyNumberFormat="0" applyBorder="0" applyAlignment="0" applyProtection="0"/>
    <xf numFmtId="0" fontId="173" fillId="16" borderId="0" applyNumberFormat="0" applyBorder="0" applyAlignment="0" applyProtection="0"/>
    <xf numFmtId="0" fontId="67" fillId="37" borderId="0" applyNumberFormat="0" applyBorder="0" applyAlignment="0" applyProtection="0"/>
    <xf numFmtId="0" fontId="172" fillId="16" borderId="0" applyNumberFormat="0" applyBorder="0" applyAlignment="0" applyProtection="0"/>
    <xf numFmtId="0" fontId="67" fillId="48" borderId="0" applyNumberFormat="0" applyBorder="0" applyAlignment="0" applyProtection="0"/>
    <xf numFmtId="0" fontId="67" fillId="37" borderId="0" applyNumberFormat="0" applyBorder="0" applyAlignment="0" applyProtection="0"/>
    <xf numFmtId="0" fontId="174" fillId="16" borderId="0" applyNumberFormat="0" applyBorder="0" applyAlignment="0" applyProtection="0"/>
    <xf numFmtId="0" fontId="67" fillId="48" borderId="0" applyNumberFormat="0" applyBorder="0" applyAlignment="0" applyProtection="0"/>
    <xf numFmtId="0" fontId="172" fillId="20" borderId="0" applyNumberFormat="0" applyBorder="0" applyAlignment="0" applyProtection="0"/>
    <xf numFmtId="0" fontId="17" fillId="20" borderId="0" applyNumberFormat="0" applyBorder="0" applyAlignment="0" applyProtection="0"/>
    <xf numFmtId="0" fontId="67" fillId="49" borderId="0" applyNumberFormat="0" applyBorder="0" applyAlignment="0" applyProtection="0"/>
    <xf numFmtId="0" fontId="172" fillId="20" borderId="0" applyNumberFormat="0" applyBorder="0" applyAlignment="0" applyProtection="0"/>
    <xf numFmtId="0" fontId="172" fillId="20" borderId="0" applyNumberFormat="0" applyBorder="0" applyAlignment="0" applyProtection="0"/>
    <xf numFmtId="0" fontId="173" fillId="20" borderId="0" applyNumberFormat="0" applyBorder="0" applyAlignment="0" applyProtection="0"/>
    <xf numFmtId="0" fontId="173" fillId="20" borderId="0" applyNumberFormat="0" applyBorder="0" applyAlignment="0" applyProtection="0"/>
    <xf numFmtId="0" fontId="173" fillId="20" borderId="0" applyNumberFormat="0" applyBorder="0" applyAlignment="0" applyProtection="0"/>
    <xf numFmtId="0" fontId="172" fillId="20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174" fillId="20" borderId="0" applyNumberFormat="0" applyBorder="0" applyAlignment="0" applyProtection="0"/>
    <xf numFmtId="0" fontId="174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173" fillId="20" borderId="0" applyNumberFormat="0" applyBorder="0" applyAlignment="0" applyProtection="0"/>
    <xf numFmtId="0" fontId="67" fillId="50" borderId="0" applyNumberFormat="0" applyBorder="0" applyAlignment="0" applyProtection="0"/>
    <xf numFmtId="0" fontId="172" fillId="20" borderId="0" applyNumberFormat="0" applyBorder="0" applyAlignment="0" applyProtection="0"/>
    <xf numFmtId="0" fontId="67" fillId="49" borderId="0" applyNumberFormat="0" applyBorder="0" applyAlignment="0" applyProtection="0"/>
    <xf numFmtId="0" fontId="67" fillId="50" borderId="0" applyNumberFormat="0" applyBorder="0" applyAlignment="0" applyProtection="0"/>
    <xf numFmtId="0" fontId="174" fillId="20" borderId="0" applyNumberFormat="0" applyBorder="0" applyAlignment="0" applyProtection="0"/>
    <xf numFmtId="0" fontId="67" fillId="49" borderId="0" applyNumberFormat="0" applyBorder="0" applyAlignment="0" applyProtection="0"/>
    <xf numFmtId="0" fontId="172" fillId="24" borderId="0" applyNumberFormat="0" applyBorder="0" applyAlignment="0" applyProtection="0"/>
    <xf numFmtId="0" fontId="17" fillId="24" borderId="0" applyNumberFormat="0" applyBorder="0" applyAlignment="0" applyProtection="0"/>
    <xf numFmtId="0" fontId="67" fillId="41" borderId="0" applyNumberFormat="0" applyBorder="0" applyAlignment="0" applyProtection="0"/>
    <xf numFmtId="0" fontId="172" fillId="24" borderId="0" applyNumberFormat="0" applyBorder="0" applyAlignment="0" applyProtection="0"/>
    <xf numFmtId="0" fontId="172" fillId="24" borderId="0" applyNumberFormat="0" applyBorder="0" applyAlignment="0" applyProtection="0"/>
    <xf numFmtId="0" fontId="173" fillId="24" borderId="0" applyNumberFormat="0" applyBorder="0" applyAlignment="0" applyProtection="0"/>
    <xf numFmtId="0" fontId="173" fillId="24" borderId="0" applyNumberFormat="0" applyBorder="0" applyAlignment="0" applyProtection="0"/>
    <xf numFmtId="0" fontId="173" fillId="24" borderId="0" applyNumberFormat="0" applyBorder="0" applyAlignment="0" applyProtection="0"/>
    <xf numFmtId="0" fontId="172" fillId="24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174" fillId="24" borderId="0" applyNumberFormat="0" applyBorder="0" applyAlignment="0" applyProtection="0"/>
    <xf numFmtId="0" fontId="174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173" fillId="24" borderId="0" applyNumberFormat="0" applyBorder="0" applyAlignment="0" applyProtection="0"/>
    <xf numFmtId="0" fontId="67" fillId="51" borderId="0" applyNumberFormat="0" applyBorder="0" applyAlignment="0" applyProtection="0"/>
    <xf numFmtId="0" fontId="172" fillId="24" borderId="0" applyNumberFormat="0" applyBorder="0" applyAlignment="0" applyProtection="0"/>
    <xf numFmtId="0" fontId="67" fillId="41" borderId="0" applyNumberFormat="0" applyBorder="0" applyAlignment="0" applyProtection="0"/>
    <xf numFmtId="0" fontId="67" fillId="51" borderId="0" applyNumberFormat="0" applyBorder="0" applyAlignment="0" applyProtection="0"/>
    <xf numFmtId="0" fontId="174" fillId="24" borderId="0" applyNumberFormat="0" applyBorder="0" applyAlignment="0" applyProtection="0"/>
    <xf numFmtId="0" fontId="67" fillId="41" borderId="0" applyNumberFormat="0" applyBorder="0" applyAlignment="0" applyProtection="0"/>
    <xf numFmtId="0" fontId="172" fillId="28" borderId="0" applyNumberFormat="0" applyBorder="0" applyAlignment="0" applyProtection="0"/>
    <xf numFmtId="0" fontId="17" fillId="28" borderId="0" applyNumberFormat="0" applyBorder="0" applyAlignment="0" applyProtection="0"/>
    <xf numFmtId="0" fontId="67" fillId="43" borderId="0" applyNumberFormat="0" applyBorder="0" applyAlignment="0" applyProtection="0"/>
    <xf numFmtId="0" fontId="172" fillId="28" borderId="0" applyNumberFormat="0" applyBorder="0" applyAlignment="0" applyProtection="0"/>
    <xf numFmtId="0" fontId="172" fillId="28" borderId="0" applyNumberFormat="0" applyBorder="0" applyAlignment="0" applyProtection="0"/>
    <xf numFmtId="0" fontId="173" fillId="28" borderId="0" applyNumberFormat="0" applyBorder="0" applyAlignment="0" applyProtection="0"/>
    <xf numFmtId="0" fontId="173" fillId="28" borderId="0" applyNumberFormat="0" applyBorder="0" applyAlignment="0" applyProtection="0"/>
    <xf numFmtId="0" fontId="173" fillId="28" borderId="0" applyNumberFormat="0" applyBorder="0" applyAlignment="0" applyProtection="0"/>
    <xf numFmtId="0" fontId="172" fillId="28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174" fillId="28" borderId="0" applyNumberFormat="0" applyBorder="0" applyAlignment="0" applyProtection="0"/>
    <xf numFmtId="0" fontId="174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173" fillId="28" borderId="0" applyNumberFormat="0" applyBorder="0" applyAlignment="0" applyProtection="0"/>
    <xf numFmtId="0" fontId="67" fillId="52" borderId="0" applyNumberFormat="0" applyBorder="0" applyAlignment="0" applyProtection="0"/>
    <xf numFmtId="0" fontId="172" fillId="28" borderId="0" applyNumberFormat="0" applyBorder="0" applyAlignment="0" applyProtection="0"/>
    <xf numFmtId="0" fontId="67" fillId="43" borderId="0" applyNumberFormat="0" applyBorder="0" applyAlignment="0" applyProtection="0"/>
    <xf numFmtId="0" fontId="67" fillId="52" borderId="0" applyNumberFormat="0" applyBorder="0" applyAlignment="0" applyProtection="0"/>
    <xf numFmtId="0" fontId="174" fillId="28" borderId="0" applyNumberFormat="0" applyBorder="0" applyAlignment="0" applyProtection="0"/>
    <xf numFmtId="0" fontId="67" fillId="43" borderId="0" applyNumberFormat="0" applyBorder="0" applyAlignment="0" applyProtection="0"/>
    <xf numFmtId="0" fontId="172" fillId="32" borderId="0" applyNumberFormat="0" applyBorder="0" applyAlignment="0" applyProtection="0"/>
    <xf numFmtId="0" fontId="17" fillId="32" borderId="0" applyNumberFormat="0" applyBorder="0" applyAlignment="0" applyProtection="0"/>
    <xf numFmtId="0" fontId="67" fillId="37" borderId="0" applyNumberFormat="0" applyBorder="0" applyAlignment="0" applyProtection="0"/>
    <xf numFmtId="0" fontId="172" fillId="32" borderId="0" applyNumberFormat="0" applyBorder="0" applyAlignment="0" applyProtection="0"/>
    <xf numFmtId="0" fontId="172" fillId="32" borderId="0" applyNumberFormat="0" applyBorder="0" applyAlignment="0" applyProtection="0"/>
    <xf numFmtId="0" fontId="173" fillId="32" borderId="0" applyNumberFormat="0" applyBorder="0" applyAlignment="0" applyProtection="0"/>
    <xf numFmtId="0" fontId="173" fillId="32" borderId="0" applyNumberFormat="0" applyBorder="0" applyAlignment="0" applyProtection="0"/>
    <xf numFmtId="0" fontId="173" fillId="32" borderId="0" applyNumberFormat="0" applyBorder="0" applyAlignment="0" applyProtection="0"/>
    <xf numFmtId="0" fontId="172" fillId="32" borderId="0" applyNumberFormat="0" applyBorder="0" applyAlignment="0" applyProtection="0"/>
    <xf numFmtId="0" fontId="67" fillId="37" borderId="0" applyNumberFormat="0" applyBorder="0" applyAlignment="0" applyProtection="0"/>
    <xf numFmtId="0" fontId="67" fillId="37" borderId="0" applyNumberFormat="0" applyBorder="0" applyAlignment="0" applyProtection="0"/>
    <xf numFmtId="0" fontId="174" fillId="32" borderId="0" applyNumberFormat="0" applyBorder="0" applyAlignment="0" applyProtection="0"/>
    <xf numFmtId="0" fontId="174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173" fillId="32" borderId="0" applyNumberFormat="0" applyBorder="0" applyAlignment="0" applyProtection="0"/>
    <xf numFmtId="0" fontId="67" fillId="53" borderId="0" applyNumberFormat="0" applyBorder="0" applyAlignment="0" applyProtection="0"/>
    <xf numFmtId="0" fontId="172" fillId="32" borderId="0" applyNumberFormat="0" applyBorder="0" applyAlignment="0" applyProtection="0"/>
    <xf numFmtId="0" fontId="67" fillId="37" borderId="0" applyNumberFormat="0" applyBorder="0" applyAlignment="0" applyProtection="0"/>
    <xf numFmtId="0" fontId="67" fillId="53" borderId="0" applyNumberFormat="0" applyBorder="0" applyAlignment="0" applyProtection="0"/>
    <xf numFmtId="0" fontId="174" fillId="32" borderId="0" applyNumberFormat="0" applyBorder="0" applyAlignment="0" applyProtection="0"/>
    <xf numFmtId="0" fontId="67" fillId="37" borderId="0" applyNumberFormat="0" applyBorder="0" applyAlignment="0" applyProtection="0"/>
    <xf numFmtId="0" fontId="172" fillId="9" borderId="0" applyNumberFormat="0" applyBorder="0" applyAlignment="0" applyProtection="0"/>
    <xf numFmtId="0" fontId="17" fillId="9" borderId="0" applyNumberFormat="0" applyBorder="0" applyAlignment="0" applyProtection="0"/>
    <xf numFmtId="0" fontId="67" fillId="59" borderId="0" applyNumberFormat="0" applyBorder="0" applyAlignment="0" applyProtection="0"/>
    <xf numFmtId="0" fontId="172" fillId="9" borderId="0" applyNumberFormat="0" applyBorder="0" applyAlignment="0" applyProtection="0"/>
    <xf numFmtId="0" fontId="172" fillId="9" borderId="0" applyNumberFormat="0" applyBorder="0" applyAlignment="0" applyProtection="0"/>
    <xf numFmtId="0" fontId="173" fillId="9" borderId="0" applyNumberFormat="0" applyBorder="0" applyAlignment="0" applyProtection="0"/>
    <xf numFmtId="0" fontId="173" fillId="9" borderId="0" applyNumberFormat="0" applyBorder="0" applyAlignment="0" applyProtection="0"/>
    <xf numFmtId="0" fontId="173" fillId="9" borderId="0" applyNumberFormat="0" applyBorder="0" applyAlignment="0" applyProtection="0"/>
    <xf numFmtId="0" fontId="172" fillId="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174" fillId="9" borderId="0" applyNumberFormat="0" applyBorder="0" applyAlignment="0" applyProtection="0"/>
    <xf numFmtId="0" fontId="174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173" fillId="9" borderId="0" applyNumberFormat="0" applyBorder="0" applyAlignment="0" applyProtection="0"/>
    <xf numFmtId="0" fontId="67" fillId="57" borderId="0" applyNumberFormat="0" applyBorder="0" applyAlignment="0" applyProtection="0"/>
    <xf numFmtId="0" fontId="172" fillId="9" borderId="0" applyNumberFormat="0" applyBorder="0" applyAlignment="0" applyProtection="0"/>
    <xf numFmtId="0" fontId="67" fillId="59" borderId="0" applyNumberFormat="0" applyBorder="0" applyAlignment="0" applyProtection="0"/>
    <xf numFmtId="0" fontId="67" fillId="57" borderId="0" applyNumberFormat="0" applyBorder="0" applyAlignment="0" applyProtection="0"/>
    <xf numFmtId="0" fontId="174" fillId="9" borderId="0" applyNumberFormat="0" applyBorder="0" applyAlignment="0" applyProtection="0"/>
    <xf numFmtId="0" fontId="67" fillId="59" borderId="0" applyNumberFormat="0" applyBorder="0" applyAlignment="0" applyProtection="0"/>
    <xf numFmtId="0" fontId="172" fillId="13" borderId="0" applyNumberFormat="0" applyBorder="0" applyAlignment="0" applyProtection="0"/>
    <xf numFmtId="0" fontId="17" fillId="13" borderId="0" applyNumberFormat="0" applyBorder="0" applyAlignment="0" applyProtection="0"/>
    <xf numFmtId="0" fontId="67" fillId="48" borderId="0" applyNumberFormat="0" applyBorder="0" applyAlignment="0" applyProtection="0"/>
    <xf numFmtId="0" fontId="172" fillId="13" borderId="0" applyNumberFormat="0" applyBorder="0" applyAlignment="0" applyProtection="0"/>
    <xf numFmtId="0" fontId="172" fillId="13" borderId="0" applyNumberFormat="0" applyBorder="0" applyAlignment="0" applyProtection="0"/>
    <xf numFmtId="0" fontId="173" fillId="13" borderId="0" applyNumberFormat="0" applyBorder="0" applyAlignment="0" applyProtection="0"/>
    <xf numFmtId="0" fontId="173" fillId="13" borderId="0" applyNumberFormat="0" applyBorder="0" applyAlignment="0" applyProtection="0"/>
    <xf numFmtId="0" fontId="173" fillId="13" borderId="0" applyNumberFormat="0" applyBorder="0" applyAlignment="0" applyProtection="0"/>
    <xf numFmtId="0" fontId="172" fillId="13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174" fillId="13" borderId="0" applyNumberFormat="0" applyBorder="0" applyAlignment="0" applyProtection="0"/>
    <xf numFmtId="0" fontId="174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173" fillId="13" borderId="0" applyNumberFormat="0" applyBorder="0" applyAlignment="0" applyProtection="0"/>
    <xf numFmtId="0" fontId="67" fillId="63" borderId="0" applyNumberFormat="0" applyBorder="0" applyAlignment="0" applyProtection="0"/>
    <xf numFmtId="0" fontId="172" fillId="13" borderId="0" applyNumberFormat="0" applyBorder="0" applyAlignment="0" applyProtection="0"/>
    <xf numFmtId="0" fontId="67" fillId="48" borderId="0" applyNumberFormat="0" applyBorder="0" applyAlignment="0" applyProtection="0"/>
    <xf numFmtId="0" fontId="67" fillId="63" borderId="0" applyNumberFormat="0" applyBorder="0" applyAlignment="0" applyProtection="0"/>
    <xf numFmtId="0" fontId="174" fillId="13" borderId="0" applyNumberFormat="0" applyBorder="0" applyAlignment="0" applyProtection="0"/>
    <xf numFmtId="0" fontId="67" fillId="48" borderId="0" applyNumberFormat="0" applyBorder="0" applyAlignment="0" applyProtection="0"/>
    <xf numFmtId="0" fontId="172" fillId="17" borderId="0" applyNumberFormat="0" applyBorder="0" applyAlignment="0" applyProtection="0"/>
    <xf numFmtId="0" fontId="17" fillId="17" borderId="0" applyNumberFormat="0" applyBorder="0" applyAlignment="0" applyProtection="0"/>
    <xf numFmtId="0" fontId="67" fillId="49" borderId="0" applyNumberFormat="0" applyBorder="0" applyAlignment="0" applyProtection="0"/>
    <xf numFmtId="0" fontId="172" fillId="17" borderId="0" applyNumberFormat="0" applyBorder="0" applyAlignment="0" applyProtection="0"/>
    <xf numFmtId="0" fontId="172" fillId="17" borderId="0" applyNumberFormat="0" applyBorder="0" applyAlignment="0" applyProtection="0"/>
    <xf numFmtId="0" fontId="173" fillId="17" borderId="0" applyNumberFormat="0" applyBorder="0" applyAlignment="0" applyProtection="0"/>
    <xf numFmtId="0" fontId="173" fillId="17" borderId="0" applyNumberFormat="0" applyBorder="0" applyAlignment="0" applyProtection="0"/>
    <xf numFmtId="0" fontId="173" fillId="17" borderId="0" applyNumberFormat="0" applyBorder="0" applyAlignment="0" applyProtection="0"/>
    <xf numFmtId="0" fontId="172" fillId="17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174" fillId="17" borderId="0" applyNumberFormat="0" applyBorder="0" applyAlignment="0" applyProtection="0"/>
    <xf numFmtId="0" fontId="174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173" fillId="17" borderId="0" applyNumberFormat="0" applyBorder="0" applyAlignment="0" applyProtection="0"/>
    <xf numFmtId="0" fontId="67" fillId="44" borderId="0" applyNumberFormat="0" applyBorder="0" applyAlignment="0" applyProtection="0"/>
    <xf numFmtId="0" fontId="172" fillId="17" borderId="0" applyNumberFormat="0" applyBorder="0" applyAlignment="0" applyProtection="0"/>
    <xf numFmtId="0" fontId="67" fillId="49" borderId="0" applyNumberFormat="0" applyBorder="0" applyAlignment="0" applyProtection="0"/>
    <xf numFmtId="0" fontId="67" fillId="44" borderId="0" applyNumberFormat="0" applyBorder="0" applyAlignment="0" applyProtection="0"/>
    <xf numFmtId="0" fontId="174" fillId="17" borderId="0" applyNumberFormat="0" applyBorder="0" applyAlignment="0" applyProtection="0"/>
    <xf numFmtId="0" fontId="67" fillId="49" borderId="0" applyNumberFormat="0" applyBorder="0" applyAlignment="0" applyProtection="0"/>
    <xf numFmtId="0" fontId="172" fillId="21" borderId="0" applyNumberFormat="0" applyBorder="0" applyAlignment="0" applyProtection="0"/>
    <xf numFmtId="0" fontId="17" fillId="21" borderId="0" applyNumberFormat="0" applyBorder="0" applyAlignment="0" applyProtection="0"/>
    <xf numFmtId="0" fontId="67" fillId="42" borderId="0" applyNumberFormat="0" applyBorder="0" applyAlignment="0" applyProtection="0"/>
    <xf numFmtId="0" fontId="172" fillId="21" borderId="0" applyNumberFormat="0" applyBorder="0" applyAlignment="0" applyProtection="0"/>
    <xf numFmtId="0" fontId="172" fillId="21" borderId="0" applyNumberFormat="0" applyBorder="0" applyAlignment="0" applyProtection="0"/>
    <xf numFmtId="0" fontId="173" fillId="21" borderId="0" applyNumberFormat="0" applyBorder="0" applyAlignment="0" applyProtection="0"/>
    <xf numFmtId="0" fontId="173" fillId="21" borderId="0" applyNumberFormat="0" applyBorder="0" applyAlignment="0" applyProtection="0"/>
    <xf numFmtId="0" fontId="173" fillId="21" borderId="0" applyNumberFormat="0" applyBorder="0" applyAlignment="0" applyProtection="0"/>
    <xf numFmtId="0" fontId="172" fillId="21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174" fillId="21" borderId="0" applyNumberFormat="0" applyBorder="0" applyAlignment="0" applyProtection="0"/>
    <xf numFmtId="0" fontId="174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173" fillId="21" borderId="0" applyNumberFormat="0" applyBorder="0" applyAlignment="0" applyProtection="0"/>
    <xf numFmtId="0" fontId="67" fillId="51" borderId="0" applyNumberFormat="0" applyBorder="0" applyAlignment="0" applyProtection="0"/>
    <xf numFmtId="0" fontId="172" fillId="21" borderId="0" applyNumberFormat="0" applyBorder="0" applyAlignment="0" applyProtection="0"/>
    <xf numFmtId="0" fontId="67" fillId="42" borderId="0" applyNumberFormat="0" applyBorder="0" applyAlignment="0" applyProtection="0"/>
    <xf numFmtId="0" fontId="67" fillId="51" borderId="0" applyNumberFormat="0" applyBorder="0" applyAlignment="0" applyProtection="0"/>
    <xf numFmtId="0" fontId="174" fillId="21" borderId="0" applyNumberFormat="0" applyBorder="0" applyAlignment="0" applyProtection="0"/>
    <xf numFmtId="0" fontId="67" fillId="42" borderId="0" applyNumberFormat="0" applyBorder="0" applyAlignment="0" applyProtection="0"/>
    <xf numFmtId="0" fontId="172" fillId="25" borderId="0" applyNumberFormat="0" applyBorder="0" applyAlignment="0" applyProtection="0"/>
    <xf numFmtId="0" fontId="17" fillId="25" borderId="0" applyNumberFormat="0" applyBorder="0" applyAlignment="0" applyProtection="0"/>
    <xf numFmtId="0" fontId="172" fillId="25" borderId="0" applyNumberFormat="0" applyBorder="0" applyAlignment="0" applyProtection="0"/>
    <xf numFmtId="0" fontId="67" fillId="52" borderId="0" applyNumberFormat="0" applyBorder="0" applyAlignment="0" applyProtection="0"/>
    <xf numFmtId="0" fontId="173" fillId="25" borderId="0" applyNumberFormat="0" applyBorder="0" applyAlignment="0" applyProtection="0"/>
    <xf numFmtId="0" fontId="173" fillId="25" borderId="0" applyNumberFormat="0" applyBorder="0" applyAlignment="0" applyProtection="0"/>
    <xf numFmtId="0" fontId="174" fillId="25" borderId="0" applyNumberFormat="0" applyBorder="0" applyAlignment="0" applyProtection="0"/>
    <xf numFmtId="0" fontId="174" fillId="25" borderId="0" applyNumberFormat="0" applyBorder="0" applyAlignment="0" applyProtection="0"/>
    <xf numFmtId="0" fontId="67" fillId="52" borderId="0" applyNumberFormat="0" applyBorder="0" applyAlignment="0" applyProtection="0"/>
    <xf numFmtId="0" fontId="17" fillId="25" borderId="0" applyNumberFormat="0" applyBorder="0" applyAlignment="0" applyProtection="0"/>
    <xf numFmtId="0" fontId="174" fillId="25" borderId="0" applyNumberFormat="0" applyBorder="0" applyAlignment="0" applyProtection="0"/>
    <xf numFmtId="0" fontId="174" fillId="25" borderId="0" applyNumberFormat="0" applyBorder="0" applyAlignment="0" applyProtection="0"/>
    <xf numFmtId="0" fontId="173" fillId="25" borderId="0" applyNumberFormat="0" applyBorder="0" applyAlignment="0" applyProtection="0"/>
    <xf numFmtId="0" fontId="67" fillId="52" borderId="0" applyNumberFormat="0" applyBorder="0" applyAlignment="0" applyProtection="0"/>
    <xf numFmtId="0" fontId="172" fillId="25" borderId="0" applyNumberFormat="0" applyBorder="0" applyAlignment="0" applyProtection="0"/>
    <xf numFmtId="0" fontId="174" fillId="25" borderId="0" applyNumberFormat="0" applyBorder="0" applyAlignment="0" applyProtection="0"/>
    <xf numFmtId="0" fontId="174" fillId="25" borderId="0" applyNumberFormat="0" applyBorder="0" applyAlignment="0" applyProtection="0"/>
    <xf numFmtId="0" fontId="172" fillId="29" borderId="0" applyNumberFormat="0" applyBorder="0" applyAlignment="0" applyProtection="0"/>
    <xf numFmtId="0" fontId="17" fillId="29" borderId="0" applyNumberFormat="0" applyBorder="0" applyAlignment="0" applyProtection="0"/>
    <xf numFmtId="0" fontId="67" fillId="63" borderId="0" applyNumberFormat="0" applyBorder="0" applyAlignment="0" applyProtection="0"/>
    <xf numFmtId="0" fontId="172" fillId="29" borderId="0" applyNumberFormat="0" applyBorder="0" applyAlignment="0" applyProtection="0"/>
    <xf numFmtId="0" fontId="172" fillId="29" borderId="0" applyNumberFormat="0" applyBorder="0" applyAlignment="0" applyProtection="0"/>
    <xf numFmtId="0" fontId="173" fillId="29" borderId="0" applyNumberFormat="0" applyBorder="0" applyAlignment="0" applyProtection="0"/>
    <xf numFmtId="0" fontId="173" fillId="29" borderId="0" applyNumberFormat="0" applyBorder="0" applyAlignment="0" applyProtection="0"/>
    <xf numFmtId="0" fontId="173" fillId="29" borderId="0" applyNumberFormat="0" applyBorder="0" applyAlignment="0" applyProtection="0"/>
    <xf numFmtId="0" fontId="172" fillId="29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174" fillId="29" borderId="0" applyNumberFormat="0" applyBorder="0" applyAlignment="0" applyProtection="0"/>
    <xf numFmtId="0" fontId="174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173" fillId="29" borderId="0" applyNumberFormat="0" applyBorder="0" applyAlignment="0" applyProtection="0"/>
    <xf numFmtId="0" fontId="67" fillId="48" borderId="0" applyNumberFormat="0" applyBorder="0" applyAlignment="0" applyProtection="0"/>
    <xf numFmtId="0" fontId="172" fillId="29" borderId="0" applyNumberFormat="0" applyBorder="0" applyAlignment="0" applyProtection="0"/>
    <xf numFmtId="0" fontId="67" fillId="63" borderId="0" applyNumberFormat="0" applyBorder="0" applyAlignment="0" applyProtection="0"/>
    <xf numFmtId="0" fontId="67" fillId="48" borderId="0" applyNumberFormat="0" applyBorder="0" applyAlignment="0" applyProtection="0"/>
    <xf numFmtId="0" fontId="174" fillId="29" borderId="0" applyNumberFormat="0" applyBorder="0" applyAlignment="0" applyProtection="0"/>
    <xf numFmtId="0" fontId="67" fillId="63" borderId="0" applyNumberFormat="0" applyBorder="0" applyAlignment="0" applyProtection="0"/>
    <xf numFmtId="0" fontId="175" fillId="3" borderId="0" applyNumberFormat="0" applyBorder="0" applyAlignment="0" applyProtection="0"/>
    <xf numFmtId="0" fontId="7" fillId="3" borderId="0" applyNumberFormat="0" applyBorder="0" applyAlignment="0" applyProtection="0"/>
    <xf numFmtId="0" fontId="69" fillId="73" borderId="0" applyNumberFormat="0" applyBorder="0" applyAlignment="0" applyProtection="0"/>
    <xf numFmtId="0" fontId="175" fillId="3" borderId="0" applyNumberFormat="0" applyBorder="0" applyAlignment="0" applyProtection="0"/>
    <xf numFmtId="0" fontId="175" fillId="3" borderId="0" applyNumberFormat="0" applyBorder="0" applyAlignment="0" applyProtection="0"/>
    <xf numFmtId="0" fontId="176" fillId="3" borderId="0" applyNumberFormat="0" applyBorder="0" applyAlignment="0" applyProtection="0"/>
    <xf numFmtId="0" fontId="176" fillId="3" borderId="0" applyNumberFormat="0" applyBorder="0" applyAlignment="0" applyProtection="0"/>
    <xf numFmtId="0" fontId="176" fillId="3" borderId="0" applyNumberFormat="0" applyBorder="0" applyAlignment="0" applyProtection="0"/>
    <xf numFmtId="0" fontId="175" fillId="3" borderId="0" applyNumberFormat="0" applyBorder="0" applyAlignment="0" applyProtection="0"/>
    <xf numFmtId="0" fontId="69" fillId="73" borderId="0" applyNumberFormat="0" applyBorder="0" applyAlignment="0" applyProtection="0"/>
    <xf numFmtId="0" fontId="69" fillId="73" borderId="0" applyNumberFormat="0" applyBorder="0" applyAlignment="0" applyProtection="0"/>
    <xf numFmtId="0" fontId="177" fillId="3" borderId="0" applyNumberFormat="0" applyBorder="0" applyAlignment="0" applyProtection="0"/>
    <xf numFmtId="0" fontId="17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9" fillId="41" borderId="0" applyNumberFormat="0" applyBorder="0" applyAlignment="0" applyProtection="0"/>
    <xf numFmtId="0" fontId="69" fillId="41" borderId="0" applyNumberFormat="0" applyBorder="0" applyAlignment="0" applyProtection="0"/>
    <xf numFmtId="0" fontId="176" fillId="3" borderId="0" applyNumberFormat="0" applyBorder="0" applyAlignment="0" applyProtection="0"/>
    <xf numFmtId="0" fontId="69" fillId="41" borderId="0" applyNumberFormat="0" applyBorder="0" applyAlignment="0" applyProtection="0"/>
    <xf numFmtId="0" fontId="175" fillId="3" borderId="0" applyNumberFormat="0" applyBorder="0" applyAlignment="0" applyProtection="0"/>
    <xf numFmtId="0" fontId="69" fillId="73" borderId="0" applyNumberFormat="0" applyBorder="0" applyAlignment="0" applyProtection="0"/>
    <xf numFmtId="0" fontId="69" fillId="41" borderId="0" applyNumberFormat="0" applyBorder="0" applyAlignment="0" applyProtection="0"/>
    <xf numFmtId="0" fontId="177" fillId="3" borderId="0" applyNumberFormat="0" applyBorder="0" applyAlignment="0" applyProtection="0"/>
    <xf numFmtId="0" fontId="69" fillId="73" borderId="0" applyNumberFormat="0" applyBorder="0" applyAlignment="0" applyProtection="0"/>
    <xf numFmtId="0" fontId="178" fillId="6" borderId="4" applyNumberFormat="0" applyAlignment="0" applyProtection="0"/>
    <xf numFmtId="0" fontId="11" fillId="6" borderId="4" applyNumberFormat="0" applyAlignment="0" applyProtection="0"/>
    <xf numFmtId="0" fontId="72" fillId="39" borderId="46" applyNumberFormat="0" applyAlignment="0" applyProtection="0"/>
    <xf numFmtId="0" fontId="178" fillId="6" borderId="4" applyNumberFormat="0" applyAlignment="0" applyProtection="0"/>
    <xf numFmtId="0" fontId="178" fillId="6" borderId="4" applyNumberFormat="0" applyAlignment="0" applyProtection="0"/>
    <xf numFmtId="0" fontId="179" fillId="6" borderId="4" applyNumberFormat="0" applyAlignment="0" applyProtection="0"/>
    <xf numFmtId="0" fontId="179" fillId="6" borderId="4" applyNumberFormat="0" applyAlignment="0" applyProtection="0"/>
    <xf numFmtId="0" fontId="179" fillId="6" borderId="4" applyNumberFormat="0" applyAlignment="0" applyProtection="0"/>
    <xf numFmtId="0" fontId="178" fillId="6" borderId="4" applyNumberFormat="0" applyAlignment="0" applyProtection="0"/>
    <xf numFmtId="0" fontId="72" fillId="39" borderId="46" applyNumberFormat="0" applyAlignment="0" applyProtection="0"/>
    <xf numFmtId="0" fontId="72" fillId="39" borderId="46" applyNumberFormat="0" applyAlignment="0" applyProtection="0"/>
    <xf numFmtId="0" fontId="180" fillId="6" borderId="4" applyNumberFormat="0" applyAlignment="0" applyProtection="0"/>
    <xf numFmtId="0" fontId="180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3" fillId="46" borderId="46" applyNumberFormat="0" applyAlignment="0" applyProtection="0"/>
    <xf numFmtId="0" fontId="73" fillId="46" borderId="46" applyNumberFormat="0" applyAlignment="0" applyProtection="0"/>
    <xf numFmtId="0" fontId="179" fillId="6" borderId="4" applyNumberFormat="0" applyAlignment="0" applyProtection="0"/>
    <xf numFmtId="0" fontId="73" fillId="46" borderId="46" applyNumberFormat="0" applyAlignment="0" applyProtection="0"/>
    <xf numFmtId="0" fontId="178" fillId="6" borderId="4" applyNumberFormat="0" applyAlignment="0" applyProtection="0"/>
    <xf numFmtId="0" fontId="72" fillId="39" borderId="46" applyNumberFormat="0" applyAlignment="0" applyProtection="0"/>
    <xf numFmtId="0" fontId="73" fillId="46" borderId="46" applyNumberFormat="0" applyAlignment="0" applyProtection="0"/>
    <xf numFmtId="0" fontId="180" fillId="6" borderId="4" applyNumberFormat="0" applyAlignment="0" applyProtection="0"/>
    <xf numFmtId="0" fontId="72" fillId="39" borderId="46" applyNumberFormat="0" applyAlignment="0" applyProtection="0"/>
    <xf numFmtId="0" fontId="181" fillId="7" borderId="7" applyNumberFormat="0" applyAlignment="0" applyProtection="0"/>
    <xf numFmtId="0" fontId="13" fillId="7" borderId="7" applyNumberFormat="0" applyAlignment="0" applyProtection="0"/>
    <xf numFmtId="0" fontId="181" fillId="7" borderId="7" applyNumberFormat="0" applyAlignment="0" applyProtection="0"/>
    <xf numFmtId="0" fontId="74" fillId="75" borderId="47" applyNumberFormat="0" applyAlignment="0" applyProtection="0"/>
    <xf numFmtId="0" fontId="182" fillId="7" borderId="7" applyNumberFormat="0" applyAlignment="0" applyProtection="0"/>
    <xf numFmtId="0" fontId="182" fillId="7" borderId="7" applyNumberFormat="0" applyAlignment="0" applyProtection="0"/>
    <xf numFmtId="0" fontId="183" fillId="7" borderId="7" applyNumberFormat="0" applyAlignment="0" applyProtection="0"/>
    <xf numFmtId="0" fontId="183" fillId="7" borderId="7" applyNumberFormat="0" applyAlignment="0" applyProtection="0"/>
    <xf numFmtId="0" fontId="74" fillId="75" borderId="47" applyNumberFormat="0" applyAlignment="0" applyProtection="0"/>
    <xf numFmtId="0" fontId="13" fillId="7" borderId="7" applyNumberFormat="0" applyAlignment="0" applyProtection="0"/>
    <xf numFmtId="0" fontId="183" fillId="7" borderId="7" applyNumberFormat="0" applyAlignment="0" applyProtection="0"/>
    <xf numFmtId="0" fontId="183" fillId="7" borderId="7" applyNumberFormat="0" applyAlignment="0" applyProtection="0"/>
    <xf numFmtId="0" fontId="182" fillId="7" borderId="7" applyNumberFormat="0" applyAlignment="0" applyProtection="0"/>
    <xf numFmtId="0" fontId="74" fillId="75" borderId="47" applyNumberFormat="0" applyAlignment="0" applyProtection="0"/>
    <xf numFmtId="0" fontId="181" fillId="7" borderId="7" applyNumberFormat="0" applyAlignment="0" applyProtection="0"/>
    <xf numFmtId="0" fontId="183" fillId="7" borderId="7" applyNumberFormat="0" applyAlignment="0" applyProtection="0"/>
    <xf numFmtId="0" fontId="183" fillId="7" borderId="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8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4" fillId="0" borderId="0" applyFont="0" applyFill="0" applyBorder="0" applyAlignment="0" applyProtection="0"/>
    <xf numFmtId="44" fontId="18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8" fillId="2" borderId="0" applyNumberFormat="0" applyBorder="0" applyAlignment="0" applyProtection="0"/>
    <xf numFmtId="0" fontId="6" fillId="2" borderId="0" applyNumberFormat="0" applyBorder="0" applyAlignment="0" applyProtection="0"/>
    <xf numFmtId="0" fontId="87" fillId="43" borderId="0" applyNumberFormat="0" applyBorder="0" applyAlignment="0" applyProtection="0"/>
    <xf numFmtId="0" fontId="188" fillId="2" borderId="0" applyNumberFormat="0" applyBorder="0" applyAlignment="0" applyProtection="0"/>
    <xf numFmtId="0" fontId="188" fillId="2" borderId="0" applyNumberFormat="0" applyBorder="0" applyAlignment="0" applyProtection="0"/>
    <xf numFmtId="0" fontId="189" fillId="2" borderId="0" applyNumberFormat="0" applyBorder="0" applyAlignment="0" applyProtection="0"/>
    <xf numFmtId="0" fontId="189" fillId="2" borderId="0" applyNumberFormat="0" applyBorder="0" applyAlignment="0" applyProtection="0"/>
    <xf numFmtId="0" fontId="189" fillId="2" borderId="0" applyNumberFormat="0" applyBorder="0" applyAlignment="0" applyProtection="0"/>
    <xf numFmtId="0" fontId="188" fillId="2" borderId="0" applyNumberFormat="0" applyBorder="0" applyAlignment="0" applyProtection="0"/>
    <xf numFmtId="0" fontId="87" fillId="43" borderId="0" applyNumberFormat="0" applyBorder="0" applyAlignment="0" applyProtection="0"/>
    <xf numFmtId="0" fontId="87" fillId="43" borderId="0" applyNumberFormat="0" applyBorder="0" applyAlignment="0" applyProtection="0"/>
    <xf numFmtId="0" fontId="190" fillId="2" borderId="0" applyNumberFormat="0" applyBorder="0" applyAlignment="0" applyProtection="0"/>
    <xf numFmtId="0" fontId="190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7" fillId="81" borderId="0" applyNumberFormat="0" applyBorder="0" applyAlignment="0" applyProtection="0"/>
    <xf numFmtId="0" fontId="87" fillId="81" borderId="0" applyNumberFormat="0" applyBorder="0" applyAlignment="0" applyProtection="0"/>
    <xf numFmtId="0" fontId="189" fillId="2" borderId="0" applyNumberFormat="0" applyBorder="0" applyAlignment="0" applyProtection="0"/>
    <xf numFmtId="0" fontId="87" fillId="81" borderId="0" applyNumberFormat="0" applyBorder="0" applyAlignment="0" applyProtection="0"/>
    <xf numFmtId="0" fontId="188" fillId="2" borderId="0" applyNumberFormat="0" applyBorder="0" applyAlignment="0" applyProtection="0"/>
    <xf numFmtId="0" fontId="87" fillId="43" borderId="0" applyNumberFormat="0" applyBorder="0" applyAlignment="0" applyProtection="0"/>
    <xf numFmtId="0" fontId="87" fillId="81" borderId="0" applyNumberFormat="0" applyBorder="0" applyAlignment="0" applyProtection="0"/>
    <xf numFmtId="0" fontId="190" fillId="2" borderId="0" applyNumberFormat="0" applyBorder="0" applyAlignment="0" applyProtection="0"/>
    <xf numFmtId="0" fontId="87" fillId="43" borderId="0" applyNumberFormat="0" applyBorder="0" applyAlignment="0" applyProtection="0"/>
    <xf numFmtId="0" fontId="3" fillId="0" borderId="1" applyNumberFormat="0" applyFill="0" applyAlignment="0" applyProtection="0"/>
    <xf numFmtId="0" fontId="89" fillId="0" borderId="50" applyNumberFormat="0" applyFill="0" applyAlignment="0" applyProtection="0"/>
    <xf numFmtId="0" fontId="89" fillId="0" borderId="50" applyNumberFormat="0" applyFill="0" applyAlignment="0" applyProtection="0"/>
    <xf numFmtId="0" fontId="3" fillId="0" borderId="1" applyNumberFormat="0" applyFill="0" applyAlignment="0" applyProtection="0"/>
    <xf numFmtId="0" fontId="89" fillId="0" borderId="50" applyNumberFormat="0" applyFill="0" applyAlignment="0" applyProtection="0"/>
    <xf numFmtId="0" fontId="191" fillId="0" borderId="1" applyNumberFormat="0" applyFill="0" applyAlignment="0" applyProtection="0"/>
    <xf numFmtId="0" fontId="90" fillId="0" borderId="51" applyNumberFormat="0" applyFill="0" applyAlignment="0" applyProtection="0"/>
    <xf numFmtId="0" fontId="90" fillId="0" borderId="51" applyNumberFormat="0" applyFill="0" applyAlignment="0" applyProtection="0"/>
    <xf numFmtId="0" fontId="191" fillId="0" borderId="1" applyNumberFormat="0" applyFill="0" applyAlignment="0" applyProtection="0"/>
    <xf numFmtId="0" fontId="89" fillId="0" borderId="50" applyNumberFormat="0" applyFill="0" applyAlignment="0" applyProtection="0"/>
    <xf numFmtId="0" fontId="4" fillId="0" borderId="2" applyNumberFormat="0" applyFill="0" applyAlignment="0" applyProtection="0"/>
    <xf numFmtId="0" fontId="91" fillId="0" borderId="53" applyNumberFormat="0" applyFill="0" applyAlignment="0" applyProtection="0"/>
    <xf numFmtId="0" fontId="91" fillId="0" borderId="53" applyNumberFormat="0" applyFill="0" applyAlignment="0" applyProtection="0"/>
    <xf numFmtId="0" fontId="4" fillId="0" borderId="2" applyNumberFormat="0" applyFill="0" applyAlignment="0" applyProtection="0"/>
    <xf numFmtId="0" fontId="91" fillId="0" borderId="53" applyNumberFormat="0" applyFill="0" applyAlignment="0" applyProtection="0"/>
    <xf numFmtId="0" fontId="192" fillId="0" borderId="2" applyNumberFormat="0" applyFill="0" applyAlignment="0" applyProtection="0"/>
    <xf numFmtId="0" fontId="92" fillId="0" borderId="52" applyNumberFormat="0" applyFill="0" applyAlignment="0" applyProtection="0"/>
    <xf numFmtId="0" fontId="92" fillId="0" borderId="52" applyNumberFormat="0" applyFill="0" applyAlignment="0" applyProtection="0"/>
    <xf numFmtId="0" fontId="192" fillId="0" borderId="2" applyNumberFormat="0" applyFill="0" applyAlignment="0" applyProtection="0"/>
    <xf numFmtId="0" fontId="91" fillId="0" borderId="53" applyNumberFormat="0" applyFill="0" applyAlignment="0" applyProtection="0"/>
    <xf numFmtId="0" fontId="5" fillId="0" borderId="3" applyNumberFormat="0" applyFill="0" applyAlignment="0" applyProtection="0"/>
    <xf numFmtId="0" fontId="93" fillId="0" borderId="113" applyNumberFormat="0" applyFill="0" applyAlignment="0" applyProtection="0"/>
    <xf numFmtId="0" fontId="93" fillId="0" borderId="113" applyNumberFormat="0" applyFill="0" applyAlignment="0" applyProtection="0"/>
    <xf numFmtId="0" fontId="5" fillId="0" borderId="3" applyNumberFormat="0" applyFill="0" applyAlignment="0" applyProtection="0"/>
    <xf numFmtId="0" fontId="93" fillId="0" borderId="113" applyNumberFormat="0" applyFill="0" applyAlignment="0" applyProtection="0"/>
    <xf numFmtId="0" fontId="93" fillId="0" borderId="113" applyNumberFormat="0" applyFill="0" applyAlignment="0" applyProtection="0"/>
    <xf numFmtId="0" fontId="193" fillId="0" borderId="3" applyNumberFormat="0" applyFill="0" applyAlignment="0" applyProtection="0"/>
    <xf numFmtId="0" fontId="94" fillId="0" borderId="114" applyNumberFormat="0" applyFill="0" applyAlignment="0" applyProtection="0"/>
    <xf numFmtId="0" fontId="94" fillId="0" borderId="114" applyNumberFormat="0" applyFill="0" applyAlignment="0" applyProtection="0"/>
    <xf numFmtId="0" fontId="94" fillId="0" borderId="114" applyNumberFormat="0" applyFill="0" applyAlignment="0" applyProtection="0"/>
    <xf numFmtId="0" fontId="94" fillId="0" borderId="114" applyNumberFormat="0" applyFill="0" applyAlignment="0" applyProtection="0"/>
    <xf numFmtId="0" fontId="193" fillId="0" borderId="3" applyNumberFormat="0" applyFill="0" applyAlignment="0" applyProtection="0"/>
    <xf numFmtId="0" fontId="93" fillId="0" borderId="113" applyNumberFormat="0" applyFill="0" applyAlignment="0" applyProtection="0"/>
    <xf numFmtId="0" fontId="93" fillId="0" borderId="113" applyNumberFormat="0" applyFill="0" applyAlignment="0" applyProtection="0"/>
    <xf numFmtId="0" fontId="193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94" fillId="0" borderId="0" applyNumberFormat="0" applyFill="0" applyBorder="0" applyAlignment="0" applyProtection="0">
      <alignment vertical="top"/>
      <protection locked="0"/>
    </xf>
    <xf numFmtId="0" fontId="195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7" fillId="5" borderId="4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197" fillId="5" borderId="4" applyNumberFormat="0" applyAlignment="0" applyProtection="0"/>
    <xf numFmtId="0" fontId="197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7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96" fillId="40" borderId="46" applyNumberFormat="0" applyAlignment="0" applyProtection="0"/>
    <xf numFmtId="0" fontId="195" fillId="5" borderId="4" applyNumberFormat="0" applyAlignment="0" applyProtection="0"/>
    <xf numFmtId="0" fontId="96" fillId="40" borderId="46" applyNumberFormat="0" applyAlignment="0" applyProtection="0"/>
    <xf numFmtId="0" fontId="96" fillId="40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96" fillId="40" borderId="46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7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0" borderId="46" applyNumberFormat="0" applyAlignment="0" applyProtection="0"/>
    <xf numFmtId="0" fontId="196" fillId="5" borderId="4" applyNumberFormat="0" applyAlignment="0" applyProtection="0"/>
    <xf numFmtId="0" fontId="96" fillId="40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0" borderId="46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96" fillId="40" borderId="46" applyNumberFormat="0" applyAlignment="0" applyProtection="0"/>
    <xf numFmtId="0" fontId="198" fillId="0" borderId="6" applyNumberFormat="0" applyFill="0" applyAlignment="0" applyProtection="0"/>
    <xf numFmtId="0" fontId="12" fillId="0" borderId="6" applyNumberFormat="0" applyFill="0" applyAlignment="0" applyProtection="0"/>
    <xf numFmtId="0" fontId="101" fillId="0" borderId="59" applyNumberFormat="0" applyFill="0" applyAlignment="0" applyProtection="0"/>
    <xf numFmtId="0" fontId="198" fillId="0" borderId="6" applyNumberFormat="0" applyFill="0" applyAlignment="0" applyProtection="0"/>
    <xf numFmtId="0" fontId="198" fillId="0" borderId="6" applyNumberFormat="0" applyFill="0" applyAlignment="0" applyProtection="0"/>
    <xf numFmtId="0" fontId="199" fillId="0" borderId="6" applyNumberFormat="0" applyFill="0" applyAlignment="0" applyProtection="0"/>
    <xf numFmtId="0" fontId="199" fillId="0" borderId="6" applyNumberFormat="0" applyFill="0" applyAlignment="0" applyProtection="0"/>
    <xf numFmtId="0" fontId="199" fillId="0" borderId="6" applyNumberFormat="0" applyFill="0" applyAlignment="0" applyProtection="0"/>
    <xf numFmtId="0" fontId="198" fillId="0" borderId="6" applyNumberFormat="0" applyFill="0" applyAlignment="0" applyProtection="0"/>
    <xf numFmtId="0" fontId="101" fillId="0" borderId="59" applyNumberFormat="0" applyFill="0" applyAlignment="0" applyProtection="0"/>
    <xf numFmtId="0" fontId="101" fillId="0" borderId="59" applyNumberFormat="0" applyFill="0" applyAlignment="0" applyProtection="0"/>
    <xf numFmtId="0" fontId="200" fillId="0" borderId="6" applyNumberFormat="0" applyFill="0" applyAlignment="0" applyProtection="0"/>
    <xf numFmtId="0" fontId="200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02" fillId="0" borderId="60" applyNumberFormat="0" applyFill="0" applyAlignment="0" applyProtection="0"/>
    <xf numFmtId="0" fontId="102" fillId="0" borderId="60" applyNumberFormat="0" applyFill="0" applyAlignment="0" applyProtection="0"/>
    <xf numFmtId="0" fontId="199" fillId="0" borderId="6" applyNumberFormat="0" applyFill="0" applyAlignment="0" applyProtection="0"/>
    <xf numFmtId="0" fontId="102" fillId="0" borderId="60" applyNumberFormat="0" applyFill="0" applyAlignment="0" applyProtection="0"/>
    <xf numFmtId="0" fontId="198" fillId="0" borderId="6" applyNumberFormat="0" applyFill="0" applyAlignment="0" applyProtection="0"/>
    <xf numFmtId="0" fontId="101" fillId="0" borderId="59" applyNumberFormat="0" applyFill="0" applyAlignment="0" applyProtection="0"/>
    <xf numFmtId="0" fontId="102" fillId="0" borderId="60" applyNumberFormat="0" applyFill="0" applyAlignment="0" applyProtection="0"/>
    <xf numFmtId="0" fontId="200" fillId="0" borderId="6" applyNumberFormat="0" applyFill="0" applyAlignment="0" applyProtection="0"/>
    <xf numFmtId="0" fontId="101" fillId="0" borderId="59" applyNumberFormat="0" applyFill="0" applyAlignment="0" applyProtection="0"/>
    <xf numFmtId="0" fontId="201" fillId="4" borderId="0" applyNumberFormat="0" applyBorder="0" applyAlignment="0" applyProtection="0"/>
    <xf numFmtId="0" fontId="8" fillId="4" borderId="0" applyNumberFormat="0" applyBorder="0" applyAlignment="0" applyProtection="0"/>
    <xf numFmtId="0" fontId="104" fillId="45" borderId="0" applyNumberFormat="0" applyBorder="0" applyAlignment="0" applyProtection="0"/>
    <xf numFmtId="0" fontId="201" fillId="4" borderId="0" applyNumberFormat="0" applyBorder="0" applyAlignment="0" applyProtection="0"/>
    <xf numFmtId="0" fontId="201" fillId="4" borderId="0" applyNumberFormat="0" applyBorder="0" applyAlignment="0" applyProtection="0"/>
    <xf numFmtId="0" fontId="202" fillId="4" borderId="0" applyNumberFormat="0" applyBorder="0" applyAlignment="0" applyProtection="0"/>
    <xf numFmtId="0" fontId="202" fillId="4" borderId="0" applyNumberFormat="0" applyBorder="0" applyAlignment="0" applyProtection="0"/>
    <xf numFmtId="0" fontId="202" fillId="4" borderId="0" applyNumberFormat="0" applyBorder="0" applyAlignment="0" applyProtection="0"/>
    <xf numFmtId="0" fontId="201" fillId="4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203" fillId="4" borderId="0" applyNumberFormat="0" applyBorder="0" applyAlignment="0" applyProtection="0"/>
    <xf numFmtId="0" fontId="203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03" fillId="45" borderId="0" applyNumberFormat="0" applyBorder="0" applyAlignment="0" applyProtection="0"/>
    <xf numFmtId="0" fontId="103" fillId="45" borderId="0" applyNumberFormat="0" applyBorder="0" applyAlignment="0" applyProtection="0"/>
    <xf numFmtId="0" fontId="202" fillId="4" borderId="0" applyNumberFormat="0" applyBorder="0" applyAlignment="0" applyProtection="0"/>
    <xf numFmtId="0" fontId="103" fillId="45" borderId="0" applyNumberFormat="0" applyBorder="0" applyAlignment="0" applyProtection="0"/>
    <xf numFmtId="0" fontId="201" fillId="4" borderId="0" applyNumberFormat="0" applyBorder="0" applyAlignment="0" applyProtection="0"/>
    <xf numFmtId="0" fontId="104" fillId="45" borderId="0" applyNumberFormat="0" applyBorder="0" applyAlignment="0" applyProtection="0"/>
    <xf numFmtId="0" fontId="103" fillId="45" borderId="0" applyNumberFormat="0" applyBorder="0" applyAlignment="0" applyProtection="0"/>
    <xf numFmtId="0" fontId="203" fillId="4" borderId="0" applyNumberFormat="0" applyBorder="0" applyAlignment="0" applyProtection="0"/>
    <xf numFmtId="0" fontId="104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1" fillId="0" borderId="0"/>
    <xf numFmtId="0" fontId="184" fillId="0" borderId="0"/>
    <xf numFmtId="0" fontId="171" fillId="0" borderId="0"/>
    <xf numFmtId="0" fontId="45" fillId="0" borderId="0"/>
    <xf numFmtId="0" fontId="45" fillId="0" borderId="0"/>
    <xf numFmtId="0" fontId="1" fillId="0" borderId="0"/>
    <xf numFmtId="0" fontId="184" fillId="0" borderId="0"/>
    <xf numFmtId="0" fontId="171" fillId="0" borderId="0"/>
    <xf numFmtId="0" fontId="45" fillId="0" borderId="0"/>
    <xf numFmtId="0" fontId="1" fillId="0" borderId="0"/>
    <xf numFmtId="0" fontId="1" fillId="0" borderId="0"/>
    <xf numFmtId="0" fontId="184" fillId="0" borderId="0"/>
    <xf numFmtId="0" fontId="171" fillId="0" borderId="0"/>
    <xf numFmtId="0" fontId="45" fillId="0" borderId="0"/>
    <xf numFmtId="0" fontId="1" fillId="0" borderId="0"/>
    <xf numFmtId="0" fontId="1" fillId="0" borderId="0"/>
    <xf numFmtId="0" fontId="171" fillId="0" borderId="0"/>
    <xf numFmtId="0" fontId="45" fillId="0" borderId="0"/>
    <xf numFmtId="0" fontId="1" fillId="0" borderId="0"/>
    <xf numFmtId="0" fontId="1" fillId="0" borderId="0"/>
    <xf numFmtId="0" fontId="171" fillId="0" borderId="0"/>
    <xf numFmtId="0" fontId="45" fillId="0" borderId="0"/>
    <xf numFmtId="0" fontId="1" fillId="0" borderId="0"/>
    <xf numFmtId="0" fontId="17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45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45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71" fillId="0" borderId="0"/>
    <xf numFmtId="0" fontId="45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84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45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7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69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1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84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84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84" fillId="0" borderId="0"/>
    <xf numFmtId="0" fontId="184" fillId="0" borderId="0"/>
    <xf numFmtId="0" fontId="45" fillId="0" borderId="0"/>
    <xf numFmtId="0" fontId="184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184" fillId="0" borderId="0"/>
    <xf numFmtId="0" fontId="171" fillId="0" borderId="0"/>
    <xf numFmtId="0" fontId="171" fillId="0" borderId="0"/>
    <xf numFmtId="0" fontId="171" fillId="0" borderId="0"/>
    <xf numFmtId="0" fontId="1" fillId="0" borderId="0"/>
    <xf numFmtId="0" fontId="45" fillId="0" borderId="0"/>
    <xf numFmtId="0" fontId="169" fillId="0" borderId="0"/>
    <xf numFmtId="0" fontId="169" fillId="0" borderId="0"/>
    <xf numFmtId="0" fontId="45" fillId="0" borderId="0"/>
    <xf numFmtId="0" fontId="184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69" fillId="0" borderId="0"/>
    <xf numFmtId="0" fontId="16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17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84" fillId="0" borderId="0"/>
    <xf numFmtId="0" fontId="184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171" fillId="0" borderId="0"/>
    <xf numFmtId="0" fontId="169" fillId="0" borderId="0"/>
    <xf numFmtId="0" fontId="169" fillId="0" borderId="0"/>
    <xf numFmtId="0" fontId="171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1" fillId="0" borderId="0"/>
    <xf numFmtId="0" fontId="170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84" fillId="0" borderId="0"/>
    <xf numFmtId="0" fontId="184" fillId="0" borderId="0"/>
    <xf numFmtId="0" fontId="1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71" fillId="0" borderId="0"/>
    <xf numFmtId="0" fontId="1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1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171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184" fillId="0" borderId="0"/>
    <xf numFmtId="0" fontId="171" fillId="0" borderId="0"/>
    <xf numFmtId="0" fontId="1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84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71" fillId="0" borderId="0"/>
    <xf numFmtId="0" fontId="45" fillId="0" borderId="0"/>
    <xf numFmtId="0" fontId="45" fillId="0" borderId="0"/>
    <xf numFmtId="0" fontId="184" fillId="0" borderId="0"/>
    <xf numFmtId="0" fontId="171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84" fillId="0" borderId="0"/>
    <xf numFmtId="0" fontId="184" fillId="0" borderId="0"/>
    <xf numFmtId="0" fontId="45" fillId="0" borderId="0"/>
    <xf numFmtId="0" fontId="1" fillId="0" borderId="0"/>
    <xf numFmtId="0" fontId="171" fillId="0" borderId="0"/>
    <xf numFmtId="0" fontId="45" fillId="0" borderId="0"/>
    <xf numFmtId="0" fontId="184" fillId="0" borderId="0"/>
    <xf numFmtId="0" fontId="184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84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84" fillId="0" borderId="0"/>
    <xf numFmtId="0" fontId="170" fillId="0" borderId="0"/>
    <xf numFmtId="0" fontId="170" fillId="0" borderId="0"/>
    <xf numFmtId="0" fontId="170" fillId="0" borderId="0"/>
    <xf numFmtId="0" fontId="184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84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84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18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84" fillId="0" borderId="0"/>
    <xf numFmtId="0" fontId="170" fillId="0" borderId="0"/>
    <xf numFmtId="0" fontId="170" fillId="0" borderId="0"/>
    <xf numFmtId="0" fontId="170" fillId="0" borderId="0"/>
    <xf numFmtId="0" fontId="184" fillId="0" borderId="0"/>
    <xf numFmtId="0" fontId="45" fillId="0" borderId="0"/>
    <xf numFmtId="0" fontId="45" fillId="0" borderId="0"/>
    <xf numFmtId="0" fontId="184" fillId="0" borderId="0"/>
    <xf numFmtId="0" fontId="45" fillId="0" borderId="0"/>
    <xf numFmtId="0" fontId="184" fillId="0" borderId="0"/>
    <xf numFmtId="0" fontId="184" fillId="0" borderId="0"/>
    <xf numFmtId="0" fontId="45" fillId="0" borderId="0"/>
    <xf numFmtId="0" fontId="45" fillId="0" borderId="0"/>
    <xf numFmtId="0" fontId="45" fillId="0" borderId="0"/>
    <xf numFmtId="0" fontId="184" fillId="0" borderId="0"/>
    <xf numFmtId="0" fontId="184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184" fillId="0" borderId="0"/>
    <xf numFmtId="0" fontId="1" fillId="0" borderId="0"/>
    <xf numFmtId="0" fontId="17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71" fillId="0" borderId="0"/>
    <xf numFmtId="0" fontId="78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5" fillId="38" borderId="6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5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75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75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78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78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78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75" fillId="38" borderId="63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204" fillId="6" borderId="5" applyNumberFormat="0" applyAlignment="0" applyProtection="0"/>
    <xf numFmtId="0" fontId="10" fillId="6" borderId="5" applyNumberFormat="0" applyAlignment="0" applyProtection="0"/>
    <xf numFmtId="0" fontId="108" fillId="39" borderId="82" applyNumberFormat="0" applyAlignment="0" applyProtection="0"/>
    <xf numFmtId="0" fontId="204" fillId="6" borderId="5" applyNumberFormat="0" applyAlignment="0" applyProtection="0"/>
    <xf numFmtId="0" fontId="204" fillId="6" borderId="5" applyNumberFormat="0" applyAlignment="0" applyProtection="0"/>
    <xf numFmtId="0" fontId="205" fillId="6" borderId="5" applyNumberFormat="0" applyAlignment="0" applyProtection="0"/>
    <xf numFmtId="0" fontId="205" fillId="6" borderId="5" applyNumberFormat="0" applyAlignment="0" applyProtection="0"/>
    <xf numFmtId="0" fontId="205" fillId="6" borderId="5" applyNumberFormat="0" applyAlignment="0" applyProtection="0"/>
    <xf numFmtId="0" fontId="204" fillId="6" borderId="5" applyNumberFormat="0" applyAlignment="0" applyProtection="0"/>
    <xf numFmtId="0" fontId="108" fillId="39" borderId="82" applyNumberFormat="0" applyAlignment="0" applyProtection="0"/>
    <xf numFmtId="0" fontId="108" fillId="39" borderId="82" applyNumberFormat="0" applyAlignment="0" applyProtection="0"/>
    <xf numFmtId="0" fontId="206" fillId="6" borderId="5" applyNumberFormat="0" applyAlignment="0" applyProtection="0"/>
    <xf numFmtId="0" fontId="206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8" fillId="46" borderId="82" applyNumberFormat="0" applyAlignment="0" applyProtection="0"/>
    <xf numFmtId="0" fontId="108" fillId="46" borderId="82" applyNumberFormat="0" applyAlignment="0" applyProtection="0"/>
    <xf numFmtId="0" fontId="205" fillId="6" borderId="5" applyNumberFormat="0" applyAlignment="0" applyProtection="0"/>
    <xf numFmtId="0" fontId="108" fillId="46" borderId="82" applyNumberFormat="0" applyAlignment="0" applyProtection="0"/>
    <xf numFmtId="0" fontId="204" fillId="6" borderId="5" applyNumberFormat="0" applyAlignment="0" applyProtection="0"/>
    <xf numFmtId="0" fontId="108" fillId="39" borderId="82" applyNumberFormat="0" applyAlignment="0" applyProtection="0"/>
    <xf numFmtId="0" fontId="108" fillId="46" borderId="82" applyNumberFormat="0" applyAlignment="0" applyProtection="0"/>
    <xf numFmtId="0" fontId="206" fillId="6" borderId="5" applyNumberFormat="0" applyAlignment="0" applyProtection="0"/>
    <xf numFmtId="0" fontId="108" fillId="39" borderId="82" applyNumberFormat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5" fillId="42" borderId="115" applyBorder="0"/>
    <xf numFmtId="0" fontId="58" fillId="114" borderId="17"/>
    <xf numFmtId="0" fontId="207" fillId="0" borderId="116" applyNumberFormat="0" applyFont="0" applyFill="0" applyAlignment="0" applyProtection="0"/>
    <xf numFmtId="222" fontId="208" fillId="0" borderId="117" applyNumberFormat="0" applyProtection="0">
      <alignment horizontal="right" vertical="center"/>
    </xf>
    <xf numFmtId="222" fontId="209" fillId="0" borderId="118" applyNumberFormat="0" applyProtection="0">
      <alignment horizontal="right" vertical="center"/>
    </xf>
    <xf numFmtId="0" fontId="209" fillId="115" borderId="116" applyNumberFormat="0" applyAlignment="0" applyProtection="0">
      <alignment horizontal="left" vertical="center" indent="1"/>
    </xf>
    <xf numFmtId="0" fontId="210" fillId="116" borderId="118" applyNumberFormat="0" applyAlignment="0" applyProtection="0">
      <alignment horizontal="left" vertical="center" indent="1"/>
    </xf>
    <xf numFmtId="0" fontId="210" fillId="116" borderId="118" applyNumberFormat="0" applyAlignment="0" applyProtection="0">
      <alignment horizontal="left" vertical="center" indent="1"/>
    </xf>
    <xf numFmtId="0" fontId="211" fillId="0" borderId="119" applyNumberFormat="0" applyFill="0" applyBorder="0" applyAlignment="0" applyProtection="0"/>
    <xf numFmtId="0" fontId="212" fillId="0" borderId="119" applyBorder="0" applyAlignment="0" applyProtection="0"/>
    <xf numFmtId="222" fontId="213" fillId="117" borderId="120" applyNumberFormat="0" applyBorder="0" applyAlignment="0" applyProtection="0">
      <alignment horizontal="right" vertical="center" indent="1"/>
    </xf>
    <xf numFmtId="222" fontId="214" fillId="118" borderId="120" applyNumberFormat="0" applyBorder="0" applyAlignment="0" applyProtection="0">
      <alignment horizontal="right" vertical="center" indent="1"/>
    </xf>
    <xf numFmtId="222" fontId="214" fillId="119" borderId="120" applyNumberFormat="0" applyBorder="0" applyAlignment="0" applyProtection="0">
      <alignment horizontal="right" vertical="center" indent="1"/>
    </xf>
    <xf numFmtId="222" fontId="215" fillId="120" borderId="120" applyNumberFormat="0" applyBorder="0" applyAlignment="0" applyProtection="0">
      <alignment horizontal="right" vertical="center" indent="1"/>
    </xf>
    <xf numFmtId="222" fontId="215" fillId="121" borderId="120" applyNumberFormat="0" applyBorder="0" applyAlignment="0" applyProtection="0">
      <alignment horizontal="right" vertical="center" indent="1"/>
    </xf>
    <xf numFmtId="222" fontId="215" fillId="122" borderId="120" applyNumberFormat="0" applyBorder="0" applyAlignment="0" applyProtection="0">
      <alignment horizontal="right" vertical="center" indent="1"/>
    </xf>
    <xf numFmtId="222" fontId="216" fillId="123" borderId="120" applyNumberFormat="0" applyBorder="0" applyAlignment="0" applyProtection="0">
      <alignment horizontal="right" vertical="center" indent="1"/>
    </xf>
    <xf numFmtId="222" fontId="216" fillId="124" borderId="120" applyNumberFormat="0" applyBorder="0" applyAlignment="0" applyProtection="0">
      <alignment horizontal="right" vertical="center" indent="1"/>
    </xf>
    <xf numFmtId="222" fontId="216" fillId="125" borderId="120" applyNumberFormat="0" applyBorder="0" applyAlignment="0" applyProtection="0">
      <alignment horizontal="right" vertical="center" indent="1"/>
    </xf>
    <xf numFmtId="0" fontId="210" fillId="126" borderId="116" applyNumberFormat="0" applyAlignment="0" applyProtection="0">
      <alignment horizontal="left" vertical="center" indent="1"/>
    </xf>
    <xf numFmtId="0" fontId="210" fillId="127" borderId="116" applyNumberFormat="0" applyAlignment="0" applyProtection="0">
      <alignment horizontal="left" vertical="center" indent="1"/>
    </xf>
    <xf numFmtId="0" fontId="210" fillId="128" borderId="116" applyNumberFormat="0" applyAlignment="0" applyProtection="0">
      <alignment horizontal="left" vertical="center" indent="1"/>
    </xf>
    <xf numFmtId="0" fontId="210" fillId="129" borderId="116" applyNumberFormat="0" applyAlignment="0" applyProtection="0">
      <alignment horizontal="left" vertical="center" indent="1"/>
    </xf>
    <xf numFmtId="0" fontId="210" fillId="130" borderId="118" applyNumberFormat="0" applyAlignment="0" applyProtection="0">
      <alignment horizontal="left" vertical="center" indent="1"/>
    </xf>
    <xf numFmtId="222" fontId="208" fillId="129" borderId="117" applyNumberFormat="0" applyBorder="0" applyProtection="0">
      <alignment horizontal="right" vertical="center"/>
    </xf>
    <xf numFmtId="222" fontId="209" fillId="129" borderId="118" applyNumberFormat="0" applyBorder="0" applyProtection="0">
      <alignment horizontal="right" vertical="center"/>
    </xf>
    <xf numFmtId="222" fontId="208" fillId="131" borderId="116" applyNumberFormat="0" applyAlignment="0" applyProtection="0">
      <alignment horizontal="left" vertical="center" indent="1"/>
    </xf>
    <xf numFmtId="0" fontId="209" fillId="115" borderId="118" applyNumberFormat="0" applyAlignment="0" applyProtection="0">
      <alignment horizontal="left" vertical="center" indent="1"/>
    </xf>
    <xf numFmtId="0" fontId="210" fillId="130" borderId="118" applyNumberFormat="0" applyAlignment="0" applyProtection="0">
      <alignment horizontal="left" vertical="center" indent="1"/>
    </xf>
    <xf numFmtId="222" fontId="209" fillId="130" borderId="118" applyNumberFormat="0" applyProtection="0">
      <alignment horizontal="right" vertical="center"/>
    </xf>
    <xf numFmtId="0" fontId="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17" fillId="0" borderId="9" applyNumberFormat="0" applyFill="0" applyAlignment="0" applyProtection="0"/>
    <xf numFmtId="0" fontId="16" fillId="0" borderId="9" applyNumberFormat="0" applyFill="0" applyAlignment="0" applyProtection="0"/>
    <xf numFmtId="0" fontId="84" fillId="0" borderId="68" applyNumberFormat="0" applyFill="0" applyAlignment="0" applyProtection="0"/>
    <xf numFmtId="0" fontId="217" fillId="0" borderId="9" applyNumberFormat="0" applyFill="0" applyAlignment="0" applyProtection="0"/>
    <xf numFmtId="0" fontId="217" fillId="0" borderId="9" applyNumberFormat="0" applyFill="0" applyAlignment="0" applyProtection="0"/>
    <xf numFmtId="0" fontId="218" fillId="0" borderId="9" applyNumberFormat="0" applyFill="0" applyAlignment="0" applyProtection="0"/>
    <xf numFmtId="0" fontId="218" fillId="0" borderId="9" applyNumberFormat="0" applyFill="0" applyAlignment="0" applyProtection="0"/>
    <xf numFmtId="0" fontId="218" fillId="0" borderId="9" applyNumberFormat="0" applyFill="0" applyAlignment="0" applyProtection="0"/>
    <xf numFmtId="0" fontId="217" fillId="0" borderId="9" applyNumberFormat="0" applyFill="0" applyAlignment="0" applyProtection="0"/>
    <xf numFmtId="0" fontId="84" fillId="0" borderId="68" applyNumberFormat="0" applyFill="0" applyAlignment="0" applyProtection="0"/>
    <xf numFmtId="0" fontId="84" fillId="0" borderId="68" applyNumberFormat="0" applyFill="0" applyAlignment="0" applyProtection="0"/>
    <xf numFmtId="0" fontId="219" fillId="0" borderId="9" applyNumberFormat="0" applyFill="0" applyAlignment="0" applyProtection="0"/>
    <xf numFmtId="0" fontId="219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84" fillId="0" borderId="69" applyNumberFormat="0" applyFill="0" applyAlignment="0" applyProtection="0"/>
    <xf numFmtId="0" fontId="84" fillId="0" borderId="69" applyNumberFormat="0" applyFill="0" applyAlignment="0" applyProtection="0"/>
    <xf numFmtId="0" fontId="218" fillId="0" borderId="9" applyNumberFormat="0" applyFill="0" applyAlignment="0" applyProtection="0"/>
    <xf numFmtId="0" fontId="84" fillId="0" borderId="69" applyNumberFormat="0" applyFill="0" applyAlignment="0" applyProtection="0"/>
    <xf numFmtId="0" fontId="217" fillId="0" borderId="9" applyNumberFormat="0" applyFill="0" applyAlignment="0" applyProtection="0"/>
    <xf numFmtId="0" fontId="84" fillId="0" borderId="68" applyNumberFormat="0" applyFill="0" applyAlignment="0" applyProtection="0"/>
    <xf numFmtId="0" fontId="84" fillId="0" borderId="69" applyNumberFormat="0" applyFill="0" applyAlignment="0" applyProtection="0"/>
    <xf numFmtId="0" fontId="219" fillId="0" borderId="9" applyNumberFormat="0" applyFill="0" applyAlignment="0" applyProtection="0"/>
    <xf numFmtId="0" fontId="84" fillId="0" borderId="68" applyNumberFormat="0" applyFill="0" applyAlignment="0" applyProtection="0"/>
    <xf numFmtId="0" fontId="2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</cellStyleXfs>
  <cellXfs count="1303">
    <xf numFmtId="0" fontId="0" fillId="0" borderId="0" xfId="0"/>
    <xf numFmtId="182" fontId="43" fillId="0" borderId="80" xfId="0" applyNumberFormat="1" applyFont="1" applyFill="1" applyBorder="1" applyAlignment="1"/>
    <xf numFmtId="182" fontId="158" fillId="0" borderId="0" xfId="0" applyNumberFormat="1" applyFont="1" applyFill="1" applyBorder="1" applyAlignment="1"/>
    <xf numFmtId="0" fontId="43" fillId="0" borderId="0" xfId="0" applyNumberFormat="1" applyFont="1" applyFill="1" applyBorder="1" applyAlignment="1">
      <alignment horizontal="centerContinuous"/>
    </xf>
    <xf numFmtId="211" fontId="156" fillId="0" borderId="0" xfId="0" applyNumberFormat="1" applyFont="1" applyFill="1" applyBorder="1" applyAlignment="1">
      <alignment horizontal="centerContinuous"/>
    </xf>
    <xf numFmtId="0" fontId="157" fillId="0" borderId="0" xfId="0" applyNumberFormat="1" applyFont="1" applyFill="1" applyBorder="1" applyAlignment="1"/>
    <xf numFmtId="0" fontId="156" fillId="0" borderId="0" xfId="0" applyNumberFormat="1" applyFont="1" applyFill="1" applyBorder="1" applyAlignment="1">
      <alignment horizontal="right"/>
    </xf>
    <xf numFmtId="0" fontId="156" fillId="0" borderId="0" xfId="0" applyNumberFormat="1" applyFont="1" applyFill="1" applyBorder="1" applyAlignment="1">
      <alignment horizontal="center"/>
    </xf>
    <xf numFmtId="211" fontId="157" fillId="0" borderId="0" xfId="0" applyNumberFormat="1" applyFont="1" applyFill="1" applyBorder="1" applyAlignment="1">
      <alignment horizontal="left"/>
    </xf>
    <xf numFmtId="211" fontId="156" fillId="0" borderId="0" xfId="0" applyNumberFormat="1" applyFont="1" applyFill="1" applyBorder="1" applyAlignment="1">
      <alignment horizontal="right"/>
    </xf>
    <xf numFmtId="211" fontId="156" fillId="0" borderId="0" xfId="0" applyNumberFormat="1" applyFont="1" applyFill="1" applyBorder="1" applyAlignment="1">
      <alignment horizontal="center"/>
    </xf>
    <xf numFmtId="43" fontId="43" fillId="0" borderId="0" xfId="0" applyNumberFormat="1" applyFont="1" applyFill="1" applyBorder="1" applyAlignment="1">
      <alignment horizontal="center"/>
    </xf>
    <xf numFmtId="216" fontId="155" fillId="0" borderId="0" xfId="0" applyNumberFormat="1" applyFont="1" applyFill="1" applyBorder="1" applyAlignment="1"/>
    <xf numFmtId="170" fontId="43" fillId="0" borderId="81" xfId="0" applyNumberFormat="1" applyFont="1" applyFill="1" applyBorder="1" applyAlignment="1"/>
    <xf numFmtId="190" fontId="43" fillId="0" borderId="0" xfId="0" applyNumberFormat="1" applyFont="1" applyFill="1" applyBorder="1" applyAlignment="1"/>
    <xf numFmtId="211" fontId="43" fillId="0" borderId="0" xfId="0" applyNumberFormat="1" applyFont="1" applyFill="1" applyBorder="1" applyAlignment="1"/>
    <xf numFmtId="217" fontId="43" fillId="0" borderId="80" xfId="0" applyNumberFormat="1" applyFont="1" applyFill="1" applyBorder="1" applyAlignment="1"/>
    <xf numFmtId="170" fontId="43" fillId="0" borderId="81" xfId="0" applyNumberFormat="1" applyFont="1" applyFill="1" applyBorder="1" applyAlignment="1">
      <alignment vertical="center"/>
    </xf>
    <xf numFmtId="182" fontId="44" fillId="0" borderId="81" xfId="0" applyNumberFormat="1" applyFont="1" applyFill="1" applyBorder="1" applyAlignment="1">
      <alignment vertical="center"/>
    </xf>
    <xf numFmtId="182" fontId="44" fillId="0" borderId="99" xfId="0" applyNumberFormat="1" applyFont="1" applyFill="1" applyBorder="1" applyAlignment="1">
      <alignment vertical="center"/>
    </xf>
    <xf numFmtId="170" fontId="43" fillId="0" borderId="100" xfId="0" applyNumberFormat="1" applyFont="1" applyFill="1" applyBorder="1" applyAlignment="1">
      <alignment vertical="center"/>
    </xf>
    <xf numFmtId="0" fontId="43" fillId="0" borderId="0" xfId="0" applyNumberFormat="1" applyFont="1" applyFill="1" applyBorder="1" applyAlignment="1">
      <alignment horizontal="left" vertical="center" indent="1"/>
    </xf>
    <xf numFmtId="0" fontId="43" fillId="0" borderId="0" xfId="0" quotePrefix="1" applyNumberFormat="1" applyFont="1" applyFill="1" applyBorder="1" applyAlignment="1">
      <alignment horizontal="left"/>
    </xf>
    <xf numFmtId="0" fontId="43" fillId="0" borderId="0" xfId="0" applyNumberFormat="1" applyFont="1" applyFill="1" applyBorder="1" applyAlignment="1">
      <alignment vertical="top"/>
    </xf>
    <xf numFmtId="0" fontId="43" fillId="0" borderId="0" xfId="0" applyNumberFormat="1" applyFont="1" applyFill="1" applyBorder="1" applyAlignment="1">
      <alignment horizontal="left" indent="1"/>
    </xf>
    <xf numFmtId="0" fontId="43" fillId="0" borderId="0" xfId="0" applyNumberFormat="1" applyFont="1" applyFill="1" applyBorder="1" applyAlignment="1"/>
    <xf numFmtId="164" fontId="43" fillId="0" borderId="0" xfId="0" applyNumberFormat="1" applyFont="1" applyFill="1" applyBorder="1" applyAlignment="1"/>
    <xf numFmtId="182" fontId="43" fillId="0" borderId="0" xfId="0" applyNumberFormat="1" applyFont="1" applyFill="1" applyBorder="1" applyAlignment="1">
      <alignment horizontal="center"/>
    </xf>
    <xf numFmtId="182" fontId="43" fillId="0" borderId="0" xfId="0" applyNumberFormat="1" applyFont="1" applyFill="1" applyBorder="1" applyAlignment="1"/>
    <xf numFmtId="170" fontId="43" fillId="0" borderId="0" xfId="0" applyNumberFormat="1" applyFont="1" applyFill="1" applyBorder="1" applyAlignment="1"/>
    <xf numFmtId="0" fontId="43" fillId="0" borderId="0" xfId="0" applyNumberFormat="1" applyFont="1" applyFill="1" applyBorder="1" applyAlignment="1">
      <alignment horizontal="left"/>
    </xf>
    <xf numFmtId="0" fontId="43" fillId="0" borderId="0" xfId="0" applyNumberFormat="1" applyFont="1" applyFill="1" applyAlignment="1">
      <alignment horizontal="center"/>
    </xf>
    <xf numFmtId="164" fontId="44" fillId="0" borderId="0" xfId="0" applyNumberFormat="1" applyFont="1" applyFill="1" applyBorder="1" applyAlignment="1">
      <alignment horizontal="center"/>
    </xf>
    <xf numFmtId="0" fontId="44" fillId="0" borderId="80" xfId="0" applyNumberFormat="1" applyFont="1" applyFill="1" applyBorder="1" applyAlignment="1">
      <alignment horizontal="center"/>
    </xf>
    <xf numFmtId="0" fontId="44" fillId="0" borderId="0" xfId="0" applyNumberFormat="1" applyFont="1" applyFill="1" applyBorder="1" applyAlignment="1">
      <alignment horizontal="center"/>
    </xf>
    <xf numFmtId="10" fontId="153" fillId="0" borderId="0" xfId="0" applyNumberFormat="1" applyFont="1" applyFill="1" applyBorder="1" applyAlignment="1"/>
    <xf numFmtId="10" fontId="44" fillId="0" borderId="0" xfId="0" applyNumberFormat="1" applyFont="1" applyFill="1" applyBorder="1" applyAlignment="1"/>
    <xf numFmtId="10" fontId="133" fillId="0" borderId="0" xfId="6519" applyNumberFormat="1" applyFont="1" applyFill="1" applyAlignment="1"/>
    <xf numFmtId="167" fontId="133" fillId="0" borderId="0" xfId="6519" applyNumberFormat="1" applyFont="1" applyFill="1" applyAlignment="1"/>
    <xf numFmtId="0" fontId="19" fillId="0" borderId="0" xfId="6519" applyNumberFormat="1" applyFont="1" applyAlignment="1"/>
    <xf numFmtId="0" fontId="19" fillId="0" borderId="0" xfId="6519" applyNumberFormat="1" applyFont="1" applyFill="1" applyAlignment="1"/>
    <xf numFmtId="0" fontId="23" fillId="0" borderId="16" xfId="0" applyFont="1" applyFill="1" applyBorder="1" applyAlignment="1">
      <alignment horizontal="centerContinuous" wrapText="1"/>
    </xf>
    <xf numFmtId="0" fontId="18" fillId="0" borderId="29" xfId="0" applyFont="1" applyFill="1" applyBorder="1"/>
    <xf numFmtId="0" fontId="22" fillId="0" borderId="0" xfId="0" applyNumberFormat="1" applyFont="1" applyFill="1" applyAlignment="1">
      <alignment horizontal="right"/>
    </xf>
    <xf numFmtId="0" fontId="42" fillId="0" borderId="0" xfId="0" applyNumberFormat="1" applyFont="1" applyFill="1" applyAlignment="1">
      <alignment horizontal="centerContinuous"/>
    </xf>
    <xf numFmtId="170" fontId="45" fillId="0" borderId="10" xfId="0" applyNumberFormat="1" applyFont="1" applyBorder="1"/>
    <xf numFmtId="164" fontId="60" fillId="0" borderId="0" xfId="0" applyNumberFormat="1" applyFont="1"/>
    <xf numFmtId="43" fontId="45" fillId="0" borderId="80" xfId="0" applyNumberFormat="1" applyFont="1" applyBorder="1"/>
    <xf numFmtId="43" fontId="45" fillId="0" borderId="0" xfId="0" applyNumberFormat="1" applyFont="1"/>
    <xf numFmtId="219" fontId="45" fillId="0" borderId="0" xfId="0" applyNumberFormat="1" applyFont="1" applyFill="1" applyAlignment="1">
      <alignment horizontal="left"/>
    </xf>
    <xf numFmtId="43" fontId="60" fillId="0" borderId="0" xfId="0" applyNumberFormat="1" applyFont="1"/>
    <xf numFmtId="170" fontId="45" fillId="0" borderId="0" xfId="0" applyNumberFormat="1" applyFont="1"/>
    <xf numFmtId="219" fontId="134" fillId="0" borderId="0" xfId="0" applyNumberFormat="1" applyFont="1" applyAlignment="1">
      <alignment horizontal="left"/>
    </xf>
    <xf numFmtId="0" fontId="42" fillId="0" borderId="80" xfId="0" applyFont="1" applyFill="1" applyBorder="1" applyAlignment="1">
      <alignment horizontal="center"/>
    </xf>
    <xf numFmtId="49" fontId="42" fillId="0" borderId="80" xfId="0" applyNumberFormat="1" applyFont="1" applyFill="1" applyBorder="1" applyAlignment="1">
      <alignment horizontal="center"/>
    </xf>
    <xf numFmtId="0" fontId="42" fillId="0" borderId="80" xfId="0" applyFont="1" applyBorder="1"/>
    <xf numFmtId="164" fontId="0" fillId="0" borderId="0" xfId="0" applyNumberFormat="1" applyFont="1"/>
    <xf numFmtId="0" fontId="134" fillId="0" borderId="0" xfId="0" applyFont="1"/>
    <xf numFmtId="0" fontId="136" fillId="0" borderId="0" xfId="0" applyFont="1" applyAlignment="1">
      <alignment horizontal="centerContinuous"/>
    </xf>
    <xf numFmtId="0" fontId="42" fillId="0" borderId="0" xfId="0" applyFont="1" applyAlignment="1">
      <alignment horizontal="centerContinuous"/>
    </xf>
    <xf numFmtId="0" fontId="95" fillId="0" borderId="0" xfId="0" applyFont="1" applyAlignment="1">
      <alignment horizontal="centerContinuous"/>
    </xf>
    <xf numFmtId="0" fontId="95" fillId="0" borderId="80" xfId="0" applyFont="1" applyBorder="1" applyAlignment="1">
      <alignment horizontal="centerContinuous"/>
    </xf>
    <xf numFmtId="0" fontId="136" fillId="0" borderId="17" xfId="0" applyFont="1" applyBorder="1"/>
    <xf numFmtId="0" fontId="42" fillId="0" borderId="16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37" fontId="45" fillId="0" borderId="34" xfId="0" applyNumberFormat="1" applyFont="1" applyFill="1" applyBorder="1"/>
    <xf numFmtId="218" fontId="45" fillId="0" borderId="29" xfId="0" quotePrefix="1" applyNumberFormat="1" applyFont="1" applyFill="1" applyBorder="1" applyAlignment="1">
      <alignment horizontal="left"/>
    </xf>
    <xf numFmtId="37" fontId="45" fillId="0" borderId="0" xfId="0" applyNumberFormat="1" applyFont="1" applyFill="1" applyBorder="1"/>
    <xf numFmtId="164" fontId="45" fillId="0" borderId="0" xfId="0" applyNumberFormat="1" applyFont="1" applyFill="1"/>
    <xf numFmtId="164" fontId="45" fillId="0" borderId="35" xfId="0" applyNumberFormat="1" applyFont="1" applyFill="1" applyBorder="1"/>
    <xf numFmtId="164" fontId="45" fillId="0" borderId="80" xfId="0" applyNumberFormat="1" applyFont="1" applyFill="1" applyBorder="1"/>
    <xf numFmtId="164" fontId="45" fillId="0" borderId="34" xfId="0" applyNumberFormat="1" applyFont="1" applyFill="1" applyBorder="1"/>
    <xf numFmtId="170" fontId="45" fillId="0" borderId="0" xfId="0" applyNumberFormat="1" applyFont="1" applyFill="1"/>
    <xf numFmtId="164" fontId="45" fillId="0" borderId="36" xfId="0" applyNumberFormat="1" applyFont="1" applyFill="1" applyBorder="1"/>
    <xf numFmtId="218" fontId="45" fillId="0" borderId="29" xfId="0" applyNumberFormat="1" applyFont="1" applyFill="1" applyBorder="1"/>
    <xf numFmtId="164" fontId="45" fillId="0" borderId="0" xfId="0" applyNumberFormat="1" applyFont="1"/>
    <xf numFmtId="164" fontId="45" fillId="0" borderId="36" xfId="0" applyNumberFormat="1" applyFont="1" applyBorder="1"/>
    <xf numFmtId="164" fontId="45" fillId="0" borderId="35" xfId="0" applyNumberFormat="1" applyFont="1" applyBorder="1"/>
    <xf numFmtId="164" fontId="45" fillId="0" borderId="80" xfId="0" applyNumberFormat="1" applyFont="1" applyBorder="1"/>
    <xf numFmtId="164" fontId="45" fillId="0" borderId="34" xfId="0" applyNumberFormat="1" applyFont="1" applyBorder="1"/>
    <xf numFmtId="218" fontId="45" fillId="0" borderId="29" xfId="0" quotePrefix="1" applyNumberFormat="1" applyFont="1" applyBorder="1" applyAlignment="1">
      <alignment horizontal="left"/>
    </xf>
    <xf numFmtId="170" fontId="45" fillId="0" borderId="0" xfId="0" applyNumberFormat="1" applyFont="1" applyFill="1" applyBorder="1"/>
    <xf numFmtId="170" fontId="45" fillId="0" borderId="36" xfId="0" applyNumberFormat="1" applyFont="1" applyFill="1" applyBorder="1"/>
    <xf numFmtId="218" fontId="45" fillId="0" borderId="29" xfId="0" applyNumberFormat="1" applyFont="1" applyBorder="1"/>
    <xf numFmtId="37" fontId="45" fillId="0" borderId="0" xfId="0" applyNumberFormat="1" applyFont="1" applyBorder="1"/>
    <xf numFmtId="37" fontId="45" fillId="0" borderId="36" xfId="0" applyNumberFormat="1" applyFont="1" applyBorder="1"/>
    <xf numFmtId="218" fontId="122" fillId="0" borderId="29" xfId="0" applyNumberFormat="1" applyFont="1" applyBorder="1"/>
    <xf numFmtId="170" fontId="152" fillId="0" borderId="0" xfId="0" applyNumberFormat="1" applyFont="1" applyBorder="1"/>
    <xf numFmtId="170" fontId="152" fillId="0" borderId="36" xfId="0" applyNumberFormat="1" applyFont="1" applyBorder="1"/>
    <xf numFmtId="218" fontId="42" fillId="0" borderId="29" xfId="0" quotePrefix="1" applyNumberFormat="1" applyFont="1" applyFill="1" applyBorder="1" applyAlignment="1">
      <alignment horizontal="left" vertical="center"/>
    </xf>
    <xf numFmtId="42" fontId="45" fillId="0" borderId="0" xfId="0" applyNumberFormat="1" applyFont="1" applyFill="1" applyBorder="1"/>
    <xf numFmtId="37" fontId="45" fillId="0" borderId="36" xfId="0" applyNumberFormat="1" applyFont="1" applyFill="1" applyBorder="1"/>
    <xf numFmtId="0" fontId="42" fillId="0" borderId="28" xfId="0" quotePrefix="1" applyNumberFormat="1" applyFont="1" applyFill="1" applyBorder="1" applyAlignment="1">
      <alignment horizontal="left" vertical="center"/>
    </xf>
    <xf numFmtId="42" fontId="45" fillId="0" borderId="80" xfId="0" applyNumberFormat="1" applyFont="1" applyFill="1" applyBorder="1"/>
    <xf numFmtId="37" fontId="136" fillId="0" borderId="34" xfId="0" applyNumberFormat="1" applyFont="1" applyFill="1" applyBorder="1"/>
    <xf numFmtId="0" fontId="136" fillId="0" borderId="0" xfId="0" applyFont="1"/>
    <xf numFmtId="0" fontId="151" fillId="0" borderId="0" xfId="0" applyFont="1"/>
    <xf numFmtId="0" fontId="150" fillId="0" borderId="0" xfId="0" applyFont="1"/>
    <xf numFmtId="0" fontId="149" fillId="0" borderId="0" xfId="0" applyFont="1" applyFill="1" applyAlignment="1">
      <alignment horizontal="center"/>
    </xf>
    <xf numFmtId="170" fontId="143" fillId="0" borderId="0" xfId="0" applyNumberFormat="1" applyFont="1" applyFill="1"/>
    <xf numFmtId="41" fontId="143" fillId="0" borderId="0" xfId="0" applyNumberFormat="1" applyFont="1" applyFill="1"/>
    <xf numFmtId="170" fontId="143" fillId="0" borderId="81" xfId="0" applyNumberFormat="1" applyFont="1" applyFill="1" applyBorder="1"/>
    <xf numFmtId="43" fontId="146" fillId="0" borderId="0" xfId="0" applyNumberFormat="1" applyFont="1" applyFill="1" applyBorder="1" applyAlignment="1">
      <alignment horizontal="right"/>
    </xf>
    <xf numFmtId="0" fontId="147" fillId="0" borderId="0" xfId="0" applyNumberFormat="1" applyFont="1" applyFill="1" applyBorder="1" applyAlignment="1">
      <alignment horizontal="center"/>
    </xf>
    <xf numFmtId="164" fontId="44" fillId="0" borderId="80" xfId="0" applyNumberFormat="1" applyFont="1" applyFill="1" applyBorder="1" applyAlignment="1">
      <alignment horizontal="center"/>
    </xf>
    <xf numFmtId="0" fontId="143" fillId="0" borderId="0" xfId="0" applyNumberFormat="1" applyFont="1" applyFill="1" applyAlignment="1">
      <alignment horizontal="center"/>
    </xf>
    <xf numFmtId="0" fontId="146" fillId="0" borderId="0" xfId="0" applyNumberFormat="1" applyFont="1" applyFill="1" applyBorder="1" applyAlignment="1">
      <alignment horizontal="left"/>
    </xf>
    <xf numFmtId="44" fontId="143" fillId="0" borderId="0" xfId="0" applyNumberFormat="1" applyFont="1"/>
    <xf numFmtId="41" fontId="143" fillId="0" borderId="0" xfId="0" applyNumberFormat="1" applyFont="1"/>
    <xf numFmtId="164" fontId="143" fillId="0" borderId="0" xfId="0" applyNumberFormat="1" applyFont="1"/>
    <xf numFmtId="43" fontId="143" fillId="0" borderId="0" xfId="0" applyNumberFormat="1" applyFont="1"/>
    <xf numFmtId="170" fontId="145" fillId="0" borderId="0" xfId="0" applyNumberFormat="1" applyFont="1"/>
    <xf numFmtId="170" fontId="59" fillId="0" borderId="0" xfId="0" applyNumberFormat="1" applyFont="1"/>
    <xf numFmtId="0" fontId="135" fillId="0" borderId="0" xfId="0" applyFont="1"/>
    <xf numFmtId="0" fontId="143" fillId="0" borderId="0" xfId="0" applyFont="1" applyAlignment="1">
      <alignment horizontal="center"/>
    </xf>
    <xf numFmtId="0" fontId="144" fillId="0" borderId="0" xfId="0" applyFont="1"/>
    <xf numFmtId="0" fontId="143" fillId="0" borderId="0" xfId="0" applyFont="1"/>
    <xf numFmtId="41" fontId="45" fillId="0" borderId="0" xfId="6519" applyNumberFormat="1" applyFont="1" applyFill="1"/>
    <xf numFmtId="41" fontId="45" fillId="0" borderId="97" xfId="6519" applyNumberFormat="1" applyFont="1" applyFill="1" applyBorder="1" applyProtection="1"/>
    <xf numFmtId="41" fontId="45" fillId="0" borderId="96" xfId="6519" applyNumberFormat="1" applyFont="1" applyFill="1" applyBorder="1" applyProtection="1"/>
    <xf numFmtId="41" fontId="45" fillId="0" borderId="98" xfId="6519" applyNumberFormat="1" applyFont="1" applyFill="1" applyBorder="1" applyProtection="1"/>
    <xf numFmtId="41" fontId="45" fillId="0" borderId="96" xfId="6519" applyNumberFormat="1" applyFont="1" applyFill="1" applyBorder="1"/>
    <xf numFmtId="0" fontId="138" fillId="0" borderId="0" xfId="6519" applyFill="1"/>
    <xf numFmtId="41" fontId="45" fillId="0" borderId="98" xfId="6519" applyNumberFormat="1" applyFont="1" applyFill="1" applyBorder="1"/>
    <xf numFmtId="41" fontId="45" fillId="0" borderId="96" xfId="6518" applyNumberFormat="1" applyFont="1" applyFill="1" applyBorder="1"/>
    <xf numFmtId="41" fontId="45" fillId="0" borderId="96" xfId="6519" applyNumberFormat="1" applyFont="1" applyFill="1" applyBorder="1" applyAlignment="1" applyProtection="1">
      <alignment horizontal="centerContinuous"/>
    </xf>
    <xf numFmtId="37" fontId="45" fillId="0" borderId="0" xfId="6519" applyNumberFormat="1" applyFont="1" applyBorder="1" applyAlignment="1" applyProtection="1">
      <alignment horizontal="center"/>
    </xf>
    <xf numFmtId="41" fontId="45" fillId="0" borderId="96" xfId="6519" applyNumberFormat="1" applyFont="1" applyFill="1" applyBorder="1" applyAlignment="1" applyProtection="1">
      <alignment horizontal="center"/>
    </xf>
    <xf numFmtId="213" fontId="42" fillId="0" borderId="97" xfId="6519" applyNumberFormat="1" applyFont="1" applyFill="1" applyBorder="1" applyAlignment="1">
      <alignment horizontal="center"/>
    </xf>
    <xf numFmtId="0" fontId="42" fillId="0" borderId="80" xfId="6519" applyFont="1" applyBorder="1"/>
    <xf numFmtId="41" fontId="42" fillId="0" borderId="96" xfId="6519" applyNumberFormat="1" applyFont="1" applyFill="1" applyBorder="1" applyAlignment="1">
      <alignment horizontal="center"/>
    </xf>
    <xf numFmtId="37" fontId="42" fillId="0" borderId="0" xfId="6519" applyNumberFormat="1" applyFont="1" applyBorder="1" applyAlignment="1" applyProtection="1">
      <alignment horizontal="center"/>
    </xf>
    <xf numFmtId="37" fontId="42" fillId="0" borderId="0" xfId="6519" applyNumberFormat="1" applyFont="1" applyBorder="1" applyAlignment="1" applyProtection="1">
      <alignment horizontal="left"/>
    </xf>
    <xf numFmtId="37" fontId="45" fillId="0" borderId="81" xfId="6519" applyNumberFormat="1" applyFont="1" applyBorder="1" applyProtection="1"/>
    <xf numFmtId="0" fontId="42" fillId="0" borderId="0" xfId="6519" applyFont="1" applyFill="1" applyBorder="1" applyAlignment="1">
      <alignment horizontal="center"/>
    </xf>
    <xf numFmtId="37" fontId="45" fillId="0" borderId="0" xfId="6519" applyNumberFormat="1" applyFont="1" applyBorder="1" applyProtection="1"/>
    <xf numFmtId="37" fontId="45" fillId="0" borderId="0" xfId="6519" applyNumberFormat="1" applyFont="1" applyBorder="1" applyAlignment="1" applyProtection="1">
      <alignment horizontal="right"/>
    </xf>
    <xf numFmtId="10" fontId="45" fillId="0" borderId="0" xfId="6519" applyNumberFormat="1" applyFont="1" applyFill="1" applyAlignment="1">
      <alignment horizontal="center"/>
    </xf>
    <xf numFmtId="49" fontId="42" fillId="0" borderId="0" xfId="6519" applyNumberFormat="1" applyFont="1" applyBorder="1" applyAlignment="1" applyProtection="1">
      <alignment horizontal="centerContinuous"/>
    </xf>
    <xf numFmtId="37" fontId="45" fillId="0" borderId="0" xfId="6519" applyNumberFormat="1" applyFont="1" applyAlignment="1" applyProtection="1">
      <alignment horizontal="centerContinuous"/>
      <protection locked="0"/>
    </xf>
    <xf numFmtId="0" fontId="95" fillId="0" borderId="0" xfId="6519" applyFont="1" applyAlignment="1">
      <alignment horizontal="centerContinuous"/>
    </xf>
    <xf numFmtId="0" fontId="142" fillId="0" borderId="0" xfId="6519" applyFont="1"/>
    <xf numFmtId="37" fontId="142" fillId="0" borderId="0" xfId="6519" applyNumberFormat="1" applyFont="1" applyFill="1" applyBorder="1" applyAlignment="1" applyProtection="1">
      <alignment horizontal="centerContinuous"/>
    </xf>
    <xf numFmtId="37" fontId="142" fillId="0" borderId="0" xfId="6519" applyNumberFormat="1" applyFont="1" applyAlignment="1" applyProtection="1">
      <alignment horizontal="centerContinuous"/>
      <protection locked="0"/>
    </xf>
    <xf numFmtId="214" fontId="51" fillId="0" borderId="0" xfId="6519" applyNumberFormat="1" applyFont="1" applyBorder="1" applyAlignment="1" applyProtection="1">
      <alignment horizontal="centerContinuous"/>
    </xf>
    <xf numFmtId="37" fontId="45" fillId="0" borderId="0" xfId="6519" applyNumberFormat="1" applyFont="1" applyAlignment="1" applyProtection="1">
      <alignment horizontal="centerContinuous"/>
    </xf>
    <xf numFmtId="37" fontId="42" fillId="0" borderId="0" xfId="6519" applyNumberFormat="1" applyFont="1" applyAlignment="1" applyProtection="1">
      <alignment horizontal="centerContinuous"/>
    </xf>
    <xf numFmtId="37" fontId="45" fillId="0" borderId="0" xfId="6519" applyNumberFormat="1" applyFont="1" applyFill="1" applyBorder="1" applyAlignment="1" applyProtection="1">
      <alignment horizontal="centerContinuous"/>
    </xf>
    <xf numFmtId="0" fontId="23" fillId="0" borderId="17" xfId="6519" applyFont="1" applyBorder="1" applyAlignment="1">
      <alignment horizontal="centerContinuous" wrapText="1"/>
    </xf>
    <xf numFmtId="164" fontId="45" fillId="0" borderId="0" xfId="6518" applyNumberFormat="1" applyFont="1" applyFill="1"/>
    <xf numFmtId="41" fontId="60" fillId="0" borderId="0" xfId="6519" applyNumberFormat="1" applyFont="1" applyFill="1"/>
    <xf numFmtId="42" fontId="45" fillId="0" borderId="0" xfId="6519" applyNumberFormat="1" applyFont="1" applyFill="1"/>
    <xf numFmtId="164" fontId="45" fillId="0" borderId="0" xfId="6519" applyNumberFormat="1" applyFont="1" applyFill="1" applyBorder="1"/>
    <xf numFmtId="41" fontId="42" fillId="0" borderId="84" xfId="6519" applyNumberFormat="1" applyFont="1" applyBorder="1"/>
    <xf numFmtId="41" fontId="42" fillId="0" borderId="95" xfId="6518" applyNumberFormat="1" applyFont="1" applyFill="1" applyBorder="1"/>
    <xf numFmtId="41" fontId="42" fillId="0" borderId="94" xfId="6518" applyNumberFormat="1" applyFont="1" applyFill="1" applyBorder="1"/>
    <xf numFmtId="41" fontId="45" fillId="0" borderId="40" xfId="6519" applyNumberFormat="1" applyFont="1" applyBorder="1"/>
    <xf numFmtId="41" fontId="45" fillId="0" borderId="41" xfId="6518" applyNumberFormat="1" applyFont="1" applyFill="1" applyBorder="1"/>
    <xf numFmtId="41" fontId="45" fillId="0" borderId="28" xfId="6518" applyNumberFormat="1" applyFont="1" applyFill="1" applyBorder="1"/>
    <xf numFmtId="41" fontId="45" fillId="0" borderId="21" xfId="6519" applyNumberFormat="1" applyFont="1" applyBorder="1"/>
    <xf numFmtId="41" fontId="45" fillId="0" borderId="29" xfId="6518" applyNumberFormat="1" applyFont="1" applyFill="1" applyBorder="1"/>
    <xf numFmtId="0" fontId="45" fillId="0" borderId="0" xfId="6519" applyFont="1" applyAlignment="1">
      <alignment horizontal="right"/>
    </xf>
    <xf numFmtId="41" fontId="141" fillId="0" borderId="21" xfId="6518" applyNumberFormat="1" applyFont="1" applyFill="1" applyBorder="1"/>
    <xf numFmtId="41" fontId="141" fillId="0" borderId="29" xfId="6518" applyNumberFormat="1" applyFont="1" applyFill="1" applyBorder="1"/>
    <xf numFmtId="41" fontId="141" fillId="0" borderId="22" xfId="6518" applyNumberFormat="1" applyFont="1" applyFill="1" applyBorder="1"/>
    <xf numFmtId="41" fontId="45" fillId="0" borderId="22" xfId="6519" applyNumberFormat="1" applyFont="1" applyFill="1" applyBorder="1"/>
    <xf numFmtId="41" fontId="45" fillId="0" borderId="21" xfId="6518" applyNumberFormat="1" applyFont="1" applyFill="1" applyBorder="1"/>
    <xf numFmtId="164" fontId="45" fillId="0" borderId="29" xfId="6518" applyNumberFormat="1" applyFont="1" applyFill="1" applyBorder="1"/>
    <xf numFmtId="0" fontId="45" fillId="0" borderId="0" xfId="6519" applyFont="1" applyAlignment="1">
      <alignment horizontal="left"/>
    </xf>
    <xf numFmtId="41" fontId="138" fillId="0" borderId="88" xfId="6519" applyNumberFormat="1" applyBorder="1"/>
    <xf numFmtId="41" fontId="138" fillId="0" borderId="41" xfId="6519" applyNumberFormat="1" applyBorder="1"/>
    <xf numFmtId="41" fontId="138" fillId="0" borderId="40" xfId="6519" applyNumberFormat="1" applyBorder="1"/>
    <xf numFmtId="0" fontId="45" fillId="0" borderId="28" xfId="6519" applyFont="1" applyFill="1" applyBorder="1"/>
    <xf numFmtId="41" fontId="45" fillId="0" borderId="41" xfId="6518" applyNumberFormat="1" applyFont="1" applyFill="1" applyBorder="1" applyAlignment="1">
      <alignment horizontal="right"/>
    </xf>
    <xf numFmtId="0" fontId="45" fillId="0" borderId="29" xfId="6519" applyFont="1" applyFill="1" applyBorder="1"/>
    <xf numFmtId="0" fontId="140" fillId="0" borderId="0" xfId="6519" quotePrefix="1" applyFont="1" applyFill="1" applyAlignment="1">
      <alignment horizontal="left"/>
    </xf>
    <xf numFmtId="49" fontId="45" fillId="0" borderId="0" xfId="6519" applyNumberFormat="1" applyFont="1" applyFill="1" applyBorder="1" applyAlignment="1">
      <alignment horizontal="left"/>
    </xf>
    <xf numFmtId="49" fontId="45" fillId="0" borderId="0" xfId="6519" applyNumberFormat="1" applyFont="1" applyFill="1"/>
    <xf numFmtId="49" fontId="45" fillId="0" borderId="0" xfId="6519" applyNumberFormat="1" applyFont="1" applyFill="1" applyAlignment="1"/>
    <xf numFmtId="0" fontId="140" fillId="0" borderId="29" xfId="6519" applyFont="1" applyFill="1" applyBorder="1"/>
    <xf numFmtId="0" fontId="140" fillId="0" borderId="0" xfId="6519" applyFont="1" applyFill="1"/>
    <xf numFmtId="0" fontId="140" fillId="0" borderId="0" xfId="6519" applyFont="1" applyFill="1" applyAlignment="1">
      <alignment horizontal="left"/>
    </xf>
    <xf numFmtId="0" fontId="140" fillId="0" borderId="0" xfId="6519" applyFont="1" applyFill="1" applyAlignment="1">
      <alignment horizontal="center"/>
    </xf>
    <xf numFmtId="0" fontId="45" fillId="0" borderId="0" xfId="6519" applyFont="1" applyAlignment="1">
      <alignment horizontal="center"/>
    </xf>
    <xf numFmtId="0" fontId="42" fillId="0" borderId="0" xfId="6519" applyFont="1" applyFill="1" applyAlignment="1">
      <alignment horizontal="left"/>
    </xf>
    <xf numFmtId="0" fontId="45" fillId="0" borderId="0" xfId="6519" applyNumberFormat="1" applyFont="1" applyFill="1" applyAlignment="1">
      <alignment horizontal="left"/>
    </xf>
    <xf numFmtId="41" fontId="45" fillId="0" borderId="22" xfId="6518" applyNumberFormat="1" applyFont="1" applyFill="1" applyBorder="1"/>
    <xf numFmtId="41" fontId="138" fillId="0" borderId="22" xfId="6519" applyNumberFormat="1" applyBorder="1"/>
    <xf numFmtId="41" fontId="138" fillId="0" borderId="21" xfId="6519" applyNumberFormat="1" applyBorder="1"/>
    <xf numFmtId="164" fontId="45" fillId="0" borderId="29" xfId="6518" applyNumberFormat="1" applyFont="1" applyBorder="1"/>
    <xf numFmtId="42" fontId="45" fillId="0" borderId="22" xfId="6518" applyNumberFormat="1" applyFont="1" applyFill="1" applyBorder="1"/>
    <xf numFmtId="0" fontId="45" fillId="0" borderId="21" xfId="6519" applyFont="1" applyBorder="1"/>
    <xf numFmtId="0" fontId="138" fillId="0" borderId="22" xfId="6519" applyBorder="1"/>
    <xf numFmtId="0" fontId="138" fillId="0" borderId="21" xfId="6519" applyBorder="1"/>
    <xf numFmtId="0" fontId="45" fillId="0" borderId="29" xfId="6519" applyFont="1" applyBorder="1"/>
    <xf numFmtId="0" fontId="45" fillId="0" borderId="22" xfId="6519" applyFont="1" applyFill="1" applyBorder="1"/>
    <xf numFmtId="0" fontId="42" fillId="0" borderId="0" xfId="6519" applyFont="1" applyFill="1"/>
    <xf numFmtId="0" fontId="138" fillId="0" borderId="80" xfId="6519" applyBorder="1"/>
    <xf numFmtId="0" fontId="42" fillId="0" borderId="40" xfId="6519" applyFont="1" applyBorder="1" applyAlignment="1">
      <alignment horizontal="center"/>
    </xf>
    <xf numFmtId="0" fontId="42" fillId="0" borderId="28" xfId="6519" applyFont="1" applyBorder="1" applyAlignment="1">
      <alignment horizontal="center"/>
    </xf>
    <xf numFmtId="213" fontId="42" fillId="0" borderId="41" xfId="6519" applyNumberFormat="1" applyFont="1" applyFill="1" applyBorder="1" applyAlignment="1">
      <alignment horizontal="center"/>
    </xf>
    <xf numFmtId="0" fontId="45" fillId="0" borderId="80" xfId="6519" applyFont="1" applyFill="1" applyBorder="1" applyAlignment="1">
      <alignment horizontal="centerContinuous"/>
    </xf>
    <xf numFmtId="0" fontId="45" fillId="0" borderId="80" xfId="6519" applyFont="1" applyFill="1" applyBorder="1" applyAlignment="1">
      <alignment horizontal="left"/>
    </xf>
    <xf numFmtId="0" fontId="45" fillId="0" borderId="80" xfId="6519" applyFont="1" applyFill="1" applyBorder="1" applyAlignment="1">
      <alignment horizontal="center"/>
    </xf>
    <xf numFmtId="0" fontId="42" fillId="0" borderId="21" xfId="6519" applyFont="1" applyBorder="1" applyAlignment="1">
      <alignment horizontal="center"/>
    </xf>
    <xf numFmtId="0" fontId="42" fillId="0" borderId="29" xfId="6519" applyFont="1" applyBorder="1" applyAlignment="1">
      <alignment horizontal="center"/>
    </xf>
    <xf numFmtId="0" fontId="42" fillId="0" borderId="22" xfId="6519" applyFont="1" applyFill="1" applyBorder="1" applyAlignment="1">
      <alignment horizontal="center"/>
    </xf>
    <xf numFmtId="0" fontId="45" fillId="0" borderId="0" xfId="6519" applyFont="1" applyFill="1" applyAlignment="1">
      <alignment horizontal="left"/>
    </xf>
    <xf numFmtId="0" fontId="42" fillId="0" borderId="23" xfId="6519" applyFont="1" applyBorder="1"/>
    <xf numFmtId="0" fontId="42" fillId="0" borderId="93" xfId="6519" applyFont="1" applyBorder="1" applyAlignment="1">
      <alignment horizontal="center"/>
    </xf>
    <xf numFmtId="0" fontId="45" fillId="0" borderId="25" xfId="6519" applyFont="1" applyFill="1" applyBorder="1"/>
    <xf numFmtId="0" fontId="45" fillId="0" borderId="0" xfId="6519" applyFont="1" applyFill="1" applyBorder="1" applyAlignment="1">
      <alignment horizontal="right"/>
    </xf>
    <xf numFmtId="0" fontId="51" fillId="0" borderId="92" xfId="6519" applyFont="1" applyBorder="1" applyAlignment="1">
      <alignment horizontal="centerContinuous"/>
    </xf>
    <xf numFmtId="0" fontId="51" fillId="0" borderId="48" xfId="6519" applyFont="1" applyBorder="1" applyAlignment="1">
      <alignment horizontal="centerContinuous"/>
    </xf>
    <xf numFmtId="0" fontId="51" fillId="0" borderId="91" xfId="6519" applyFont="1" applyBorder="1" applyAlignment="1">
      <alignment horizontal="centerContinuous"/>
    </xf>
    <xf numFmtId="10" fontId="45" fillId="0" borderId="0" xfId="6519" applyNumberFormat="1" applyFont="1" applyFill="1" applyBorder="1" applyAlignment="1">
      <alignment horizontal="center"/>
    </xf>
    <xf numFmtId="0" fontId="45" fillId="0" borderId="0" xfId="6519" applyFont="1" applyFill="1" applyBorder="1" applyAlignment="1">
      <alignment horizontal="left"/>
    </xf>
    <xf numFmtId="0" fontId="54" fillId="0" borderId="0" xfId="6519" applyFont="1" applyFill="1" applyAlignment="1">
      <alignment horizontal="centerContinuous"/>
    </xf>
    <xf numFmtId="0" fontId="45" fillId="0" borderId="0" xfId="6519" applyFont="1" applyFill="1" applyAlignment="1">
      <alignment horizontal="center"/>
    </xf>
    <xf numFmtId="0" fontId="139" fillId="0" borderId="0" xfId="6519" applyFont="1" applyFill="1" applyAlignment="1">
      <alignment horizontal="center"/>
    </xf>
    <xf numFmtId="0" fontId="42" fillId="0" borderId="0" xfId="6519" applyFont="1" applyAlignment="1">
      <alignment horizontal="centerContinuous"/>
    </xf>
    <xf numFmtId="0" fontId="23" fillId="0" borderId="14" xfId="6519" applyFont="1" applyBorder="1" applyAlignment="1">
      <alignment horizontal="centerContinuous"/>
    </xf>
    <xf numFmtId="0" fontId="23" fillId="0" borderId="15" xfId="6519" applyFont="1" applyBorder="1" applyAlignment="1">
      <alignment horizontal="centerContinuous"/>
    </xf>
    <xf numFmtId="0" fontId="23" fillId="0" borderId="16" xfId="6519" applyFont="1" applyBorder="1" applyAlignment="1">
      <alignment horizontal="centerContinuous"/>
    </xf>
    <xf numFmtId="0" fontId="138" fillId="0" borderId="0" xfId="6519"/>
    <xf numFmtId="0" fontId="45" fillId="0" borderId="0" xfId="6519" applyFont="1" applyFill="1"/>
    <xf numFmtId="0" fontId="45" fillId="0" borderId="0" xfId="6519" applyFont="1"/>
    <xf numFmtId="0" fontId="42" fillId="0" borderId="0" xfId="6519" applyFont="1" applyAlignment="1">
      <alignment horizontal="left"/>
    </xf>
    <xf numFmtId="0" fontId="23" fillId="0" borderId="16" xfId="0" applyFont="1" applyBorder="1" applyAlignment="1">
      <alignment horizontal="centerContinuous" wrapText="1"/>
    </xf>
    <xf numFmtId="0" fontId="18" fillId="0" borderId="0" xfId="0" applyFont="1"/>
    <xf numFmtId="42" fontId="18" fillId="0" borderId="0" xfId="0" applyNumberFormat="1" applyFont="1"/>
    <xf numFmtId="0" fontId="18" fillId="0" borderId="0" xfId="0" quotePrefix="1" applyFont="1"/>
    <xf numFmtId="0" fontId="19" fillId="0" borderId="0" xfId="0" applyNumberFormat="1" applyFont="1" applyFill="1" applyAlignment="1">
      <alignment horizontal="center"/>
    </xf>
    <xf numFmtId="41" fontId="18" fillId="0" borderId="0" xfId="0" applyNumberFormat="1" applyFont="1"/>
    <xf numFmtId="42" fontId="18" fillId="0" borderId="10" xfId="0" applyNumberFormat="1" applyFont="1" applyBorder="1"/>
    <xf numFmtId="41" fontId="18" fillId="0" borderId="11" xfId="0" applyNumberFormat="1" applyFont="1" applyBorder="1"/>
    <xf numFmtId="0" fontId="18" fillId="0" borderId="11" xfId="0" applyFont="1" applyBorder="1"/>
    <xf numFmtId="164" fontId="18" fillId="0" borderId="11" xfId="0" applyNumberFormat="1" applyFont="1" applyBorder="1"/>
    <xf numFmtId="164" fontId="18" fillId="0" borderId="0" xfId="0" applyNumberFormat="1" applyFont="1" applyFill="1"/>
    <xf numFmtId="0" fontId="18" fillId="0" borderId="0" xfId="0" applyFont="1" applyAlignment="1">
      <alignment horizontal="left" indent="1"/>
    </xf>
    <xf numFmtId="0" fontId="18" fillId="0" borderId="0" xfId="0" applyNumberFormat="1" applyFont="1" applyAlignment="1"/>
    <xf numFmtId="165" fontId="18" fillId="0" borderId="0" xfId="0" applyNumberFormat="1" applyFont="1" applyFill="1" applyAlignment="1"/>
    <xf numFmtId="0" fontId="18" fillId="0" borderId="0" xfId="0" applyNumberFormat="1" applyFont="1" applyFill="1" applyAlignment="1"/>
    <xf numFmtId="41" fontId="19" fillId="0" borderId="0" xfId="0" applyNumberFormat="1" applyFont="1" applyFill="1" applyBorder="1" applyAlignment="1"/>
    <xf numFmtId="0" fontId="19" fillId="0" borderId="0" xfId="0" applyNumberFormat="1" applyFont="1" applyFill="1" applyAlignment="1"/>
    <xf numFmtId="165" fontId="20" fillId="0" borderId="12" xfId="0" applyNumberFormat="1" applyFont="1" applyFill="1" applyBorder="1" applyAlignment="1" applyProtection="1">
      <protection locked="0"/>
    </xf>
    <xf numFmtId="0" fontId="19" fillId="0" borderId="0" xfId="0" applyNumberFormat="1" applyFont="1" applyFill="1" applyAlignment="1">
      <alignment horizontal="left"/>
    </xf>
    <xf numFmtId="165" fontId="19" fillId="0" borderId="0" xfId="0" applyNumberFormat="1" applyFont="1" applyFill="1" applyAlignment="1"/>
    <xf numFmtId="9" fontId="19" fillId="0" borderId="0" xfId="0" applyNumberFormat="1" applyFont="1" applyFill="1" applyAlignment="1"/>
    <xf numFmtId="0" fontId="18" fillId="0" borderId="0" xfId="0" applyFont="1" applyFill="1"/>
    <xf numFmtId="10" fontId="18" fillId="0" borderId="11" xfId="0" applyNumberFormat="1" applyFont="1" applyBorder="1"/>
    <xf numFmtId="9" fontId="18" fillId="0" borderId="11" xfId="0" applyNumberFormat="1" applyFont="1" applyBorder="1"/>
    <xf numFmtId="164" fontId="18" fillId="0" borderId="11" xfId="0" applyNumberFormat="1" applyFont="1" applyFill="1" applyBorder="1"/>
    <xf numFmtId="10" fontId="18" fillId="0" borderId="0" xfId="0" applyNumberFormat="1" applyFont="1"/>
    <xf numFmtId="165" fontId="19" fillId="0" borderId="0" xfId="0" applyNumberFormat="1" applyFont="1" applyFill="1" applyBorder="1" applyAlignment="1"/>
    <xf numFmtId="167" fontId="19" fillId="0" borderId="0" xfId="0" applyNumberFormat="1" applyFont="1" applyFill="1" applyAlignment="1"/>
    <xf numFmtId="0" fontId="18" fillId="0" borderId="11" xfId="0" applyFont="1" applyFill="1" applyBorder="1"/>
    <xf numFmtId="10" fontId="18" fillId="0" borderId="0" xfId="0" applyNumberFormat="1" applyFont="1" applyFill="1"/>
    <xf numFmtId="0" fontId="18" fillId="0" borderId="13" xfId="0" applyFont="1" applyBorder="1"/>
    <xf numFmtId="0" fontId="20" fillId="0" borderId="13" xfId="0" applyNumberFormat="1" applyFont="1" applyFill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0" fillId="0" borderId="0" xfId="0" applyNumberFormat="1" applyFont="1" applyFill="1" applyAlignment="1">
      <alignment horizontal="center"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Continuous"/>
    </xf>
    <xf numFmtId="0" fontId="21" fillId="0" borderId="0" xfId="0" applyFont="1"/>
    <xf numFmtId="0" fontId="21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3" fillId="0" borderId="14" xfId="0" applyFont="1" applyBorder="1" applyAlignment="1">
      <alignment horizontal="centerContinuous"/>
    </xf>
    <xf numFmtId="0" fontId="23" fillId="0" borderId="15" xfId="0" applyFont="1" applyBorder="1" applyAlignment="1">
      <alignment horizontal="centerContinuous"/>
    </xf>
    <xf numFmtId="0" fontId="23" fillId="0" borderId="16" xfId="0" applyFont="1" applyBorder="1" applyAlignment="1">
      <alignment horizontal="centerContinuous"/>
    </xf>
    <xf numFmtId="0" fontId="23" fillId="0" borderId="17" xfId="0" applyFont="1" applyBorder="1" applyAlignment="1">
      <alignment horizontal="centerContinuous"/>
    </xf>
    <xf numFmtId="0" fontId="24" fillId="0" borderId="0" xfId="0" applyFont="1"/>
    <xf numFmtId="0" fontId="24" fillId="0" borderId="0" xfId="0" applyFont="1" applyFill="1"/>
    <xf numFmtId="42" fontId="19" fillId="0" borderId="0" xfId="0" applyNumberFormat="1" applyFont="1" applyFill="1" applyBorder="1" applyAlignment="1"/>
    <xf numFmtId="168" fontId="19" fillId="0" borderId="0" xfId="0" applyNumberFormat="1" applyFont="1" applyFill="1" applyBorder="1" applyAlignment="1" applyProtection="1">
      <protection locked="0"/>
    </xf>
    <xf numFmtId="164" fontId="24" fillId="0" borderId="0" xfId="0" applyNumberFormat="1" applyFont="1"/>
    <xf numFmtId="0" fontId="26" fillId="0" borderId="0" xfId="0" applyFont="1"/>
    <xf numFmtId="10" fontId="26" fillId="0" borderId="0" xfId="0" applyNumberFormat="1" applyFont="1"/>
    <xf numFmtId="168" fontId="24" fillId="0" borderId="12" xfId="0" applyNumberFormat="1" applyFont="1" applyFill="1" applyBorder="1"/>
    <xf numFmtId="41" fontId="19" fillId="0" borderId="0" xfId="0" applyNumberFormat="1" applyFont="1" applyFill="1" applyAlignment="1" applyProtection="1">
      <protection locked="0"/>
    </xf>
    <xf numFmtId="169" fontId="27" fillId="0" borderId="0" xfId="0" applyNumberFormat="1" applyFont="1" applyFill="1" applyAlignment="1" applyProtection="1">
      <alignment horizontal="left"/>
    </xf>
    <xf numFmtId="42" fontId="24" fillId="0" borderId="0" xfId="0" applyNumberFormat="1" applyFont="1" applyFill="1"/>
    <xf numFmtId="10" fontId="19" fillId="0" borderId="0" xfId="0" applyNumberFormat="1" applyFont="1" applyFill="1" applyAlignment="1" applyProtection="1">
      <protection locked="0"/>
    </xf>
    <xf numFmtId="42" fontId="19" fillId="0" borderId="10" xfId="0" applyNumberFormat="1" applyFont="1" applyFill="1" applyBorder="1" applyAlignment="1" applyProtection="1">
      <protection locked="0"/>
    </xf>
    <xf numFmtId="0" fontId="24" fillId="0" borderId="11" xfId="0" applyFont="1" applyFill="1" applyBorder="1"/>
    <xf numFmtId="170" fontId="24" fillId="0" borderId="11" xfId="0" applyNumberFormat="1" applyFont="1" applyFill="1" applyBorder="1"/>
    <xf numFmtId="164" fontId="19" fillId="0" borderId="0" xfId="0" applyNumberFormat="1" applyFont="1" applyFill="1" applyAlignment="1" applyProtection="1">
      <protection locked="0"/>
    </xf>
    <xf numFmtId="0" fontId="19" fillId="0" borderId="0" xfId="0" quotePrefix="1" applyNumberFormat="1" applyFont="1" applyFill="1" applyAlignment="1">
      <alignment horizontal="left"/>
    </xf>
    <xf numFmtId="164" fontId="24" fillId="0" borderId="0" xfId="0" applyNumberFormat="1" applyFont="1" applyFill="1"/>
    <xf numFmtId="164" fontId="24" fillId="0" borderId="11" xfId="0" applyNumberFormat="1" applyFont="1" applyFill="1" applyBorder="1"/>
    <xf numFmtId="168" fontId="24" fillId="0" borderId="0" xfId="0" applyNumberFormat="1" applyFont="1" applyBorder="1"/>
    <xf numFmtId="168" fontId="19" fillId="0" borderId="0" xfId="0" applyNumberFormat="1" applyFont="1" applyFill="1" applyAlignment="1"/>
    <xf numFmtId="42" fontId="19" fillId="0" borderId="0" xfId="0" applyNumberFormat="1" applyFont="1" applyFill="1" applyAlignment="1" applyProtection="1">
      <protection locked="0"/>
    </xf>
    <xf numFmtId="0" fontId="21" fillId="0" borderId="0" xfId="0" applyFont="1" applyFill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23" fillId="0" borderId="0" xfId="0" applyFont="1"/>
    <xf numFmtId="0" fontId="18" fillId="0" borderId="0" xfId="0" applyFont="1" applyBorder="1"/>
    <xf numFmtId="0" fontId="18" fillId="0" borderId="0" xfId="0" applyFont="1" applyFill="1" applyBorder="1"/>
    <xf numFmtId="42" fontId="18" fillId="0" borderId="0" xfId="0" applyNumberFormat="1" applyFont="1" applyFill="1" applyBorder="1"/>
    <xf numFmtId="0" fontId="19" fillId="0" borderId="0" xfId="0" applyNumberFormat="1" applyFont="1" applyFill="1" applyBorder="1" applyAlignment="1"/>
    <xf numFmtId="0" fontId="19" fillId="0" borderId="0" xfId="0" applyNumberFormat="1" applyFont="1" applyFill="1" applyBorder="1" applyAlignment="1">
      <alignment horizontal="center"/>
    </xf>
    <xf numFmtId="41" fontId="19" fillId="0" borderId="0" xfId="0" applyNumberFormat="1" applyFont="1" applyFill="1" applyBorder="1" applyAlignment="1" applyProtection="1">
      <protection locked="0"/>
    </xf>
    <xf numFmtId="41" fontId="18" fillId="0" borderId="0" xfId="0" applyNumberFormat="1" applyFont="1" applyFill="1" applyBorder="1"/>
    <xf numFmtId="169" fontId="27" fillId="0" borderId="0" xfId="0" applyNumberFormat="1" applyFont="1" applyFill="1" applyBorder="1" applyAlignment="1" applyProtection="1">
      <alignment horizontal="left"/>
    </xf>
    <xf numFmtId="3" fontId="18" fillId="0" borderId="0" xfId="0" applyNumberFormat="1" applyFont="1"/>
    <xf numFmtId="168" fontId="18" fillId="0" borderId="0" xfId="0" applyNumberFormat="1" applyFont="1"/>
    <xf numFmtId="164" fontId="18" fillId="0" borderId="28" xfId="0" applyNumberFormat="1" applyFont="1" applyFill="1" applyBorder="1"/>
    <xf numFmtId="41" fontId="19" fillId="33" borderId="29" xfId="0" applyNumberFormat="1" applyFont="1" applyFill="1" applyBorder="1" applyAlignment="1" applyProtection="1">
      <protection locked="0"/>
    </xf>
    <xf numFmtId="164" fontId="18" fillId="0" borderId="0" xfId="0" applyNumberFormat="1" applyFont="1"/>
    <xf numFmtId="0" fontId="26" fillId="33" borderId="29" xfId="0" applyFont="1" applyFill="1" applyBorder="1"/>
    <xf numFmtId="10" fontId="26" fillId="33" borderId="29" xfId="0" applyNumberFormat="1" applyFont="1" applyFill="1" applyBorder="1"/>
    <xf numFmtId="0" fontId="18" fillId="33" borderId="29" xfId="0" applyFont="1" applyFill="1" applyBorder="1"/>
    <xf numFmtId="0" fontId="18" fillId="0" borderId="0" xfId="0" applyFont="1" applyAlignment="1">
      <alignment horizontal="center"/>
    </xf>
    <xf numFmtId="42" fontId="18" fillId="33" borderId="31" xfId="0" applyNumberFormat="1" applyFont="1" applyFill="1" applyBorder="1"/>
    <xf numFmtId="42" fontId="18" fillId="0" borderId="12" xfId="0" applyNumberFormat="1" applyFont="1" applyFill="1" applyBorder="1"/>
    <xf numFmtId="41" fontId="18" fillId="0" borderId="0" xfId="0" applyNumberFormat="1" applyFont="1" applyFill="1"/>
    <xf numFmtId="42" fontId="18" fillId="0" borderId="0" xfId="0" applyNumberFormat="1" applyFont="1" applyFill="1"/>
    <xf numFmtId="43" fontId="18" fillId="0" borderId="0" xfId="0" applyNumberFormat="1" applyFont="1" applyFill="1"/>
    <xf numFmtId="42" fontId="18" fillId="33" borderId="29" xfId="0" applyNumberFormat="1" applyFont="1" applyFill="1" applyBorder="1"/>
    <xf numFmtId="10" fontId="19" fillId="33" borderId="29" xfId="0" applyNumberFormat="1" applyFont="1" applyFill="1" applyBorder="1" applyAlignment="1" applyProtection="1">
      <protection locked="0"/>
    </xf>
    <xf numFmtId="42" fontId="19" fillId="33" borderId="32" xfId="0" applyNumberFormat="1" applyFont="1" applyFill="1" applyBorder="1" applyAlignment="1" applyProtection="1">
      <protection locked="0"/>
    </xf>
    <xf numFmtId="0" fontId="18" fillId="33" borderId="33" xfId="0" applyFont="1" applyFill="1" applyBorder="1"/>
    <xf numFmtId="170" fontId="18" fillId="33" borderId="33" xfId="0" applyNumberFormat="1" applyFont="1" applyFill="1" applyBorder="1"/>
    <xf numFmtId="170" fontId="18" fillId="0" borderId="11" xfId="0" applyNumberFormat="1" applyFont="1" applyFill="1" applyBorder="1"/>
    <xf numFmtId="168" fontId="18" fillId="0" borderId="0" xfId="0" applyNumberFormat="1" applyFont="1" applyBorder="1"/>
    <xf numFmtId="164" fontId="18" fillId="33" borderId="33" xfId="0" applyNumberFormat="1" applyFont="1" applyFill="1" applyBorder="1"/>
    <xf numFmtId="42" fontId="19" fillId="33" borderId="29" xfId="0" applyNumberFormat="1" applyFont="1" applyFill="1" applyBorder="1" applyAlignment="1" applyProtection="1">
      <protection locked="0"/>
    </xf>
    <xf numFmtId="0" fontId="18" fillId="33" borderId="29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20" fillId="33" borderId="29" xfId="0" applyNumberFormat="1" applyFont="1" applyFill="1" applyBorder="1" applyAlignment="1">
      <alignment horizontal="center"/>
    </xf>
    <xf numFmtId="0" fontId="20" fillId="0" borderId="0" xfId="0" quotePrefix="1" applyNumberFormat="1" applyFont="1" applyFill="1" applyAlignment="1">
      <alignment horizontal="center"/>
    </xf>
    <xf numFmtId="0" fontId="20" fillId="0" borderId="0" xfId="0" applyNumberFormat="1" applyFont="1" applyFill="1" applyAlignment="1">
      <alignment horizontal="center" wrapText="1"/>
    </xf>
    <xf numFmtId="0" fontId="20" fillId="0" borderId="0" xfId="0" applyNumberFormat="1" applyFont="1" applyFill="1" applyAlignment="1" applyProtection="1">
      <alignment horizontal="center"/>
      <protection locked="0"/>
    </xf>
    <xf numFmtId="0" fontId="20" fillId="33" borderId="33" xfId="0" applyNumberFormat="1" applyFont="1" applyFill="1" applyBorder="1" applyAlignment="1">
      <alignment horizontal="center"/>
    </xf>
    <xf numFmtId="171" fontId="22" fillId="0" borderId="0" xfId="0" applyNumberFormat="1" applyFont="1" applyFill="1" applyAlignment="1" applyProtection="1">
      <alignment horizontal="center"/>
      <protection locked="0"/>
    </xf>
    <xf numFmtId="0" fontId="22" fillId="33" borderId="33" xfId="0" applyNumberFormat="1" applyFont="1" applyFill="1" applyBorder="1" applyAlignment="1">
      <alignment horizontal="center"/>
    </xf>
    <xf numFmtId="172" fontId="22" fillId="0" borderId="0" xfId="0" applyNumberFormat="1" applyFont="1" applyFill="1" applyAlignment="1" applyProtection="1">
      <alignment horizontal="center"/>
      <protection locked="0"/>
    </xf>
    <xf numFmtId="0" fontId="29" fillId="0" borderId="0" xfId="0" applyFont="1" applyFill="1" applyAlignment="1">
      <alignment horizontal="center"/>
    </xf>
    <xf numFmtId="0" fontId="29" fillId="0" borderId="0" xfId="0" applyFont="1"/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Fill="1" applyAlignment="1">
      <alignment horizontal="center"/>
    </xf>
    <xf numFmtId="0" fontId="23" fillId="0" borderId="14" xfId="0" applyFont="1" applyFill="1" applyBorder="1" applyAlignment="1">
      <alignment horizontal="centerContinuous"/>
    </xf>
    <xf numFmtId="0" fontId="23" fillId="0" borderId="15" xfId="0" applyFont="1" applyFill="1" applyBorder="1" applyAlignment="1">
      <alignment horizontal="centerContinuous"/>
    </xf>
    <xf numFmtId="0" fontId="23" fillId="0" borderId="16" xfId="0" applyFont="1" applyFill="1" applyBorder="1" applyAlignment="1">
      <alignment horizontal="centerContinuous"/>
    </xf>
    <xf numFmtId="41" fontId="19" fillId="0" borderId="0" xfId="0" applyNumberFormat="1" applyFont="1" applyFill="1" applyAlignment="1"/>
    <xf numFmtId="41" fontId="19" fillId="0" borderId="0" xfId="0" applyNumberFormat="1" applyFont="1" applyFill="1" applyBorder="1" applyAlignment="1">
      <alignment horizontal="right"/>
    </xf>
    <xf numFmtId="42" fontId="19" fillId="0" borderId="0" xfId="0" applyNumberFormat="1" applyFont="1" applyFill="1" applyAlignment="1">
      <alignment horizontal="right"/>
    </xf>
    <xf numFmtId="0" fontId="19" fillId="0" borderId="0" xfId="0" applyFont="1"/>
    <xf numFmtId="0" fontId="19" fillId="0" borderId="0" xfId="0" applyNumberFormat="1" applyFont="1" applyFill="1" applyAlignment="1" applyProtection="1">
      <alignment horizontal="center"/>
      <protection locked="0"/>
    </xf>
    <xf numFmtId="42" fontId="19" fillId="0" borderId="12" xfId="0" applyNumberFormat="1" applyFont="1" applyFill="1" applyBorder="1" applyAlignment="1"/>
    <xf numFmtId="43" fontId="19" fillId="0" borderId="0" xfId="0" applyNumberFormat="1" applyFont="1" applyFill="1" applyAlignment="1"/>
    <xf numFmtId="164" fontId="19" fillId="0" borderId="0" xfId="0" applyNumberFormat="1" applyFont="1" applyFill="1" applyAlignment="1"/>
    <xf numFmtId="9" fontId="18" fillId="0" borderId="0" xfId="0" applyNumberFormat="1" applyFont="1"/>
    <xf numFmtId="42" fontId="18" fillId="0" borderId="12" xfId="0" applyNumberFormat="1" applyFont="1" applyBorder="1"/>
    <xf numFmtId="164" fontId="19" fillId="0" borderId="13" xfId="0" applyNumberFormat="1" applyFont="1" applyFill="1" applyBorder="1" applyAlignment="1"/>
    <xf numFmtId="43" fontId="19" fillId="0" borderId="13" xfId="0" applyNumberFormat="1" applyFont="1" applyFill="1" applyBorder="1" applyAlignment="1"/>
    <xf numFmtId="41" fontId="19" fillId="0" borderId="13" xfId="0" applyNumberFormat="1" applyFont="1" applyFill="1" applyBorder="1" applyAlignment="1">
      <alignment horizontal="right"/>
    </xf>
    <xf numFmtId="9" fontId="19" fillId="0" borderId="0" xfId="0" applyNumberFormat="1" applyFont="1" applyFill="1" applyAlignment="1">
      <alignment horizontal="right"/>
    </xf>
    <xf numFmtId="41" fontId="19" fillId="0" borderId="11" xfId="0" applyNumberFormat="1" applyFont="1" applyBorder="1" applyAlignment="1"/>
    <xf numFmtId="165" fontId="19" fillId="0" borderId="0" xfId="0" applyNumberFormat="1" applyFont="1" applyFill="1" applyBorder="1" applyAlignment="1">
      <alignment horizontal="left"/>
    </xf>
    <xf numFmtId="37" fontId="19" fillId="0" borderId="0" xfId="0" applyNumberFormat="1" applyFont="1" applyFill="1" applyAlignment="1"/>
    <xf numFmtId="37" fontId="19" fillId="0" borderId="11" xfId="0" applyNumberFormat="1" applyFont="1" applyFill="1" applyBorder="1" applyAlignment="1"/>
    <xf numFmtId="165" fontId="19" fillId="0" borderId="0" xfId="0" applyNumberFormat="1" applyFont="1" applyFill="1" applyAlignment="1">
      <alignment horizontal="left"/>
    </xf>
    <xf numFmtId="0" fontId="19" fillId="0" borderId="0" xfId="0" applyFont="1" applyFill="1" applyAlignment="1">
      <alignment horizontal="center"/>
    </xf>
    <xf numFmtId="37" fontId="19" fillId="0" borderId="13" xfId="0" applyNumberFormat="1" applyFont="1" applyFill="1" applyBorder="1" applyAlignment="1"/>
    <xf numFmtId="167" fontId="18" fillId="0" borderId="0" xfId="0" applyNumberFormat="1" applyFont="1"/>
    <xf numFmtId="0" fontId="19" fillId="0" borderId="0" xfId="0" quotePrefix="1" applyNumberFormat="1" applyFont="1" applyFill="1" applyBorder="1" applyAlignment="1">
      <alignment horizontal="left"/>
    </xf>
    <xf numFmtId="37" fontId="19" fillId="0" borderId="0" xfId="0" applyNumberFormat="1" applyFont="1" applyFill="1" applyBorder="1" applyAlignment="1"/>
    <xf numFmtId="165" fontId="19" fillId="0" borderId="0" xfId="0" quotePrefix="1" applyNumberFormat="1" applyFont="1" applyFill="1" applyBorder="1" applyAlignment="1">
      <alignment horizontal="left"/>
    </xf>
    <xf numFmtId="41" fontId="32" fillId="0" borderId="0" xfId="0" applyNumberFormat="1" applyFont="1"/>
    <xf numFmtId="0" fontId="33" fillId="0" borderId="0" xfId="0" applyFont="1"/>
    <xf numFmtId="41" fontId="19" fillId="0" borderId="11" xfId="0" applyNumberFormat="1" applyFont="1" applyFill="1" applyBorder="1" applyAlignment="1"/>
    <xf numFmtId="0" fontId="19" fillId="0" borderId="0" xfId="0" applyNumberFormat="1" applyFont="1" applyFill="1" applyAlignment="1">
      <alignment horizontal="left" indent="2"/>
    </xf>
    <xf numFmtId="0" fontId="34" fillId="0" borderId="0" xfId="0" applyFont="1" applyFill="1" applyBorder="1" applyAlignment="1">
      <alignment horizontal="center"/>
    </xf>
    <xf numFmtId="170" fontId="19" fillId="0" borderId="12" xfId="0" applyNumberFormat="1" applyFont="1" applyFill="1" applyBorder="1" applyAlignment="1"/>
    <xf numFmtId="0" fontId="19" fillId="0" borderId="0" xfId="0" applyNumberFormat="1" applyFont="1" applyFill="1" applyBorder="1" applyAlignment="1">
      <alignment horizontal="left"/>
    </xf>
    <xf numFmtId="44" fontId="18" fillId="0" borderId="0" xfId="0" applyNumberFormat="1" applyFont="1"/>
    <xf numFmtId="173" fontId="19" fillId="0" borderId="0" xfId="0" applyNumberFormat="1" applyFont="1" applyFill="1" applyAlignment="1"/>
    <xf numFmtId="170" fontId="18" fillId="0" borderId="0" xfId="0" applyNumberFormat="1" applyFont="1"/>
    <xf numFmtId="9" fontId="18" fillId="0" borderId="0" xfId="0" applyNumberFormat="1" applyFont="1" applyBorder="1"/>
    <xf numFmtId="41" fontId="19" fillId="0" borderId="13" xfId="0" applyNumberFormat="1" applyFont="1" applyFill="1" applyBorder="1" applyAlignment="1" applyProtection="1">
      <protection locked="0"/>
    </xf>
    <xf numFmtId="9" fontId="19" fillId="0" borderId="0" xfId="0" applyNumberFormat="1" applyFont="1" applyFill="1" applyBorder="1" applyAlignment="1"/>
    <xf numFmtId="0" fontId="19" fillId="0" borderId="0" xfId="0" quotePrefix="1" applyFont="1" applyBorder="1" applyAlignment="1">
      <alignment horizontal="left"/>
    </xf>
    <xf numFmtId="42" fontId="19" fillId="0" borderId="0" xfId="0" applyNumberFormat="1" applyFont="1" applyFill="1" applyAlignment="1"/>
    <xf numFmtId="43" fontId="18" fillId="0" borderId="0" xfId="0" applyNumberFormat="1" applyFont="1"/>
    <xf numFmtId="0" fontId="35" fillId="0" borderId="0" xfId="0" applyNumberFormat="1" applyFont="1" applyFill="1" applyAlignment="1"/>
    <xf numFmtId="0" fontId="20" fillId="0" borderId="0" xfId="0" applyNumberFormat="1" applyFont="1" applyFill="1" applyAlignment="1">
      <alignment horizontal="left"/>
    </xf>
    <xf numFmtId="10" fontId="18" fillId="0" borderId="0" xfId="0" applyNumberFormat="1" applyFont="1" applyBorder="1"/>
    <xf numFmtId="41" fontId="36" fillId="0" borderId="0" xfId="0" applyNumberFormat="1" applyFont="1" applyFill="1" applyBorder="1" applyAlignment="1"/>
    <xf numFmtId="10" fontId="19" fillId="0" borderId="0" xfId="0" applyNumberFormat="1" applyFont="1" applyFill="1" applyAlignment="1">
      <alignment horizontal="right"/>
    </xf>
    <xf numFmtId="0" fontId="19" fillId="0" borderId="0" xfId="0" applyFont="1" applyAlignment="1">
      <alignment horizontal="right" indent="1"/>
    </xf>
    <xf numFmtId="0" fontId="22" fillId="0" borderId="0" xfId="0" applyFont="1" applyFill="1" applyAlignment="1">
      <alignment horizontal="left"/>
    </xf>
    <xf numFmtId="170" fontId="19" fillId="0" borderId="12" xfId="0" applyNumberFormat="1" applyFont="1" applyFill="1" applyBorder="1"/>
    <xf numFmtId="0" fontId="19" fillId="0" borderId="0" xfId="0" applyFont="1" applyAlignment="1">
      <alignment horizontal="left"/>
    </xf>
    <xf numFmtId="42" fontId="18" fillId="0" borderId="15" xfId="0" applyNumberFormat="1" applyFont="1" applyBorder="1"/>
    <xf numFmtId="0" fontId="19" fillId="0" borderId="0" xfId="0" applyFont="1" applyAlignment="1">
      <alignment horizontal="left" indent="1"/>
    </xf>
    <xf numFmtId="0" fontId="19" fillId="0" borderId="0" xfId="0" applyFont="1" applyBorder="1" applyAlignment="1">
      <alignment horizontal="left"/>
    </xf>
    <xf numFmtId="0" fontId="19" fillId="0" borderId="0" xfId="0" applyFont="1" applyBorder="1"/>
    <xf numFmtId="170" fontId="20" fillId="0" borderId="12" xfId="0" applyNumberFormat="1" applyFont="1" applyBorder="1"/>
    <xf numFmtId="0" fontId="19" fillId="0" borderId="0" xfId="0" applyNumberFormat="1" applyFont="1" applyFill="1"/>
    <xf numFmtId="41" fontId="19" fillId="0" borderId="0" xfId="0" applyNumberFormat="1" applyFont="1" applyBorder="1" applyAlignment="1" applyProtection="1">
      <alignment horizontal="right"/>
      <protection locked="0"/>
    </xf>
    <xf numFmtId="9" fontId="18" fillId="0" borderId="0" xfId="0" applyNumberFormat="1" applyFont="1" applyAlignment="1">
      <alignment horizontal="right"/>
    </xf>
    <xf numFmtId="0" fontId="19" fillId="0" borderId="0" xfId="0" applyNumberFormat="1" applyFont="1" applyFill="1" applyAlignment="1">
      <alignment horizontal="left" indent="1"/>
    </xf>
    <xf numFmtId="164" fontId="34" fillId="0" borderId="0" xfId="0" applyNumberFormat="1" applyFont="1" applyFill="1" applyBorder="1"/>
    <xf numFmtId="41" fontId="19" fillId="0" borderId="15" xfId="0" applyNumberFormat="1" applyFont="1" applyFill="1" applyBorder="1" applyAlignment="1">
      <alignment horizontal="right"/>
    </xf>
    <xf numFmtId="42" fontId="19" fillId="0" borderId="0" xfId="0" applyNumberFormat="1" applyFont="1"/>
    <xf numFmtId="0" fontId="19" fillId="0" borderId="0" xfId="0" applyFont="1" applyFill="1" applyAlignment="1">
      <alignment horizontal="left"/>
    </xf>
    <xf numFmtId="0" fontId="35" fillId="0" borderId="0" xfId="0" applyFont="1" applyBorder="1" applyAlignment="1">
      <alignment horizontal="left"/>
    </xf>
    <xf numFmtId="0" fontId="19" fillId="0" borderId="0" xfId="0" quotePrefix="1" applyNumberFormat="1" applyFont="1" applyFill="1" applyAlignment="1">
      <alignment horizontal="left" indent="2"/>
    </xf>
    <xf numFmtId="0" fontId="35" fillId="0" borderId="0" xfId="0" applyFont="1" applyAlignment="1">
      <alignment horizontal="left"/>
    </xf>
    <xf numFmtId="164" fontId="34" fillId="0" borderId="11" xfId="0" applyNumberFormat="1" applyFont="1" applyFill="1" applyBorder="1"/>
    <xf numFmtId="174" fontId="19" fillId="0" borderId="0" xfId="0" applyNumberFormat="1" applyFont="1" applyFill="1" applyProtection="1">
      <protection locked="0"/>
    </xf>
    <xf numFmtId="1" fontId="19" fillId="0" borderId="0" xfId="0" applyNumberFormat="1" applyFont="1" applyFill="1" applyBorder="1" applyAlignment="1"/>
    <xf numFmtId="42" fontId="36" fillId="0" borderId="0" xfId="0" applyNumberFormat="1" applyFont="1" applyFill="1" applyBorder="1" applyAlignment="1"/>
    <xf numFmtId="0" fontId="36" fillId="0" borderId="0" xfId="0" applyNumberFormat="1" applyFont="1" applyFill="1" applyAlignment="1">
      <alignment horizontal="left" indent="2"/>
    </xf>
    <xf numFmtId="10" fontId="19" fillId="0" borderId="0" xfId="0" applyNumberFormat="1" applyFont="1" applyFill="1" applyAlignment="1">
      <alignment horizontal="left"/>
    </xf>
    <xf numFmtId="42" fontId="19" fillId="0" borderId="0" xfId="0" applyNumberFormat="1" applyFont="1" applyAlignment="1">
      <alignment horizontal="right"/>
    </xf>
    <xf numFmtId="42" fontId="19" fillId="0" borderId="0" xfId="0" applyNumberFormat="1" applyFont="1" applyAlignment="1" applyProtection="1">
      <alignment horizontal="right"/>
      <protection locked="0"/>
    </xf>
    <xf numFmtId="170" fontId="19" fillId="0" borderId="0" xfId="0" applyNumberFormat="1" applyFont="1" applyFill="1" applyAlignment="1" applyProtection="1">
      <alignment vertical="center"/>
      <protection locked="0"/>
    </xf>
    <xf numFmtId="0" fontId="19" fillId="0" borderId="0" xfId="0" applyFont="1" applyFill="1" applyAlignment="1">
      <alignment horizontal="left" vertical="center"/>
    </xf>
    <xf numFmtId="37" fontId="19" fillId="0" borderId="0" xfId="0" applyNumberFormat="1" applyFont="1" applyFill="1"/>
    <xf numFmtId="9" fontId="19" fillId="0" borderId="0" xfId="0" applyNumberFormat="1" applyFont="1" applyFill="1" applyBorder="1"/>
    <xf numFmtId="1" fontId="19" fillId="0" borderId="0" xfId="0" quotePrefix="1" applyNumberFormat="1" applyFont="1" applyFill="1" applyBorder="1" applyAlignment="1">
      <alignment horizontal="left"/>
    </xf>
    <xf numFmtId="164" fontId="19" fillId="0" borderId="11" xfId="0" applyNumberFormat="1" applyFont="1" applyBorder="1" applyAlignment="1"/>
    <xf numFmtId="42" fontId="19" fillId="0" borderId="10" xfId="0" applyNumberFormat="1" applyFont="1" applyFill="1" applyBorder="1" applyAlignment="1"/>
    <xf numFmtId="0" fontId="24" fillId="0" borderId="0" xfId="0" applyFont="1" applyAlignment="1">
      <alignment horizontal="left" indent="1"/>
    </xf>
    <xf numFmtId="9" fontId="19" fillId="0" borderId="0" xfId="0" applyNumberFormat="1" applyFont="1" applyFill="1" applyAlignment="1">
      <alignment horizontal="center"/>
    </xf>
    <xf numFmtId="0" fontId="19" fillId="0" borderId="0" xfId="0" applyFont="1" applyFill="1" applyBorder="1" applyAlignment="1">
      <alignment horizontal="left" vertical="center"/>
    </xf>
    <xf numFmtId="164" fontId="19" fillId="0" borderId="0" xfId="0" applyNumberFormat="1" applyFont="1" applyFill="1"/>
    <xf numFmtId="0" fontId="19" fillId="0" borderId="0" xfId="0" applyFont="1" applyFill="1"/>
    <xf numFmtId="41" fontId="19" fillId="0" borderId="0" xfId="0" applyNumberFormat="1" applyFont="1" applyFill="1" applyBorder="1" applyAlignment="1">
      <alignment horizontal="fill"/>
    </xf>
    <xf numFmtId="43" fontId="19" fillId="0" borderId="0" xfId="0" applyNumberFormat="1" applyFont="1" applyFill="1" applyBorder="1" applyAlignment="1"/>
    <xf numFmtId="0" fontId="19" fillId="0" borderId="0" xfId="0" applyFont="1" applyFill="1" applyBorder="1" applyAlignment="1">
      <alignment horizontal="left"/>
    </xf>
    <xf numFmtId="165" fontId="19" fillId="0" borderId="13" xfId="0" applyNumberFormat="1" applyFont="1" applyFill="1" applyBorder="1" applyAlignment="1">
      <alignment horizontal="left"/>
    </xf>
    <xf numFmtId="166" fontId="19" fillId="0" borderId="0" xfId="0" applyNumberFormat="1" applyFont="1" applyFill="1" applyAlignment="1">
      <alignment horizontal="right"/>
    </xf>
    <xf numFmtId="175" fontId="19" fillId="0" borderId="0" xfId="0" applyNumberFormat="1" applyFont="1" applyFill="1" applyAlignment="1"/>
    <xf numFmtId="0" fontId="19" fillId="0" borderId="0" xfId="0" applyFont="1" applyAlignment="1">
      <alignment horizontal="left" indent="2"/>
    </xf>
    <xf numFmtId="164" fontId="19" fillId="0" borderId="0" xfId="0" applyNumberFormat="1" applyFont="1"/>
    <xf numFmtId="15" fontId="19" fillId="0" borderId="0" xfId="0" applyNumberFormat="1" applyFont="1" applyFill="1" applyBorder="1"/>
    <xf numFmtId="164" fontId="19" fillId="0" borderId="0" xfId="0" applyNumberFormat="1" applyFont="1" applyAlignment="1" applyProtection="1">
      <alignment horizontal="right"/>
      <protection locked="0"/>
    </xf>
    <xf numFmtId="42" fontId="19" fillId="0" borderId="0" xfId="0" applyNumberFormat="1" applyFont="1" applyFill="1"/>
    <xf numFmtId="0" fontId="19" fillId="0" borderId="0" xfId="0" applyFont="1" applyFill="1" applyBorder="1" applyAlignment="1"/>
    <xf numFmtId="164" fontId="19" fillId="0" borderId="13" xfId="0" applyNumberFormat="1" applyFont="1" applyBorder="1" applyAlignment="1" applyProtection="1">
      <alignment horizontal="right"/>
      <protection locked="0"/>
    </xf>
    <xf numFmtId="164" fontId="19" fillId="0" borderId="13" xfId="0" applyNumberFormat="1" applyFont="1" applyBorder="1"/>
    <xf numFmtId="164" fontId="19" fillId="0" borderId="13" xfId="0" applyNumberFormat="1" applyFont="1" applyFill="1" applyBorder="1"/>
    <xf numFmtId="37" fontId="19" fillId="0" borderId="0" xfId="0" applyNumberFormat="1" applyFont="1" applyFill="1" applyBorder="1" applyAlignment="1">
      <alignment horizontal="right"/>
    </xf>
    <xf numFmtId="41" fontId="18" fillId="0" borderId="15" xfId="0" applyNumberFormat="1" applyFont="1" applyBorder="1"/>
    <xf numFmtId="42" fontId="19" fillId="0" borderId="0" xfId="0" applyNumberFormat="1" applyFont="1" applyFill="1" applyBorder="1"/>
    <xf numFmtId="0" fontId="19" fillId="0" borderId="0" xfId="0" applyFont="1" applyFill="1" applyBorder="1"/>
    <xf numFmtId="164" fontId="19" fillId="0" borderId="0" xfId="0" applyNumberFormat="1" applyFont="1" applyFill="1" applyBorder="1" applyAlignment="1">
      <alignment horizontal="center"/>
    </xf>
    <xf numFmtId="41" fontId="19" fillId="0" borderId="11" xfId="0" applyNumberFormat="1" applyFont="1" applyFill="1" applyBorder="1" applyAlignment="1">
      <alignment horizontal="right"/>
    </xf>
    <xf numFmtId="41" fontId="19" fillId="0" borderId="0" xfId="0" applyNumberFormat="1" applyFont="1" applyFill="1" applyAlignment="1">
      <alignment horizontal="right"/>
    </xf>
    <xf numFmtId="0" fontId="20" fillId="0" borderId="0" xfId="0" applyNumberFormat="1" applyFont="1" applyFill="1" applyAlignment="1">
      <alignment horizontal="left" indent="1"/>
    </xf>
    <xf numFmtId="164" fontId="19" fillId="0" borderId="0" xfId="0" applyNumberFormat="1" applyFont="1" applyFill="1" applyBorder="1" applyAlignment="1" applyProtection="1">
      <protection locked="0"/>
    </xf>
    <xf numFmtId="164" fontId="19" fillId="0" borderId="0" xfId="0" applyNumberFormat="1" applyFont="1" applyFill="1" applyBorder="1" applyAlignment="1">
      <alignment horizontal="left"/>
    </xf>
    <xf numFmtId="164" fontId="18" fillId="0" borderId="0" xfId="0" applyNumberFormat="1" applyFont="1" applyBorder="1"/>
    <xf numFmtId="0" fontId="19" fillId="0" borderId="0" xfId="0" applyFont="1" applyFill="1" applyAlignment="1">
      <alignment horizontal="center" vertical="top"/>
    </xf>
    <xf numFmtId="0" fontId="20" fillId="0" borderId="0" xfId="0" applyFont="1" applyFill="1" applyBorder="1" applyAlignment="1">
      <alignment horizontal="left" vertical="top"/>
    </xf>
    <xf numFmtId="170" fontId="19" fillId="0" borderId="12" xfId="0" applyNumberFormat="1" applyFont="1" applyBorder="1"/>
    <xf numFmtId="9" fontId="19" fillId="0" borderId="0" xfId="0" quotePrefix="1" applyNumberFormat="1" applyFont="1" applyFill="1" applyBorder="1" applyAlignment="1">
      <alignment horizontal="center"/>
    </xf>
    <xf numFmtId="0" fontId="19" fillId="0" borderId="0" xfId="0" applyFont="1" applyFill="1" applyAlignment="1"/>
    <xf numFmtId="10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left" indent="1"/>
    </xf>
    <xf numFmtId="164" fontId="19" fillId="0" borderId="0" xfId="0" applyNumberFormat="1" applyFont="1" applyFill="1" applyBorder="1"/>
    <xf numFmtId="0" fontId="19" fillId="0" borderId="0" xfId="0" applyFont="1" applyAlignment="1">
      <alignment horizontal="center"/>
    </xf>
    <xf numFmtId="41" fontId="19" fillId="0" borderId="0" xfId="0" applyNumberFormat="1" applyFont="1" applyFill="1" applyBorder="1" applyAlignment="1">
      <alignment horizontal="center"/>
    </xf>
    <xf numFmtId="0" fontId="35" fillId="0" borderId="0" xfId="0" applyFont="1" applyFill="1" applyAlignment="1">
      <alignment horizontal="left"/>
    </xf>
    <xf numFmtId="37" fontId="19" fillId="0" borderId="0" xfId="0" applyNumberFormat="1" applyFont="1"/>
    <xf numFmtId="0" fontId="37" fillId="0" borderId="0" xfId="0" applyFont="1" applyFill="1" applyAlignment="1">
      <alignment horizontal="center"/>
    </xf>
    <xf numFmtId="42" fontId="19" fillId="0" borderId="12" xfId="0" applyNumberFormat="1" applyFont="1" applyBorder="1" applyAlignment="1">
      <alignment horizontal="right"/>
    </xf>
    <xf numFmtId="0" fontId="20" fillId="0" borderId="0" xfId="0" applyNumberFormat="1" applyFont="1" applyBorder="1" applyAlignment="1">
      <alignment horizontal="left"/>
    </xf>
    <xf numFmtId="41" fontId="19" fillId="0" borderId="0" xfId="0" applyNumberFormat="1" applyFont="1" applyFill="1" applyBorder="1"/>
    <xf numFmtId="3" fontId="19" fillId="0" borderId="0" xfId="0" applyNumberFormat="1" applyFont="1" applyFill="1" applyBorder="1" applyAlignment="1"/>
    <xf numFmtId="0" fontId="19" fillId="0" borderId="0" xfId="0" applyFont="1" applyFill="1" applyBorder="1" applyAlignment="1">
      <alignment horizontal="left" indent="1"/>
    </xf>
    <xf numFmtId="0" fontId="19" fillId="0" borderId="0" xfId="0" applyFont="1" applyFill="1" applyBorder="1" applyAlignment="1">
      <alignment horizontal="center"/>
    </xf>
    <xf numFmtId="42" fontId="27" fillId="0" borderId="10" xfId="0" applyNumberFormat="1" applyFont="1" applyBorder="1"/>
    <xf numFmtId="0" fontId="19" fillId="0" borderId="0" xfId="0" applyNumberFormat="1" applyFont="1" applyFill="1" applyAlignment="1">
      <alignment vertical="center"/>
    </xf>
    <xf numFmtId="0" fontId="20" fillId="0" borderId="0" xfId="0" quotePrefix="1" applyNumberFormat="1" applyFont="1" applyFill="1" applyAlignment="1"/>
    <xf numFmtId="41" fontId="18" fillId="0" borderId="13" xfId="0" applyNumberFormat="1" applyFont="1" applyBorder="1"/>
    <xf numFmtId="42" fontId="21" fillId="0" borderId="12" xfId="0" applyNumberFormat="1" applyFont="1" applyBorder="1"/>
    <xf numFmtId="164" fontId="19" fillId="0" borderId="0" xfId="0" applyNumberFormat="1" applyFont="1" applyFill="1" applyBorder="1" applyAlignment="1"/>
    <xf numFmtId="164" fontId="19" fillId="0" borderId="0" xfId="0" applyNumberFormat="1" applyFont="1" applyFill="1" applyBorder="1" applyAlignment="1">
      <alignment horizontal="left" indent="1"/>
    </xf>
    <xf numFmtId="164" fontId="38" fillId="0" borderId="0" xfId="0" applyNumberFormat="1" applyFont="1" applyFill="1" applyAlignment="1"/>
    <xf numFmtId="0" fontId="38" fillId="0" borderId="0" xfId="0" applyNumberFormat="1" applyFont="1" applyFill="1" applyAlignment="1"/>
    <xf numFmtId="41" fontId="19" fillId="0" borderId="13" xfId="0" applyNumberFormat="1" applyFont="1" applyFill="1" applyBorder="1" applyAlignment="1"/>
    <xf numFmtId="164" fontId="19" fillId="0" borderId="13" xfId="0" applyNumberFormat="1" applyFont="1" applyFill="1" applyBorder="1" applyProtection="1">
      <protection locked="0"/>
    </xf>
    <xf numFmtId="164" fontId="18" fillId="0" borderId="13" xfId="0" applyNumberFormat="1" applyFont="1" applyBorder="1"/>
    <xf numFmtId="0" fontId="19" fillId="0" borderId="0" xfId="0" quotePrefix="1" applyFont="1" applyFill="1" applyAlignment="1">
      <alignment horizontal="left"/>
    </xf>
    <xf numFmtId="165" fontId="19" fillId="0" borderId="0" xfId="0" quotePrefix="1" applyNumberFormat="1" applyFont="1" applyFill="1" applyAlignment="1">
      <alignment horizontal="left"/>
    </xf>
    <xf numFmtId="174" fontId="37" fillId="0" borderId="0" xfId="0" applyNumberFormat="1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164" fontId="19" fillId="0" borderId="0" xfId="0" applyNumberFormat="1" applyFont="1" applyAlignment="1">
      <alignment horizontal="right"/>
    </xf>
    <xf numFmtId="164" fontId="19" fillId="0" borderId="11" xfId="0" applyNumberFormat="1" applyFont="1" applyFill="1" applyBorder="1"/>
    <xf numFmtId="9" fontId="19" fillId="0" borderId="0" xfId="0" applyNumberFormat="1" applyFont="1" applyBorder="1" applyAlignment="1">
      <alignment horizontal="left"/>
    </xf>
    <xf numFmtId="42" fontId="19" fillId="0" borderId="0" xfId="0" applyNumberFormat="1" applyFont="1" applyFill="1" applyBorder="1" applyAlignment="1">
      <alignment horizontal="right"/>
    </xf>
    <xf numFmtId="176" fontId="19" fillId="0" borderId="0" xfId="0" applyNumberFormat="1" applyFont="1" applyFill="1" applyBorder="1" applyAlignment="1">
      <alignment horizontal="left"/>
    </xf>
    <xf numFmtId="41" fontId="27" fillId="0" borderId="11" xfId="0" applyNumberFormat="1" applyFont="1" applyBorder="1"/>
    <xf numFmtId="41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/>
    <xf numFmtId="17" fontId="19" fillId="0" borderId="0" xfId="0" applyNumberFormat="1" applyFont="1" applyFill="1" applyBorder="1" applyAlignment="1">
      <alignment horizontal="left"/>
    </xf>
    <xf numFmtId="164" fontId="19" fillId="0" borderId="0" xfId="0" quotePrefix="1" applyNumberFormat="1" applyFont="1" applyFill="1" applyBorder="1" applyAlignment="1">
      <alignment horizontal="left"/>
    </xf>
    <xf numFmtId="0" fontId="19" fillId="0" borderId="0" xfId="0" applyFont="1" applyFill="1" applyAlignment="1">
      <alignment horizontal="left" indent="2"/>
    </xf>
    <xf numFmtId="164" fontId="19" fillId="0" borderId="12" xfId="0" applyNumberFormat="1" applyFont="1" applyFill="1" applyBorder="1" applyAlignment="1">
      <alignment horizontal="center"/>
    </xf>
    <xf numFmtId="0" fontId="39" fillId="0" borderId="0" xfId="0" applyNumberFormat="1" applyFont="1" applyFill="1" applyAlignment="1">
      <alignment horizontal="center"/>
    </xf>
    <xf numFmtId="165" fontId="34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Protection="1">
      <protection locked="0"/>
    </xf>
    <xf numFmtId="15" fontId="19" fillId="0" borderId="0" xfId="0" applyNumberFormat="1" applyFont="1" applyFill="1" applyAlignment="1"/>
    <xf numFmtId="170" fontId="20" fillId="0" borderId="12" xfId="0" applyNumberFormat="1" applyFont="1" applyFill="1" applyBorder="1" applyAlignment="1"/>
    <xf numFmtId="9" fontId="19" fillId="0" borderId="0" xfId="0" applyNumberFormat="1" applyFont="1" applyFill="1" applyBorder="1" applyAlignment="1">
      <alignment horizontal="center"/>
    </xf>
    <xf numFmtId="41" fontId="27" fillId="0" borderId="13" xfId="0" applyNumberFormat="1" applyFont="1" applyBorder="1"/>
    <xf numFmtId="41" fontId="19" fillId="0" borderId="13" xfId="0" applyNumberFormat="1" applyFont="1" applyFill="1" applyBorder="1" applyAlignment="1">
      <alignment horizontal="center"/>
    </xf>
    <xf numFmtId="0" fontId="19" fillId="0" borderId="0" xfId="0" applyNumberFormat="1" applyFont="1" applyAlignment="1"/>
    <xf numFmtId="37" fontId="19" fillId="0" borderId="11" xfId="0" applyNumberFormat="1" applyFont="1" applyFill="1" applyBorder="1" applyAlignment="1">
      <alignment horizontal="right"/>
    </xf>
    <xf numFmtId="37" fontId="19" fillId="0" borderId="0" xfId="0" applyNumberFormat="1" applyFont="1" applyFill="1" applyAlignment="1">
      <alignment horizontal="right"/>
    </xf>
    <xf numFmtId="42" fontId="20" fillId="0" borderId="12" xfId="0" applyNumberFormat="1" applyFont="1" applyFill="1" applyBorder="1"/>
    <xf numFmtId="42" fontId="19" fillId="0" borderId="12" xfId="0" applyNumberFormat="1" applyFont="1" applyFill="1" applyBorder="1"/>
    <xf numFmtId="165" fontId="34" fillId="0" borderId="0" xfId="0" applyNumberFormat="1" applyFont="1" applyFill="1" applyAlignment="1"/>
    <xf numFmtId="41" fontId="18" fillId="0" borderId="0" xfId="0" applyNumberFormat="1" applyFont="1" applyBorder="1"/>
    <xf numFmtId="0" fontId="35" fillId="0" borderId="0" xfId="0" applyNumberFormat="1" applyFont="1" applyFill="1" applyAlignment="1">
      <alignment horizontal="left"/>
    </xf>
    <xf numFmtId="170" fontId="19" fillId="0" borderId="0" xfId="0" applyNumberFormat="1" applyFont="1" applyFill="1" applyBorder="1"/>
    <xf numFmtId="42" fontId="27" fillId="0" borderId="0" xfId="0" applyNumberFormat="1" applyFont="1" applyBorder="1"/>
    <xf numFmtId="37" fontId="19" fillId="0" borderId="0" xfId="0" applyNumberFormat="1" applyFont="1" applyFill="1" applyAlignment="1">
      <alignment horizontal="left"/>
    </xf>
    <xf numFmtId="41" fontId="19" fillId="0" borderId="0" xfId="0" applyNumberFormat="1" applyFont="1" applyFill="1"/>
    <xf numFmtId="0" fontId="34" fillId="0" borderId="0" xfId="0" applyFont="1"/>
    <xf numFmtId="174" fontId="19" fillId="0" borderId="0" xfId="0" applyNumberFormat="1" applyFont="1" applyFill="1" applyAlignment="1">
      <alignment horizontal="center"/>
    </xf>
    <xf numFmtId="0" fontId="19" fillId="0" borderId="11" xfId="0" applyFont="1" applyBorder="1"/>
    <xf numFmtId="0" fontId="19" fillId="0" borderId="0" xfId="0" applyNumberFormat="1" applyFont="1" applyAlignment="1">
      <alignment horizontal="left"/>
    </xf>
    <xf numFmtId="0" fontId="19" fillId="0" borderId="0" xfId="0" applyNumberFormat="1" applyFont="1" applyFill="1" applyBorder="1" applyAlignment="1" applyProtection="1">
      <protection locked="0"/>
    </xf>
    <xf numFmtId="41" fontId="27" fillId="0" borderId="0" xfId="0" applyNumberFormat="1" applyFont="1" applyAlignment="1"/>
    <xf numFmtId="41" fontId="27" fillId="0" borderId="0" xfId="0" applyNumberFormat="1" applyFont="1" applyFill="1" applyBorder="1" applyAlignment="1">
      <alignment horizontal="center"/>
    </xf>
    <xf numFmtId="49" fontId="19" fillId="0" borderId="0" xfId="0" applyNumberFormat="1" applyFont="1" applyBorder="1" applyAlignment="1">
      <alignment horizontal="left"/>
    </xf>
    <xf numFmtId="165" fontId="19" fillId="0" borderId="0" xfId="0" applyNumberFormat="1" applyFont="1" applyFill="1" applyAlignment="1">
      <alignment horizontal="left" indent="2"/>
    </xf>
    <xf numFmtId="41" fontId="19" fillId="0" borderId="0" xfId="0" applyNumberFormat="1" applyFont="1" applyFill="1" applyAlignment="1">
      <alignment horizontal="left" indent="1"/>
    </xf>
    <xf numFmtId="42" fontId="19" fillId="0" borderId="13" xfId="0" applyNumberFormat="1" applyFont="1" applyFill="1" applyBorder="1" applyAlignment="1"/>
    <xf numFmtId="10" fontId="19" fillId="0" borderId="0" xfId="0" applyNumberFormat="1" applyFont="1" applyFill="1" applyAlignment="1">
      <alignment horizontal="center"/>
    </xf>
    <xf numFmtId="170" fontId="19" fillId="0" borderId="11" xfId="0" applyNumberFormat="1" applyFont="1" applyFill="1" applyBorder="1" applyAlignment="1" applyProtection="1">
      <protection locked="0"/>
    </xf>
    <xf numFmtId="42" fontId="19" fillId="0" borderId="11" xfId="0" applyNumberFormat="1" applyFont="1" applyFill="1" applyBorder="1" applyAlignment="1" applyProtection="1">
      <protection locked="0"/>
    </xf>
    <xf numFmtId="41" fontId="19" fillId="0" borderId="0" xfId="0" applyNumberFormat="1" applyFont="1" applyFill="1" applyBorder="1" applyProtection="1">
      <protection locked="0"/>
    </xf>
    <xf numFmtId="41" fontId="19" fillId="0" borderId="11" xfId="0" applyNumberFormat="1" applyFont="1" applyFill="1" applyBorder="1" applyProtection="1">
      <protection locked="0"/>
    </xf>
    <xf numFmtId="42" fontId="19" fillId="0" borderId="11" xfId="0" applyNumberFormat="1" applyFont="1" applyFill="1" applyBorder="1"/>
    <xf numFmtId="176" fontId="19" fillId="0" borderId="11" xfId="0" quotePrefix="1" applyNumberFormat="1" applyFont="1" applyFill="1" applyBorder="1" applyAlignment="1">
      <alignment horizontal="left"/>
    </xf>
    <xf numFmtId="42" fontId="19" fillId="0" borderId="11" xfId="0" applyNumberFormat="1" applyFont="1" applyFill="1" applyBorder="1" applyAlignment="1"/>
    <xf numFmtId="42" fontId="20" fillId="0" borderId="12" xfId="0" applyNumberFormat="1" applyFont="1" applyFill="1" applyBorder="1" applyAlignment="1"/>
    <xf numFmtId="177" fontId="19" fillId="0" borderId="0" xfId="0" applyNumberFormat="1" applyFont="1" applyFill="1" applyAlignment="1">
      <alignment horizontal="right"/>
    </xf>
    <xf numFmtId="170" fontId="19" fillId="0" borderId="0" xfId="0" applyNumberFormat="1" applyFont="1" applyFill="1" applyBorder="1" applyAlignment="1"/>
    <xf numFmtId="165" fontId="34" fillId="0" borderId="0" xfId="0" applyNumberFormat="1" applyFont="1" applyFill="1" applyAlignment="1">
      <alignment horizontal="left"/>
    </xf>
    <xf numFmtId="42" fontId="19" fillId="0" borderId="11" xfId="0" applyNumberFormat="1" applyFont="1" applyFill="1" applyBorder="1" applyProtection="1">
      <protection locked="0"/>
    </xf>
    <xf numFmtId="174" fontId="19" fillId="0" borderId="11" xfId="0" applyNumberFormat="1" applyFont="1" applyBorder="1" applyAlignment="1" applyProtection="1">
      <alignment horizontal="right"/>
      <protection locked="0"/>
    </xf>
    <xf numFmtId="0" fontId="19" fillId="0" borderId="11" xfId="0" applyNumberFormat="1" applyFont="1" applyBorder="1" applyAlignment="1">
      <alignment horizontal="left"/>
    </xf>
    <xf numFmtId="42" fontId="19" fillId="0" borderId="0" xfId="0" applyNumberFormat="1" applyFont="1" applyFill="1" applyBorder="1" applyProtection="1">
      <protection locked="0"/>
    </xf>
    <xf numFmtId="167" fontId="19" fillId="0" borderId="0" xfId="0" applyNumberFormat="1" applyFont="1" applyFill="1" applyAlignment="1">
      <alignment horizontal="right"/>
    </xf>
    <xf numFmtId="170" fontId="19" fillId="0" borderId="0" xfId="0" applyNumberFormat="1" applyFont="1" applyFill="1"/>
    <xf numFmtId="41" fontId="19" fillId="0" borderId="0" xfId="0" applyNumberFormat="1" applyFont="1" applyFill="1" applyAlignment="1">
      <alignment horizontal="left"/>
    </xf>
    <xf numFmtId="10" fontId="35" fillId="0" borderId="0" xfId="0" applyNumberFormat="1" applyFont="1" applyFill="1" applyAlignment="1">
      <alignment horizontal="center"/>
    </xf>
    <xf numFmtId="10" fontId="35" fillId="0" borderId="0" xfId="0" applyNumberFormat="1" applyFont="1" applyFill="1" applyAlignment="1">
      <alignment horizontal="left"/>
    </xf>
    <xf numFmtId="165" fontId="35" fillId="0" borderId="0" xfId="0" applyNumberFormat="1" applyFont="1" applyAlignment="1">
      <alignment horizontal="left"/>
    </xf>
    <xf numFmtId="42" fontId="34" fillId="0" borderId="0" xfId="0" applyNumberFormat="1" applyFont="1" applyFill="1" applyBorder="1"/>
    <xf numFmtId="176" fontId="19" fillId="0" borderId="0" xfId="0" quotePrefix="1" applyNumberFormat="1" applyFont="1" applyFill="1" applyBorder="1" applyAlignment="1">
      <alignment horizontal="left"/>
    </xf>
    <xf numFmtId="41" fontId="19" fillId="0" borderId="0" xfId="0" applyNumberFormat="1" applyFont="1" applyFill="1" applyBorder="1" applyAlignment="1">
      <alignment horizontal="centerContinuous" vertical="center" wrapText="1"/>
    </xf>
    <xf numFmtId="0" fontId="20" fillId="0" borderId="0" xfId="0" applyNumberFormat="1" applyFont="1" applyFill="1" applyBorder="1" applyAlignment="1">
      <alignment horizontal="centerContinuous" vertical="center" wrapText="1"/>
    </xf>
    <xf numFmtId="0" fontId="39" fillId="0" borderId="0" xfId="0" applyNumberFormat="1" applyFont="1" applyFill="1" applyAlignment="1">
      <alignment horizontal="left"/>
    </xf>
    <xf numFmtId="165" fontId="35" fillId="0" borderId="0" xfId="0" applyNumberFormat="1" applyFont="1" applyFill="1" applyAlignment="1"/>
    <xf numFmtId="0" fontId="35" fillId="0" borderId="0" xfId="0" applyFont="1" applyFill="1"/>
    <xf numFmtId="42" fontId="19" fillId="0" borderId="0" xfId="0" applyNumberFormat="1" applyFont="1" applyAlignment="1">
      <alignment horizontal="left"/>
    </xf>
    <xf numFmtId="174" fontId="35" fillId="0" borderId="0" xfId="0" applyNumberFormat="1" applyFont="1" applyFill="1" applyBorder="1" applyAlignment="1"/>
    <xf numFmtId="41" fontId="19" fillId="0" borderId="0" xfId="0" applyNumberFormat="1" applyFont="1" applyFill="1" applyAlignment="1">
      <alignment horizontal="center"/>
    </xf>
    <xf numFmtId="0" fontId="39" fillId="0" borderId="0" xfId="0" applyNumberFormat="1" applyFont="1" applyFill="1" applyAlignment="1"/>
    <xf numFmtId="0" fontId="4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NumberFormat="1" applyFont="1" applyFill="1" applyBorder="1" applyAlignment="1"/>
    <xf numFmtId="0" fontId="19" fillId="0" borderId="0" xfId="0" applyNumberFormat="1" applyFont="1" applyFill="1" applyAlignment="1">
      <alignment horizontal="fill"/>
    </xf>
    <xf numFmtId="0" fontId="20" fillId="0" borderId="13" xfId="0" applyNumberFormat="1" applyFont="1" applyFill="1" applyBorder="1" applyAlignment="1" applyProtection="1">
      <alignment horizontal="center"/>
      <protection locked="0"/>
    </xf>
    <xf numFmtId="0" fontId="20" fillId="0" borderId="13" xfId="0" quotePrefix="1" applyFont="1" applyFill="1" applyBorder="1" applyAlignment="1" applyProtection="1">
      <alignment horizontal="center"/>
      <protection locked="0"/>
    </xf>
    <xf numFmtId="0" fontId="20" fillId="0" borderId="13" xfId="0" applyNumberFormat="1" applyFont="1" applyFill="1" applyBorder="1" applyAlignment="1">
      <alignment horizontal="left"/>
    </xf>
    <xf numFmtId="0" fontId="20" fillId="0" borderId="13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3" fillId="0" borderId="13" xfId="0" applyFont="1" applyBorder="1" applyAlignment="1">
      <alignment horizontal="center"/>
    </xf>
    <xf numFmtId="0" fontId="20" fillId="0" borderId="13" xfId="0" applyNumberFormat="1" applyFont="1" applyFill="1" applyBorder="1" applyAlignment="1" applyProtection="1">
      <protection locked="0"/>
    </xf>
    <xf numFmtId="0" fontId="20" fillId="0" borderId="13" xfId="0" applyFont="1" applyFill="1" applyBorder="1" applyAlignment="1" applyProtection="1">
      <protection locked="0"/>
    </xf>
    <xf numFmtId="0" fontId="20" fillId="0" borderId="13" xfId="0" quotePrefix="1" applyNumberFormat="1" applyFont="1" applyFill="1" applyBorder="1" applyAlignment="1">
      <alignment horizontal="center"/>
    </xf>
    <xf numFmtId="0" fontId="20" fillId="0" borderId="13" xfId="0" applyNumberFormat="1" applyFont="1" applyFill="1" applyBorder="1" applyAlignment="1"/>
    <xf numFmtId="0" fontId="20" fillId="0" borderId="13" xfId="0" applyFont="1" applyBorder="1" applyAlignment="1" applyProtection="1">
      <alignment horizontal="left" wrapText="1"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/>
    <xf numFmtId="0" fontId="20" fillId="0" borderId="0" xfId="0" applyNumberFormat="1" applyFont="1" applyFill="1" applyAlignment="1"/>
    <xf numFmtId="0" fontId="20" fillId="0" borderId="0" xfId="0" applyNumberFormat="1" applyFont="1" applyFill="1" applyBorder="1" applyAlignment="1" applyProtection="1">
      <protection locked="0"/>
    </xf>
    <xf numFmtId="0" fontId="20" fillId="0" borderId="0" xfId="0" applyFont="1" applyFill="1" applyAlignment="1"/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 applyProtection="1">
      <alignment horizontal="center"/>
      <protection locked="0"/>
    </xf>
    <xf numFmtId="0" fontId="20" fillId="0" borderId="0" xfId="0" applyNumberFormat="1" applyFont="1" applyFill="1" applyAlignment="1" applyProtection="1">
      <protection locked="0"/>
    </xf>
    <xf numFmtId="0" fontId="20" fillId="0" borderId="0" xfId="0" applyNumberFormat="1" applyFont="1" applyFill="1" applyBorder="1" applyAlignment="1">
      <alignment horizontal="centerContinuous"/>
    </xf>
    <xf numFmtId="0" fontId="20" fillId="0" borderId="0" xfId="0" applyFont="1" applyFill="1" applyBorder="1" applyAlignment="1" applyProtection="1">
      <protection locked="0"/>
    </xf>
    <xf numFmtId="0" fontId="20" fillId="0" borderId="0" xfId="0" applyFont="1" applyFill="1" applyAlignment="1" applyProtection="1">
      <alignment horizontal="left"/>
      <protection locked="0"/>
    </xf>
    <xf numFmtId="0" fontId="20" fillId="0" borderId="0" xfId="0" quotePrefix="1" applyNumberFormat="1" applyFont="1" applyFill="1" applyBorder="1" applyAlignment="1">
      <alignment horizontal="centerContinuous"/>
    </xf>
    <xf numFmtId="0" fontId="20" fillId="0" borderId="0" xfId="0" applyNumberFormat="1" applyFont="1" applyFill="1" applyAlignment="1" applyProtection="1">
      <alignment horizontal="centerContinuous"/>
      <protection locked="0"/>
    </xf>
    <xf numFmtId="178" fontId="20" fillId="0" borderId="30" xfId="0" applyNumberFormat="1" applyFont="1" applyFill="1" applyBorder="1" applyAlignment="1">
      <alignment horizontal="center"/>
    </xf>
    <xf numFmtId="179" fontId="20" fillId="0" borderId="30" xfId="0" applyNumberFormat="1" applyFont="1" applyFill="1" applyBorder="1" applyAlignment="1">
      <alignment horizontal="center"/>
    </xf>
    <xf numFmtId="0" fontId="33" fillId="0" borderId="0" xfId="0" applyNumberFormat="1" applyFont="1" applyFill="1" applyAlignment="1" applyProtection="1">
      <alignment horizontal="centerContinuous"/>
      <protection locked="0"/>
    </xf>
    <xf numFmtId="0" fontId="33" fillId="0" borderId="0" xfId="0" applyFont="1" applyAlignment="1">
      <alignment horizontal="centerContinuous"/>
    </xf>
    <xf numFmtId="0" fontId="33" fillId="0" borderId="0" xfId="0" applyNumberFormat="1" applyFont="1" applyFill="1" applyAlignment="1">
      <alignment horizontal="centerContinuous"/>
    </xf>
    <xf numFmtId="0" fontId="20" fillId="0" borderId="24" xfId="0" applyNumberFormat="1" applyFont="1" applyFill="1" applyBorder="1" applyAlignment="1">
      <alignment horizontal="right"/>
    </xf>
    <xf numFmtId="0" fontId="20" fillId="0" borderId="0" xfId="0" applyNumberFormat="1" applyFont="1" applyFill="1" applyAlignment="1">
      <alignment horizontal="right"/>
    </xf>
    <xf numFmtId="0" fontId="20" fillId="0" borderId="0" xfId="0" applyNumberFormat="1" applyFont="1" applyFill="1" applyBorder="1" applyAlignment="1">
      <alignment horizontal="right"/>
    </xf>
    <xf numFmtId="179" fontId="20" fillId="0" borderId="18" xfId="0" applyNumberFormat="1" applyFont="1" applyFill="1" applyBorder="1" applyAlignment="1">
      <alignment horizontal="right"/>
    </xf>
    <xf numFmtId="0" fontId="18" fillId="0" borderId="20" xfId="0" applyFont="1" applyBorder="1" applyAlignment="1">
      <alignment horizontal="right"/>
    </xf>
    <xf numFmtId="0" fontId="20" fillId="0" borderId="23" xfId="0" applyNumberFormat="1" applyFont="1" applyFill="1" applyBorder="1" applyAlignment="1">
      <alignment horizontal="right"/>
    </xf>
    <xf numFmtId="0" fontId="18" fillId="0" borderId="25" xfId="0" applyFont="1" applyBorder="1" applyAlignment="1">
      <alignment horizontal="right"/>
    </xf>
    <xf numFmtId="0" fontId="22" fillId="0" borderId="0" xfId="0" applyFont="1" applyFill="1" applyAlignment="1">
      <alignment horizontal="centerContinuous"/>
    </xf>
    <xf numFmtId="0" fontId="22" fillId="0" borderId="0" xfId="0" applyNumberFormat="1" applyFont="1" applyFill="1" applyAlignment="1">
      <alignment horizontal="centerContinuous"/>
    </xf>
    <xf numFmtId="170" fontId="19" fillId="0" borderId="10" xfId="0" applyNumberFormat="1" applyFont="1" applyFill="1" applyBorder="1"/>
    <xf numFmtId="37" fontId="19" fillId="0" borderId="0" xfId="0" applyNumberFormat="1" applyFont="1" applyFill="1" applyBorder="1"/>
    <xf numFmtId="3" fontId="19" fillId="0" borderId="0" xfId="0" applyNumberFormat="1" applyFont="1" applyFill="1" applyBorder="1"/>
    <xf numFmtId="37" fontId="19" fillId="0" borderId="13" xfId="0" applyNumberFormat="1" applyFont="1" applyFill="1" applyBorder="1"/>
    <xf numFmtId="9" fontId="19" fillId="0" borderId="0" xfId="0" applyNumberFormat="1" applyFont="1" applyFill="1"/>
    <xf numFmtId="164" fontId="19" fillId="0" borderId="0" xfId="0" applyNumberFormat="1" applyFont="1" applyFill="1" applyBorder="1" applyAlignment="1">
      <alignment horizontal="left" wrapText="1"/>
    </xf>
    <xf numFmtId="164" fontId="19" fillId="0" borderId="11" xfId="0" applyNumberFormat="1" applyFont="1" applyFill="1" applyBorder="1" applyAlignment="1">
      <alignment horizontal="left" wrapText="1"/>
    </xf>
    <xf numFmtId="164" fontId="19" fillId="0" borderId="0" xfId="0" applyNumberFormat="1" applyFont="1" applyFill="1" applyBorder="1" applyAlignment="1">
      <alignment horizontal="centerContinuous"/>
    </xf>
    <xf numFmtId="164" fontId="41" fillId="0" borderId="0" xfId="0" applyNumberFormat="1" applyFont="1" applyFill="1" applyBorder="1" applyAlignment="1">
      <alignment horizontal="centerContinuous"/>
    </xf>
    <xf numFmtId="164" fontId="29" fillId="0" borderId="0" xfId="0" applyNumberFormat="1" applyFont="1" applyFill="1" applyBorder="1" applyAlignment="1">
      <alignment horizontal="centerContinuous"/>
    </xf>
    <xf numFmtId="37" fontId="19" fillId="0" borderId="0" xfId="0" applyNumberFormat="1" applyFont="1" applyFill="1" applyAlignment="1">
      <alignment horizontal="left" indent="1"/>
    </xf>
    <xf numFmtId="0" fontId="35" fillId="0" borderId="0" xfId="0" applyFont="1" applyFill="1" applyBorder="1" applyAlignment="1">
      <alignment horizontal="left"/>
    </xf>
    <xf numFmtId="164" fontId="19" fillId="0" borderId="11" xfId="0" applyNumberFormat="1" applyFont="1" applyFill="1" applyBorder="1" applyAlignment="1"/>
    <xf numFmtId="164" fontId="19" fillId="0" borderId="0" xfId="0" applyNumberFormat="1" applyFont="1" applyFill="1" applyAlignment="1">
      <alignment horizontal="left" wrapText="1"/>
    </xf>
    <xf numFmtId="0" fontId="41" fillId="0" borderId="0" xfId="0" applyNumberFormat="1" applyFont="1" applyFill="1" applyBorder="1" applyAlignment="1"/>
    <xf numFmtId="170" fontId="19" fillId="0" borderId="11" xfId="0" applyNumberFormat="1" applyFont="1" applyFill="1" applyBorder="1"/>
    <xf numFmtId="164" fontId="34" fillId="0" borderId="11" xfId="0" applyNumberFormat="1" applyFont="1" applyFill="1" applyBorder="1" applyAlignment="1"/>
    <xf numFmtId="164" fontId="19" fillId="0" borderId="0" xfId="0" applyNumberFormat="1" applyFont="1" applyAlignment="1">
      <alignment horizontal="left" wrapText="1"/>
    </xf>
    <xf numFmtId="180" fontId="19" fillId="0" borderId="0" xfId="0" applyNumberFormat="1" applyFont="1" applyFill="1" applyBorder="1" applyAlignment="1">
      <alignment horizontal="center"/>
    </xf>
    <xf numFmtId="42" fontId="19" fillId="0" borderId="0" xfId="0" applyNumberFormat="1" applyFont="1" applyBorder="1"/>
    <xf numFmtId="42" fontId="19" fillId="0" borderId="0" xfId="0" applyNumberFormat="1" applyFont="1" applyFill="1" applyAlignment="1" applyProtection="1">
      <alignment horizontal="right"/>
      <protection locked="0"/>
    </xf>
    <xf numFmtId="0" fontId="19" fillId="0" borderId="11" xfId="0" applyNumberFormat="1" applyFont="1" applyFill="1" applyBorder="1" applyAlignment="1"/>
    <xf numFmtId="9" fontId="19" fillId="0" borderId="0" xfId="0" quotePrefix="1" applyNumberFormat="1" applyFont="1" applyFill="1" applyBorder="1" applyAlignment="1">
      <alignment horizontal="left"/>
    </xf>
    <xf numFmtId="164" fontId="34" fillId="0" borderId="0" xfId="0" applyNumberFormat="1" applyFont="1" applyFill="1" applyBorder="1" applyAlignment="1"/>
    <xf numFmtId="0" fontId="20" fillId="0" borderId="0" xfId="0" applyNumberFormat="1" applyFont="1" applyFill="1" applyBorder="1" applyAlignment="1">
      <alignment horizontal="left"/>
    </xf>
    <xf numFmtId="165" fontId="19" fillId="0" borderId="0" xfId="0" applyNumberFormat="1" applyFont="1" applyFill="1" applyAlignment="1">
      <alignment horizontal="left" indent="1"/>
    </xf>
    <xf numFmtId="0" fontId="19" fillId="0" borderId="0" xfId="0" applyFont="1" applyAlignment="1">
      <alignment horizontal="left" wrapText="1"/>
    </xf>
    <xf numFmtId="170" fontId="42" fillId="0" borderId="12" xfId="0" applyNumberFormat="1" applyFont="1" applyFill="1" applyBorder="1"/>
    <xf numFmtId="165" fontId="35" fillId="0" borderId="0" xfId="0" applyNumberFormat="1" applyFont="1" applyFill="1" applyAlignment="1">
      <alignment horizontal="left"/>
    </xf>
    <xf numFmtId="0" fontId="45" fillId="0" borderId="0" xfId="0" applyFont="1" applyFill="1"/>
    <xf numFmtId="170" fontId="20" fillId="0" borderId="0" xfId="0" applyNumberFormat="1" applyFont="1" applyBorder="1"/>
    <xf numFmtId="41" fontId="19" fillId="0" borderId="0" xfId="0" applyNumberFormat="1" applyFont="1" applyFill="1" applyAlignment="1" applyProtection="1">
      <alignment horizontal="right"/>
      <protection locked="0"/>
    </xf>
    <xf numFmtId="0" fontId="19" fillId="0" borderId="0" xfId="0" applyFont="1" applyFill="1" applyAlignment="1" applyProtection="1">
      <alignment horizontal="left"/>
      <protection locked="0"/>
    </xf>
    <xf numFmtId="41" fontId="19" fillId="0" borderId="11" xfId="0" applyNumberFormat="1" applyFont="1" applyFill="1" applyBorder="1" applyAlignment="1" applyProtection="1">
      <alignment horizontal="right"/>
      <protection locked="0"/>
    </xf>
    <xf numFmtId="181" fontId="19" fillId="0" borderId="0" xfId="0" applyNumberFormat="1" applyFont="1" applyFill="1" applyAlignment="1">
      <alignment horizontal="left"/>
    </xf>
    <xf numFmtId="41" fontId="19" fillId="0" borderId="0" xfId="0" applyNumberFormat="1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20" fillId="0" borderId="0" xfId="0" quotePrefix="1" applyNumberFormat="1" applyFont="1" applyFill="1" applyBorder="1" applyAlignment="1" applyProtection="1">
      <alignment horizontal="center"/>
      <protection locked="0"/>
    </xf>
    <xf numFmtId="42" fontId="19" fillId="0" borderId="0" xfId="0" applyNumberFormat="1" applyFont="1" applyFill="1" applyAlignment="1">
      <alignment horizontal="left" wrapText="1"/>
    </xf>
    <xf numFmtId="42" fontId="19" fillId="0" borderId="0" xfId="0" applyNumberFormat="1" applyFont="1" applyAlignment="1">
      <alignment horizontal="left" wrapText="1"/>
    </xf>
    <xf numFmtId="0" fontId="45" fillId="0" borderId="0" xfId="0" applyNumberFormat="1" applyFont="1" applyAlignment="1"/>
    <xf numFmtId="42" fontId="18" fillId="0" borderId="0" xfId="0" applyNumberFormat="1" applyFont="1" applyBorder="1"/>
    <xf numFmtId="174" fontId="19" fillId="0" borderId="0" xfId="0" applyNumberFormat="1" applyFont="1" applyFill="1" applyBorder="1" applyAlignment="1" applyProtection="1">
      <alignment horizontal="left"/>
      <protection locked="0"/>
    </xf>
    <xf numFmtId="42" fontId="34" fillId="0" borderId="0" xfId="0" applyNumberFormat="1" applyFont="1" applyFill="1" applyBorder="1" applyAlignment="1"/>
    <xf numFmtId="0" fontId="24" fillId="0" borderId="0" xfId="0" applyFont="1" applyAlignment="1">
      <alignment horizontal="left" wrapText="1"/>
    </xf>
    <xf numFmtId="0" fontId="21" fillId="0" borderId="13" xfId="0" applyFont="1" applyFill="1" applyBorder="1" applyAlignment="1">
      <alignment horizontal="center"/>
    </xf>
    <xf numFmtId="165" fontId="20" fillId="0" borderId="13" xfId="0" applyNumberFormat="1" applyFont="1" applyFill="1" applyBorder="1" applyAlignment="1">
      <alignment horizontal="left"/>
    </xf>
    <xf numFmtId="165" fontId="20" fillId="0" borderId="13" xfId="0" applyNumberFormat="1" applyFont="1" applyFill="1" applyBorder="1" applyAlignment="1">
      <alignment horizontal="center"/>
    </xf>
    <xf numFmtId="165" fontId="20" fillId="0" borderId="0" xfId="0" applyNumberFormat="1" applyFont="1" applyFill="1" applyAlignment="1">
      <alignment horizontal="left"/>
    </xf>
    <xf numFmtId="165" fontId="20" fillId="0" borderId="0" xfId="0" applyNumberFormat="1" applyFont="1" applyFill="1" applyAlignment="1">
      <alignment horizontal="center"/>
    </xf>
    <xf numFmtId="165" fontId="20" fillId="0" borderId="0" xfId="0" applyNumberFormat="1" applyFont="1" applyFill="1" applyAlignment="1" applyProtection="1">
      <alignment horizontal="left"/>
      <protection locked="0"/>
    </xf>
    <xf numFmtId="165" fontId="20" fillId="0" borderId="0" xfId="0" applyNumberFormat="1" applyFont="1" applyFill="1" applyAlignment="1" applyProtection="1">
      <alignment horizontal="centerContinuous"/>
      <protection locked="0"/>
    </xf>
    <xf numFmtId="179" fontId="20" fillId="0" borderId="0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centerContinuous"/>
    </xf>
    <xf numFmtId="0" fontId="29" fillId="0" borderId="0" xfId="0" applyFont="1" applyAlignment="1">
      <alignment horizontal="centerContinuous"/>
    </xf>
    <xf numFmtId="0" fontId="29" fillId="0" borderId="0" xfId="0" applyFont="1" applyFill="1" applyAlignment="1">
      <alignment horizontal="centerContinuous"/>
    </xf>
    <xf numFmtId="0" fontId="29" fillId="0" borderId="0" xfId="0" applyFont="1" applyFill="1"/>
    <xf numFmtId="0" fontId="18" fillId="0" borderId="20" xfId="0" applyFont="1" applyFill="1" applyBorder="1" applyAlignment="1">
      <alignment horizontal="right"/>
    </xf>
    <xf numFmtId="0" fontId="18" fillId="0" borderId="25" xfId="0" applyFont="1" applyFill="1" applyBorder="1" applyAlignment="1">
      <alignment horizontal="right"/>
    </xf>
    <xf numFmtId="9" fontId="0" fillId="0" borderId="0" xfId="0" applyNumberFormat="1" applyFont="1"/>
    <xf numFmtId="182" fontId="24" fillId="0" borderId="0" xfId="0" applyNumberFormat="1" applyFont="1"/>
    <xf numFmtId="42" fontId="24" fillId="0" borderId="10" xfId="0" applyNumberFormat="1" applyFont="1" applyFill="1" applyBorder="1"/>
    <xf numFmtId="41" fontId="24" fillId="0" borderId="11" xfId="0" applyNumberFormat="1" applyFont="1" applyFill="1" applyBorder="1"/>
    <xf numFmtId="41" fontId="24" fillId="0" borderId="0" xfId="0" applyNumberFormat="1" applyFont="1" applyFill="1"/>
    <xf numFmtId="41" fontId="24" fillId="0" borderId="0" xfId="0" applyNumberFormat="1" applyFont="1"/>
    <xf numFmtId="41" fontId="24" fillId="0" borderId="11" xfId="0" applyNumberFormat="1" applyFont="1" applyBorder="1"/>
    <xf numFmtId="0" fontId="24" fillId="0" borderId="11" xfId="0" applyFont="1" applyBorder="1"/>
    <xf numFmtId="164" fontId="24" fillId="0" borderId="11" xfId="0" applyNumberFormat="1" applyFont="1" applyBorder="1"/>
    <xf numFmtId="0" fontId="34" fillId="0" borderId="0" xfId="0" applyNumberFormat="1" applyFont="1" applyFill="1" applyAlignment="1">
      <alignment horizontal="center"/>
    </xf>
    <xf numFmtId="0" fontId="24" fillId="0" borderId="0" xfId="0" applyNumberFormat="1" applyFont="1" applyAlignment="1"/>
    <xf numFmtId="165" fontId="24" fillId="0" borderId="0" xfId="0" applyNumberFormat="1" applyFont="1" applyFill="1" applyAlignment="1"/>
    <xf numFmtId="0" fontId="24" fillId="0" borderId="0" xfId="0" applyNumberFormat="1" applyFont="1" applyFill="1" applyAlignment="1"/>
    <xf numFmtId="41" fontId="34" fillId="0" borderId="0" xfId="0" applyNumberFormat="1" applyFont="1" applyFill="1" applyBorder="1" applyAlignment="1"/>
    <xf numFmtId="0" fontId="34" fillId="0" borderId="0" xfId="0" applyNumberFormat="1" applyFont="1" applyFill="1" applyAlignment="1"/>
    <xf numFmtId="165" fontId="40" fillId="0" borderId="12" xfId="0" applyNumberFormat="1" applyFont="1" applyFill="1" applyBorder="1" applyAlignment="1" applyProtection="1">
      <protection locked="0"/>
    </xf>
    <xf numFmtId="0" fontId="34" fillId="0" borderId="0" xfId="0" applyNumberFormat="1" applyFont="1" applyFill="1" applyAlignment="1">
      <alignment horizontal="left"/>
    </xf>
    <xf numFmtId="166" fontId="24" fillId="0" borderId="13" xfId="0" applyNumberFormat="1" applyFont="1" applyFill="1" applyBorder="1"/>
    <xf numFmtId="9" fontId="34" fillId="0" borderId="0" xfId="0" applyNumberFormat="1" applyFont="1" applyFill="1" applyAlignment="1"/>
    <xf numFmtId="10" fontId="24" fillId="0" borderId="11" xfId="0" applyNumberFormat="1" applyFont="1" applyBorder="1"/>
    <xf numFmtId="10" fontId="24" fillId="0" borderId="0" xfId="0" applyNumberFormat="1" applyFont="1"/>
    <xf numFmtId="165" fontId="34" fillId="0" borderId="0" xfId="0" applyNumberFormat="1" applyFont="1" applyFill="1" applyBorder="1" applyAlignment="1"/>
    <xf numFmtId="165" fontId="34" fillId="0" borderId="13" xfId="0" applyNumberFormat="1" applyFont="1" applyFill="1" applyBorder="1" applyAlignment="1"/>
    <xf numFmtId="167" fontId="34" fillId="0" borderId="0" xfId="0" applyNumberFormat="1" applyFont="1" applyFill="1" applyAlignment="1"/>
    <xf numFmtId="10" fontId="24" fillId="0" borderId="0" xfId="0" applyNumberFormat="1" applyFont="1" applyFill="1"/>
    <xf numFmtId="42" fontId="24" fillId="0" borderId="0" xfId="0" applyNumberFormat="1" applyFont="1"/>
    <xf numFmtId="0" fontId="24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32" fillId="0" borderId="0" xfId="0" applyFont="1" applyAlignment="1">
      <alignment horizontal="centerContinuous"/>
    </xf>
    <xf numFmtId="0" fontId="25" fillId="0" borderId="0" xfId="0" applyFont="1"/>
    <xf numFmtId="10" fontId="25" fillId="0" borderId="0" xfId="0" applyNumberFormat="1" applyFont="1"/>
    <xf numFmtId="42" fontId="24" fillId="0" borderId="12" xfId="0" applyNumberFormat="1" applyFont="1" applyFill="1" applyBorder="1"/>
    <xf numFmtId="41" fontId="34" fillId="0" borderId="0" xfId="0" applyNumberFormat="1" applyFont="1" applyFill="1" applyAlignment="1" applyProtection="1">
      <protection locked="0"/>
    </xf>
    <xf numFmtId="169" fontId="47" fillId="0" borderId="0" xfId="0" applyNumberFormat="1" applyFont="1" applyFill="1" applyAlignment="1" applyProtection="1">
      <alignment horizontal="left"/>
    </xf>
    <xf numFmtId="10" fontId="34" fillId="0" borderId="0" xfId="0" applyNumberFormat="1" applyFont="1" applyFill="1" applyAlignment="1" applyProtection="1">
      <protection locked="0"/>
    </xf>
    <xf numFmtId="42" fontId="34" fillId="0" borderId="10" xfId="0" applyNumberFormat="1" applyFont="1" applyFill="1" applyBorder="1" applyAlignment="1" applyProtection="1">
      <protection locked="0"/>
    </xf>
    <xf numFmtId="164" fontId="34" fillId="0" borderId="0" xfId="0" applyNumberFormat="1" applyFont="1" applyFill="1" applyAlignment="1" applyProtection="1">
      <protection locked="0"/>
    </xf>
    <xf numFmtId="0" fontId="34" fillId="0" borderId="0" xfId="0" quotePrefix="1" applyNumberFormat="1" applyFont="1" applyFill="1" applyAlignment="1">
      <alignment horizontal="left"/>
    </xf>
    <xf numFmtId="168" fontId="34" fillId="0" borderId="0" xfId="0" applyNumberFormat="1" applyFont="1" applyFill="1" applyAlignment="1"/>
    <xf numFmtId="42" fontId="34" fillId="0" borderId="0" xfId="0" applyNumberFormat="1" applyFont="1" applyFill="1" applyAlignment="1" applyProtection="1">
      <protection locked="0"/>
    </xf>
    <xf numFmtId="0" fontId="40" fillId="0" borderId="0" xfId="0" applyNumberFormat="1" applyFont="1" applyFill="1" applyBorder="1" applyAlignment="1">
      <alignment horizontal="center"/>
    </xf>
    <xf numFmtId="0" fontId="40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41" fontId="34" fillId="0" borderId="11" xfId="0" applyNumberFormat="1" applyFont="1" applyFill="1" applyBorder="1" applyAlignment="1"/>
    <xf numFmtId="42" fontId="40" fillId="0" borderId="0" xfId="0" applyNumberFormat="1" applyFont="1" applyFill="1" applyBorder="1" applyAlignment="1"/>
    <xf numFmtId="168" fontId="34" fillId="0" borderId="11" xfId="0" applyNumberFormat="1" applyFont="1" applyFill="1" applyBorder="1" applyAlignment="1" applyProtection="1">
      <protection locked="0"/>
    </xf>
    <xf numFmtId="43" fontId="24" fillId="0" borderId="0" xfId="0" applyNumberFormat="1" applyFont="1" applyFill="1"/>
    <xf numFmtId="164" fontId="24" fillId="0" borderId="28" xfId="0" applyNumberFormat="1" applyFont="1" applyFill="1" applyBorder="1"/>
    <xf numFmtId="41" fontId="34" fillId="0" borderId="29" xfId="0" applyNumberFormat="1" applyFont="1" applyFill="1" applyBorder="1" applyAlignment="1" applyProtection="1">
      <protection locked="0"/>
    </xf>
    <xf numFmtId="0" fontId="25" fillId="0" borderId="29" xfId="0" applyFont="1" applyFill="1" applyBorder="1"/>
    <xf numFmtId="0" fontId="25" fillId="0" borderId="0" xfId="0" applyFont="1" applyFill="1"/>
    <xf numFmtId="10" fontId="25" fillId="0" borderId="29" xfId="0" applyNumberFormat="1" applyFont="1" applyFill="1" applyBorder="1"/>
    <xf numFmtId="10" fontId="25" fillId="0" borderId="0" xfId="0" applyNumberFormat="1" applyFont="1" applyFill="1"/>
    <xf numFmtId="0" fontId="24" fillId="0" borderId="29" xfId="0" applyFont="1" applyFill="1" applyBorder="1"/>
    <xf numFmtId="168" fontId="24" fillId="0" borderId="0" xfId="0" applyNumberFormat="1" applyFont="1" applyFill="1"/>
    <xf numFmtId="42" fontId="24" fillId="0" borderId="29" xfId="0" applyNumberFormat="1" applyFont="1" applyFill="1" applyBorder="1"/>
    <xf numFmtId="10" fontId="34" fillId="0" borderId="29" xfId="0" applyNumberFormat="1" applyFont="1" applyFill="1" applyBorder="1" applyAlignment="1" applyProtection="1">
      <protection locked="0"/>
    </xf>
    <xf numFmtId="0" fontId="32" fillId="0" borderId="0" xfId="0" applyNumberFormat="1" applyFont="1" applyFill="1" applyAlignment="1">
      <alignment horizontal="right"/>
    </xf>
    <xf numFmtId="42" fontId="34" fillId="0" borderId="32" xfId="0" applyNumberFormat="1" applyFont="1" applyFill="1" applyBorder="1" applyAlignment="1" applyProtection="1">
      <protection locked="0"/>
    </xf>
    <xf numFmtId="0" fontId="24" fillId="0" borderId="33" xfId="0" applyFont="1" applyFill="1" applyBorder="1"/>
    <xf numFmtId="9" fontId="24" fillId="0" borderId="11" xfId="0" applyNumberFormat="1" applyFont="1" applyFill="1" applyBorder="1"/>
    <xf numFmtId="170" fontId="24" fillId="0" borderId="33" xfId="0" applyNumberFormat="1" applyFont="1" applyFill="1" applyBorder="1"/>
    <xf numFmtId="0" fontId="23" fillId="0" borderId="0" xfId="0" applyFont="1" applyFill="1"/>
    <xf numFmtId="164" fontId="24" fillId="0" borderId="0" xfId="0" applyNumberFormat="1" applyFont="1" applyFill="1" applyBorder="1"/>
    <xf numFmtId="168" fontId="24" fillId="0" borderId="0" xfId="0" applyNumberFormat="1" applyFont="1" applyFill="1" applyBorder="1"/>
    <xf numFmtId="164" fontId="24" fillId="0" borderId="33" xfId="0" applyNumberFormat="1" applyFont="1" applyFill="1" applyBorder="1"/>
    <xf numFmtId="42" fontId="34" fillId="0" borderId="29" xfId="0" applyNumberFormat="1" applyFont="1" applyFill="1" applyBorder="1" applyAlignment="1" applyProtection="1">
      <protection locked="0"/>
    </xf>
    <xf numFmtId="0" fontId="24" fillId="0" borderId="29" xfId="0" applyFont="1" applyFill="1" applyBorder="1" applyAlignment="1">
      <alignment horizontal="center"/>
    </xf>
    <xf numFmtId="0" fontId="40" fillId="0" borderId="29" xfId="0" applyNumberFormat="1" applyFont="1" applyFill="1" applyBorder="1" applyAlignment="1">
      <alignment horizontal="center"/>
    </xf>
    <xf numFmtId="0" fontId="40" fillId="0" borderId="0" xfId="0" quotePrefix="1" applyNumberFormat="1" applyFont="1" applyFill="1" applyAlignment="1">
      <alignment horizontal="center"/>
    </xf>
    <xf numFmtId="0" fontId="40" fillId="0" borderId="0" xfId="0" applyNumberFormat="1" applyFont="1" applyFill="1" applyAlignment="1">
      <alignment horizontal="center" wrapText="1"/>
    </xf>
    <xf numFmtId="0" fontId="40" fillId="0" borderId="0" xfId="0" applyNumberFormat="1" applyFont="1" applyFill="1" applyAlignment="1" applyProtection="1">
      <alignment horizontal="center"/>
      <protection locked="0"/>
    </xf>
    <xf numFmtId="0" fontId="40" fillId="0" borderId="33" xfId="0" applyNumberFormat="1" applyFont="1" applyFill="1" applyBorder="1" applyAlignment="1">
      <alignment horizontal="center"/>
    </xf>
    <xf numFmtId="183" fontId="32" fillId="0" borderId="0" xfId="0" applyNumberFormat="1" applyFont="1" applyFill="1" applyAlignment="1" applyProtection="1">
      <alignment horizontal="center"/>
      <protection locked="0"/>
    </xf>
    <xf numFmtId="0" fontId="32" fillId="0" borderId="33" xfId="0" applyNumberFormat="1" applyFont="1" applyFill="1" applyBorder="1" applyAlignment="1">
      <alignment horizontal="center"/>
    </xf>
    <xf numFmtId="184" fontId="32" fillId="0" borderId="0" xfId="0" applyNumberFormat="1" applyFont="1" applyFill="1" applyAlignment="1" applyProtection="1">
      <alignment horizontal="center"/>
      <protection locked="0"/>
    </xf>
    <xf numFmtId="0" fontId="48" fillId="0" borderId="0" xfId="0" applyFont="1" applyFill="1" applyAlignment="1">
      <alignment horizontal="center"/>
    </xf>
    <xf numFmtId="0" fontId="48" fillId="0" borderId="0" xfId="0" applyFont="1" applyFill="1"/>
    <xf numFmtId="0" fontId="49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 wrapText="1"/>
    </xf>
    <xf numFmtId="1" fontId="19" fillId="0" borderId="0" xfId="0" applyNumberFormat="1" applyFont="1" applyFill="1" applyAlignment="1">
      <alignment horizontal="left" wrapText="1"/>
    </xf>
    <xf numFmtId="1" fontId="19" fillId="0" borderId="0" xfId="0" applyNumberFormat="1" applyFont="1" applyFill="1" applyBorder="1" applyAlignment="1">
      <alignment horizontal="center"/>
    </xf>
    <xf numFmtId="1" fontId="19" fillId="0" borderId="0" xfId="0" applyNumberFormat="1" applyFont="1" applyFill="1" applyAlignment="1">
      <alignment horizontal="center"/>
    </xf>
    <xf numFmtId="3" fontId="19" fillId="0" borderId="0" xfId="0" applyNumberFormat="1" applyFont="1" applyFill="1" applyAlignment="1">
      <alignment horizontal="left" wrapText="1"/>
    </xf>
    <xf numFmtId="3" fontId="19" fillId="0" borderId="0" xfId="0" applyNumberFormat="1" applyFont="1" applyFill="1" applyBorder="1" applyAlignment="1">
      <alignment horizontal="left" wrapText="1"/>
    </xf>
    <xf numFmtId="0" fontId="24" fillId="0" borderId="0" xfId="0" applyFont="1" applyAlignment="1"/>
    <xf numFmtId="174" fontId="19" fillId="0" borderId="0" xfId="0" applyNumberFormat="1" applyFont="1" applyFill="1" applyBorder="1" applyAlignment="1" applyProtection="1">
      <protection locked="0"/>
    </xf>
    <xf numFmtId="185" fontId="19" fillId="0" borderId="0" xfId="0" applyNumberFormat="1" applyFont="1" applyFill="1" applyAlignment="1"/>
    <xf numFmtId="43" fontId="19" fillId="0" borderId="11" xfId="0" applyNumberFormat="1" applyFont="1" applyFill="1" applyBorder="1" applyAlignment="1"/>
    <xf numFmtId="0" fontId="37" fillId="0" borderId="0" xfId="0" applyNumberFormat="1" applyFont="1" applyFill="1" applyAlignment="1"/>
    <xf numFmtId="174" fontId="19" fillId="0" borderId="13" xfId="0" applyNumberFormat="1" applyFont="1" applyFill="1" applyBorder="1" applyAlignment="1" applyProtection="1">
      <protection locked="0"/>
    </xf>
    <xf numFmtId="186" fontId="19" fillId="0" borderId="0" xfId="0" applyNumberFormat="1" applyFont="1" applyFill="1" applyBorder="1" applyAlignment="1" applyProtection="1">
      <protection locked="0"/>
    </xf>
    <xf numFmtId="187" fontId="19" fillId="0" borderId="0" xfId="0" applyNumberFormat="1" applyFont="1" applyFill="1" applyAlignment="1">
      <alignment horizontal="right"/>
    </xf>
    <xf numFmtId="0" fontId="24" fillId="0" borderId="0" xfId="0" applyFont="1" applyAlignment="1">
      <alignment horizontal="center"/>
    </xf>
    <xf numFmtId="9" fontId="24" fillId="0" borderId="0" xfId="0" applyNumberFormat="1" applyFont="1"/>
    <xf numFmtId="0" fontId="24" fillId="0" borderId="0" xfId="0" applyFont="1" applyFill="1" applyAlignment="1"/>
    <xf numFmtId="170" fontId="19" fillId="0" borderId="11" xfId="0" applyNumberFormat="1" applyFont="1" applyFill="1" applyBorder="1" applyAlignment="1"/>
    <xf numFmtId="165" fontId="19" fillId="0" borderId="0" xfId="0" applyNumberFormat="1" applyFont="1" applyFill="1" applyAlignment="1"/>
    <xf numFmtId="41" fontId="19" fillId="0" borderId="0" xfId="0" applyNumberFormat="1" applyFont="1" applyAlignment="1"/>
    <xf numFmtId="170" fontId="19" fillId="0" borderId="13" xfId="0" applyNumberFormat="1" applyFont="1" applyFill="1" applyBorder="1" applyAlignment="1">
      <alignment horizontal="center" vertical="center"/>
    </xf>
    <xf numFmtId="165" fontId="19" fillId="0" borderId="0" xfId="0" applyNumberFormat="1" applyFont="1" applyFill="1" applyAlignment="1">
      <alignment horizontal="left" indent="1"/>
    </xf>
    <xf numFmtId="170" fontId="19" fillId="0" borderId="0" xfId="0" applyNumberFormat="1" applyFont="1" applyFill="1" applyBorder="1" applyAlignment="1">
      <alignment horizontal="center" vertical="center"/>
    </xf>
    <xf numFmtId="0" fontId="34" fillId="0" borderId="0" xfId="0" applyFont="1" applyBorder="1"/>
    <xf numFmtId="174" fontId="35" fillId="0" borderId="0" xfId="0" applyNumberFormat="1" applyFont="1" applyFill="1" applyBorder="1" applyAlignment="1" applyProtection="1">
      <protection locked="0"/>
    </xf>
    <xf numFmtId="165" fontId="20" fillId="0" borderId="0" xfId="0" applyNumberFormat="1" applyFont="1" applyFill="1" applyAlignment="1"/>
    <xf numFmtId="0" fontId="34" fillId="0" borderId="0" xfId="0" applyFont="1" applyFill="1" applyAlignment="1">
      <alignment horizontal="center"/>
    </xf>
    <xf numFmtId="0" fontId="24" fillId="0" borderId="0" xfId="0" applyFont="1" applyBorder="1"/>
    <xf numFmtId="188" fontId="19" fillId="0" borderId="0" xfId="0" applyNumberFormat="1" applyFont="1" applyFill="1" applyBorder="1" applyAlignment="1">
      <alignment horizontal="right" wrapText="1"/>
    </xf>
    <xf numFmtId="164" fontId="24" fillId="0" borderId="12" xfId="0" applyNumberFormat="1" applyFont="1" applyFill="1" applyBorder="1"/>
    <xf numFmtId="188" fontId="19" fillId="0" borderId="0" xfId="0" applyNumberFormat="1" applyFont="1" applyFill="1" applyBorder="1" applyAlignment="1">
      <alignment horizontal="left" wrapText="1"/>
    </xf>
    <xf numFmtId="165" fontId="19" fillId="0" borderId="13" xfId="0" quotePrefix="1" applyNumberFormat="1" applyFont="1" applyFill="1" applyBorder="1" applyAlignment="1">
      <alignment horizontal="left"/>
    </xf>
    <xf numFmtId="0" fontId="19" fillId="0" borderId="11" xfId="0" applyFont="1" applyFill="1" applyBorder="1" applyAlignment="1"/>
    <xf numFmtId="1" fontId="34" fillId="0" borderId="0" xfId="0" applyNumberFormat="1" applyFont="1" applyFill="1" applyBorder="1" applyAlignment="1"/>
    <xf numFmtId="0" fontId="19" fillId="0" borderId="0" xfId="0" applyNumberFormat="1" applyFont="1" applyFill="1" applyBorder="1" applyAlignment="1">
      <alignment horizontal="left" indent="1"/>
    </xf>
    <xf numFmtId="0" fontId="19" fillId="0" borderId="0" xfId="0" applyNumberFormat="1" applyFont="1" applyFill="1" applyBorder="1" applyAlignment="1">
      <alignment horizontal="left" indent="1"/>
    </xf>
    <xf numFmtId="1" fontId="34" fillId="0" borderId="0" xfId="0" quotePrefix="1" applyNumberFormat="1" applyFont="1" applyFill="1" applyBorder="1" applyAlignment="1">
      <alignment horizontal="left"/>
    </xf>
    <xf numFmtId="43" fontId="24" fillId="0" borderId="0" xfId="0" applyNumberFormat="1" applyFont="1"/>
    <xf numFmtId="41" fontId="19" fillId="0" borderId="13" xfId="0" applyNumberFormat="1" applyFont="1" applyFill="1" applyBorder="1" applyAlignment="1">
      <alignment horizontal="center" vertical="center"/>
    </xf>
    <xf numFmtId="41" fontId="34" fillId="0" borderId="0" xfId="0" applyNumberFormat="1" applyFont="1" applyFill="1" applyBorder="1" applyAlignment="1">
      <alignment horizontal="fill"/>
    </xf>
    <xf numFmtId="43" fontId="34" fillId="0" borderId="0" xfId="0" applyNumberFormat="1" applyFont="1" applyFill="1" applyBorder="1" applyAlignment="1"/>
    <xf numFmtId="9" fontId="34" fillId="0" borderId="0" xfId="0" applyNumberFormat="1" applyFont="1" applyFill="1" applyBorder="1" applyAlignment="1"/>
    <xf numFmtId="0" fontId="34" fillId="0" borderId="0" xfId="0" applyFont="1" applyFill="1" applyBorder="1" applyAlignment="1">
      <alignment horizontal="left"/>
    </xf>
    <xf numFmtId="165" fontId="19" fillId="0" borderId="0" xfId="0" applyNumberFormat="1" applyFont="1" applyFill="1" applyAlignment="1">
      <alignment horizontal="left" wrapText="1"/>
    </xf>
    <xf numFmtId="165" fontId="35" fillId="0" borderId="0" xfId="0" applyNumberFormat="1" applyFont="1" applyBorder="1" applyAlignment="1">
      <alignment horizontal="left"/>
    </xf>
    <xf numFmtId="41" fontId="19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/>
    <xf numFmtId="164" fontId="19" fillId="0" borderId="0" xfId="0" applyNumberFormat="1" applyFont="1" applyFill="1" applyBorder="1"/>
    <xf numFmtId="41" fontId="34" fillId="0" borderId="0" xfId="0" applyNumberFormat="1" applyFont="1" applyFill="1" applyAlignment="1">
      <alignment horizontal="center"/>
    </xf>
    <xf numFmtId="164" fontId="34" fillId="0" borderId="0" xfId="0" applyNumberFormat="1" applyFont="1" applyFill="1" applyBorder="1" applyAlignment="1">
      <alignment horizontal="center"/>
    </xf>
    <xf numFmtId="3" fontId="26" fillId="0" borderId="0" xfId="0" applyNumberFormat="1" applyFont="1" applyAlignment="1"/>
    <xf numFmtId="175" fontId="19" fillId="0" borderId="0" xfId="0" applyNumberFormat="1" applyFont="1" applyFill="1" applyBorder="1" applyAlignment="1"/>
    <xf numFmtId="41" fontId="34" fillId="0" borderId="0" xfId="0" applyNumberFormat="1" applyFont="1" applyFill="1" applyAlignment="1"/>
    <xf numFmtId="41" fontId="34" fillId="0" borderId="0" xfId="0" applyNumberFormat="1" applyFont="1" applyFill="1" applyBorder="1" applyAlignment="1">
      <alignment horizontal="center"/>
    </xf>
    <xf numFmtId="0" fontId="24" fillId="0" borderId="13" xfId="0" applyFont="1" applyBorder="1"/>
    <xf numFmtId="41" fontId="19" fillId="0" borderId="0" xfId="0" applyNumberFormat="1" applyFont="1" applyFill="1" applyBorder="1" applyAlignment="1">
      <alignment horizontal="left" indent="1"/>
    </xf>
    <xf numFmtId="0" fontId="34" fillId="0" borderId="0" xfId="0" applyFont="1" applyFill="1" applyBorder="1"/>
    <xf numFmtId="189" fontId="34" fillId="0" borderId="0" xfId="0" applyNumberFormat="1" applyFont="1" applyFill="1" applyBorder="1" applyAlignment="1">
      <alignment horizontal="right"/>
    </xf>
    <xf numFmtId="1" fontId="19" fillId="0" borderId="0" xfId="0" quotePrefix="1" applyNumberFormat="1" applyFont="1" applyFill="1" applyAlignment="1">
      <alignment horizontal="left"/>
    </xf>
    <xf numFmtId="43" fontId="38" fillId="0" borderId="0" xfId="0" applyNumberFormat="1" applyFont="1" applyFill="1" applyAlignment="1"/>
    <xf numFmtId="42" fontId="34" fillId="0" borderId="0" xfId="0" applyNumberFormat="1" applyFont="1" applyFill="1" applyBorder="1" applyAlignment="1">
      <alignment horizontal="right"/>
    </xf>
    <xf numFmtId="176" fontId="34" fillId="0" borderId="0" xfId="0" applyNumberFormat="1" applyFont="1" applyFill="1" applyBorder="1" applyAlignment="1">
      <alignment horizontal="left"/>
    </xf>
    <xf numFmtId="41" fontId="24" fillId="0" borderId="13" xfId="0" applyNumberFormat="1" applyFont="1" applyBorder="1"/>
    <xf numFmtId="167" fontId="40" fillId="0" borderId="0" xfId="0" applyNumberFormat="1" applyFont="1" applyFill="1" applyBorder="1" applyAlignment="1">
      <alignment horizontal="right"/>
    </xf>
    <xf numFmtId="42" fontId="19" fillId="0" borderId="13" xfId="0" applyNumberFormat="1" applyFont="1" applyFill="1" applyBorder="1" applyAlignment="1">
      <alignment vertical="center"/>
    </xf>
    <xf numFmtId="41" fontId="24" fillId="0" borderId="0" xfId="0" applyNumberFormat="1" applyFont="1" applyBorder="1"/>
    <xf numFmtId="167" fontId="34" fillId="0" borderId="0" xfId="0" applyNumberFormat="1" applyFont="1" applyFill="1" applyBorder="1" applyAlignment="1">
      <alignment horizontal="right"/>
    </xf>
    <xf numFmtId="10" fontId="24" fillId="0" borderId="0" xfId="0" applyNumberFormat="1" applyFont="1" applyFill="1" applyAlignment="1">
      <alignment horizontal="center"/>
    </xf>
    <xf numFmtId="42" fontId="19" fillId="0" borderId="0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right"/>
    </xf>
    <xf numFmtId="167" fontId="19" fillId="0" borderId="0" xfId="0" applyNumberFormat="1" applyFont="1" applyFill="1" applyBorder="1" applyAlignment="1">
      <alignment horizontal="right"/>
    </xf>
    <xf numFmtId="42" fontId="20" fillId="0" borderId="10" xfId="0" applyNumberFormat="1" applyFont="1" applyFill="1" applyBorder="1"/>
    <xf numFmtId="170" fontId="34" fillId="0" borderId="13" xfId="0" applyNumberFormat="1" applyFont="1" applyFill="1" applyBorder="1"/>
    <xf numFmtId="0" fontId="18" fillId="0" borderId="0" xfId="0" applyFont="1"/>
    <xf numFmtId="0" fontId="34" fillId="0" borderId="0" xfId="0" applyFont="1" applyFill="1" applyAlignment="1">
      <alignment horizontal="left"/>
    </xf>
    <xf numFmtId="0" fontId="39" fillId="0" borderId="0" xfId="0" applyNumberFormat="1" applyFont="1" applyFill="1" applyBorder="1" applyAlignment="1">
      <alignment horizontal="center"/>
    </xf>
    <xf numFmtId="165" fontId="35" fillId="0" borderId="0" xfId="0" applyNumberFormat="1" applyFont="1" applyFill="1" applyBorder="1" applyAlignment="1" applyProtection="1">
      <alignment horizontal="left"/>
      <protection locked="0"/>
    </xf>
    <xf numFmtId="9" fontId="19" fillId="0" borderId="0" xfId="0" applyNumberFormat="1" applyFont="1" applyFill="1" applyBorder="1" applyAlignment="1" applyProtection="1">
      <alignment horizontal="left"/>
      <protection locked="0"/>
    </xf>
    <xf numFmtId="0" fontId="40" fillId="0" borderId="13" xfId="0" applyFont="1" applyFill="1" applyBorder="1" applyAlignment="1">
      <alignment horizontal="center"/>
    </xf>
    <xf numFmtId="0" fontId="20" fillId="0" borderId="0" xfId="0" quotePrefix="1" applyNumberFormat="1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165" fontId="20" fillId="0" borderId="0" xfId="0" applyNumberFormat="1" applyFont="1" applyFill="1" applyAlignment="1">
      <alignment horizontal="left" wrapText="1"/>
    </xf>
    <xf numFmtId="0" fontId="21" fillId="0" borderId="0" xfId="0" applyFont="1" applyBorder="1"/>
    <xf numFmtId="191" fontId="20" fillId="0" borderId="30" xfId="0" applyNumberFormat="1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192" fontId="21" fillId="0" borderId="30" xfId="0" applyNumberFormat="1" applyFont="1" applyBorder="1"/>
    <xf numFmtId="0" fontId="21" fillId="0" borderId="0" xfId="0" applyFont="1" applyBorder="1" applyAlignment="1">
      <alignment horizontal="centerContinuous"/>
    </xf>
    <xf numFmtId="192" fontId="20" fillId="0" borderId="3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>
      <alignment horizontal="centerContinuous"/>
    </xf>
    <xf numFmtId="193" fontId="20" fillId="0" borderId="30" xfId="0" applyNumberFormat="1" applyFont="1" applyFill="1" applyBorder="1" applyAlignment="1"/>
    <xf numFmtId="0" fontId="20" fillId="0" borderId="39" xfId="0" applyFont="1" applyFill="1" applyBorder="1" applyAlignment="1">
      <alignment horizontal="right"/>
    </xf>
    <xf numFmtId="0" fontId="20" fillId="0" borderId="40" xfId="0" applyFont="1" applyFill="1" applyBorder="1" applyAlignment="1">
      <alignment horizontal="right"/>
    </xf>
    <xf numFmtId="0" fontId="24" fillId="0" borderId="41" xfId="0" applyFont="1" applyBorder="1"/>
    <xf numFmtId="0" fontId="20" fillId="0" borderId="25" xfId="0" applyNumberFormat="1" applyFont="1" applyFill="1" applyBorder="1" applyAlignment="1">
      <alignment horizontal="right"/>
    </xf>
    <xf numFmtId="0" fontId="24" fillId="0" borderId="25" xfId="0" applyFont="1" applyBorder="1"/>
    <xf numFmtId="170" fontId="18" fillId="0" borderId="0" xfId="0" applyNumberFormat="1" applyFont="1" applyFill="1"/>
    <xf numFmtId="180" fontId="19" fillId="0" borderId="0" xfId="0" applyNumberFormat="1" applyFont="1" applyFill="1" applyAlignment="1"/>
    <xf numFmtId="194" fontId="19" fillId="0" borderId="0" xfId="0" applyNumberFormat="1" applyFont="1" applyFill="1" applyAlignment="1"/>
    <xf numFmtId="9" fontId="18" fillId="0" borderId="0" xfId="0" applyNumberFormat="1" applyFont="1" applyFill="1" applyAlignment="1">
      <alignment horizontal="center"/>
    </xf>
    <xf numFmtId="41" fontId="19" fillId="0" borderId="0" xfId="0" applyNumberFormat="1" applyFont="1" applyFill="1" applyBorder="1" applyAlignment="1">
      <alignment vertical="top"/>
    </xf>
    <xf numFmtId="0" fontId="19" fillId="0" borderId="0" xfId="0" applyNumberFormat="1" applyFont="1" applyFill="1" applyAlignment="1">
      <alignment vertical="top"/>
    </xf>
    <xf numFmtId="0" fontId="35" fillId="0" borderId="0" xfId="0" applyNumberFormat="1" applyFont="1" applyFill="1" applyBorder="1" applyAlignment="1"/>
    <xf numFmtId="0" fontId="19" fillId="0" borderId="0" xfId="0" applyNumberFormat="1" applyFont="1" applyFill="1" applyBorder="1" applyAlignment="1">
      <alignment vertical="top"/>
    </xf>
    <xf numFmtId="0" fontId="19" fillId="0" borderId="11" xfId="0" applyNumberFormat="1" applyFont="1" applyFill="1" applyBorder="1" applyAlignment="1">
      <alignment vertical="top"/>
    </xf>
    <xf numFmtId="191" fontId="20" fillId="0" borderId="30" xfId="0" applyNumberFormat="1" applyFont="1" applyFill="1" applyBorder="1" applyAlignment="1" applyProtection="1">
      <alignment horizontal="center"/>
      <protection locked="0"/>
    </xf>
    <xf numFmtId="195" fontId="20" fillId="0" borderId="0" xfId="0" applyNumberFormat="1" applyFont="1" applyFill="1" applyBorder="1" applyAlignment="1"/>
    <xf numFmtId="0" fontId="18" fillId="0" borderId="20" xfId="0" applyFont="1" applyBorder="1"/>
    <xf numFmtId="0" fontId="18" fillId="0" borderId="25" xfId="0" applyFont="1" applyBorder="1"/>
    <xf numFmtId="0" fontId="45" fillId="0" borderId="0" xfId="0" applyFont="1"/>
    <xf numFmtId="0" fontId="42" fillId="0" borderId="0" xfId="0" applyFont="1"/>
    <xf numFmtId="0" fontId="45" fillId="0" borderId="0" xfId="0" applyFont="1" applyFill="1"/>
    <xf numFmtId="0" fontId="42" fillId="0" borderId="13" xfId="0" applyFont="1" applyBorder="1" applyAlignment="1">
      <alignment horizontal="center"/>
    </xf>
    <xf numFmtId="0" fontId="42" fillId="0" borderId="13" xfId="0" applyFont="1" applyBorder="1" applyAlignment="1">
      <alignment horizontal="center" wrapText="1"/>
    </xf>
    <xf numFmtId="0" fontId="42" fillId="0" borderId="13" xfId="0" applyFont="1" applyFill="1" applyBorder="1" applyAlignment="1">
      <alignment horizontal="center" wrapText="1"/>
    </xf>
    <xf numFmtId="0" fontId="52" fillId="34" borderId="13" xfId="0" applyFont="1" applyFill="1" applyBorder="1" applyAlignment="1">
      <alignment horizontal="center"/>
    </xf>
    <xf numFmtId="0" fontId="53" fillId="34" borderId="0" xfId="0" applyFont="1" applyFill="1"/>
    <xf numFmtId="0" fontId="45" fillId="0" borderId="0" xfId="0" applyFont="1" applyAlignment="1">
      <alignment horizontal="left" indent="1"/>
    </xf>
    <xf numFmtId="0" fontId="54" fillId="0" borderId="0" xfId="0" applyFont="1" applyAlignment="1">
      <alignment horizontal="center"/>
    </xf>
    <xf numFmtId="42" fontId="42" fillId="0" borderId="0" xfId="0" applyNumberFormat="1" applyFont="1" applyFill="1"/>
    <xf numFmtId="42" fontId="52" fillId="34" borderId="0" xfId="0" applyNumberFormat="1" applyFont="1" applyFill="1"/>
    <xf numFmtId="41" fontId="42" fillId="0" borderId="0" xfId="0" applyNumberFormat="1" applyFont="1" applyFill="1"/>
    <xf numFmtId="0" fontId="55" fillId="0" borderId="0" xfId="0" applyFont="1"/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Continuous"/>
    </xf>
    <xf numFmtId="0" fontId="45" fillId="0" borderId="0" xfId="0" applyFont="1" applyAlignment="1">
      <alignment horizontal="centerContinuous"/>
    </xf>
    <xf numFmtId="41" fontId="45" fillId="0" borderId="0" xfId="0" applyNumberFormat="1" applyFont="1" applyFill="1"/>
    <xf numFmtId="41" fontId="53" fillId="34" borderId="0" xfId="0" applyNumberFormat="1" applyFont="1" applyFill="1"/>
    <xf numFmtId="41" fontId="45" fillId="0" borderId="13" xfId="0" applyNumberFormat="1" applyFont="1" applyFill="1" applyBorder="1"/>
    <xf numFmtId="0" fontId="58" fillId="0" borderId="0" xfId="0" applyFont="1"/>
    <xf numFmtId="0" fontId="55" fillId="0" borderId="0" xfId="0" applyFont="1" applyAlignment="1">
      <alignment horizontal="centerContinuous"/>
    </xf>
    <xf numFmtId="0" fontId="45" fillId="0" borderId="11" xfId="0" applyFont="1" applyFill="1" applyBorder="1"/>
    <xf numFmtId="0" fontId="53" fillId="34" borderId="0" xfId="0" applyFont="1" applyFill="1" applyBorder="1"/>
    <xf numFmtId="41" fontId="52" fillId="34" borderId="0" xfId="0" applyNumberFormat="1" applyFont="1" applyFill="1"/>
    <xf numFmtId="41" fontId="42" fillId="0" borderId="13" xfId="0" applyNumberFormat="1" applyFont="1" applyFill="1" applyBorder="1"/>
    <xf numFmtId="0" fontId="45" fillId="0" borderId="0" xfId="0" applyFont="1"/>
    <xf numFmtId="41" fontId="45" fillId="0" borderId="0" xfId="0" applyNumberFormat="1" applyFont="1" applyFill="1"/>
    <xf numFmtId="41" fontId="45" fillId="0" borderId="13" xfId="0" applyNumberFormat="1" applyFont="1" applyFill="1" applyBorder="1"/>
    <xf numFmtId="0" fontId="42" fillId="0" borderId="0" xfId="0" applyFont="1" applyFill="1"/>
    <xf numFmtId="42" fontId="42" fillId="0" borderId="10" xfId="0" applyNumberFormat="1" applyFont="1" applyFill="1" applyBorder="1"/>
    <xf numFmtId="42" fontId="52" fillId="34" borderId="10" xfId="0" applyNumberFormat="1" applyFont="1" applyFill="1" applyBorder="1"/>
    <xf numFmtId="0" fontId="59" fillId="0" borderId="0" xfId="0" applyFont="1" applyAlignment="1">
      <alignment horizontal="right"/>
    </xf>
    <xf numFmtId="41" fontId="60" fillId="0" borderId="0" xfId="0" applyNumberFormat="1" applyFont="1" applyFill="1"/>
    <xf numFmtId="0" fontId="42" fillId="33" borderId="27" xfId="0" applyFont="1" applyFill="1" applyBorder="1" applyAlignment="1">
      <alignment horizontal="centerContinuous"/>
    </xf>
    <xf numFmtId="0" fontId="42" fillId="33" borderId="11" xfId="0" applyFont="1" applyFill="1" applyBorder="1" applyAlignment="1">
      <alignment horizontal="centerContinuous"/>
    </xf>
    <xf numFmtId="0" fontId="42" fillId="33" borderId="37" xfId="0" applyFont="1" applyFill="1" applyBorder="1" applyAlignment="1">
      <alignment horizontal="centerContinuous"/>
    </xf>
    <xf numFmtId="0" fontId="42" fillId="33" borderId="26" xfId="0" applyFont="1" applyFill="1" applyBorder="1"/>
    <xf numFmtId="42" fontId="42" fillId="33" borderId="0" xfId="0" applyNumberFormat="1" applyFont="1" applyFill="1" applyBorder="1"/>
    <xf numFmtId="42" fontId="45" fillId="34" borderId="0" xfId="0" applyNumberFormat="1" applyFont="1" applyFill="1" applyBorder="1"/>
    <xf numFmtId="42" fontId="42" fillId="33" borderId="36" xfId="0" applyNumberFormat="1" applyFont="1" applyFill="1" applyBorder="1"/>
    <xf numFmtId="0" fontId="55" fillId="33" borderId="42" xfId="0" applyFont="1" applyFill="1" applyBorder="1"/>
    <xf numFmtId="10" fontId="45" fillId="33" borderId="43" xfId="0" applyNumberFormat="1" applyFont="1" applyFill="1" applyBorder="1"/>
    <xf numFmtId="0" fontId="45" fillId="34" borderId="43" xfId="0" applyFont="1" applyFill="1" applyBorder="1"/>
    <xf numFmtId="10" fontId="45" fillId="33" borderId="44" xfId="0" applyNumberFormat="1" applyFont="1" applyFill="1" applyBorder="1"/>
    <xf numFmtId="10" fontId="45" fillId="33" borderId="0" xfId="0" applyNumberFormat="1" applyFont="1" applyFill="1" applyBorder="1"/>
    <xf numFmtId="10" fontId="45" fillId="33" borderId="36" xfId="0" applyNumberFormat="1" applyFont="1" applyFill="1" applyBorder="1"/>
    <xf numFmtId="41" fontId="42" fillId="33" borderId="12" xfId="0" applyNumberFormat="1" applyFont="1" applyFill="1" applyBorder="1"/>
    <xf numFmtId="41" fontId="42" fillId="34" borderId="0" xfId="0" applyNumberFormat="1" applyFont="1" applyFill="1" applyBorder="1"/>
    <xf numFmtId="42" fontId="42" fillId="33" borderId="45" xfId="0" applyNumberFormat="1" applyFont="1" applyFill="1" applyBorder="1"/>
    <xf numFmtId="0" fontId="45" fillId="33" borderId="35" xfId="0" applyFont="1" applyFill="1" applyBorder="1"/>
    <xf numFmtId="0" fontId="45" fillId="33" borderId="13" xfId="0" applyFont="1" applyFill="1" applyBorder="1"/>
    <xf numFmtId="0" fontId="45" fillId="34" borderId="13" xfId="0" applyFont="1" applyFill="1" applyBorder="1"/>
    <xf numFmtId="0" fontId="45" fillId="33" borderId="34" xfId="0" applyFont="1" applyFill="1" applyBorder="1"/>
    <xf numFmtId="41" fontId="45" fillId="0" borderId="0" xfId="0" applyNumberFormat="1" applyFont="1"/>
    <xf numFmtId="0" fontId="45" fillId="0" borderId="0" xfId="0" applyNumberFormat="1" applyFont="1" applyFill="1" applyAlignment="1"/>
    <xf numFmtId="0" fontId="45" fillId="0" borderId="0" xfId="0" applyNumberFormat="1" applyFont="1" applyFill="1" applyAlignment="1">
      <alignment horizontal="center"/>
    </xf>
    <xf numFmtId="0" fontId="42" fillId="0" borderId="0" xfId="0" applyNumberFormat="1" applyFont="1" applyFill="1" applyAlignment="1">
      <alignment horizontal="centerContinuous" vertical="center"/>
    </xf>
    <xf numFmtId="0" fontId="128" fillId="0" borderId="0" xfId="0" applyNumberFormat="1" applyFont="1" applyFill="1" applyAlignment="1"/>
    <xf numFmtId="0" fontId="128" fillId="0" borderId="0" xfId="0" applyNumberFormat="1" applyFont="1" applyFill="1" applyAlignment="1">
      <alignment horizontal="center"/>
    </xf>
    <xf numFmtId="0" fontId="129" fillId="0" borderId="13" xfId="0" applyNumberFormat="1" applyFont="1" applyFill="1" applyBorder="1" applyAlignment="1">
      <alignment horizontal="center"/>
    </xf>
    <xf numFmtId="0" fontId="130" fillId="0" borderId="0" xfId="0" applyNumberFormat="1" applyFont="1" applyFill="1" applyAlignment="1">
      <alignment horizontal="center"/>
    </xf>
    <xf numFmtId="0" fontId="129" fillId="0" borderId="0" xfId="0" applyNumberFormat="1" applyFont="1" applyFill="1" applyAlignment="1">
      <alignment horizontal="center"/>
    </xf>
    <xf numFmtId="0" fontId="131" fillId="0" borderId="0" xfId="0" applyNumberFormat="1" applyFont="1" applyFill="1" applyAlignment="1"/>
    <xf numFmtId="14" fontId="128" fillId="0" borderId="0" xfId="0" applyNumberFormat="1" applyFont="1" applyFill="1" applyAlignment="1">
      <alignment horizontal="center"/>
    </xf>
    <xf numFmtId="164" fontId="128" fillId="0" borderId="0" xfId="0" applyNumberFormat="1" applyFont="1" applyFill="1" applyAlignment="1"/>
    <xf numFmtId="0" fontId="128" fillId="0" borderId="0" xfId="0" applyNumberFormat="1" applyFont="1" applyFill="1" applyAlignment="1">
      <alignment horizontal="left"/>
    </xf>
    <xf numFmtId="10" fontId="129" fillId="0" borderId="12" xfId="0" applyNumberFormat="1" applyFont="1" applyFill="1" applyBorder="1" applyAlignment="1"/>
    <xf numFmtId="10" fontId="128" fillId="0" borderId="12" xfId="0" applyNumberFormat="1" applyFont="1" applyFill="1" applyBorder="1" applyAlignment="1"/>
    <xf numFmtId="10" fontId="128" fillId="0" borderId="0" xfId="0" applyNumberFormat="1" applyFont="1" applyFill="1" applyAlignment="1"/>
    <xf numFmtId="3" fontId="128" fillId="0" borderId="0" xfId="0" applyNumberFormat="1" applyFont="1" applyFill="1" applyAlignment="1"/>
    <xf numFmtId="0" fontId="128" fillId="0" borderId="0" xfId="0" applyNumberFormat="1" applyFont="1" applyFill="1" applyAlignment="1">
      <alignment horizontal="left" wrapText="1"/>
    </xf>
    <xf numFmtId="41" fontId="128" fillId="0" borderId="0" xfId="0" applyNumberFormat="1" applyFont="1" applyFill="1" applyAlignment="1"/>
    <xf numFmtId="42" fontId="128" fillId="0" borderId="0" xfId="0" applyNumberFormat="1" applyFont="1" applyFill="1" applyAlignment="1"/>
    <xf numFmtId="0" fontId="130" fillId="0" borderId="0" xfId="0" applyNumberFormat="1" applyFont="1" applyFill="1" applyBorder="1" applyAlignment="1">
      <alignment horizontal="center"/>
    </xf>
    <xf numFmtId="42" fontId="128" fillId="0" borderId="15" xfId="0" applyNumberFormat="1" applyFont="1" applyFill="1" applyBorder="1" applyAlignment="1"/>
    <xf numFmtId="10" fontId="128" fillId="0" borderId="15" xfId="0" applyNumberFormat="1" applyFont="1" applyFill="1" applyBorder="1" applyAlignment="1"/>
    <xf numFmtId="170" fontId="128" fillId="0" borderId="0" xfId="0" applyNumberFormat="1" applyFont="1" applyFill="1" applyAlignment="1"/>
    <xf numFmtId="0" fontId="132" fillId="0" borderId="0" xfId="0" applyNumberFormat="1" applyFont="1" applyFill="1" applyAlignment="1">
      <alignment horizontal="center"/>
    </xf>
    <xf numFmtId="14" fontId="130" fillId="0" borderId="0" xfId="0" applyNumberFormat="1" applyFont="1" applyFill="1" applyAlignment="1">
      <alignment horizontal="center"/>
    </xf>
    <xf numFmtId="0" fontId="128" fillId="0" borderId="0" xfId="0" applyNumberFormat="1" applyFont="1" applyFill="1" applyBorder="1" applyAlignment="1"/>
    <xf numFmtId="10" fontId="128" fillId="0" borderId="13" xfId="0" applyNumberFormat="1" applyFont="1" applyFill="1" applyBorder="1" applyAlignment="1"/>
    <xf numFmtId="170" fontId="128" fillId="0" borderId="15" xfId="0" applyNumberFormat="1" applyFont="1" applyFill="1" applyBorder="1" applyAlignment="1"/>
    <xf numFmtId="42" fontId="128" fillId="0" borderId="12" xfId="0" applyNumberFormat="1" applyFont="1" applyFill="1" applyBorder="1" applyAlignment="1"/>
    <xf numFmtId="0" fontId="0" fillId="0" borderId="0" xfId="0" applyFill="1"/>
    <xf numFmtId="43" fontId="0" fillId="0" borderId="0" xfId="0" applyNumberFormat="1" applyFill="1"/>
    <xf numFmtId="15" fontId="21" fillId="0" borderId="0" xfId="0" quotePrefix="1" applyNumberFormat="1" applyFont="1"/>
    <xf numFmtId="0" fontId="20" fillId="0" borderId="71" xfId="0" applyNumberFormat="1" applyFont="1" applyFill="1" applyBorder="1" applyAlignment="1">
      <alignment horizontal="centerContinuous"/>
    </xf>
    <xf numFmtId="0" fontId="20" fillId="0" borderId="66" xfId="0" applyNumberFormat="1" applyFont="1" applyFill="1" applyBorder="1" applyAlignment="1">
      <alignment horizontal="centerContinuous"/>
    </xf>
    <xf numFmtId="0" fontId="20" fillId="0" borderId="72" xfId="0" applyNumberFormat="1" applyFont="1" applyFill="1" applyBorder="1" applyAlignment="1">
      <alignment horizontal="centerContinuous"/>
    </xf>
    <xf numFmtId="0" fontId="20" fillId="0" borderId="73" xfId="0" applyNumberFormat="1" applyFont="1" applyFill="1" applyBorder="1" applyAlignment="1">
      <alignment horizontal="centerContinuous"/>
    </xf>
    <xf numFmtId="0" fontId="20" fillId="0" borderId="74" xfId="0" applyNumberFormat="1" applyFont="1" applyFill="1" applyBorder="1" applyAlignment="1">
      <alignment horizontal="centerContinuous"/>
    </xf>
    <xf numFmtId="0" fontId="20" fillId="0" borderId="62" xfId="0" applyNumberFormat="1" applyFont="1" applyFill="1" applyBorder="1" applyAlignment="1">
      <alignment horizontal="centerContinuous"/>
    </xf>
    <xf numFmtId="0" fontId="20" fillId="0" borderId="75" xfId="0" applyNumberFormat="1" applyFont="1" applyFill="1" applyBorder="1" applyAlignment="1">
      <alignment horizontal="centerContinuous"/>
    </xf>
    <xf numFmtId="0" fontId="20" fillId="0" borderId="76" xfId="0" applyNumberFormat="1" applyFont="1" applyFill="1" applyBorder="1" applyAlignment="1">
      <alignment horizontal="centerContinuous"/>
    </xf>
    <xf numFmtId="0" fontId="20" fillId="0" borderId="77" xfId="0" applyNumberFormat="1" applyFont="1" applyFill="1" applyBorder="1" applyAlignment="1">
      <alignment horizontal="centerContinuous"/>
    </xf>
    <xf numFmtId="0" fontId="20" fillId="0" borderId="78" xfId="0" applyNumberFormat="1" applyFont="1" applyFill="1" applyBorder="1" applyAlignment="1">
      <alignment horizontal="centerContinuous"/>
    </xf>
    <xf numFmtId="0" fontId="20" fillId="0" borderId="79" xfId="0" applyNumberFormat="1" applyFont="1" applyFill="1" applyBorder="1" applyAlignment="1">
      <alignment horizontal="center"/>
    </xf>
    <xf numFmtId="0" fontId="123" fillId="0" borderId="0" xfId="0" applyNumberFormat="1" applyFont="1" applyFill="1" applyAlignment="1">
      <alignment horizontal="center"/>
    </xf>
    <xf numFmtId="41" fontId="19" fillId="0" borderId="11" xfId="0" applyNumberFormat="1" applyFont="1" applyFill="1" applyBorder="1" applyAlignment="1" applyProtection="1">
      <protection locked="0"/>
    </xf>
    <xf numFmtId="209" fontId="19" fillId="0" borderId="0" xfId="0" applyNumberFormat="1" applyFont="1" applyFill="1" applyBorder="1" applyAlignment="1" applyProtection="1">
      <protection locked="0"/>
    </xf>
    <xf numFmtId="42" fontId="0" fillId="0" borderId="0" xfId="0" applyNumberFormat="1"/>
    <xf numFmtId="42" fontId="19" fillId="0" borderId="12" xfId="0" applyNumberFormat="1" applyFont="1" applyFill="1" applyBorder="1" applyAlignment="1" applyProtection="1">
      <protection locked="0"/>
    </xf>
    <xf numFmtId="0" fontId="19" fillId="0" borderId="0" xfId="0" applyNumberFormat="1" applyFont="1" applyFill="1" applyAlignment="1"/>
    <xf numFmtId="0" fontId="19" fillId="0" borderId="0" xfId="0" applyNumberFormat="1" applyFont="1" applyAlignment="1"/>
    <xf numFmtId="167" fontId="133" fillId="0" borderId="0" xfId="0" applyNumberFormat="1" applyFont="1" applyFill="1" applyAlignment="1"/>
    <xf numFmtId="10" fontId="133" fillId="0" borderId="0" xfId="0" applyNumberFormat="1" applyFont="1" applyFill="1" applyAlignment="1"/>
    <xf numFmtId="0" fontId="40" fillId="0" borderId="13" xfId="0" applyNumberFormat="1" applyFont="1" applyFill="1" applyBorder="1" applyAlignment="1">
      <alignment horizontal="center"/>
    </xf>
    <xf numFmtId="210" fontId="19" fillId="0" borderId="0" xfId="0" applyNumberFormat="1" applyFont="1" applyFill="1" applyBorder="1" applyAlignment="1" applyProtection="1">
      <protection locked="0"/>
    </xf>
    <xf numFmtId="0" fontId="0" fillId="0" borderId="0" xfId="0" applyFont="1"/>
    <xf numFmtId="188" fontId="19" fillId="0" borderId="0" xfId="0" applyNumberFormat="1" applyFont="1" applyFill="1" applyBorder="1" applyAlignment="1" applyProtection="1">
      <protection locked="0"/>
    </xf>
    <xf numFmtId="42" fontId="19" fillId="0" borderId="0" xfId="0" applyNumberFormat="1" applyFont="1" applyFill="1" applyBorder="1" applyAlignment="1" applyProtection="1">
      <protection locked="0"/>
    </xf>
    <xf numFmtId="0" fontId="136" fillId="0" borderId="0" xfId="0" applyFont="1" applyFill="1"/>
    <xf numFmtId="44" fontId="136" fillId="0" borderId="0" xfId="0" applyNumberFormat="1" applyFont="1" applyFill="1"/>
    <xf numFmtId="180" fontId="20" fillId="0" borderId="84" xfId="0" applyNumberFormat="1" applyFont="1" applyFill="1" applyBorder="1" applyAlignment="1">
      <alignment horizontal="right" vertical="center" wrapText="1"/>
    </xf>
    <xf numFmtId="44" fontId="20" fillId="0" borderId="85" xfId="0" applyNumberFormat="1" applyFont="1" applyFill="1" applyBorder="1" applyAlignment="1">
      <alignment horizontal="left" vertical="center" wrapText="1"/>
    </xf>
    <xf numFmtId="0" fontId="20" fillId="0" borderId="85" xfId="0" applyNumberFormat="1" applyFont="1" applyFill="1" applyBorder="1" applyAlignment="1">
      <alignment horizontal="left" vertical="center"/>
    </xf>
    <xf numFmtId="1" fontId="137" fillId="0" borderId="20" xfId="0" applyNumberFormat="1" applyFont="1" applyFill="1" applyBorder="1" applyAlignment="1">
      <alignment horizontal="center" wrapText="1"/>
    </xf>
    <xf numFmtId="180" fontId="20" fillId="0" borderId="86" xfId="0" applyNumberFormat="1" applyFont="1" applyFill="1" applyBorder="1" applyAlignment="1">
      <alignment horizontal="right" vertical="center" wrapText="1"/>
    </xf>
    <xf numFmtId="44" fontId="20" fillId="0" borderId="24" xfId="0" applyNumberFormat="1" applyFont="1" applyFill="1" applyBorder="1" applyAlignment="1">
      <alignment horizontal="left" vertical="center" wrapText="1"/>
    </xf>
    <xf numFmtId="0" fontId="20" fillId="0" borderId="24" xfId="0" applyNumberFormat="1" applyFont="1" applyFill="1" applyBorder="1" applyAlignment="1">
      <alignment horizontal="left" vertical="center"/>
    </xf>
    <xf numFmtId="1" fontId="137" fillId="0" borderId="25" xfId="0" applyNumberFormat="1" applyFont="1" applyFill="1" applyBorder="1" applyAlignment="1">
      <alignment horizontal="center" wrapText="1"/>
    </xf>
    <xf numFmtId="0" fontId="136" fillId="0" borderId="21" xfId="0" applyFont="1" applyFill="1" applyBorder="1"/>
    <xf numFmtId="1" fontId="137" fillId="0" borderId="22" xfId="0" applyNumberFormat="1" applyFont="1" applyFill="1" applyBorder="1" applyAlignment="1">
      <alignment horizontal="center" wrapText="1"/>
    </xf>
    <xf numFmtId="0" fontId="136" fillId="0" borderId="25" xfId="0" applyFont="1" applyFill="1" applyBorder="1"/>
    <xf numFmtId="0" fontId="19" fillId="0" borderId="21" xfId="0" applyFont="1" applyFill="1" applyBorder="1"/>
    <xf numFmtId="0" fontId="136" fillId="0" borderId="22" xfId="0" applyFont="1" applyFill="1" applyBorder="1"/>
    <xf numFmtId="0" fontId="19" fillId="0" borderId="87" xfId="0" applyFont="1" applyFill="1" applyBorder="1" applyAlignment="1">
      <alignment horizontal="right" wrapText="1"/>
    </xf>
    <xf numFmtId="3" fontId="19" fillId="0" borderId="85" xfId="0" applyNumberFormat="1" applyFont="1" applyFill="1" applyBorder="1" applyAlignment="1">
      <alignment horizontal="right" wrapText="1"/>
    </xf>
    <xf numFmtId="3" fontId="19" fillId="0" borderId="0" xfId="0" applyNumberFormat="1" applyFont="1" applyFill="1" applyBorder="1" applyAlignment="1">
      <alignment horizontal="right" wrapText="1"/>
    </xf>
    <xf numFmtId="180" fontId="20" fillId="0" borderId="87" xfId="0" applyNumberFormat="1" applyFont="1" applyFill="1" applyBorder="1" applyAlignment="1">
      <alignment horizontal="right" vertical="center" wrapText="1"/>
    </xf>
    <xf numFmtId="41" fontId="19" fillId="0" borderId="0" xfId="0" applyNumberFormat="1" applyFont="1" applyFill="1" applyBorder="1" applyAlignment="1">
      <alignment horizontal="right" wrapText="1"/>
    </xf>
    <xf numFmtId="0" fontId="136" fillId="0" borderId="87" xfId="0" applyFont="1" applyFill="1" applyBorder="1" applyAlignment="1">
      <alignment horizontal="left" wrapText="1"/>
    </xf>
    <xf numFmtId="41" fontId="136" fillId="0" borderId="0" xfId="0" applyNumberFormat="1" applyFont="1" applyFill="1" applyBorder="1" applyAlignment="1">
      <alignment horizontal="left" wrapText="1"/>
    </xf>
    <xf numFmtId="0" fontId="136" fillId="0" borderId="0" xfId="0" applyFont="1" applyFill="1" applyBorder="1" applyAlignment="1">
      <alignment horizontal="left" wrapText="1"/>
    </xf>
    <xf numFmtId="42" fontId="20" fillId="0" borderId="0" xfId="0" applyNumberFormat="1" applyFont="1" applyFill="1" applyBorder="1" applyAlignment="1">
      <alignment horizontal="right" wrapText="1"/>
    </xf>
    <xf numFmtId="0" fontId="20" fillId="0" borderId="0" xfId="0" applyFont="1" applyFill="1" applyBorder="1" applyAlignment="1">
      <alignment horizontal="left" wrapText="1"/>
    </xf>
    <xf numFmtId="41" fontId="19" fillId="0" borderId="0" xfId="0" applyNumberFormat="1" applyFont="1" applyFill="1" applyBorder="1" applyAlignment="1">
      <alignment horizontal="left" wrapText="1"/>
    </xf>
    <xf numFmtId="41" fontId="19" fillId="0" borderId="80" xfId="0" applyNumberFormat="1" applyFont="1" applyFill="1" applyBorder="1" applyAlignment="1">
      <alignment horizontal="right" wrapText="1"/>
    </xf>
    <xf numFmtId="0" fontId="0" fillId="0" borderId="87" xfId="0" applyFill="1" applyBorder="1" applyAlignment="1">
      <alignment horizontal="left" wrapText="1"/>
    </xf>
    <xf numFmtId="42" fontId="0" fillId="0" borderId="87" xfId="0" applyNumberFormat="1" applyFill="1" applyBorder="1" applyAlignment="1">
      <alignment horizontal="left" wrapText="1"/>
    </xf>
    <xf numFmtId="42" fontId="19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 horizontal="left" wrapText="1"/>
    </xf>
    <xf numFmtId="180" fontId="0" fillId="0" borderId="0" xfId="0" applyNumberFormat="1" applyFont="1" applyFill="1" applyBorder="1" applyAlignment="1">
      <alignment horizontal="center" wrapText="1"/>
    </xf>
    <xf numFmtId="0" fontId="35" fillId="0" borderId="0" xfId="0" applyNumberFormat="1" applyFont="1" applyFill="1" applyBorder="1" applyAlignment="1">
      <alignment horizontal="left"/>
    </xf>
    <xf numFmtId="0" fontId="0" fillId="0" borderId="11" xfId="0" applyFill="1" applyBorder="1" applyAlignment="1">
      <alignment horizontal="left" wrapText="1"/>
    </xf>
    <xf numFmtId="0" fontId="20" fillId="0" borderId="88" xfId="0" applyNumberFormat="1" applyFont="1" applyFill="1" applyBorder="1" applyAlignment="1">
      <alignment horizontal="center"/>
    </xf>
    <xf numFmtId="0" fontId="20" fillId="0" borderId="28" xfId="0" applyNumberFormat="1" applyFont="1" applyFill="1" applyBorder="1" applyAlignment="1">
      <alignment horizontal="center"/>
    </xf>
    <xf numFmtId="0" fontId="20" fillId="0" borderId="80" xfId="0" applyFont="1" applyFill="1" applyBorder="1" applyAlignment="1">
      <alignment horizontal="center" wrapText="1"/>
    </xf>
    <xf numFmtId="0" fontId="20" fillId="0" borderId="41" xfId="0" applyNumberFormat="1" applyFont="1" applyFill="1" applyBorder="1" applyAlignment="1">
      <alignment horizontal="center"/>
    </xf>
    <xf numFmtId="0" fontId="20" fillId="0" borderId="87" xfId="0" applyNumberFormat="1" applyFont="1" applyFill="1" applyBorder="1" applyAlignment="1">
      <alignment horizontal="center"/>
    </xf>
    <xf numFmtId="0" fontId="20" fillId="0" borderId="29" xfId="0" applyNumberFormat="1" applyFont="1" applyFill="1" applyBorder="1" applyAlignment="1">
      <alignment horizontal="center"/>
    </xf>
    <xf numFmtId="0" fontId="20" fillId="0" borderId="22" xfId="0" applyNumberFormat="1" applyFont="1" applyFill="1" applyBorder="1" applyAlignment="1">
      <alignment horizontal="center"/>
    </xf>
    <xf numFmtId="0" fontId="20" fillId="0" borderId="33" xfId="0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left" wrapText="1"/>
    </xf>
    <xf numFmtId="14" fontId="20" fillId="0" borderId="0" xfId="0" applyNumberFormat="1" applyFont="1" applyFill="1" applyBorder="1" applyAlignment="1">
      <alignment horizontal="center"/>
    </xf>
    <xf numFmtId="14" fontId="20" fillId="0" borderId="89" xfId="0" applyNumberFormat="1" applyFont="1" applyFill="1" applyBorder="1" applyAlignment="1">
      <alignment horizontal="center"/>
    </xf>
    <xf numFmtId="14" fontId="20" fillId="0" borderId="90" xfId="0" applyNumberFormat="1" applyFont="1" applyFill="1" applyBorder="1" applyAlignment="1">
      <alignment horizontal="center"/>
    </xf>
    <xf numFmtId="0" fontId="0" fillId="0" borderId="24" xfId="0" applyFill="1" applyBorder="1" applyAlignment="1">
      <alignment horizontal="left" wrapText="1"/>
    </xf>
    <xf numFmtId="0" fontId="0" fillId="0" borderId="25" xfId="0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20" fillId="0" borderId="0" xfId="0" applyNumberFormat="1" applyFont="1" applyFill="1" applyAlignment="1">
      <alignment horizontal="centerContinuous"/>
    </xf>
    <xf numFmtId="3" fontId="136" fillId="0" borderId="0" xfId="0" applyNumberFormat="1" applyFont="1" applyFill="1"/>
    <xf numFmtId="0" fontId="136" fillId="0" borderId="0" xfId="0" applyFont="1" applyFill="1" applyBorder="1"/>
    <xf numFmtId="180" fontId="20" fillId="0" borderId="21" xfId="0" applyNumberFormat="1" applyFont="1" applyFill="1" applyBorder="1" applyAlignment="1">
      <alignment horizontal="right" vertical="center" wrapText="1"/>
    </xf>
    <xf numFmtId="44" fontId="20" fillId="0" borderId="0" xfId="0" applyNumberFormat="1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>
      <alignment horizontal="left" vertical="center"/>
    </xf>
    <xf numFmtId="42" fontId="20" fillId="0" borderId="0" xfId="0" applyNumberFormat="1" applyFont="1" applyFill="1" applyBorder="1" applyAlignment="1">
      <alignment horizontal="left" wrapText="1"/>
    </xf>
    <xf numFmtId="42" fontId="19" fillId="0" borderId="0" xfId="0" applyNumberFormat="1" applyFont="1" applyFill="1" applyBorder="1" applyAlignment="1">
      <alignment horizontal="left" wrapText="1"/>
    </xf>
    <xf numFmtId="180" fontId="136" fillId="0" borderId="0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center" wrapText="1"/>
    </xf>
    <xf numFmtId="0" fontId="136" fillId="0" borderId="22" xfId="0" applyFont="1" applyFill="1" applyBorder="1" applyAlignment="1">
      <alignment horizontal="left" wrapText="1"/>
    </xf>
    <xf numFmtId="0" fontId="136" fillId="0" borderId="24" xfId="0" applyFont="1" applyFill="1" applyBorder="1" applyAlignment="1">
      <alignment horizontal="left" wrapText="1"/>
    </xf>
    <xf numFmtId="0" fontId="136" fillId="0" borderId="25" xfId="0" applyFont="1" applyFill="1" applyBorder="1" applyAlignment="1">
      <alignment horizontal="left" wrapText="1"/>
    </xf>
    <xf numFmtId="0" fontId="136" fillId="0" borderId="0" xfId="0" applyFont="1" applyFill="1" applyAlignment="1">
      <alignment horizontal="left" wrapText="1"/>
    </xf>
    <xf numFmtId="1" fontId="137" fillId="0" borderId="20" xfId="0" applyNumberFormat="1" applyFont="1" applyFill="1" applyBorder="1" applyAlignment="1">
      <alignment horizontal="center" vertical="center" wrapText="1"/>
    </xf>
    <xf numFmtId="1" fontId="137" fillId="0" borderId="25" xfId="0" applyNumberFormat="1" applyFont="1" applyFill="1" applyBorder="1" applyAlignment="1">
      <alignment horizontal="center" vertical="center" wrapText="1"/>
    </xf>
    <xf numFmtId="0" fontId="136" fillId="0" borderId="23" xfId="0" applyFont="1" applyFill="1" applyBorder="1"/>
    <xf numFmtId="0" fontId="136" fillId="0" borderId="24" xfId="0" applyFont="1" applyFill="1" applyBorder="1"/>
    <xf numFmtId="0" fontId="20" fillId="0" borderId="0" xfId="0" applyNumberFormat="1" applyFont="1" applyFill="1" applyAlignment="1" applyProtection="1">
      <alignment horizontal="center"/>
      <protection locked="0"/>
    </xf>
    <xf numFmtId="0" fontId="21" fillId="0" borderId="0" xfId="0" applyFont="1" applyAlignment="1">
      <alignment horizontal="center"/>
    </xf>
    <xf numFmtId="0" fontId="20" fillId="0" borderId="0" xfId="0" applyNumberFormat="1" applyFont="1" applyFill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Continuous" vertical="center"/>
    </xf>
    <xf numFmtId="0" fontId="23" fillId="0" borderId="14" xfId="0" applyFont="1" applyBorder="1" applyAlignment="1">
      <alignment horizontal="centerContinuous" vertical="center"/>
    </xf>
    <xf numFmtId="37" fontId="45" fillId="0" borderId="27" xfId="6519" applyNumberFormat="1" applyFont="1" applyBorder="1" applyProtection="1"/>
    <xf numFmtId="0" fontId="45" fillId="0" borderId="98" xfId="6519" applyFont="1" applyFill="1" applyBorder="1"/>
    <xf numFmtId="0" fontId="138" fillId="0" borderId="81" xfId="6519" applyBorder="1"/>
    <xf numFmtId="0" fontId="138" fillId="0" borderId="101" xfId="6519" applyBorder="1"/>
    <xf numFmtId="37" fontId="42" fillId="0" borderId="26" xfId="6519" applyNumberFormat="1" applyFont="1" applyBorder="1" applyAlignment="1" applyProtection="1">
      <alignment horizontal="left"/>
    </xf>
    <xf numFmtId="0" fontId="138" fillId="0" borderId="0" xfId="6519" applyBorder="1"/>
    <xf numFmtId="0" fontId="42" fillId="0" borderId="102" xfId="6519" applyFont="1" applyBorder="1" applyAlignment="1">
      <alignment horizontal="center"/>
    </xf>
    <xf numFmtId="37" fontId="42" fillId="0" borderId="35" xfId="6519" applyNumberFormat="1" applyFont="1" applyBorder="1" applyAlignment="1" applyProtection="1">
      <alignment horizontal="left"/>
    </xf>
    <xf numFmtId="213" fontId="42" fillId="0" borderId="103" xfId="6519" applyNumberFormat="1" applyFont="1" applyFill="1" applyBorder="1" applyAlignment="1">
      <alignment horizontal="center"/>
    </xf>
    <xf numFmtId="37" fontId="45" fillId="0" borderId="26" xfId="6519" applyNumberFormat="1" applyFont="1" applyBorder="1" applyAlignment="1" applyProtection="1">
      <alignment horizontal="left"/>
    </xf>
    <xf numFmtId="0" fontId="138" fillId="0" borderId="102" xfId="6519" applyBorder="1"/>
    <xf numFmtId="215" fontId="45" fillId="0" borderId="26" xfId="6519" applyNumberFormat="1" applyFont="1" applyBorder="1" applyAlignment="1" applyProtection="1">
      <alignment horizontal="center"/>
    </xf>
    <xf numFmtId="37" fontId="45" fillId="0" borderId="0" xfId="6519" applyNumberFormat="1" applyFont="1" applyBorder="1" applyAlignment="1" applyProtection="1">
      <alignment horizontal="left"/>
    </xf>
    <xf numFmtId="41" fontId="138" fillId="0" borderId="102" xfId="6519" applyNumberFormat="1" applyBorder="1"/>
    <xf numFmtId="0" fontId="45" fillId="0" borderId="0" xfId="6519" applyNumberFormat="1" applyFont="1" applyBorder="1" applyProtection="1"/>
    <xf numFmtId="41" fontId="138" fillId="0" borderId="103" xfId="6519" applyNumberFormat="1" applyBorder="1"/>
    <xf numFmtId="0" fontId="138" fillId="0" borderId="0" xfId="6519" applyFill="1" applyBorder="1" applyAlignment="1">
      <alignment horizontal="left"/>
    </xf>
    <xf numFmtId="0" fontId="138" fillId="0" borderId="0" xfId="6519" applyFill="1" applyBorder="1"/>
    <xf numFmtId="41" fontId="45" fillId="0" borderId="101" xfId="6519" applyNumberFormat="1" applyFont="1" applyFill="1" applyBorder="1"/>
    <xf numFmtId="41" fontId="45" fillId="0" borderId="102" xfId="6519" applyNumberFormat="1" applyFont="1" applyFill="1" applyBorder="1"/>
    <xf numFmtId="41" fontId="45" fillId="0" borderId="102" xfId="6518" applyNumberFormat="1" applyFont="1" applyFill="1" applyBorder="1"/>
    <xf numFmtId="37" fontId="45" fillId="0" borderId="0" xfId="6519" quotePrefix="1" applyNumberFormat="1" applyFont="1" applyBorder="1" applyAlignment="1" applyProtection="1">
      <alignment horizontal="left"/>
    </xf>
    <xf numFmtId="215" fontId="45" fillId="0" borderId="26" xfId="6519" applyNumberFormat="1" applyFont="1" applyFill="1" applyBorder="1" applyAlignment="1" applyProtection="1">
      <alignment horizontal="center"/>
    </xf>
    <xf numFmtId="37" fontId="45" fillId="0" borderId="0" xfId="6519" applyNumberFormat="1" applyFont="1" applyFill="1" applyBorder="1" applyAlignment="1" applyProtection="1">
      <alignment horizontal="left"/>
    </xf>
    <xf numFmtId="41" fontId="45" fillId="0" borderId="101" xfId="6519" applyNumberFormat="1" applyFont="1" applyFill="1" applyBorder="1" applyProtection="1"/>
    <xf numFmtId="41" fontId="45" fillId="0" borderId="102" xfId="6519" applyNumberFormat="1" applyFont="1" applyFill="1" applyBorder="1" applyProtection="1"/>
    <xf numFmtId="41" fontId="45" fillId="0" borderId="103" xfId="6519" applyNumberFormat="1" applyFont="1" applyFill="1" applyBorder="1" applyProtection="1"/>
    <xf numFmtId="215" fontId="45" fillId="0" borderId="0" xfId="6519" applyNumberFormat="1" applyFont="1" applyBorder="1" applyAlignment="1" applyProtection="1">
      <alignment horizontal="left"/>
    </xf>
    <xf numFmtId="215" fontId="45" fillId="0" borderId="35" xfId="6519" applyNumberFormat="1" applyFont="1" applyBorder="1" applyAlignment="1" applyProtection="1">
      <alignment horizontal="center"/>
    </xf>
    <xf numFmtId="0" fontId="45" fillId="0" borderId="80" xfId="6519" applyFont="1" applyBorder="1"/>
    <xf numFmtId="0" fontId="45" fillId="0" borderId="0" xfId="6519" applyFont="1" applyBorder="1"/>
    <xf numFmtId="41" fontId="45" fillId="0" borderId="105" xfId="6519" applyNumberFormat="1" applyFont="1" applyFill="1" applyBorder="1"/>
    <xf numFmtId="0" fontId="138" fillId="0" borderId="12" xfId="6519" applyFill="1" applyBorder="1" applyAlignment="1">
      <alignment horizontal="left"/>
    </xf>
    <xf numFmtId="0" fontId="138" fillId="0" borderId="12" xfId="6519" applyFill="1" applyBorder="1"/>
    <xf numFmtId="41" fontId="45" fillId="0" borderId="104" xfId="6519" applyNumberFormat="1" applyFont="1" applyFill="1" applyBorder="1"/>
    <xf numFmtId="41" fontId="45" fillId="0" borderId="106" xfId="6519" applyNumberFormat="1" applyFont="1" applyFill="1" applyBorder="1"/>
    <xf numFmtId="0" fontId="138" fillId="0" borderId="107" xfId="6519" applyFill="1" applyBorder="1"/>
    <xf numFmtId="0" fontId="138" fillId="0" borderId="108" xfId="6519" applyFill="1" applyBorder="1"/>
    <xf numFmtId="0" fontId="60" fillId="34" borderId="0" xfId="0" applyFont="1" applyFill="1"/>
    <xf numFmtId="0" fontId="45" fillId="34" borderId="0" xfId="0" applyFont="1" applyFill="1"/>
    <xf numFmtId="0" fontId="42" fillId="34" borderId="11" xfId="0" applyFont="1" applyFill="1" applyBorder="1" applyAlignment="1">
      <alignment horizontal="centerContinuous"/>
    </xf>
    <xf numFmtId="0" fontId="42" fillId="0" borderId="0" xfId="0" applyFont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17" fontId="51" fillId="0" borderId="0" xfId="0" applyNumberFormat="1" applyFont="1" applyFill="1" applyBorder="1" applyAlignment="1">
      <alignment horizontal="center" wrapText="1"/>
    </xf>
    <xf numFmtId="0" fontId="51" fillId="34" borderId="0" xfId="0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129" fillId="0" borderId="13" xfId="0" applyNumberFormat="1" applyFont="1" applyFill="1" applyBorder="1" applyAlignment="1">
      <alignment horizontal="centerContinuous"/>
    </xf>
    <xf numFmtId="42" fontId="18" fillId="0" borderId="19" xfId="0" applyNumberFormat="1" applyFont="1" applyFill="1" applyBorder="1"/>
    <xf numFmtId="42" fontId="19" fillId="0" borderId="81" xfId="0" applyNumberFormat="1" applyFont="1" applyFill="1" applyBorder="1"/>
    <xf numFmtId="42" fontId="19" fillId="0" borderId="12" xfId="0" applyNumberFormat="1" applyFont="1" applyFill="1" applyBorder="1" applyProtection="1">
      <protection locked="0"/>
    </xf>
    <xf numFmtId="37" fontId="19" fillId="0" borderId="81" xfId="0" applyNumberFormat="1" applyFont="1" applyBorder="1"/>
    <xf numFmtId="0" fontId="19" fillId="0" borderId="81" xfId="0" applyFont="1" applyBorder="1"/>
    <xf numFmtId="41" fontId="19" fillId="0" borderId="81" xfId="0" applyNumberFormat="1" applyFont="1" applyFill="1" applyBorder="1" applyAlignment="1">
      <alignment horizontal="left" indent="1"/>
    </xf>
    <xf numFmtId="0" fontId="18" fillId="0" borderId="41" xfId="0" applyFont="1" applyBorder="1"/>
    <xf numFmtId="0" fontId="21" fillId="0" borderId="0" xfId="0" applyFont="1" applyBorder="1" applyAlignment="1">
      <alignment horizontal="center"/>
    </xf>
    <xf numFmtId="0" fontId="18" fillId="0" borderId="16" xfId="0" applyFont="1" applyBorder="1" applyAlignment="1">
      <alignment horizontal="centerContinuous"/>
    </xf>
    <xf numFmtId="0" fontId="18" fillId="0" borderId="15" xfId="0" applyFont="1" applyBorder="1" applyAlignment="1">
      <alignment horizontal="centerContinuous"/>
    </xf>
    <xf numFmtId="0" fontId="18" fillId="0" borderId="14" xfId="0" applyFont="1" applyBorder="1" applyAlignment="1">
      <alignment horizontal="centerContinuous"/>
    </xf>
    <xf numFmtId="3" fontId="18" fillId="0" borderId="0" xfId="0" applyNumberFormat="1" applyFont="1" applyFill="1"/>
    <xf numFmtId="37" fontId="18" fillId="0" borderId="0" xfId="0" applyNumberFormat="1" applyFont="1" applyFill="1"/>
    <xf numFmtId="190" fontId="18" fillId="0" borderId="0" xfId="0" applyNumberFormat="1" applyFont="1" applyFill="1"/>
    <xf numFmtId="170" fontId="18" fillId="0" borderId="13" xfId="0" applyNumberFormat="1" applyFont="1" applyFill="1" applyBorder="1"/>
    <xf numFmtId="164" fontId="18" fillId="0" borderId="38" xfId="0" applyNumberFormat="1" applyFont="1" applyBorder="1"/>
    <xf numFmtId="0" fontId="24" fillId="0" borderId="0" xfId="0" applyFont="1" applyFill="1" applyBorder="1"/>
    <xf numFmtId="164" fontId="24" fillId="0" borderId="81" xfId="0" applyNumberFormat="1" applyFont="1" applyFill="1" applyBorder="1"/>
    <xf numFmtId="41" fontId="24" fillId="0" borderId="81" xfId="0" applyNumberFormat="1" applyFont="1" applyFill="1" applyBorder="1"/>
    <xf numFmtId="43" fontId="24" fillId="0" borderId="81" xfId="0" applyNumberFormat="1" applyFont="1" applyFill="1" applyBorder="1"/>
    <xf numFmtId="41" fontId="34" fillId="0" borderId="0" xfId="0" applyNumberFormat="1" applyFont="1" applyFill="1" applyBorder="1"/>
    <xf numFmtId="41" fontId="34" fillId="0" borderId="11" xfId="0" quotePrefix="1" applyNumberFormat="1" applyFont="1" applyFill="1" applyBorder="1" applyAlignment="1">
      <alignment horizontal="left"/>
    </xf>
    <xf numFmtId="42" fontId="40" fillId="0" borderId="12" xfId="0" applyNumberFormat="1" applyFont="1" applyBorder="1"/>
    <xf numFmtId="42" fontId="19" fillId="0" borderId="0" xfId="0" applyNumberFormat="1" applyFont="1" applyBorder="1" applyAlignment="1">
      <alignment horizontal="right"/>
    </xf>
    <xf numFmtId="41" fontId="19" fillId="0" borderId="81" xfId="0" applyNumberFormat="1" applyFont="1" applyFill="1" applyBorder="1" applyProtection="1">
      <protection locked="0"/>
    </xf>
    <xf numFmtId="41" fontId="20" fillId="0" borderId="12" xfId="0" applyNumberFormat="1" applyFont="1" applyFill="1" applyBorder="1"/>
    <xf numFmtId="41" fontId="18" fillId="0" borderId="80" xfId="0" applyNumberFormat="1" applyFont="1" applyBorder="1"/>
    <xf numFmtId="42" fontId="19" fillId="0" borderId="12" xfId="0" applyNumberFormat="1" applyFont="1" applyBorder="1" applyAlignment="1" applyProtection="1">
      <alignment horizontal="right"/>
      <protection locked="0"/>
    </xf>
    <xf numFmtId="0" fontId="18" fillId="0" borderId="81" xfId="0" applyFont="1" applyBorder="1"/>
    <xf numFmtId="41" fontId="19" fillId="0" borderId="12" xfId="0" applyNumberFormat="1" applyFont="1" applyFill="1" applyBorder="1"/>
    <xf numFmtId="41" fontId="19" fillId="0" borderId="81" xfId="0" applyNumberFormat="1" applyFont="1" applyFill="1" applyBorder="1"/>
    <xf numFmtId="41" fontId="19" fillId="0" borderId="81" xfId="0" applyNumberFormat="1" applyFont="1" applyFill="1" applyBorder="1" applyAlignment="1"/>
    <xf numFmtId="41" fontId="24" fillId="0" borderId="81" xfId="0" applyNumberFormat="1" applyFont="1" applyBorder="1"/>
    <xf numFmtId="41" fontId="36" fillId="0" borderId="81" xfId="0" applyNumberFormat="1" applyFont="1" applyFill="1" applyBorder="1" applyAlignment="1"/>
    <xf numFmtId="41" fontId="34" fillId="0" borderId="11" xfId="0" applyNumberFormat="1" applyFont="1" applyFill="1" applyBorder="1"/>
    <xf numFmtId="42" fontId="20" fillId="0" borderId="12" xfId="0" applyNumberFormat="1" applyFont="1" applyBorder="1"/>
    <xf numFmtId="42" fontId="20" fillId="0" borderId="12" xfId="0" quotePrefix="1" applyNumberFormat="1" applyFont="1" applyFill="1" applyBorder="1" applyAlignment="1">
      <alignment horizontal="left"/>
    </xf>
    <xf numFmtId="41" fontId="18" fillId="0" borderId="81" xfId="0" applyNumberFormat="1" applyFont="1" applyBorder="1"/>
    <xf numFmtId="41" fontId="18" fillId="0" borderId="80" xfId="0" applyNumberFormat="1" applyFont="1" applyBorder="1" applyAlignment="1">
      <alignment horizontal="right"/>
    </xf>
    <xf numFmtId="41" fontId="19" fillId="0" borderId="80" xfId="0" applyNumberFormat="1" applyFont="1" applyFill="1" applyBorder="1" applyAlignment="1" applyProtection="1">
      <protection locked="0"/>
    </xf>
    <xf numFmtId="41" fontId="19" fillId="0" borderId="15" xfId="0" quotePrefix="1" applyNumberFormat="1" applyFont="1" applyFill="1" applyBorder="1" applyAlignment="1">
      <alignment horizontal="left"/>
    </xf>
    <xf numFmtId="41" fontId="19" fillId="0" borderId="0" xfId="0" quotePrefix="1" applyNumberFormat="1" applyFont="1" applyFill="1" applyBorder="1" applyAlignment="1">
      <alignment horizontal="left"/>
    </xf>
    <xf numFmtId="41" fontId="18" fillId="0" borderId="11" xfId="0" applyNumberFormat="1" applyFont="1" applyFill="1" applyBorder="1"/>
    <xf numFmtId="41" fontId="18" fillId="0" borderId="81" xfId="0" applyNumberFormat="1" applyFont="1" applyFill="1" applyBorder="1"/>
    <xf numFmtId="42" fontId="18" fillId="0" borderId="10" xfId="0" applyNumberFormat="1" applyFont="1" applyFill="1" applyBorder="1"/>
    <xf numFmtId="41" fontId="19" fillId="0" borderId="81" xfId="0" quotePrefix="1" applyNumberFormat="1" applyFont="1" applyFill="1" applyBorder="1" applyAlignment="1">
      <alignment horizontal="left"/>
    </xf>
    <xf numFmtId="41" fontId="43" fillId="0" borderId="81" xfId="0" applyNumberFormat="1" applyFont="1" applyBorder="1"/>
    <xf numFmtId="41" fontId="44" fillId="0" borderId="81" xfId="0" applyNumberFormat="1" applyFont="1" applyBorder="1"/>
    <xf numFmtId="41" fontId="0" fillId="0" borderId="0" xfId="0" applyNumberFormat="1" applyAlignment="1"/>
    <xf numFmtId="41" fontId="0" fillId="0" borderId="81" xfId="0" applyNumberFormat="1" applyBorder="1" applyAlignment="1"/>
    <xf numFmtId="41" fontId="43" fillId="0" borderId="0" xfId="0" applyNumberFormat="1" applyFont="1" applyBorder="1"/>
    <xf numFmtId="41" fontId="44" fillId="0" borderId="0" xfId="0" applyNumberFormat="1" applyFont="1" applyBorder="1"/>
    <xf numFmtId="41" fontId="0" fillId="0" borderId="0" xfId="0" applyNumberFormat="1"/>
    <xf numFmtId="41" fontId="0" fillId="0" borderId="81" xfId="0" applyNumberFormat="1" applyBorder="1"/>
    <xf numFmtId="164" fontId="19" fillId="0" borderId="81" xfId="0" applyNumberFormat="1" applyFont="1" applyFill="1" applyBorder="1" applyAlignment="1"/>
    <xf numFmtId="41" fontId="19" fillId="0" borderId="81" xfId="0" applyNumberFormat="1" applyFont="1" applyFill="1" applyBorder="1" applyAlignment="1">
      <alignment horizontal="right"/>
    </xf>
    <xf numFmtId="219" fontId="45" fillId="0" borderId="0" xfId="0" applyNumberFormat="1" applyFont="1" applyFill="1" applyBorder="1" applyAlignment="1">
      <alignment horizontal="left"/>
    </xf>
    <xf numFmtId="219" fontId="134" fillId="0" borderId="0" xfId="0" applyNumberFormat="1" applyFont="1" applyBorder="1" applyAlignment="1">
      <alignment horizontal="left"/>
    </xf>
    <xf numFmtId="0" fontId="20" fillId="0" borderId="80" xfId="0" applyNumberFormat="1" applyFont="1" applyFill="1" applyBorder="1" applyAlignment="1">
      <alignment horizontal="center"/>
    </xf>
    <xf numFmtId="0" fontId="18" fillId="0" borderId="80" xfId="0" applyFont="1" applyBorder="1"/>
    <xf numFmtId="0" fontId="21" fillId="0" borderId="80" xfId="0" applyFont="1" applyBorder="1" applyAlignment="1">
      <alignment horizontal="center"/>
    </xf>
    <xf numFmtId="166" fontId="18" fillId="0" borderId="0" xfId="0" applyNumberFormat="1" applyFont="1" applyAlignment="1"/>
    <xf numFmtId="0" fontId="18" fillId="0" borderId="81" xfId="0" applyFont="1" applyFill="1" applyBorder="1"/>
    <xf numFmtId="9" fontId="18" fillId="0" borderId="81" xfId="0" applyNumberFormat="1" applyFont="1" applyFill="1" applyBorder="1"/>
    <xf numFmtId="10" fontId="18" fillId="0" borderId="81" xfId="0" applyNumberFormat="1" applyFont="1" applyFill="1" applyBorder="1"/>
    <xf numFmtId="165" fontId="19" fillId="0" borderId="80" xfId="0" applyNumberFormat="1" applyFont="1" applyFill="1" applyBorder="1" applyAlignment="1"/>
    <xf numFmtId="42" fontId="18" fillId="0" borderId="81" xfId="0" applyNumberFormat="1" applyFont="1" applyBorder="1"/>
    <xf numFmtId="182" fontId="19" fillId="0" borderId="12" xfId="6520" applyNumberFormat="1" applyFont="1" applyBorder="1" applyAlignment="1"/>
    <xf numFmtId="164" fontId="18" fillId="0" borderId="81" xfId="0" applyNumberFormat="1" applyFont="1" applyFill="1" applyBorder="1"/>
    <xf numFmtId="9" fontId="18" fillId="0" borderId="81" xfId="0" applyNumberFormat="1" applyFont="1" applyBorder="1"/>
    <xf numFmtId="10" fontId="18" fillId="0" borderId="81" xfId="0" applyNumberFormat="1" applyFont="1" applyBorder="1"/>
    <xf numFmtId="166" fontId="18" fillId="0" borderId="80" xfId="0" applyNumberFormat="1" applyFont="1" applyFill="1" applyBorder="1"/>
    <xf numFmtId="164" fontId="18" fillId="0" borderId="81" xfId="0" applyNumberFormat="1" applyFont="1" applyBorder="1"/>
    <xf numFmtId="0" fontId="128" fillId="0" borderId="0" xfId="6520" applyNumberFormat="1" applyFont="1" applyFill="1" applyAlignment="1">
      <alignment horizontal="center" vertical="top"/>
    </xf>
    <xf numFmtId="0" fontId="128" fillId="0" borderId="0" xfId="6520" applyNumberFormat="1" applyFont="1" applyFill="1" applyAlignment="1">
      <alignment vertical="top"/>
    </xf>
    <xf numFmtId="0" fontId="159" fillId="0" borderId="0" xfId="6520" applyNumberFormat="1" applyFont="1" applyFill="1" applyAlignment="1">
      <alignment horizontal="left" vertical="top"/>
    </xf>
    <xf numFmtId="0" fontId="45" fillId="0" borderId="0" xfId="6520" applyNumberFormat="1" applyFont="1" applyFill="1" applyAlignment="1">
      <alignment vertical="top"/>
    </xf>
    <xf numFmtId="0" fontId="136" fillId="0" borderId="0" xfId="6520" applyNumberFormat="1" applyFont="1" applyAlignment="1">
      <alignment vertical="top"/>
    </xf>
    <xf numFmtId="165" fontId="46" fillId="0" borderId="0" xfId="6520" applyFont="1" applyAlignment="1">
      <alignment horizontal="left" vertical="top" wrapText="1"/>
    </xf>
    <xf numFmtId="0" fontId="23" fillId="0" borderId="16" xfId="0" applyFont="1" applyBorder="1" applyAlignment="1">
      <alignment horizontal="centerContinuous" vertical="top"/>
    </xf>
    <xf numFmtId="0" fontId="18" fillId="0" borderId="14" xfId="0" applyFont="1" applyBorder="1" applyAlignment="1">
      <alignment horizontal="centerContinuous" vertical="top"/>
    </xf>
    <xf numFmtId="165" fontId="159" fillId="0" borderId="0" xfId="6520" applyFont="1" applyFill="1" applyAlignment="1">
      <alignment horizontal="left" vertical="top"/>
    </xf>
    <xf numFmtId="0" fontId="88" fillId="0" borderId="0" xfId="6520" applyNumberFormat="1" applyFont="1" applyFill="1" applyAlignment="1">
      <alignment vertical="top"/>
    </xf>
    <xf numFmtId="0" fontId="20" fillId="0" borderId="0" xfId="6520" applyNumberFormat="1" applyFont="1" applyFill="1" applyAlignment="1">
      <alignment horizontal="right" vertical="top"/>
    </xf>
    <xf numFmtId="0" fontId="42" fillId="0" borderId="0" xfId="6520" applyNumberFormat="1" applyFont="1" applyFill="1" applyAlignment="1">
      <alignment horizontal="left" vertical="top"/>
    </xf>
    <xf numFmtId="165" fontId="46" fillId="0" borderId="0" xfId="6520" applyAlignment="1">
      <alignment horizontal="left" vertical="top" wrapText="1"/>
    </xf>
    <xf numFmtId="0" fontId="160" fillId="112" borderId="91" xfId="6520" applyNumberFormat="1" applyFont="1" applyFill="1" applyBorder="1" applyAlignment="1">
      <alignment horizontal="centerContinuous" vertical="top"/>
    </xf>
    <xf numFmtId="0" fontId="160" fillId="112" borderId="48" xfId="6520" applyNumberFormat="1" applyFont="1" applyFill="1" applyBorder="1" applyAlignment="1">
      <alignment horizontal="centerContinuous" vertical="top"/>
    </xf>
    <xf numFmtId="165" fontId="161" fillId="112" borderId="48" xfId="6520" applyFont="1" applyFill="1" applyBorder="1" applyAlignment="1">
      <alignment horizontal="centerContinuous" vertical="top" wrapText="1"/>
    </xf>
    <xf numFmtId="165" fontId="161" fillId="112" borderId="92" xfId="6520" applyFont="1" applyFill="1" applyBorder="1" applyAlignment="1">
      <alignment horizontal="centerContinuous" vertical="top" wrapText="1"/>
    </xf>
    <xf numFmtId="0" fontId="162" fillId="0" borderId="0" xfId="6520" applyNumberFormat="1" applyFont="1" applyAlignment="1">
      <alignment vertical="top"/>
    </xf>
    <xf numFmtId="0" fontId="128" fillId="0" borderId="0" xfId="6520" quotePrefix="1" applyNumberFormat="1" applyFont="1" applyFill="1" applyAlignment="1">
      <alignment horizontal="left" vertical="top"/>
    </xf>
    <xf numFmtId="0" fontId="129" fillId="0" borderId="25" xfId="6520" applyNumberFormat="1" applyFont="1" applyFill="1" applyBorder="1" applyAlignment="1">
      <alignment horizontal="center" vertical="top"/>
    </xf>
    <xf numFmtId="0" fontId="163" fillId="0" borderId="24" xfId="6520" applyNumberFormat="1" applyFont="1" applyBorder="1" applyAlignment="1">
      <alignment vertical="top"/>
    </xf>
    <xf numFmtId="0" fontId="163" fillId="0" borderId="23" xfId="6520" applyNumberFormat="1" applyFont="1" applyBorder="1" applyAlignment="1">
      <alignment vertical="top"/>
    </xf>
    <xf numFmtId="0" fontId="136" fillId="0" borderId="24" xfId="6520" applyNumberFormat="1" applyFont="1" applyBorder="1" applyAlignment="1">
      <alignment vertical="top"/>
    </xf>
    <xf numFmtId="0" fontId="136" fillId="0" borderId="23" xfId="6520" applyNumberFormat="1" applyFont="1" applyBorder="1" applyAlignment="1">
      <alignment vertical="top"/>
    </xf>
    <xf numFmtId="0" fontId="128" fillId="0" borderId="0" xfId="6520" applyNumberFormat="1" applyFont="1" applyFill="1" applyAlignment="1">
      <alignment horizontal="left" vertical="top"/>
    </xf>
    <xf numFmtId="170" fontId="128" fillId="0" borderId="22" xfId="6520" applyNumberFormat="1" applyFont="1" applyFill="1" applyBorder="1" applyAlignment="1">
      <alignment vertical="top"/>
    </xf>
    <xf numFmtId="165" fontId="46" fillId="0" borderId="0" xfId="6520" applyBorder="1" applyAlignment="1">
      <alignment horizontal="left" vertical="top" wrapText="1"/>
    </xf>
    <xf numFmtId="165" fontId="46" fillId="0" borderId="21" xfId="6520" applyBorder="1" applyAlignment="1">
      <alignment horizontal="left" vertical="top" wrapText="1"/>
    </xf>
    <xf numFmtId="165" fontId="46" fillId="0" borderId="0" xfId="6520" applyFont="1" applyBorder="1" applyAlignment="1">
      <alignment horizontal="left" vertical="top" wrapText="1"/>
    </xf>
    <xf numFmtId="165" fontId="46" fillId="0" borderId="21" xfId="6520" applyFont="1" applyBorder="1" applyAlignment="1">
      <alignment horizontal="left" vertical="top" wrapText="1"/>
    </xf>
    <xf numFmtId="164" fontId="128" fillId="0" borderId="22" xfId="6520" applyNumberFormat="1" applyFont="1" applyFill="1" applyBorder="1" applyAlignment="1">
      <alignment horizontal="right" vertical="top"/>
    </xf>
    <xf numFmtId="0" fontId="128" fillId="0" borderId="0" xfId="6520" applyNumberFormat="1" applyFont="1" applyBorder="1" applyAlignment="1">
      <alignment vertical="top"/>
    </xf>
    <xf numFmtId="0" fontId="128" fillId="0" borderId="21" xfId="6520" applyNumberFormat="1" applyFont="1" applyBorder="1" applyAlignment="1">
      <alignment vertical="top"/>
    </xf>
    <xf numFmtId="0" fontId="135" fillId="0" borderId="16" xfId="6520" applyNumberFormat="1" applyFont="1" applyBorder="1" applyAlignment="1">
      <alignment vertical="top"/>
    </xf>
    <xf numFmtId="0" fontId="163" fillId="0" borderId="14" xfId="6520" applyNumberFormat="1" applyFont="1" applyBorder="1" applyAlignment="1">
      <alignment horizontal="right" vertical="top"/>
    </xf>
    <xf numFmtId="175" fontId="163" fillId="0" borderId="109" xfId="6520" applyNumberFormat="1" applyFont="1" applyBorder="1" applyAlignment="1">
      <alignment vertical="top"/>
    </xf>
    <xf numFmtId="0" fontId="128" fillId="0" borderId="16" xfId="6520" applyNumberFormat="1" applyFont="1" applyBorder="1" applyAlignment="1">
      <alignment vertical="top"/>
    </xf>
    <xf numFmtId="175" fontId="163" fillId="0" borderId="110" xfId="6520" applyNumberFormat="1" applyFont="1" applyBorder="1" applyAlignment="1">
      <alignment vertical="top"/>
    </xf>
    <xf numFmtId="170" fontId="128" fillId="0" borderId="111" xfId="6520" applyNumberFormat="1" applyFont="1" applyFill="1" applyBorder="1" applyAlignment="1">
      <alignment horizontal="right" vertical="top"/>
    </xf>
    <xf numFmtId="0" fontId="128" fillId="0" borderId="0" xfId="6520" applyNumberFormat="1" applyFont="1" applyFill="1" applyBorder="1" applyAlignment="1">
      <alignment vertical="top"/>
    </xf>
    <xf numFmtId="0" fontId="129" fillId="0" borderId="0" xfId="6520" applyNumberFormat="1" applyFont="1" applyFill="1" applyBorder="1" applyAlignment="1">
      <alignment horizontal="center" vertical="top"/>
    </xf>
    <xf numFmtId="0" fontId="164" fillId="0" borderId="0" xfId="6520" applyNumberFormat="1" applyFont="1" applyFill="1" applyBorder="1" applyAlignment="1">
      <alignment horizontal="center" vertical="top"/>
    </xf>
    <xf numFmtId="0" fontId="128" fillId="0" borderId="0" xfId="6520" applyNumberFormat="1" applyFont="1" applyFill="1" applyBorder="1" applyAlignment="1">
      <alignment horizontal="center" vertical="top"/>
    </xf>
    <xf numFmtId="0" fontId="163" fillId="0" borderId="0" xfId="6520" applyNumberFormat="1" applyFont="1" applyFill="1" applyBorder="1" applyAlignment="1">
      <alignment horizontal="center" vertical="top"/>
    </xf>
    <xf numFmtId="10" fontId="128" fillId="0" borderId="22" xfId="6520" applyNumberFormat="1" applyFont="1" applyBorder="1" applyAlignment="1">
      <alignment vertical="top"/>
    </xf>
    <xf numFmtId="43" fontId="128" fillId="0" borderId="0" xfId="6520" applyNumberFormat="1" applyFont="1" applyFill="1" applyBorder="1" applyAlignment="1">
      <alignment horizontal="right" vertical="top"/>
    </xf>
    <xf numFmtId="0" fontId="129" fillId="0" borderId="21" xfId="6520" applyNumberFormat="1" applyFont="1" applyFill="1" applyBorder="1" applyAlignment="1">
      <alignment horizontal="center" vertical="top"/>
    </xf>
    <xf numFmtId="170" fontId="128" fillId="0" borderId="0" xfId="6520" applyNumberFormat="1" applyFont="1" applyFill="1" applyAlignment="1">
      <alignment horizontal="left" vertical="top"/>
    </xf>
    <xf numFmtId="0" fontId="128" fillId="0" borderId="22" xfId="6520" applyNumberFormat="1" applyFont="1" applyBorder="1" applyAlignment="1">
      <alignment vertical="top"/>
    </xf>
    <xf numFmtId="43" fontId="128" fillId="0" borderId="0" xfId="6520" applyNumberFormat="1" applyFont="1" applyFill="1" applyAlignment="1">
      <alignment horizontal="left" vertical="top"/>
    </xf>
    <xf numFmtId="164" fontId="129" fillId="0" borderId="0" xfId="6520" applyNumberFormat="1" applyFont="1" applyFill="1" applyBorder="1" applyAlignment="1">
      <alignment horizontal="center" vertical="top"/>
    </xf>
    <xf numFmtId="164" fontId="129" fillId="0" borderId="21" xfId="6520" applyNumberFormat="1" applyFont="1" applyFill="1" applyBorder="1" applyAlignment="1">
      <alignment horizontal="center" vertical="top"/>
    </xf>
    <xf numFmtId="0" fontId="136" fillId="0" borderId="0" xfId="6520" applyNumberFormat="1" applyFont="1" applyFill="1" applyAlignment="1">
      <alignment vertical="top"/>
    </xf>
    <xf numFmtId="0" fontId="129" fillId="0" borderId="22" xfId="6520" applyNumberFormat="1" applyFont="1" applyFill="1" applyBorder="1" applyAlignment="1">
      <alignment horizontal="center" vertical="top"/>
    </xf>
    <xf numFmtId="182" fontId="128" fillId="0" borderId="0" xfId="6520" applyNumberFormat="1" applyFont="1" applyFill="1" applyBorder="1" applyAlignment="1">
      <alignment vertical="top"/>
    </xf>
    <xf numFmtId="164" fontId="128" fillId="0" borderId="0" xfId="6520" applyNumberFormat="1" applyFont="1" applyFill="1" applyBorder="1" applyAlignment="1">
      <alignment horizontal="center" vertical="top"/>
    </xf>
    <xf numFmtId="170" fontId="128" fillId="0" borderId="0" xfId="6520" applyNumberFormat="1" applyFont="1" applyBorder="1" applyAlignment="1">
      <alignment vertical="top"/>
    </xf>
    <xf numFmtId="170" fontId="128" fillId="0" borderId="21" xfId="6520" applyNumberFormat="1" applyFont="1" applyBorder="1" applyAlignment="1">
      <alignment vertical="top"/>
    </xf>
    <xf numFmtId="164" fontId="136" fillId="0" borderId="0" xfId="6520" applyNumberFormat="1" applyFont="1" applyFill="1" applyAlignment="1">
      <alignment vertical="top"/>
    </xf>
    <xf numFmtId="164" fontId="128" fillId="0" borderId="21" xfId="6520" applyNumberFormat="1" applyFont="1" applyBorder="1" applyAlignment="1">
      <alignment vertical="top"/>
    </xf>
    <xf numFmtId="164" fontId="128" fillId="0" borderId="22" xfId="6520" applyNumberFormat="1" applyFont="1" applyFill="1" applyBorder="1" applyAlignment="1">
      <alignment vertical="top"/>
    </xf>
    <xf numFmtId="164" fontId="128" fillId="0" borderId="0" xfId="6520" applyNumberFormat="1" applyFont="1" applyBorder="1" applyAlignment="1">
      <alignment vertical="top"/>
    </xf>
    <xf numFmtId="164" fontId="128" fillId="0" borderId="22" xfId="6521" applyNumberFormat="1" applyFont="1" applyFill="1" applyBorder="1" applyAlignment="1">
      <alignment vertical="top"/>
    </xf>
    <xf numFmtId="0" fontId="128" fillId="0" borderId="0" xfId="6520" applyNumberFormat="1" applyFont="1" applyFill="1" applyBorder="1" applyAlignment="1">
      <alignment horizontal="left" vertical="top"/>
    </xf>
    <xf numFmtId="0" fontId="128" fillId="0" borderId="0" xfId="6520" quotePrefix="1" applyNumberFormat="1" applyFont="1" applyFill="1" applyBorder="1" applyAlignment="1">
      <alignment horizontal="left" vertical="top"/>
    </xf>
    <xf numFmtId="0" fontId="164" fillId="0" borderId="0" xfId="6520" applyNumberFormat="1" applyFont="1" applyAlignment="1">
      <alignment vertical="top"/>
    </xf>
    <xf numFmtId="0" fontId="163" fillId="0" borderId="22" xfId="6520" applyNumberFormat="1" applyFont="1" applyFill="1" applyBorder="1" applyAlignment="1">
      <alignment vertical="top"/>
    </xf>
    <xf numFmtId="0" fontId="163" fillId="0" borderId="0" xfId="6520" applyNumberFormat="1" applyFont="1" applyFill="1" applyBorder="1" applyAlignment="1">
      <alignment vertical="top"/>
    </xf>
    <xf numFmtId="0" fontId="163" fillId="0" borderId="21" xfId="6520" applyNumberFormat="1" applyFont="1" applyFill="1" applyBorder="1" applyAlignment="1">
      <alignment vertical="top"/>
    </xf>
    <xf numFmtId="170" fontId="128" fillId="0" borderId="111" xfId="6520" applyNumberFormat="1" applyFont="1" applyFill="1" applyBorder="1" applyAlignment="1">
      <alignment vertical="top"/>
    </xf>
    <xf numFmtId="182" fontId="128" fillId="0" borderId="81" xfId="6520" applyNumberFormat="1" applyFont="1" applyBorder="1" applyAlignment="1">
      <alignment vertical="top"/>
    </xf>
    <xf numFmtId="170" fontId="128" fillId="0" borderId="81" xfId="6520" applyNumberFormat="1" applyFont="1" applyFill="1" applyBorder="1" applyAlignment="1">
      <alignment vertical="top"/>
    </xf>
    <xf numFmtId="170" fontId="128" fillId="0" borderId="100" xfId="6520" applyNumberFormat="1" applyFont="1" applyFill="1" applyBorder="1" applyAlignment="1">
      <alignment vertical="top"/>
    </xf>
    <xf numFmtId="217" fontId="128" fillId="0" borderId="22" xfId="6520" applyNumberFormat="1" applyFont="1" applyFill="1" applyBorder="1" applyAlignment="1">
      <alignment horizontal="right" vertical="top"/>
    </xf>
    <xf numFmtId="217" fontId="128" fillId="0" borderId="0" xfId="6520" applyNumberFormat="1" applyFont="1" applyFill="1" applyBorder="1" applyAlignment="1">
      <alignment horizontal="right" vertical="top"/>
    </xf>
    <xf numFmtId="217" fontId="128" fillId="0" borderId="0" xfId="6520" applyNumberFormat="1" applyFont="1" applyBorder="1" applyAlignment="1">
      <alignment vertical="top"/>
    </xf>
    <xf numFmtId="217" fontId="128" fillId="0" borderId="21" xfId="6520" applyNumberFormat="1" applyFont="1" applyBorder="1" applyAlignment="1">
      <alignment vertical="top"/>
    </xf>
    <xf numFmtId="164" fontId="128" fillId="0" borderId="0" xfId="6522" applyNumberFormat="1" applyFont="1" applyFill="1" applyBorder="1" applyAlignment="1">
      <alignment vertical="top"/>
    </xf>
    <xf numFmtId="170" fontId="165" fillId="0" borderId="22" xfId="6520" applyNumberFormat="1" applyFont="1" applyBorder="1" applyAlignment="1">
      <alignment vertical="top"/>
    </xf>
    <xf numFmtId="0" fontId="128" fillId="0" borderId="0" xfId="6520" applyNumberFormat="1" applyFont="1" applyBorder="1" applyAlignment="1">
      <alignment horizontal="center" vertical="top" wrapText="1"/>
    </xf>
    <xf numFmtId="0" fontId="128" fillId="0" borderId="21" xfId="6520" applyNumberFormat="1" applyFont="1" applyBorder="1" applyAlignment="1">
      <alignment horizontal="center" vertical="top" wrapText="1"/>
    </xf>
    <xf numFmtId="170" fontId="128" fillId="0" borderId="22" xfId="6520" applyNumberFormat="1" applyFont="1" applyBorder="1" applyAlignment="1">
      <alignment vertical="top"/>
    </xf>
    <xf numFmtId="0" fontId="163" fillId="0" borderId="22" xfId="6520" applyNumberFormat="1" applyFont="1" applyBorder="1" applyAlignment="1">
      <alignment vertical="top"/>
    </xf>
    <xf numFmtId="0" fontId="163" fillId="0" borderId="0" xfId="6520" applyNumberFormat="1" applyFont="1" applyBorder="1" applyAlignment="1">
      <alignment vertical="top"/>
    </xf>
    <xf numFmtId="0" fontId="163" fillId="0" borderId="21" xfId="6520" applyNumberFormat="1" applyFont="1" applyBorder="1" applyAlignment="1">
      <alignment vertical="top"/>
    </xf>
    <xf numFmtId="170" fontId="163" fillId="0" borderId="22" xfId="6520" applyNumberFormat="1" applyFont="1" applyBorder="1" applyAlignment="1">
      <alignment vertical="top"/>
    </xf>
    <xf numFmtId="182" fontId="128" fillId="0" borderId="0" xfId="6520" applyNumberFormat="1" applyFont="1" applyBorder="1" applyAlignment="1">
      <alignment vertical="top"/>
    </xf>
    <xf numFmtId="182" fontId="128" fillId="0" borderId="21" xfId="6520" applyNumberFormat="1" applyFont="1" applyBorder="1" applyAlignment="1">
      <alignment vertical="top"/>
    </xf>
    <xf numFmtId="0" fontId="163" fillId="0" borderId="20" xfId="6520" applyNumberFormat="1" applyFont="1" applyBorder="1" applyAlignment="1">
      <alignment vertical="top"/>
    </xf>
    <xf numFmtId="182" fontId="128" fillId="0" borderId="85" xfId="6520" applyNumberFormat="1" applyFont="1" applyBorder="1" applyAlignment="1">
      <alignment vertical="top"/>
    </xf>
    <xf numFmtId="182" fontId="128" fillId="0" borderId="18" xfId="6520" applyNumberFormat="1" applyFont="1" applyBorder="1" applyAlignment="1">
      <alignment vertical="top"/>
    </xf>
    <xf numFmtId="0" fontId="163" fillId="0" borderId="0" xfId="6520" applyNumberFormat="1" applyFont="1" applyAlignment="1">
      <alignment vertical="top"/>
    </xf>
    <xf numFmtId="0" fontId="163" fillId="0" borderId="0" xfId="6520" applyNumberFormat="1" applyFont="1" applyFill="1" applyAlignment="1">
      <alignment vertical="top"/>
    </xf>
    <xf numFmtId="220" fontId="19" fillId="0" borderId="0" xfId="6523" applyNumberFormat="1" applyFont="1" applyAlignment="1">
      <alignment horizontal="left"/>
    </xf>
    <xf numFmtId="220" fontId="19" fillId="0" borderId="0" xfId="6523" applyNumberFormat="1" applyFont="1" applyAlignment="1">
      <alignment horizontal="center"/>
    </xf>
    <xf numFmtId="0" fontId="167" fillId="0" borderId="0" xfId="6523" applyNumberFormat="1" applyFont="1" applyAlignment="1">
      <alignment horizontal="left"/>
    </xf>
    <xf numFmtId="220" fontId="20" fillId="0" borderId="91" xfId="6523" applyNumberFormat="1" applyFont="1" applyBorder="1" applyAlignment="1">
      <alignment horizontal="centerContinuous"/>
    </xf>
    <xf numFmtId="220" fontId="20" fillId="0" borderId="92" xfId="6523" applyNumberFormat="1" applyFont="1" applyBorder="1" applyAlignment="1">
      <alignment horizontal="centerContinuous"/>
    </xf>
    <xf numFmtId="0" fontId="34" fillId="0" borderId="0" xfId="6523" applyNumberFormat="1" applyFont="1" applyAlignment="1">
      <alignment horizontal="center"/>
    </xf>
    <xf numFmtId="0" fontId="34" fillId="0" borderId="112" xfId="6523" applyNumberFormat="1" applyFont="1" applyBorder="1" applyAlignment="1">
      <alignment horizontal="center"/>
    </xf>
    <xf numFmtId="210" fontId="34" fillId="0" borderId="39" xfId="6523" applyNumberFormat="1" applyFont="1" applyBorder="1" applyAlignment="1">
      <alignment horizontal="center"/>
    </xf>
    <xf numFmtId="217" fontId="34" fillId="0" borderId="39" xfId="6523" applyNumberFormat="1" applyFont="1" applyBorder="1" applyAlignment="1">
      <alignment horizontal="center"/>
    </xf>
    <xf numFmtId="221" fontId="34" fillId="0" borderId="39" xfId="6523" applyNumberFormat="1" applyFont="1" applyBorder="1" applyAlignment="1">
      <alignment horizontal="center"/>
    </xf>
    <xf numFmtId="164" fontId="19" fillId="0" borderId="0" xfId="6523" applyNumberFormat="1" applyFont="1" applyAlignment="1">
      <alignment horizontal="left"/>
    </xf>
    <xf numFmtId="220" fontId="20" fillId="0" borderId="0" xfId="6523" applyNumberFormat="1" applyFont="1" applyFill="1" applyBorder="1" applyAlignment="1">
      <alignment horizontal="left"/>
    </xf>
    <xf numFmtId="165" fontId="19" fillId="0" borderId="0" xfId="6523" applyFont="1">
      <alignment horizontal="left" wrapText="1"/>
    </xf>
    <xf numFmtId="0" fontId="19" fillId="0" borderId="0" xfId="6523" applyNumberFormat="1" applyFont="1" applyAlignment="1">
      <alignment horizontal="center"/>
    </xf>
    <xf numFmtId="43" fontId="29" fillId="0" borderId="0" xfId="6523" applyNumberFormat="1" applyFont="1" applyAlignment="1">
      <alignment horizontal="left"/>
    </xf>
    <xf numFmtId="164" fontId="19" fillId="0" borderId="0" xfId="6523" applyNumberFormat="1" applyFont="1" applyFill="1" applyAlignment="1">
      <alignment horizontal="left"/>
    </xf>
    <xf numFmtId="220" fontId="19" fillId="0" borderId="0" xfId="6523" applyNumberFormat="1" applyFont="1" applyFill="1" applyBorder="1" applyAlignment="1">
      <alignment horizontal="left"/>
    </xf>
    <xf numFmtId="164" fontId="19" fillId="0" borderId="15" xfId="6523" applyNumberFormat="1" applyFont="1" applyBorder="1" applyAlignment="1">
      <alignment horizontal="left"/>
    </xf>
    <xf numFmtId="220" fontId="168" fillId="0" borderId="0" xfId="6523" applyNumberFormat="1" applyFont="1" applyFill="1" applyBorder="1" applyAlignment="1">
      <alignment horizontal="right"/>
    </xf>
    <xf numFmtId="164" fontId="168" fillId="0" borderId="0" xfId="6523" applyNumberFormat="1" applyFont="1" applyAlignment="1">
      <alignment horizontal="left"/>
    </xf>
    <xf numFmtId="220" fontId="19" fillId="0" borderId="0" xfId="6523" applyNumberFormat="1" applyFont="1" applyFill="1" applyBorder="1" applyAlignment="1"/>
    <xf numFmtId="164" fontId="19" fillId="0" borderId="12" xfId="6523" applyNumberFormat="1" applyFont="1" applyBorder="1" applyAlignment="1">
      <alignment horizontal="left"/>
    </xf>
    <xf numFmtId="164" fontId="19" fillId="0" borderId="30" xfId="6523" applyNumberFormat="1" applyFont="1" applyBorder="1" applyAlignment="1">
      <alignment horizontal="left"/>
    </xf>
    <xf numFmtId="0" fontId="20" fillId="0" borderId="0" xfId="0" applyNumberFormat="1" applyFont="1" applyFill="1" applyAlignment="1">
      <alignment horizontal="center"/>
    </xf>
    <xf numFmtId="212" fontId="51" fillId="0" borderId="0" xfId="6519" applyNumberFormat="1" applyFont="1" applyFill="1" applyAlignment="1">
      <alignment horizontal="left"/>
    </xf>
    <xf numFmtId="0" fontId="42" fillId="0" borderId="0" xfId="0" applyFont="1" applyAlignment="1">
      <alignment horizontal="center"/>
    </xf>
    <xf numFmtId="0" fontId="23" fillId="0" borderId="16" xfId="0" applyFont="1" applyBorder="1" applyAlignment="1">
      <alignment horizontal="center" wrapText="1"/>
    </xf>
    <xf numFmtId="0" fontId="23" fillId="0" borderId="15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42" fontId="19" fillId="0" borderId="0" xfId="0" applyNumberFormat="1" applyFont="1" applyFill="1" applyAlignment="1">
      <alignment horizontal="center" vertical="center"/>
    </xf>
    <xf numFmtId="42" fontId="19" fillId="0" borderId="13" xfId="0" applyNumberFormat="1" applyFont="1" applyFill="1" applyBorder="1" applyAlignment="1">
      <alignment horizontal="center" vertical="center"/>
    </xf>
    <xf numFmtId="42" fontId="19" fillId="0" borderId="0" xfId="0" applyNumberFormat="1" applyFont="1" applyFill="1" applyBorder="1" applyAlignment="1">
      <alignment horizontal="center" vertical="center"/>
    </xf>
    <xf numFmtId="41" fontId="19" fillId="0" borderId="0" xfId="0" applyNumberFormat="1" applyFont="1" applyFill="1" applyBorder="1" applyAlignment="1">
      <alignment horizontal="center" vertical="center"/>
    </xf>
    <xf numFmtId="41" fontId="19" fillId="0" borderId="13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41" fontId="19" fillId="0" borderId="0" xfId="0" applyNumberFormat="1" applyFont="1" applyFill="1" applyAlignment="1">
      <alignment horizontal="center" vertical="center"/>
    </xf>
    <xf numFmtId="170" fontId="19" fillId="0" borderId="0" xfId="0" applyNumberFormat="1" applyFont="1" applyFill="1" applyBorder="1" applyAlignment="1">
      <alignment horizontal="center" vertical="center"/>
    </xf>
    <xf numFmtId="170" fontId="19" fillId="0" borderId="13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Alignment="1" applyProtection="1">
      <alignment horizontal="center"/>
      <protection locked="0"/>
    </xf>
    <xf numFmtId="0" fontId="20" fillId="0" borderId="0" xfId="0" applyNumberFormat="1" applyFont="1" applyFill="1" applyAlignment="1">
      <alignment horizontal="center"/>
    </xf>
    <xf numFmtId="0" fontId="42" fillId="0" borderId="0" xfId="0" applyFont="1" applyAlignment="1">
      <alignment horizontal="center" vertical="center"/>
    </xf>
  </cellXfs>
  <cellStyles count="18488">
    <cellStyle name="_x0013_" xfId="6517" xr:uid="{00000000-0005-0000-0000-000000000000}"/>
    <cellStyle name="_09GRC Gas Transport For Review" xfId="6516" xr:uid="{00000000-0005-0000-0000-000001000000}"/>
    <cellStyle name="_4.06E Pass Throughs" xfId="6515" xr:uid="{00000000-0005-0000-0000-000002000000}"/>
    <cellStyle name="_4.06E Pass Throughs_04 07E Wild Horse Wind Expansion (C) (2)" xfId="6514" xr:uid="{00000000-0005-0000-0000-000003000000}"/>
    <cellStyle name="_4.06E Pass Throughs_3.01 Income Statement" xfId="6513" xr:uid="{00000000-0005-0000-0000-000004000000}"/>
    <cellStyle name="_4.06E Pass Throughs_4 31 Regulatory Assets and Liabilities  7 06- Exhibit D" xfId="6512" xr:uid="{00000000-0005-0000-0000-000005000000}"/>
    <cellStyle name="_4.06E Pass Throughs_4 32 Regulatory Assets and Liabilities  7 06- Exhibit D" xfId="6511" xr:uid="{00000000-0005-0000-0000-000006000000}"/>
    <cellStyle name="_4.06E Pass Throughs_Book9" xfId="6510" xr:uid="{00000000-0005-0000-0000-000007000000}"/>
    <cellStyle name="_4.13E Montana Energy Tax" xfId="6509" xr:uid="{00000000-0005-0000-0000-000008000000}"/>
    <cellStyle name="_4.13E Montana Energy Tax_04 07E Wild Horse Wind Expansion (C) (2)" xfId="6508" xr:uid="{00000000-0005-0000-0000-000009000000}"/>
    <cellStyle name="_4.13E Montana Energy Tax_3.01 Income Statement" xfId="6507" xr:uid="{00000000-0005-0000-0000-00000A000000}"/>
    <cellStyle name="_4.13E Montana Energy Tax_4 31 Regulatory Assets and Liabilities  7 06- Exhibit D" xfId="6506" xr:uid="{00000000-0005-0000-0000-00000B000000}"/>
    <cellStyle name="_4.13E Montana Energy Tax_4 32 Regulatory Assets and Liabilities  7 06- Exhibit D" xfId="6505" xr:uid="{00000000-0005-0000-0000-00000C000000}"/>
    <cellStyle name="_4.13E Montana Energy Tax_Book9" xfId="6504" xr:uid="{00000000-0005-0000-0000-00000D000000}"/>
    <cellStyle name="_AURORA WIP" xfId="6503" xr:uid="{00000000-0005-0000-0000-00000E000000}"/>
    <cellStyle name="_Book1" xfId="6502" xr:uid="{00000000-0005-0000-0000-00000F000000}"/>
    <cellStyle name="_Book1 (2)" xfId="6501" xr:uid="{00000000-0005-0000-0000-000010000000}"/>
    <cellStyle name="_Book1 (2)_04 07E Wild Horse Wind Expansion (C) (2)" xfId="6500" xr:uid="{00000000-0005-0000-0000-000011000000}"/>
    <cellStyle name="_Book1 (2)_3.01 Income Statement" xfId="6499" xr:uid="{00000000-0005-0000-0000-000012000000}"/>
    <cellStyle name="_Book1 (2)_4 31 Regulatory Assets and Liabilities  7 06- Exhibit D" xfId="6498" xr:uid="{00000000-0005-0000-0000-000013000000}"/>
    <cellStyle name="_Book1 (2)_4 32 Regulatory Assets and Liabilities  7 06- Exhibit D" xfId="6497" xr:uid="{00000000-0005-0000-0000-000014000000}"/>
    <cellStyle name="_Book1 (2)_Book9" xfId="6496" xr:uid="{00000000-0005-0000-0000-000015000000}"/>
    <cellStyle name="_Book1_3.01 Income Statement" xfId="6495" xr:uid="{00000000-0005-0000-0000-000016000000}"/>
    <cellStyle name="_Book1_4 31 Regulatory Assets and Liabilities  7 06- Exhibit D" xfId="6494" xr:uid="{00000000-0005-0000-0000-000017000000}"/>
    <cellStyle name="_Book1_4 32 Regulatory Assets and Liabilities  7 06- Exhibit D" xfId="6493" xr:uid="{00000000-0005-0000-0000-000018000000}"/>
    <cellStyle name="_Book1_Book9" xfId="6492" xr:uid="{00000000-0005-0000-0000-000019000000}"/>
    <cellStyle name="_Book2" xfId="6491" xr:uid="{00000000-0005-0000-0000-00001A000000}"/>
    <cellStyle name="_Book2_04 07E Wild Horse Wind Expansion (C) (2)" xfId="6490" xr:uid="{00000000-0005-0000-0000-00001B000000}"/>
    <cellStyle name="_Book2_3.01 Income Statement" xfId="6489" xr:uid="{00000000-0005-0000-0000-00001C000000}"/>
    <cellStyle name="_Book2_4 31 Regulatory Assets and Liabilities  7 06- Exhibit D" xfId="6488" xr:uid="{00000000-0005-0000-0000-00001D000000}"/>
    <cellStyle name="_Book2_4 32 Regulatory Assets and Liabilities  7 06- Exhibit D" xfId="6487" xr:uid="{00000000-0005-0000-0000-00001E000000}"/>
    <cellStyle name="_Book2_Book9" xfId="6486" xr:uid="{00000000-0005-0000-0000-00001F000000}"/>
    <cellStyle name="_Book3" xfId="6485" xr:uid="{00000000-0005-0000-0000-000020000000}"/>
    <cellStyle name="_Book5" xfId="6484" xr:uid="{00000000-0005-0000-0000-000021000000}"/>
    <cellStyle name="_Chelan Debt Forecast 12.19.05" xfId="6483" xr:uid="{00000000-0005-0000-0000-000022000000}"/>
    <cellStyle name="_Chelan Debt Forecast 12.19.05_3.01 Income Statement" xfId="6482" xr:uid="{00000000-0005-0000-0000-000023000000}"/>
    <cellStyle name="_Chelan Debt Forecast 12.19.05_4 31 Regulatory Assets and Liabilities  7 06- Exhibit D" xfId="6481" xr:uid="{00000000-0005-0000-0000-000024000000}"/>
    <cellStyle name="_Chelan Debt Forecast 12.19.05_4 32 Regulatory Assets and Liabilities  7 06- Exhibit D" xfId="6480" xr:uid="{00000000-0005-0000-0000-000025000000}"/>
    <cellStyle name="_Chelan Debt Forecast 12.19.05_Book9" xfId="6479" xr:uid="{00000000-0005-0000-0000-000026000000}"/>
    <cellStyle name="_Copy 11-9 Sumas Proforma - Current" xfId="6478" xr:uid="{00000000-0005-0000-0000-000027000000}"/>
    <cellStyle name="_Costs not in AURORA 06GRC" xfId="6477" xr:uid="{00000000-0005-0000-0000-000028000000}"/>
    <cellStyle name="_Costs not in AURORA 06GRC_04 07E Wild Horse Wind Expansion (C) (2)" xfId="6476" xr:uid="{00000000-0005-0000-0000-000029000000}"/>
    <cellStyle name="_Costs not in AURORA 06GRC_3.01 Income Statement" xfId="6475" xr:uid="{00000000-0005-0000-0000-00002A000000}"/>
    <cellStyle name="_Costs not in AURORA 06GRC_4 31 Regulatory Assets and Liabilities  7 06- Exhibit D" xfId="6474" xr:uid="{00000000-0005-0000-0000-00002B000000}"/>
    <cellStyle name="_Costs not in AURORA 06GRC_4 32 Regulatory Assets and Liabilities  7 06- Exhibit D" xfId="6473" xr:uid="{00000000-0005-0000-0000-00002C000000}"/>
    <cellStyle name="_Costs not in AURORA 06GRC_Book9" xfId="6472" xr:uid="{00000000-0005-0000-0000-00002D000000}"/>
    <cellStyle name="_Costs not in AURORA 2006GRC 6.15.06" xfId="6471" xr:uid="{00000000-0005-0000-0000-00002E000000}"/>
    <cellStyle name="_Costs not in AURORA 2006GRC 6.15.06_04 07E Wild Horse Wind Expansion (C) (2)" xfId="6470" xr:uid="{00000000-0005-0000-0000-00002F000000}"/>
    <cellStyle name="_Costs not in AURORA 2006GRC 6.15.06_3.01 Income Statement" xfId="6469" xr:uid="{00000000-0005-0000-0000-000030000000}"/>
    <cellStyle name="_Costs not in AURORA 2006GRC 6.15.06_4 31 Regulatory Assets and Liabilities  7 06- Exhibit D" xfId="6468" xr:uid="{00000000-0005-0000-0000-000031000000}"/>
    <cellStyle name="_Costs not in AURORA 2006GRC 6.15.06_4 32 Regulatory Assets and Liabilities  7 06- Exhibit D" xfId="6467" xr:uid="{00000000-0005-0000-0000-000032000000}"/>
    <cellStyle name="_Costs not in AURORA 2006GRC 6.15.06_Book9" xfId="6466" xr:uid="{00000000-0005-0000-0000-000033000000}"/>
    <cellStyle name="_Costs not in AURORA 2006GRC w gas price updated" xfId="6465" xr:uid="{00000000-0005-0000-0000-000034000000}"/>
    <cellStyle name="_Costs not in AURORA 2007 Rate Case" xfId="6464" xr:uid="{00000000-0005-0000-0000-000035000000}"/>
    <cellStyle name="_Costs not in AURORA 2007 Rate Case_3.01 Income Statement" xfId="6463" xr:uid="{00000000-0005-0000-0000-000036000000}"/>
    <cellStyle name="_Costs not in AURORA 2007 Rate Case_4 31 Regulatory Assets and Liabilities  7 06- Exhibit D" xfId="6462" xr:uid="{00000000-0005-0000-0000-000037000000}"/>
    <cellStyle name="_Costs not in AURORA 2007 Rate Case_4 32 Regulatory Assets and Liabilities  7 06- Exhibit D" xfId="6461" xr:uid="{00000000-0005-0000-0000-000038000000}"/>
    <cellStyle name="_Costs not in AURORA 2007 Rate Case_Book9" xfId="6460" xr:uid="{00000000-0005-0000-0000-000039000000}"/>
    <cellStyle name="_Costs not in KWI3000 '06Budget" xfId="6459" xr:uid="{00000000-0005-0000-0000-00003A000000}"/>
    <cellStyle name="_Costs not in KWI3000 '06Budget_3.01 Income Statement" xfId="6458" xr:uid="{00000000-0005-0000-0000-00003B000000}"/>
    <cellStyle name="_Costs not in KWI3000 '06Budget_4 31 Regulatory Assets and Liabilities  7 06- Exhibit D" xfId="6457" xr:uid="{00000000-0005-0000-0000-00003C000000}"/>
    <cellStyle name="_Costs not in KWI3000 '06Budget_4 32 Regulatory Assets and Liabilities  7 06- Exhibit D" xfId="6456" xr:uid="{00000000-0005-0000-0000-00003D000000}"/>
    <cellStyle name="_Costs not in KWI3000 '06Budget_Book9" xfId="6455" xr:uid="{00000000-0005-0000-0000-00003E000000}"/>
    <cellStyle name="_DEM-WP (C) Power Cost 2006GRC Order" xfId="6454" xr:uid="{00000000-0005-0000-0000-00003F000000}"/>
    <cellStyle name="_DEM-WP (C) Power Cost 2006GRC Order_04 07E Wild Horse Wind Expansion (C) (2)" xfId="6453" xr:uid="{00000000-0005-0000-0000-000040000000}"/>
    <cellStyle name="_DEM-WP (C) Power Cost 2006GRC Order_3.01 Income Statement" xfId="6452" xr:uid="{00000000-0005-0000-0000-000041000000}"/>
    <cellStyle name="_DEM-WP (C) Power Cost 2006GRC Order_4 31 Regulatory Assets and Liabilities  7 06- Exhibit D" xfId="6451" xr:uid="{00000000-0005-0000-0000-000042000000}"/>
    <cellStyle name="_DEM-WP (C) Power Cost 2006GRC Order_4 32 Regulatory Assets and Liabilities  7 06- Exhibit D" xfId="6450" xr:uid="{00000000-0005-0000-0000-000043000000}"/>
    <cellStyle name="_DEM-WP (C) Power Cost 2006GRC Order_Book9" xfId="6449" xr:uid="{00000000-0005-0000-0000-000044000000}"/>
    <cellStyle name="_DEM-WP Revised (HC) Wild Horse 2006GRC" xfId="6448" xr:uid="{00000000-0005-0000-0000-000045000000}"/>
    <cellStyle name="_DEM-WP(C) Colstrip FOR" xfId="6447" xr:uid="{00000000-0005-0000-0000-000046000000}"/>
    <cellStyle name="_DEM-WP(C) Costs not in AURORA 2006GRC" xfId="6446" xr:uid="{00000000-0005-0000-0000-000047000000}"/>
    <cellStyle name="_DEM-WP(C) Costs not in AURORA 2006GRC_3.01 Income Statement" xfId="6445" xr:uid="{00000000-0005-0000-0000-000048000000}"/>
    <cellStyle name="_DEM-WP(C) Costs not in AURORA 2006GRC_4 31 Regulatory Assets and Liabilities  7 06- Exhibit D" xfId="6444" xr:uid="{00000000-0005-0000-0000-000049000000}"/>
    <cellStyle name="_DEM-WP(C) Costs not in AURORA 2006GRC_4 32 Regulatory Assets and Liabilities  7 06- Exhibit D" xfId="6443" xr:uid="{00000000-0005-0000-0000-00004A000000}"/>
    <cellStyle name="_DEM-WP(C) Costs not in AURORA 2006GRC_Book9" xfId="6442" xr:uid="{00000000-0005-0000-0000-00004B000000}"/>
    <cellStyle name="_DEM-WP(C) Costs not in AURORA 2007GRC" xfId="6441" xr:uid="{00000000-0005-0000-0000-00004C000000}"/>
    <cellStyle name="_DEM-WP(C) Costs not in AURORA 2007PCORC-5.07Update" xfId="6440" xr:uid="{00000000-0005-0000-0000-00004D000000}"/>
    <cellStyle name="_DEM-WP(C) Costs not in AURORA 2007PCORC-5.07Update_DEM-WP(C) Production O&amp;M 2009GRC Rebuttal" xfId="6439" xr:uid="{00000000-0005-0000-0000-00004E000000}"/>
    <cellStyle name="_DEM-WP(C) Prod O&amp;M 2007GRC" xfId="6438" xr:uid="{00000000-0005-0000-0000-00004F000000}"/>
    <cellStyle name="_DEM-WP(C) Rate Year Sumas by Month Update Corrected" xfId="6437" xr:uid="{00000000-0005-0000-0000-000050000000}"/>
    <cellStyle name="_DEM-WP(C) Sumas Proforma 11.5.07" xfId="6436" xr:uid="{00000000-0005-0000-0000-000051000000}"/>
    <cellStyle name="_DEM-WP(C) Westside Hydro Data_051007" xfId="6435" xr:uid="{00000000-0005-0000-0000-000052000000}"/>
    <cellStyle name="_Fixed Gas Transport 1 19 09" xfId="6434" xr:uid="{00000000-0005-0000-0000-000053000000}"/>
    <cellStyle name="_Fuel Prices 4-14" xfId="6433" xr:uid="{00000000-0005-0000-0000-000054000000}"/>
    <cellStyle name="_Fuel Prices 4-14_04 07E Wild Horse Wind Expansion (C) (2)" xfId="6432" xr:uid="{00000000-0005-0000-0000-000055000000}"/>
    <cellStyle name="_Fuel Prices 4-14_3.01 Income Statement" xfId="6431" xr:uid="{00000000-0005-0000-0000-000056000000}"/>
    <cellStyle name="_Fuel Prices 4-14_4 31 Regulatory Assets and Liabilities  7 06- Exhibit D" xfId="6430" xr:uid="{00000000-0005-0000-0000-000057000000}"/>
    <cellStyle name="_Fuel Prices 4-14_4 32 Regulatory Assets and Liabilities  7 06- Exhibit D" xfId="6429" xr:uid="{00000000-0005-0000-0000-000058000000}"/>
    <cellStyle name="_Fuel Prices 4-14_Book9" xfId="6428" xr:uid="{00000000-0005-0000-0000-000059000000}"/>
    <cellStyle name="_Gas Transportation Charges_2009GRC_120308" xfId="6427" xr:uid="{00000000-0005-0000-0000-00005A000000}"/>
    <cellStyle name="_NIM 06 Base Case Current Trends" xfId="6426" xr:uid="{00000000-0005-0000-0000-00005B000000}"/>
    <cellStyle name="_Portfolio SPlan Base Case.xls Chart 1" xfId="6425" xr:uid="{00000000-0005-0000-0000-00005C000000}"/>
    <cellStyle name="_Portfolio SPlan Base Case.xls Chart 2" xfId="6424" xr:uid="{00000000-0005-0000-0000-00005D000000}"/>
    <cellStyle name="_Portfolio SPlan Base Case.xls Chart 3" xfId="6423" xr:uid="{00000000-0005-0000-0000-00005E000000}"/>
    <cellStyle name="_Power Cost Value Copy 11.30.05 gas 1.09.06 AURORA at 1.10.06" xfId="6422" xr:uid="{00000000-0005-0000-0000-00005F000000}"/>
    <cellStyle name="_Power Cost Value Copy 11.30.05 gas 1.09.06 AURORA at 1.10.06_04 07E Wild Horse Wind Expansion (C) (2)" xfId="6421" xr:uid="{00000000-0005-0000-0000-000060000000}"/>
    <cellStyle name="_Power Cost Value Copy 11.30.05 gas 1.09.06 AURORA at 1.10.06_3.01 Income Statement" xfId="6420" xr:uid="{00000000-0005-0000-0000-000061000000}"/>
    <cellStyle name="_Power Cost Value Copy 11.30.05 gas 1.09.06 AURORA at 1.10.06_4 31 Regulatory Assets and Liabilities  7 06- Exhibit D" xfId="6419" xr:uid="{00000000-0005-0000-0000-000062000000}"/>
    <cellStyle name="_Power Cost Value Copy 11.30.05 gas 1.09.06 AURORA at 1.10.06_4 32 Regulatory Assets and Liabilities  7 06- Exhibit D" xfId="6418" xr:uid="{00000000-0005-0000-0000-000063000000}"/>
    <cellStyle name="_Power Cost Value Copy 11.30.05 gas 1.09.06 AURORA at 1.10.06_Book9" xfId="6417" xr:uid="{00000000-0005-0000-0000-000064000000}"/>
    <cellStyle name="_Pro Forma Rev 07 GRC" xfId="6416" xr:uid="{00000000-0005-0000-0000-000065000000}"/>
    <cellStyle name="_Recon to Darrin's 5.11.05 proforma" xfId="6415" xr:uid="{00000000-0005-0000-0000-000066000000}"/>
    <cellStyle name="_Recon to Darrin's 5.11.05 proforma_3.01 Income Statement" xfId="6414" xr:uid="{00000000-0005-0000-0000-000067000000}"/>
    <cellStyle name="_Recon to Darrin's 5.11.05 proforma_4 31 Regulatory Assets and Liabilities  7 06- Exhibit D" xfId="6413" xr:uid="{00000000-0005-0000-0000-000068000000}"/>
    <cellStyle name="_Recon to Darrin's 5.11.05 proforma_4 32 Regulatory Assets and Liabilities  7 06- Exhibit D" xfId="6412" xr:uid="{00000000-0005-0000-0000-000069000000}"/>
    <cellStyle name="_Recon to Darrin's 5.11.05 proforma_Book9" xfId="6411" xr:uid="{00000000-0005-0000-0000-00006A000000}"/>
    <cellStyle name="_Revenue" xfId="6410" xr:uid="{00000000-0005-0000-0000-00006B000000}"/>
    <cellStyle name="_Revenue_Data" xfId="6409" xr:uid="{00000000-0005-0000-0000-00006C000000}"/>
    <cellStyle name="_Revenue_Data_1" xfId="6408" xr:uid="{00000000-0005-0000-0000-00006D000000}"/>
    <cellStyle name="_Revenue_Data_Pro Forma Rev 09 GRC" xfId="6407" xr:uid="{00000000-0005-0000-0000-00006E000000}"/>
    <cellStyle name="_Revenue_Data_Pro Forma Rev 2010 GRC" xfId="6406" xr:uid="{00000000-0005-0000-0000-00006F000000}"/>
    <cellStyle name="_Revenue_Data_Pro Forma Rev 2010 GRC_Preliminary" xfId="6405" xr:uid="{00000000-0005-0000-0000-000070000000}"/>
    <cellStyle name="_Revenue_Data_Revenue (Feb 09 - Jan 10)" xfId="6404" xr:uid="{00000000-0005-0000-0000-000071000000}"/>
    <cellStyle name="_Revenue_Data_Revenue (Jan 09 - Dec 09)" xfId="6403" xr:uid="{00000000-0005-0000-0000-000072000000}"/>
    <cellStyle name="_Revenue_Data_Revenue (Mar 09 - Feb 10)" xfId="6402" xr:uid="{00000000-0005-0000-0000-000073000000}"/>
    <cellStyle name="_Revenue_Data_Volume Exhibit (Jan09 - Dec09)" xfId="6401" xr:uid="{00000000-0005-0000-0000-000074000000}"/>
    <cellStyle name="_Revenue_Mins" xfId="6400" xr:uid="{00000000-0005-0000-0000-000075000000}"/>
    <cellStyle name="_Revenue_Pro Forma Rev 07 GRC" xfId="6399" xr:uid="{00000000-0005-0000-0000-000076000000}"/>
    <cellStyle name="_Revenue_Pro Forma Rev 08 GRC" xfId="6398" xr:uid="{00000000-0005-0000-0000-000077000000}"/>
    <cellStyle name="_Revenue_Pro Forma Rev 09 GRC" xfId="6397" xr:uid="{00000000-0005-0000-0000-000078000000}"/>
    <cellStyle name="_Revenue_Pro Forma Rev 2010 GRC" xfId="6396" xr:uid="{00000000-0005-0000-0000-000079000000}"/>
    <cellStyle name="_Revenue_Pro Forma Rev 2010 GRC_Preliminary" xfId="6395" xr:uid="{00000000-0005-0000-0000-00007A000000}"/>
    <cellStyle name="_Revenue_Revenue (Feb 09 - Jan 10)" xfId="6394" xr:uid="{00000000-0005-0000-0000-00007B000000}"/>
    <cellStyle name="_Revenue_Revenue (Jan 09 - Dec 09)" xfId="6393" xr:uid="{00000000-0005-0000-0000-00007C000000}"/>
    <cellStyle name="_Revenue_Revenue (Mar 09 - Feb 10)" xfId="6392" xr:uid="{00000000-0005-0000-0000-00007D000000}"/>
    <cellStyle name="_Revenue_Sheet2" xfId="6391" xr:uid="{00000000-0005-0000-0000-00007E000000}"/>
    <cellStyle name="_Revenue_Therms Data" xfId="6390" xr:uid="{00000000-0005-0000-0000-00007F000000}"/>
    <cellStyle name="_Revenue_Therms Data Rerun" xfId="6389" xr:uid="{00000000-0005-0000-0000-000080000000}"/>
    <cellStyle name="_Revenue_Volume Exhibit (Jan09 - Dec09)" xfId="6388" xr:uid="{00000000-0005-0000-0000-000081000000}"/>
    <cellStyle name="_Sumas Proforma - 11-09-07" xfId="6387" xr:uid="{00000000-0005-0000-0000-000082000000}"/>
    <cellStyle name="_Sumas Property Taxes v1" xfId="6386" xr:uid="{00000000-0005-0000-0000-000083000000}"/>
    <cellStyle name="_Tenaska Comparison" xfId="6385" xr:uid="{00000000-0005-0000-0000-000084000000}"/>
    <cellStyle name="_Tenaska Comparison_3.01 Income Statement" xfId="6384" xr:uid="{00000000-0005-0000-0000-000085000000}"/>
    <cellStyle name="_Tenaska Comparison_4 31 Regulatory Assets and Liabilities  7 06- Exhibit D" xfId="6383" xr:uid="{00000000-0005-0000-0000-000086000000}"/>
    <cellStyle name="_Tenaska Comparison_4 32 Regulatory Assets and Liabilities  7 06- Exhibit D" xfId="6382" xr:uid="{00000000-0005-0000-0000-000087000000}"/>
    <cellStyle name="_Tenaska Comparison_Book9" xfId="6381" xr:uid="{00000000-0005-0000-0000-000088000000}"/>
    <cellStyle name="_Therms Data" xfId="6380" xr:uid="{00000000-0005-0000-0000-000089000000}"/>
    <cellStyle name="_Therms Data_Pro Forma Rev 09 GRC" xfId="6379" xr:uid="{00000000-0005-0000-0000-00008A000000}"/>
    <cellStyle name="_Therms Data_Pro Forma Rev 2010 GRC" xfId="6378" xr:uid="{00000000-0005-0000-0000-00008B000000}"/>
    <cellStyle name="_Therms Data_Pro Forma Rev 2010 GRC_Preliminary" xfId="6377" xr:uid="{00000000-0005-0000-0000-00008C000000}"/>
    <cellStyle name="_Therms Data_Revenue (Feb 09 - Jan 10)" xfId="6376" xr:uid="{00000000-0005-0000-0000-00008D000000}"/>
    <cellStyle name="_Therms Data_Revenue (Jan 09 - Dec 09)" xfId="6375" xr:uid="{00000000-0005-0000-0000-00008E000000}"/>
    <cellStyle name="_Therms Data_Revenue (Mar 09 - Feb 10)" xfId="6374" xr:uid="{00000000-0005-0000-0000-00008F000000}"/>
    <cellStyle name="_Therms Data_Volume Exhibit (Jan09 - Dec09)" xfId="6373" xr:uid="{00000000-0005-0000-0000-000090000000}"/>
    <cellStyle name="_Value Copy 11 30 05 gas 12 09 05 AURORA at 12 14 05" xfId="6372" xr:uid="{00000000-0005-0000-0000-000091000000}"/>
    <cellStyle name="_Value Copy 11 30 05 gas 12 09 05 AURORA at 12 14 05_04 07E Wild Horse Wind Expansion (C) (2)" xfId="6371" xr:uid="{00000000-0005-0000-0000-000092000000}"/>
    <cellStyle name="_Value Copy 11 30 05 gas 12 09 05 AURORA at 12 14 05_3.01 Income Statement" xfId="6370" xr:uid="{00000000-0005-0000-0000-000093000000}"/>
    <cellStyle name="_Value Copy 11 30 05 gas 12 09 05 AURORA at 12 14 05_4 31 Regulatory Assets and Liabilities  7 06- Exhibit D" xfId="6369" xr:uid="{00000000-0005-0000-0000-000094000000}"/>
    <cellStyle name="_Value Copy 11 30 05 gas 12 09 05 AURORA at 12 14 05_4 32 Regulatory Assets and Liabilities  7 06- Exhibit D" xfId="6368" xr:uid="{00000000-0005-0000-0000-000095000000}"/>
    <cellStyle name="_Value Copy 11 30 05 gas 12 09 05 AURORA at 12 14 05_Book9" xfId="6367" xr:uid="{00000000-0005-0000-0000-000096000000}"/>
    <cellStyle name="_VC 6.15.06 update on 06GRC power costs.xls Chart 1" xfId="6366" xr:uid="{00000000-0005-0000-0000-000097000000}"/>
    <cellStyle name="_VC 6.15.06 update on 06GRC power costs.xls Chart 1_04 07E Wild Horse Wind Expansion (C) (2)" xfId="6365" xr:uid="{00000000-0005-0000-0000-000098000000}"/>
    <cellStyle name="_VC 6.15.06 update on 06GRC power costs.xls Chart 1_3.01 Income Statement" xfId="6364" xr:uid="{00000000-0005-0000-0000-000099000000}"/>
    <cellStyle name="_VC 6.15.06 update on 06GRC power costs.xls Chart 1_4 31 Regulatory Assets and Liabilities  7 06- Exhibit D" xfId="6363" xr:uid="{00000000-0005-0000-0000-00009A000000}"/>
    <cellStyle name="_VC 6.15.06 update on 06GRC power costs.xls Chart 1_4 32 Regulatory Assets and Liabilities  7 06- Exhibit D" xfId="6362" xr:uid="{00000000-0005-0000-0000-00009B000000}"/>
    <cellStyle name="_VC 6.15.06 update on 06GRC power costs.xls Chart 1_Book9" xfId="6361" xr:uid="{00000000-0005-0000-0000-00009C000000}"/>
    <cellStyle name="_VC 6.15.06 update on 06GRC power costs.xls Chart 2" xfId="6360" xr:uid="{00000000-0005-0000-0000-00009D000000}"/>
    <cellStyle name="_VC 6.15.06 update on 06GRC power costs.xls Chart 2_04 07E Wild Horse Wind Expansion (C) (2)" xfId="6359" xr:uid="{00000000-0005-0000-0000-00009E000000}"/>
    <cellStyle name="_VC 6.15.06 update on 06GRC power costs.xls Chart 2_3.01 Income Statement" xfId="6358" xr:uid="{00000000-0005-0000-0000-00009F000000}"/>
    <cellStyle name="_VC 6.15.06 update on 06GRC power costs.xls Chart 2_4 31 Regulatory Assets and Liabilities  7 06- Exhibit D" xfId="6357" xr:uid="{00000000-0005-0000-0000-0000A0000000}"/>
    <cellStyle name="_VC 6.15.06 update on 06GRC power costs.xls Chart 2_4 32 Regulatory Assets and Liabilities  7 06- Exhibit D" xfId="6356" xr:uid="{00000000-0005-0000-0000-0000A1000000}"/>
    <cellStyle name="_VC 6.15.06 update on 06GRC power costs.xls Chart 2_Book9" xfId="6355" xr:uid="{00000000-0005-0000-0000-0000A2000000}"/>
    <cellStyle name="_VC 6.15.06 update on 06GRC power costs.xls Chart 3" xfId="6354" xr:uid="{00000000-0005-0000-0000-0000A3000000}"/>
    <cellStyle name="_VC 6.15.06 update on 06GRC power costs.xls Chart 3_04 07E Wild Horse Wind Expansion (C) (2)" xfId="6353" xr:uid="{00000000-0005-0000-0000-0000A4000000}"/>
    <cellStyle name="_VC 6.15.06 update on 06GRC power costs.xls Chart 3_3.01 Income Statement" xfId="6352" xr:uid="{00000000-0005-0000-0000-0000A5000000}"/>
    <cellStyle name="_VC 6.15.06 update on 06GRC power costs.xls Chart 3_4 31 Regulatory Assets and Liabilities  7 06- Exhibit D" xfId="6351" xr:uid="{00000000-0005-0000-0000-0000A6000000}"/>
    <cellStyle name="_VC 6.15.06 update on 06GRC power costs.xls Chart 3_4 32 Regulatory Assets and Liabilities  7 06- Exhibit D" xfId="6350" xr:uid="{00000000-0005-0000-0000-0000A7000000}"/>
    <cellStyle name="_VC 6.15.06 update on 06GRC power costs.xls Chart 3_Book9" xfId="6349" xr:uid="{00000000-0005-0000-0000-0000A8000000}"/>
    <cellStyle name="0,0_x000d__x000a_NA_x000d__x000a_" xfId="6348" xr:uid="{00000000-0005-0000-0000-0000A9000000}"/>
    <cellStyle name="0000" xfId="6347" xr:uid="{00000000-0005-0000-0000-0000AA000000}"/>
    <cellStyle name="000000" xfId="6346" xr:uid="{00000000-0005-0000-0000-0000AB000000}"/>
    <cellStyle name="20% - Accent1 10" xfId="6345" xr:uid="{00000000-0005-0000-0000-0000AC000000}"/>
    <cellStyle name="20% - Accent1 10 2" xfId="6344" xr:uid="{00000000-0005-0000-0000-0000AD000000}"/>
    <cellStyle name="20% - Accent1 10 2 2" xfId="6343" xr:uid="{00000000-0005-0000-0000-0000AE000000}"/>
    <cellStyle name="20% - Accent1 10 2 2 2" xfId="6342" xr:uid="{00000000-0005-0000-0000-0000AF000000}"/>
    <cellStyle name="20% - Accent1 10 2 2 3" xfId="6341" xr:uid="{00000000-0005-0000-0000-0000B0000000}"/>
    <cellStyle name="20% - Accent1 10 2 3" xfId="6340" xr:uid="{00000000-0005-0000-0000-0000B1000000}"/>
    <cellStyle name="20% - Accent1 10 2 3 2" xfId="6524" xr:uid="{00000000-0005-0000-0000-0000B2000000}"/>
    <cellStyle name="20% - Accent1 10 2 4" xfId="6339" xr:uid="{00000000-0005-0000-0000-0000B3000000}"/>
    <cellStyle name="20% - Accent1 10 2 4 2" xfId="6525" xr:uid="{00000000-0005-0000-0000-0000B4000000}"/>
    <cellStyle name="20% - Accent1 10 2 5" xfId="6526" xr:uid="{00000000-0005-0000-0000-0000B5000000}"/>
    <cellStyle name="20% - Accent1 10 3" xfId="6338" xr:uid="{00000000-0005-0000-0000-0000B6000000}"/>
    <cellStyle name="20% - Accent1 10 3 2" xfId="6337" xr:uid="{00000000-0005-0000-0000-0000B7000000}"/>
    <cellStyle name="20% - Accent1 10 3 2 2" xfId="6527" xr:uid="{00000000-0005-0000-0000-0000B8000000}"/>
    <cellStyle name="20% - Accent1 10 3 3" xfId="6336" xr:uid="{00000000-0005-0000-0000-0000B9000000}"/>
    <cellStyle name="20% - Accent1 10 4" xfId="6335" xr:uid="{00000000-0005-0000-0000-0000BA000000}"/>
    <cellStyle name="20% - Accent1 10 4 2" xfId="6334" xr:uid="{00000000-0005-0000-0000-0000BB000000}"/>
    <cellStyle name="20% - Accent1 10 4 3" xfId="6333" xr:uid="{00000000-0005-0000-0000-0000BC000000}"/>
    <cellStyle name="20% - Accent1 10 5" xfId="6332" xr:uid="{00000000-0005-0000-0000-0000BD000000}"/>
    <cellStyle name="20% - Accent1 10 5 2" xfId="6528" xr:uid="{00000000-0005-0000-0000-0000BE000000}"/>
    <cellStyle name="20% - Accent1 10 6" xfId="6331" xr:uid="{00000000-0005-0000-0000-0000BF000000}"/>
    <cellStyle name="20% - Accent1 10 7" xfId="6529" xr:uid="{00000000-0005-0000-0000-0000C0000000}"/>
    <cellStyle name="20% - Accent1 11" xfId="6330" xr:uid="{00000000-0005-0000-0000-0000C1000000}"/>
    <cellStyle name="20% - Accent1 11 2" xfId="6329" xr:uid="{00000000-0005-0000-0000-0000C2000000}"/>
    <cellStyle name="20% - Accent1 11 2 2" xfId="6328" xr:uid="{00000000-0005-0000-0000-0000C3000000}"/>
    <cellStyle name="20% - Accent1 11 2 2 2" xfId="6327" xr:uid="{00000000-0005-0000-0000-0000C4000000}"/>
    <cellStyle name="20% - Accent1 11 2 2 3" xfId="6326" xr:uid="{00000000-0005-0000-0000-0000C5000000}"/>
    <cellStyle name="20% - Accent1 11 2 3" xfId="6325" xr:uid="{00000000-0005-0000-0000-0000C6000000}"/>
    <cellStyle name="20% - Accent1 11 2 4" xfId="6324" xr:uid="{00000000-0005-0000-0000-0000C7000000}"/>
    <cellStyle name="20% - Accent1 11 3" xfId="6323" xr:uid="{00000000-0005-0000-0000-0000C8000000}"/>
    <cellStyle name="20% - Accent1 11 3 2" xfId="6322" xr:uid="{00000000-0005-0000-0000-0000C9000000}"/>
    <cellStyle name="20% - Accent1 11 3 3" xfId="6321" xr:uid="{00000000-0005-0000-0000-0000CA000000}"/>
    <cellStyle name="20% - Accent1 11 4" xfId="6320" xr:uid="{00000000-0005-0000-0000-0000CB000000}"/>
    <cellStyle name="20% - Accent1 11 4 2" xfId="6319" xr:uid="{00000000-0005-0000-0000-0000CC000000}"/>
    <cellStyle name="20% - Accent1 11 4 3" xfId="6318" xr:uid="{00000000-0005-0000-0000-0000CD000000}"/>
    <cellStyle name="20% - Accent1 11 5" xfId="6317" xr:uid="{00000000-0005-0000-0000-0000CE000000}"/>
    <cellStyle name="20% - Accent1 11 6" xfId="6316" xr:uid="{00000000-0005-0000-0000-0000CF000000}"/>
    <cellStyle name="20% - Accent1 12" xfId="6315" xr:uid="{00000000-0005-0000-0000-0000D0000000}"/>
    <cellStyle name="20% - Accent1 12 2" xfId="6314" xr:uid="{00000000-0005-0000-0000-0000D1000000}"/>
    <cellStyle name="20% - Accent1 12 2 2" xfId="6313" xr:uid="{00000000-0005-0000-0000-0000D2000000}"/>
    <cellStyle name="20% - Accent1 12 2 2 2" xfId="6312" xr:uid="{00000000-0005-0000-0000-0000D3000000}"/>
    <cellStyle name="20% - Accent1 12 2 2 3" xfId="6311" xr:uid="{00000000-0005-0000-0000-0000D4000000}"/>
    <cellStyle name="20% - Accent1 12 2 3" xfId="6310" xr:uid="{00000000-0005-0000-0000-0000D5000000}"/>
    <cellStyle name="20% - Accent1 12 2 4" xfId="6309" xr:uid="{00000000-0005-0000-0000-0000D6000000}"/>
    <cellStyle name="20% - Accent1 12 3" xfId="6308" xr:uid="{00000000-0005-0000-0000-0000D7000000}"/>
    <cellStyle name="20% - Accent1 12 3 2" xfId="6307" xr:uid="{00000000-0005-0000-0000-0000D8000000}"/>
    <cellStyle name="20% - Accent1 12 3 3" xfId="6306" xr:uid="{00000000-0005-0000-0000-0000D9000000}"/>
    <cellStyle name="20% - Accent1 12 4" xfId="6305" xr:uid="{00000000-0005-0000-0000-0000DA000000}"/>
    <cellStyle name="20% - Accent1 12 4 2" xfId="6304" xr:uid="{00000000-0005-0000-0000-0000DB000000}"/>
    <cellStyle name="20% - Accent1 12 4 3" xfId="6303" xr:uid="{00000000-0005-0000-0000-0000DC000000}"/>
    <cellStyle name="20% - Accent1 12 5" xfId="6302" xr:uid="{00000000-0005-0000-0000-0000DD000000}"/>
    <cellStyle name="20% - Accent1 12 6" xfId="6301" xr:uid="{00000000-0005-0000-0000-0000DE000000}"/>
    <cellStyle name="20% - Accent1 13" xfId="6300" xr:uid="{00000000-0005-0000-0000-0000DF000000}"/>
    <cellStyle name="20% - Accent1 13 2" xfId="6299" xr:uid="{00000000-0005-0000-0000-0000E0000000}"/>
    <cellStyle name="20% - Accent1 13 2 2" xfId="6298" xr:uid="{00000000-0005-0000-0000-0000E1000000}"/>
    <cellStyle name="20% - Accent1 13 2 2 2" xfId="6297" xr:uid="{00000000-0005-0000-0000-0000E2000000}"/>
    <cellStyle name="20% - Accent1 13 2 2 3" xfId="6296" xr:uid="{00000000-0005-0000-0000-0000E3000000}"/>
    <cellStyle name="20% - Accent1 13 2 3" xfId="6295" xr:uid="{00000000-0005-0000-0000-0000E4000000}"/>
    <cellStyle name="20% - Accent1 13 2 4" xfId="6294" xr:uid="{00000000-0005-0000-0000-0000E5000000}"/>
    <cellStyle name="20% - Accent1 13 3" xfId="6293" xr:uid="{00000000-0005-0000-0000-0000E6000000}"/>
    <cellStyle name="20% - Accent1 13 3 2" xfId="6292" xr:uid="{00000000-0005-0000-0000-0000E7000000}"/>
    <cellStyle name="20% - Accent1 13 3 3" xfId="6291" xr:uid="{00000000-0005-0000-0000-0000E8000000}"/>
    <cellStyle name="20% - Accent1 13 4" xfId="6290" xr:uid="{00000000-0005-0000-0000-0000E9000000}"/>
    <cellStyle name="20% - Accent1 13 4 2" xfId="6289" xr:uid="{00000000-0005-0000-0000-0000EA000000}"/>
    <cellStyle name="20% - Accent1 13 4 3" xfId="6288" xr:uid="{00000000-0005-0000-0000-0000EB000000}"/>
    <cellStyle name="20% - Accent1 13 5" xfId="6287" xr:uid="{00000000-0005-0000-0000-0000EC000000}"/>
    <cellStyle name="20% - Accent1 13 6" xfId="6286" xr:uid="{00000000-0005-0000-0000-0000ED000000}"/>
    <cellStyle name="20% - Accent1 14" xfId="6285" xr:uid="{00000000-0005-0000-0000-0000EE000000}"/>
    <cellStyle name="20% - Accent1 14 2" xfId="6284" xr:uid="{00000000-0005-0000-0000-0000EF000000}"/>
    <cellStyle name="20% - Accent1 14 2 2" xfId="6283" xr:uid="{00000000-0005-0000-0000-0000F0000000}"/>
    <cellStyle name="20% - Accent1 14 2 2 2" xfId="6282" xr:uid="{00000000-0005-0000-0000-0000F1000000}"/>
    <cellStyle name="20% - Accent1 14 2 2 3" xfId="6281" xr:uid="{00000000-0005-0000-0000-0000F2000000}"/>
    <cellStyle name="20% - Accent1 14 2 3" xfId="6280" xr:uid="{00000000-0005-0000-0000-0000F3000000}"/>
    <cellStyle name="20% - Accent1 14 2 4" xfId="6279" xr:uid="{00000000-0005-0000-0000-0000F4000000}"/>
    <cellStyle name="20% - Accent1 14 3" xfId="6278" xr:uid="{00000000-0005-0000-0000-0000F5000000}"/>
    <cellStyle name="20% - Accent1 14 3 2" xfId="6277" xr:uid="{00000000-0005-0000-0000-0000F6000000}"/>
    <cellStyle name="20% - Accent1 14 3 3" xfId="6276" xr:uid="{00000000-0005-0000-0000-0000F7000000}"/>
    <cellStyle name="20% - Accent1 14 4" xfId="6275" xr:uid="{00000000-0005-0000-0000-0000F8000000}"/>
    <cellStyle name="20% - Accent1 14 4 2" xfId="6274" xr:uid="{00000000-0005-0000-0000-0000F9000000}"/>
    <cellStyle name="20% - Accent1 14 4 3" xfId="6273" xr:uid="{00000000-0005-0000-0000-0000FA000000}"/>
    <cellStyle name="20% - Accent1 14 5" xfId="6272" xr:uid="{00000000-0005-0000-0000-0000FB000000}"/>
    <cellStyle name="20% - Accent1 14 6" xfId="6271" xr:uid="{00000000-0005-0000-0000-0000FC000000}"/>
    <cellStyle name="20% - Accent1 15" xfId="6270" xr:uid="{00000000-0005-0000-0000-0000FD000000}"/>
    <cellStyle name="20% - Accent1 15 2" xfId="6269" xr:uid="{00000000-0005-0000-0000-0000FE000000}"/>
    <cellStyle name="20% - Accent1 15 2 2" xfId="6268" xr:uid="{00000000-0005-0000-0000-0000FF000000}"/>
    <cellStyle name="20% - Accent1 15 2 2 2" xfId="6267" xr:uid="{00000000-0005-0000-0000-000000010000}"/>
    <cellStyle name="20% - Accent1 15 2 2 3" xfId="6266" xr:uid="{00000000-0005-0000-0000-000001010000}"/>
    <cellStyle name="20% - Accent1 15 2 3" xfId="6265" xr:uid="{00000000-0005-0000-0000-000002010000}"/>
    <cellStyle name="20% - Accent1 15 2 4" xfId="6264" xr:uid="{00000000-0005-0000-0000-000003010000}"/>
    <cellStyle name="20% - Accent1 15 3" xfId="6263" xr:uid="{00000000-0005-0000-0000-000004010000}"/>
    <cellStyle name="20% - Accent1 15 3 2" xfId="6262" xr:uid="{00000000-0005-0000-0000-000005010000}"/>
    <cellStyle name="20% - Accent1 15 3 3" xfId="6261" xr:uid="{00000000-0005-0000-0000-000006010000}"/>
    <cellStyle name="20% - Accent1 15 4" xfId="6260" xr:uid="{00000000-0005-0000-0000-000007010000}"/>
    <cellStyle name="20% - Accent1 15 4 2" xfId="6259" xr:uid="{00000000-0005-0000-0000-000008010000}"/>
    <cellStyle name="20% - Accent1 15 4 3" xfId="6258" xr:uid="{00000000-0005-0000-0000-000009010000}"/>
    <cellStyle name="20% - Accent1 15 5" xfId="6257" xr:uid="{00000000-0005-0000-0000-00000A010000}"/>
    <cellStyle name="20% - Accent1 15 6" xfId="6256" xr:uid="{00000000-0005-0000-0000-00000B010000}"/>
    <cellStyle name="20% - Accent1 16" xfId="6255" xr:uid="{00000000-0005-0000-0000-00000C010000}"/>
    <cellStyle name="20% - Accent1 16 2" xfId="6254" xr:uid="{00000000-0005-0000-0000-00000D010000}"/>
    <cellStyle name="20% - Accent1 16 2 2" xfId="6253" xr:uid="{00000000-0005-0000-0000-00000E010000}"/>
    <cellStyle name="20% - Accent1 16 2 2 2" xfId="6252" xr:uid="{00000000-0005-0000-0000-00000F010000}"/>
    <cellStyle name="20% - Accent1 16 2 2 3" xfId="6251" xr:uid="{00000000-0005-0000-0000-000010010000}"/>
    <cellStyle name="20% - Accent1 16 2 3" xfId="6250" xr:uid="{00000000-0005-0000-0000-000011010000}"/>
    <cellStyle name="20% - Accent1 16 2 4" xfId="6249" xr:uid="{00000000-0005-0000-0000-000012010000}"/>
    <cellStyle name="20% - Accent1 16 3" xfId="6248" xr:uid="{00000000-0005-0000-0000-000013010000}"/>
    <cellStyle name="20% - Accent1 16 3 2" xfId="6247" xr:uid="{00000000-0005-0000-0000-000014010000}"/>
    <cellStyle name="20% - Accent1 16 3 3" xfId="6246" xr:uid="{00000000-0005-0000-0000-000015010000}"/>
    <cellStyle name="20% - Accent1 16 4" xfId="6245" xr:uid="{00000000-0005-0000-0000-000016010000}"/>
    <cellStyle name="20% - Accent1 16 4 2" xfId="6244" xr:uid="{00000000-0005-0000-0000-000017010000}"/>
    <cellStyle name="20% - Accent1 16 4 3" xfId="6243" xr:uid="{00000000-0005-0000-0000-000018010000}"/>
    <cellStyle name="20% - Accent1 16 5" xfId="6242" xr:uid="{00000000-0005-0000-0000-000019010000}"/>
    <cellStyle name="20% - Accent1 16 6" xfId="6241" xr:uid="{00000000-0005-0000-0000-00001A010000}"/>
    <cellStyle name="20% - Accent1 17" xfId="6240" xr:uid="{00000000-0005-0000-0000-00001B010000}"/>
    <cellStyle name="20% - Accent1 17 2" xfId="6239" xr:uid="{00000000-0005-0000-0000-00001C010000}"/>
    <cellStyle name="20% - Accent1 17 2 2" xfId="6238" xr:uid="{00000000-0005-0000-0000-00001D010000}"/>
    <cellStyle name="20% - Accent1 17 2 2 2" xfId="6237" xr:uid="{00000000-0005-0000-0000-00001E010000}"/>
    <cellStyle name="20% - Accent1 17 2 2 3" xfId="6236" xr:uid="{00000000-0005-0000-0000-00001F010000}"/>
    <cellStyle name="20% - Accent1 17 2 3" xfId="6235" xr:uid="{00000000-0005-0000-0000-000020010000}"/>
    <cellStyle name="20% - Accent1 17 2 4" xfId="6234" xr:uid="{00000000-0005-0000-0000-000021010000}"/>
    <cellStyle name="20% - Accent1 17 3" xfId="6233" xr:uid="{00000000-0005-0000-0000-000022010000}"/>
    <cellStyle name="20% - Accent1 17 3 2" xfId="6232" xr:uid="{00000000-0005-0000-0000-000023010000}"/>
    <cellStyle name="20% - Accent1 17 3 3" xfId="6231" xr:uid="{00000000-0005-0000-0000-000024010000}"/>
    <cellStyle name="20% - Accent1 17 4" xfId="6230" xr:uid="{00000000-0005-0000-0000-000025010000}"/>
    <cellStyle name="20% - Accent1 17 4 2" xfId="6229" xr:uid="{00000000-0005-0000-0000-000026010000}"/>
    <cellStyle name="20% - Accent1 17 4 3" xfId="6228" xr:uid="{00000000-0005-0000-0000-000027010000}"/>
    <cellStyle name="20% - Accent1 17 5" xfId="6227" xr:uid="{00000000-0005-0000-0000-000028010000}"/>
    <cellStyle name="20% - Accent1 17 6" xfId="6226" xr:uid="{00000000-0005-0000-0000-000029010000}"/>
    <cellStyle name="20% - Accent1 18" xfId="6225" xr:uid="{00000000-0005-0000-0000-00002A010000}"/>
    <cellStyle name="20% - Accent1 18 2" xfId="6224" xr:uid="{00000000-0005-0000-0000-00002B010000}"/>
    <cellStyle name="20% - Accent1 18 2 2" xfId="6223" xr:uid="{00000000-0005-0000-0000-00002C010000}"/>
    <cellStyle name="20% - Accent1 18 2 2 2" xfId="6222" xr:uid="{00000000-0005-0000-0000-00002D010000}"/>
    <cellStyle name="20% - Accent1 18 2 2 3" xfId="6221" xr:uid="{00000000-0005-0000-0000-00002E010000}"/>
    <cellStyle name="20% - Accent1 18 2 3" xfId="6220" xr:uid="{00000000-0005-0000-0000-00002F010000}"/>
    <cellStyle name="20% - Accent1 18 2 4" xfId="6219" xr:uid="{00000000-0005-0000-0000-000030010000}"/>
    <cellStyle name="20% - Accent1 18 3" xfId="6218" xr:uid="{00000000-0005-0000-0000-000031010000}"/>
    <cellStyle name="20% - Accent1 18 3 2" xfId="6217" xr:uid="{00000000-0005-0000-0000-000032010000}"/>
    <cellStyle name="20% - Accent1 18 3 3" xfId="6216" xr:uid="{00000000-0005-0000-0000-000033010000}"/>
    <cellStyle name="20% - Accent1 18 4" xfId="6215" xr:uid="{00000000-0005-0000-0000-000034010000}"/>
    <cellStyle name="20% - Accent1 18 4 2" xfId="6214" xr:uid="{00000000-0005-0000-0000-000035010000}"/>
    <cellStyle name="20% - Accent1 18 4 3" xfId="6213" xr:uid="{00000000-0005-0000-0000-000036010000}"/>
    <cellStyle name="20% - Accent1 18 5" xfId="6212" xr:uid="{00000000-0005-0000-0000-000037010000}"/>
    <cellStyle name="20% - Accent1 18 6" xfId="6211" xr:uid="{00000000-0005-0000-0000-000038010000}"/>
    <cellStyle name="20% - Accent1 19" xfId="6210" xr:uid="{00000000-0005-0000-0000-000039010000}"/>
    <cellStyle name="20% - Accent1 19 2" xfId="6209" xr:uid="{00000000-0005-0000-0000-00003A010000}"/>
    <cellStyle name="20% - Accent1 19 2 2" xfId="6208" xr:uid="{00000000-0005-0000-0000-00003B010000}"/>
    <cellStyle name="20% - Accent1 19 2 2 2" xfId="6207" xr:uid="{00000000-0005-0000-0000-00003C010000}"/>
    <cellStyle name="20% - Accent1 19 2 2 3" xfId="6206" xr:uid="{00000000-0005-0000-0000-00003D010000}"/>
    <cellStyle name="20% - Accent1 19 2 3" xfId="6205" xr:uid="{00000000-0005-0000-0000-00003E010000}"/>
    <cellStyle name="20% - Accent1 19 2 4" xfId="6204" xr:uid="{00000000-0005-0000-0000-00003F010000}"/>
    <cellStyle name="20% - Accent1 19 3" xfId="6203" xr:uid="{00000000-0005-0000-0000-000040010000}"/>
    <cellStyle name="20% - Accent1 19 3 2" xfId="6202" xr:uid="{00000000-0005-0000-0000-000041010000}"/>
    <cellStyle name="20% - Accent1 19 3 3" xfId="6201" xr:uid="{00000000-0005-0000-0000-000042010000}"/>
    <cellStyle name="20% - Accent1 19 4" xfId="6200" xr:uid="{00000000-0005-0000-0000-000043010000}"/>
    <cellStyle name="20% - Accent1 19 4 2" xfId="6199" xr:uid="{00000000-0005-0000-0000-000044010000}"/>
    <cellStyle name="20% - Accent1 19 4 3" xfId="6198" xr:uid="{00000000-0005-0000-0000-000045010000}"/>
    <cellStyle name="20% - Accent1 19 5" xfId="6197" xr:uid="{00000000-0005-0000-0000-000046010000}"/>
    <cellStyle name="20% - Accent1 19 6" xfId="6196" xr:uid="{00000000-0005-0000-0000-000047010000}"/>
    <cellStyle name="20% - Accent1 2" xfId="6195" xr:uid="{00000000-0005-0000-0000-000048010000}"/>
    <cellStyle name="20% - Accent1 2 10" xfId="6530" xr:uid="{00000000-0005-0000-0000-000049010000}"/>
    <cellStyle name="20% - Accent1 2 10 2" xfId="6531" xr:uid="{00000000-0005-0000-0000-00004A010000}"/>
    <cellStyle name="20% - Accent1 2 11" xfId="6532" xr:uid="{00000000-0005-0000-0000-00004B010000}"/>
    <cellStyle name="20% - Accent1 2 12" xfId="6533" xr:uid="{00000000-0005-0000-0000-00004C010000}"/>
    <cellStyle name="20% - Accent1 2 12 2" xfId="6534" xr:uid="{00000000-0005-0000-0000-00004D010000}"/>
    <cellStyle name="20% - Accent1 2 12 2 2" xfId="6535" xr:uid="{00000000-0005-0000-0000-00004E010000}"/>
    <cellStyle name="20% - Accent1 2 12 3" xfId="6536" xr:uid="{00000000-0005-0000-0000-00004F010000}"/>
    <cellStyle name="20% - Accent1 2 12 4" xfId="6537" xr:uid="{00000000-0005-0000-0000-000050010000}"/>
    <cellStyle name="20% - Accent1 2 12 4 2" xfId="6538" xr:uid="{00000000-0005-0000-0000-000051010000}"/>
    <cellStyle name="20% - Accent1 2 12 5" xfId="6539" xr:uid="{00000000-0005-0000-0000-000052010000}"/>
    <cellStyle name="20% - Accent1 2 13" xfId="6540" xr:uid="{00000000-0005-0000-0000-000053010000}"/>
    <cellStyle name="20% - Accent1 2 13 2" xfId="6541" xr:uid="{00000000-0005-0000-0000-000054010000}"/>
    <cellStyle name="20% - Accent1 2 13 2 2" xfId="6542" xr:uid="{00000000-0005-0000-0000-000055010000}"/>
    <cellStyle name="20% - Accent1 2 13 3" xfId="6543" xr:uid="{00000000-0005-0000-0000-000056010000}"/>
    <cellStyle name="20% - Accent1 2 14" xfId="6544" xr:uid="{00000000-0005-0000-0000-000057010000}"/>
    <cellStyle name="20% - Accent1 2 15" xfId="6545" xr:uid="{00000000-0005-0000-0000-000058010000}"/>
    <cellStyle name="20% - Accent1 2 2" xfId="6194" xr:uid="{00000000-0005-0000-0000-000059010000}"/>
    <cellStyle name="20% - Accent1 2 2 10" xfId="6546" xr:uid="{00000000-0005-0000-0000-00005A010000}"/>
    <cellStyle name="20% - Accent1 2 2 10 2" xfId="6547" xr:uid="{00000000-0005-0000-0000-00005B010000}"/>
    <cellStyle name="20% - Accent1 2 2 11" xfId="6548" xr:uid="{00000000-0005-0000-0000-00005C010000}"/>
    <cellStyle name="20% - Accent1 2 2 2" xfId="6549" xr:uid="{00000000-0005-0000-0000-00005D010000}"/>
    <cellStyle name="20% - Accent1 2 2 2 2" xfId="6550" xr:uid="{00000000-0005-0000-0000-00005E010000}"/>
    <cellStyle name="20% - Accent1 2 2 2 2 2" xfId="6551" xr:uid="{00000000-0005-0000-0000-00005F010000}"/>
    <cellStyle name="20% - Accent1 2 2 2 2 3" xfId="6552" xr:uid="{00000000-0005-0000-0000-000060010000}"/>
    <cellStyle name="20% - Accent1 2 2 2 3" xfId="6553" xr:uid="{00000000-0005-0000-0000-000061010000}"/>
    <cellStyle name="20% - Accent1 2 2 2 3 2" xfId="6554" xr:uid="{00000000-0005-0000-0000-000062010000}"/>
    <cellStyle name="20% - Accent1 2 2 2 4" xfId="6555" xr:uid="{00000000-0005-0000-0000-000063010000}"/>
    <cellStyle name="20% - Accent1 2 2 2 5" xfId="6556" xr:uid="{00000000-0005-0000-0000-000064010000}"/>
    <cellStyle name="20% - Accent1 2 2 3" xfId="6557" xr:uid="{00000000-0005-0000-0000-000065010000}"/>
    <cellStyle name="20% - Accent1 2 2 3 2" xfId="6558" xr:uid="{00000000-0005-0000-0000-000066010000}"/>
    <cellStyle name="20% - Accent1 2 2 3 2 2" xfId="6559" xr:uid="{00000000-0005-0000-0000-000067010000}"/>
    <cellStyle name="20% - Accent1 2 2 3 2 3" xfId="6560" xr:uid="{00000000-0005-0000-0000-000068010000}"/>
    <cellStyle name="20% - Accent1 2 2 3 3" xfId="6561" xr:uid="{00000000-0005-0000-0000-000069010000}"/>
    <cellStyle name="20% - Accent1 2 2 3 3 2" xfId="6562" xr:uid="{00000000-0005-0000-0000-00006A010000}"/>
    <cellStyle name="20% - Accent1 2 2 3 4" xfId="6563" xr:uid="{00000000-0005-0000-0000-00006B010000}"/>
    <cellStyle name="20% - Accent1 2 2 3 5" xfId="6564" xr:uid="{00000000-0005-0000-0000-00006C010000}"/>
    <cellStyle name="20% - Accent1 2 2 4" xfId="6565" xr:uid="{00000000-0005-0000-0000-00006D010000}"/>
    <cellStyle name="20% - Accent1 2 2 4 2" xfId="6566" xr:uid="{00000000-0005-0000-0000-00006E010000}"/>
    <cellStyle name="20% - Accent1 2 2 4 2 2" xfId="6567" xr:uid="{00000000-0005-0000-0000-00006F010000}"/>
    <cellStyle name="20% - Accent1 2 2 4 3" xfId="6568" xr:uid="{00000000-0005-0000-0000-000070010000}"/>
    <cellStyle name="20% - Accent1 2 2 4 4" xfId="6569" xr:uid="{00000000-0005-0000-0000-000071010000}"/>
    <cellStyle name="20% - Accent1 2 2 5" xfId="6570" xr:uid="{00000000-0005-0000-0000-000072010000}"/>
    <cellStyle name="20% - Accent1 2 2 5 2" xfId="6571" xr:uid="{00000000-0005-0000-0000-000073010000}"/>
    <cellStyle name="20% - Accent1 2 2 6" xfId="6572" xr:uid="{00000000-0005-0000-0000-000074010000}"/>
    <cellStyle name="20% - Accent1 2 2 6 2" xfId="6573" xr:uid="{00000000-0005-0000-0000-000075010000}"/>
    <cellStyle name="20% - Accent1 2 2 7" xfId="6574" xr:uid="{00000000-0005-0000-0000-000076010000}"/>
    <cellStyle name="20% - Accent1 2 2 8" xfId="6575" xr:uid="{00000000-0005-0000-0000-000077010000}"/>
    <cellStyle name="20% - Accent1 2 2 9" xfId="6576" xr:uid="{00000000-0005-0000-0000-000078010000}"/>
    <cellStyle name="20% - Accent1 2 2 9 2" xfId="6577" xr:uid="{00000000-0005-0000-0000-000079010000}"/>
    <cellStyle name="20% - Accent1 2 3" xfId="6193" xr:uid="{00000000-0005-0000-0000-00007A010000}"/>
    <cellStyle name="20% - Accent1 2 3 2" xfId="6192" xr:uid="{00000000-0005-0000-0000-00007B010000}"/>
    <cellStyle name="20% - Accent1 2 3 2 2" xfId="6191" xr:uid="{00000000-0005-0000-0000-00007C010000}"/>
    <cellStyle name="20% - Accent1 2 3 2 2 2" xfId="6190" xr:uid="{00000000-0005-0000-0000-00007D010000}"/>
    <cellStyle name="20% - Accent1 2 3 2 2 3" xfId="6189" xr:uid="{00000000-0005-0000-0000-00007E010000}"/>
    <cellStyle name="20% - Accent1 2 3 2 3" xfId="6188" xr:uid="{00000000-0005-0000-0000-00007F010000}"/>
    <cellStyle name="20% - Accent1 2 3 2 3 2" xfId="6578" xr:uid="{00000000-0005-0000-0000-000080010000}"/>
    <cellStyle name="20% - Accent1 2 3 2 4" xfId="6187" xr:uid="{00000000-0005-0000-0000-000081010000}"/>
    <cellStyle name="20% - Accent1 2 3 2 5" xfId="6579" xr:uid="{00000000-0005-0000-0000-000082010000}"/>
    <cellStyle name="20% - Accent1 2 3 3" xfId="6186" xr:uid="{00000000-0005-0000-0000-000083010000}"/>
    <cellStyle name="20% - Accent1 2 3 3 2" xfId="6185" xr:uid="{00000000-0005-0000-0000-000084010000}"/>
    <cellStyle name="20% - Accent1 2 3 3 2 2" xfId="6580" xr:uid="{00000000-0005-0000-0000-000085010000}"/>
    <cellStyle name="20% - Accent1 2 3 3 3" xfId="6184" xr:uid="{00000000-0005-0000-0000-000086010000}"/>
    <cellStyle name="20% - Accent1 2 3 3 4" xfId="6581" xr:uid="{00000000-0005-0000-0000-000087010000}"/>
    <cellStyle name="20% - Accent1 2 3 4" xfId="6183" xr:uid="{00000000-0005-0000-0000-000088010000}"/>
    <cellStyle name="20% - Accent1 2 3 4 2" xfId="6182" xr:uid="{00000000-0005-0000-0000-000089010000}"/>
    <cellStyle name="20% - Accent1 2 3 4 3" xfId="6181" xr:uid="{00000000-0005-0000-0000-00008A010000}"/>
    <cellStyle name="20% - Accent1 2 3 5" xfId="6180" xr:uid="{00000000-0005-0000-0000-00008B010000}"/>
    <cellStyle name="20% - Accent1 2 3 5 2" xfId="6582" xr:uid="{00000000-0005-0000-0000-00008C010000}"/>
    <cellStyle name="20% - Accent1 2 3 6" xfId="6179" xr:uid="{00000000-0005-0000-0000-00008D010000}"/>
    <cellStyle name="20% - Accent1 2 3 7" xfId="6583" xr:uid="{00000000-0005-0000-0000-00008E010000}"/>
    <cellStyle name="20% - Accent1 2 3 8" xfId="6584" xr:uid="{00000000-0005-0000-0000-00008F010000}"/>
    <cellStyle name="20% - Accent1 2 4" xfId="6585" xr:uid="{00000000-0005-0000-0000-000090010000}"/>
    <cellStyle name="20% - Accent1 2 4 2" xfId="6586" xr:uid="{00000000-0005-0000-0000-000091010000}"/>
    <cellStyle name="20% - Accent1 2 4 2 2" xfId="6587" xr:uid="{00000000-0005-0000-0000-000092010000}"/>
    <cellStyle name="20% - Accent1 2 4 2 2 2" xfId="6588" xr:uid="{00000000-0005-0000-0000-000093010000}"/>
    <cellStyle name="20% - Accent1 2 4 2 3" xfId="6589" xr:uid="{00000000-0005-0000-0000-000094010000}"/>
    <cellStyle name="20% - Accent1 2 4 2 4" xfId="6590" xr:uid="{00000000-0005-0000-0000-000095010000}"/>
    <cellStyle name="20% - Accent1 2 4 3" xfId="6591" xr:uid="{00000000-0005-0000-0000-000096010000}"/>
    <cellStyle name="20% - Accent1 2 4 3 2" xfId="6592" xr:uid="{00000000-0005-0000-0000-000097010000}"/>
    <cellStyle name="20% - Accent1 2 4 4" xfId="6593" xr:uid="{00000000-0005-0000-0000-000098010000}"/>
    <cellStyle name="20% - Accent1 2 4 4 2" xfId="6594" xr:uid="{00000000-0005-0000-0000-000099010000}"/>
    <cellStyle name="20% - Accent1 2 4 5" xfId="6595" xr:uid="{00000000-0005-0000-0000-00009A010000}"/>
    <cellStyle name="20% - Accent1 2 4 6" xfId="6596" xr:uid="{00000000-0005-0000-0000-00009B010000}"/>
    <cellStyle name="20% - Accent1 2 5" xfId="6597" xr:uid="{00000000-0005-0000-0000-00009C010000}"/>
    <cellStyle name="20% - Accent1 2 5 2" xfId="6598" xr:uid="{00000000-0005-0000-0000-00009D010000}"/>
    <cellStyle name="20% - Accent1 2 5 2 2" xfId="6599" xr:uid="{00000000-0005-0000-0000-00009E010000}"/>
    <cellStyle name="20% - Accent1 2 5 3" xfId="6600" xr:uid="{00000000-0005-0000-0000-00009F010000}"/>
    <cellStyle name="20% - Accent1 2 5 4" xfId="6601" xr:uid="{00000000-0005-0000-0000-0000A0010000}"/>
    <cellStyle name="20% - Accent1 2 6" xfId="6602" xr:uid="{00000000-0005-0000-0000-0000A1010000}"/>
    <cellStyle name="20% - Accent1 2 6 10" xfId="6603" xr:uid="{00000000-0005-0000-0000-0000A2010000}"/>
    <cellStyle name="20% - Accent1 2 6 2" xfId="6604" xr:uid="{00000000-0005-0000-0000-0000A3010000}"/>
    <cellStyle name="20% - Accent1 2 6 2 2" xfId="6605" xr:uid="{00000000-0005-0000-0000-0000A4010000}"/>
    <cellStyle name="20% - Accent1 2 6 2 2 2" xfId="6606" xr:uid="{00000000-0005-0000-0000-0000A5010000}"/>
    <cellStyle name="20% - Accent1 2 6 2 2 2 2" xfId="6607" xr:uid="{00000000-0005-0000-0000-0000A6010000}"/>
    <cellStyle name="20% - Accent1 2 6 2 2 3" xfId="6608" xr:uid="{00000000-0005-0000-0000-0000A7010000}"/>
    <cellStyle name="20% - Accent1 2 6 2 2 3 2" xfId="6609" xr:uid="{00000000-0005-0000-0000-0000A8010000}"/>
    <cellStyle name="20% - Accent1 2 6 2 2 4" xfId="6610" xr:uid="{00000000-0005-0000-0000-0000A9010000}"/>
    <cellStyle name="20% - Accent1 2 6 2 2 5" xfId="6611" xr:uid="{00000000-0005-0000-0000-0000AA010000}"/>
    <cellStyle name="20% - Accent1 2 6 2 3" xfId="6612" xr:uid="{00000000-0005-0000-0000-0000AB010000}"/>
    <cellStyle name="20% - Accent1 2 6 2 3 2" xfId="6613" xr:uid="{00000000-0005-0000-0000-0000AC010000}"/>
    <cellStyle name="20% - Accent1 2 6 2 3 2 2" xfId="6614" xr:uid="{00000000-0005-0000-0000-0000AD010000}"/>
    <cellStyle name="20% - Accent1 2 6 2 3 3" xfId="6615" xr:uid="{00000000-0005-0000-0000-0000AE010000}"/>
    <cellStyle name="20% - Accent1 2 6 2 4" xfId="6616" xr:uid="{00000000-0005-0000-0000-0000AF010000}"/>
    <cellStyle name="20% - Accent1 2 6 2 4 2" xfId="6617" xr:uid="{00000000-0005-0000-0000-0000B0010000}"/>
    <cellStyle name="20% - Accent1 2 6 2 5" xfId="6618" xr:uid="{00000000-0005-0000-0000-0000B1010000}"/>
    <cellStyle name="20% - Accent1 2 6 2 5 2" xfId="6619" xr:uid="{00000000-0005-0000-0000-0000B2010000}"/>
    <cellStyle name="20% - Accent1 2 6 2 6" xfId="6620" xr:uid="{00000000-0005-0000-0000-0000B3010000}"/>
    <cellStyle name="20% - Accent1 2 6 3" xfId="6621" xr:uid="{00000000-0005-0000-0000-0000B4010000}"/>
    <cellStyle name="20% - Accent1 2 6 3 2" xfId="6622" xr:uid="{00000000-0005-0000-0000-0000B5010000}"/>
    <cellStyle name="20% - Accent1 2 6 3 2 2" xfId="6623" xr:uid="{00000000-0005-0000-0000-0000B6010000}"/>
    <cellStyle name="20% - Accent1 2 6 3 2 2 2" xfId="6624" xr:uid="{00000000-0005-0000-0000-0000B7010000}"/>
    <cellStyle name="20% - Accent1 2 6 3 2 3" xfId="6625" xr:uid="{00000000-0005-0000-0000-0000B8010000}"/>
    <cellStyle name="20% - Accent1 2 6 3 2 3 2" xfId="6626" xr:uid="{00000000-0005-0000-0000-0000B9010000}"/>
    <cellStyle name="20% - Accent1 2 6 3 2 4" xfId="6627" xr:uid="{00000000-0005-0000-0000-0000BA010000}"/>
    <cellStyle name="20% - Accent1 2 6 3 2 5" xfId="6628" xr:uid="{00000000-0005-0000-0000-0000BB010000}"/>
    <cellStyle name="20% - Accent1 2 6 3 3" xfId="6629" xr:uid="{00000000-0005-0000-0000-0000BC010000}"/>
    <cellStyle name="20% - Accent1 2 6 3 3 2" xfId="6630" xr:uid="{00000000-0005-0000-0000-0000BD010000}"/>
    <cellStyle name="20% - Accent1 2 6 3 3 2 2" xfId="6631" xr:uid="{00000000-0005-0000-0000-0000BE010000}"/>
    <cellStyle name="20% - Accent1 2 6 3 3 3" xfId="6632" xr:uid="{00000000-0005-0000-0000-0000BF010000}"/>
    <cellStyle name="20% - Accent1 2 6 3 4" xfId="6633" xr:uid="{00000000-0005-0000-0000-0000C0010000}"/>
    <cellStyle name="20% - Accent1 2 6 3 4 2" xfId="6634" xr:uid="{00000000-0005-0000-0000-0000C1010000}"/>
    <cellStyle name="20% - Accent1 2 6 3 5" xfId="6635" xr:uid="{00000000-0005-0000-0000-0000C2010000}"/>
    <cellStyle name="20% - Accent1 2 6 3 5 2" xfId="6636" xr:uid="{00000000-0005-0000-0000-0000C3010000}"/>
    <cellStyle name="20% - Accent1 2 6 3 6" xfId="6637" xr:uid="{00000000-0005-0000-0000-0000C4010000}"/>
    <cellStyle name="20% - Accent1 2 6 4" xfId="6638" xr:uid="{00000000-0005-0000-0000-0000C5010000}"/>
    <cellStyle name="20% - Accent1 2 6 4 2" xfId="6639" xr:uid="{00000000-0005-0000-0000-0000C6010000}"/>
    <cellStyle name="20% - Accent1 2 6 4 2 2" xfId="6640" xr:uid="{00000000-0005-0000-0000-0000C7010000}"/>
    <cellStyle name="20% - Accent1 2 6 4 2 2 2" xfId="6641" xr:uid="{00000000-0005-0000-0000-0000C8010000}"/>
    <cellStyle name="20% - Accent1 2 6 4 2 3" xfId="6642" xr:uid="{00000000-0005-0000-0000-0000C9010000}"/>
    <cellStyle name="20% - Accent1 2 6 4 3" xfId="6643" xr:uid="{00000000-0005-0000-0000-0000CA010000}"/>
    <cellStyle name="20% - Accent1 2 6 4 3 2" xfId="6644" xr:uid="{00000000-0005-0000-0000-0000CB010000}"/>
    <cellStyle name="20% - Accent1 2 6 4 4" xfId="6645" xr:uid="{00000000-0005-0000-0000-0000CC010000}"/>
    <cellStyle name="20% - Accent1 2 6 4 4 2" xfId="6646" xr:uid="{00000000-0005-0000-0000-0000CD010000}"/>
    <cellStyle name="20% - Accent1 2 6 4 5" xfId="6647" xr:uid="{00000000-0005-0000-0000-0000CE010000}"/>
    <cellStyle name="20% - Accent1 2 6 5" xfId="6648" xr:uid="{00000000-0005-0000-0000-0000CF010000}"/>
    <cellStyle name="20% - Accent1 2 6 5 2" xfId="6649" xr:uid="{00000000-0005-0000-0000-0000D0010000}"/>
    <cellStyle name="20% - Accent1 2 6 5 2 2" xfId="6650" xr:uid="{00000000-0005-0000-0000-0000D1010000}"/>
    <cellStyle name="20% - Accent1 2 6 5 3" xfId="6651" xr:uid="{00000000-0005-0000-0000-0000D2010000}"/>
    <cellStyle name="20% - Accent1 2 6 5 3 2" xfId="6652" xr:uid="{00000000-0005-0000-0000-0000D3010000}"/>
    <cellStyle name="20% - Accent1 2 6 5 4" xfId="6653" xr:uid="{00000000-0005-0000-0000-0000D4010000}"/>
    <cellStyle name="20% - Accent1 2 6 6" xfId="6654" xr:uid="{00000000-0005-0000-0000-0000D5010000}"/>
    <cellStyle name="20% - Accent1 2 6 6 2" xfId="6655" xr:uid="{00000000-0005-0000-0000-0000D6010000}"/>
    <cellStyle name="20% - Accent1 2 6 6 2 2" xfId="6656" xr:uid="{00000000-0005-0000-0000-0000D7010000}"/>
    <cellStyle name="20% - Accent1 2 6 6 3" xfId="6657" xr:uid="{00000000-0005-0000-0000-0000D8010000}"/>
    <cellStyle name="20% - Accent1 2 6 7" xfId="6658" xr:uid="{00000000-0005-0000-0000-0000D9010000}"/>
    <cellStyle name="20% - Accent1 2 6 7 2" xfId="6659" xr:uid="{00000000-0005-0000-0000-0000DA010000}"/>
    <cellStyle name="20% - Accent1 2 6 7 3" xfId="6660" xr:uid="{00000000-0005-0000-0000-0000DB010000}"/>
    <cellStyle name="20% - Accent1 2 6 8" xfId="6661" xr:uid="{00000000-0005-0000-0000-0000DC010000}"/>
    <cellStyle name="20% - Accent1 2 6 8 2" xfId="6662" xr:uid="{00000000-0005-0000-0000-0000DD010000}"/>
    <cellStyle name="20% - Accent1 2 6 9" xfId="6663" xr:uid="{00000000-0005-0000-0000-0000DE010000}"/>
    <cellStyle name="20% - Accent1 2 7" xfId="6664" xr:uid="{00000000-0005-0000-0000-0000DF010000}"/>
    <cellStyle name="20% - Accent1 2 7 2" xfId="6665" xr:uid="{00000000-0005-0000-0000-0000E0010000}"/>
    <cellStyle name="20% - Accent1 2 7 2 2" xfId="6666" xr:uid="{00000000-0005-0000-0000-0000E1010000}"/>
    <cellStyle name="20% - Accent1 2 7 3" xfId="6667" xr:uid="{00000000-0005-0000-0000-0000E2010000}"/>
    <cellStyle name="20% - Accent1 2 7 4" xfId="6668" xr:uid="{00000000-0005-0000-0000-0000E3010000}"/>
    <cellStyle name="20% - Accent1 2 8" xfId="6669" xr:uid="{00000000-0005-0000-0000-0000E4010000}"/>
    <cellStyle name="20% - Accent1 2 8 2" xfId="6670" xr:uid="{00000000-0005-0000-0000-0000E5010000}"/>
    <cellStyle name="20% - Accent1 2 9" xfId="6671" xr:uid="{00000000-0005-0000-0000-0000E6010000}"/>
    <cellStyle name="20% - Accent1 2 9 2" xfId="6672" xr:uid="{00000000-0005-0000-0000-0000E7010000}"/>
    <cellStyle name="20% - Accent1 20" xfId="6178" xr:uid="{00000000-0005-0000-0000-0000E8010000}"/>
    <cellStyle name="20% - Accent1 20 2" xfId="6177" xr:uid="{00000000-0005-0000-0000-0000E9010000}"/>
    <cellStyle name="20% - Accent1 20 2 2" xfId="6176" xr:uid="{00000000-0005-0000-0000-0000EA010000}"/>
    <cellStyle name="20% - Accent1 20 2 2 2" xfId="6175" xr:uid="{00000000-0005-0000-0000-0000EB010000}"/>
    <cellStyle name="20% - Accent1 20 2 2 3" xfId="6174" xr:uid="{00000000-0005-0000-0000-0000EC010000}"/>
    <cellStyle name="20% - Accent1 20 2 3" xfId="6173" xr:uid="{00000000-0005-0000-0000-0000ED010000}"/>
    <cellStyle name="20% - Accent1 20 2 4" xfId="6172" xr:uid="{00000000-0005-0000-0000-0000EE010000}"/>
    <cellStyle name="20% - Accent1 20 3" xfId="6171" xr:uid="{00000000-0005-0000-0000-0000EF010000}"/>
    <cellStyle name="20% - Accent1 20 3 2" xfId="6170" xr:uid="{00000000-0005-0000-0000-0000F0010000}"/>
    <cellStyle name="20% - Accent1 20 3 3" xfId="6169" xr:uid="{00000000-0005-0000-0000-0000F1010000}"/>
    <cellStyle name="20% - Accent1 20 4" xfId="6168" xr:uid="{00000000-0005-0000-0000-0000F2010000}"/>
    <cellStyle name="20% - Accent1 20 4 2" xfId="6167" xr:uid="{00000000-0005-0000-0000-0000F3010000}"/>
    <cellStyle name="20% - Accent1 20 4 3" xfId="6166" xr:uid="{00000000-0005-0000-0000-0000F4010000}"/>
    <cellStyle name="20% - Accent1 20 5" xfId="6165" xr:uid="{00000000-0005-0000-0000-0000F5010000}"/>
    <cellStyle name="20% - Accent1 20 6" xfId="6164" xr:uid="{00000000-0005-0000-0000-0000F6010000}"/>
    <cellStyle name="20% - Accent1 21" xfId="6163" xr:uid="{00000000-0005-0000-0000-0000F7010000}"/>
    <cellStyle name="20% - Accent1 22" xfId="6162" xr:uid="{00000000-0005-0000-0000-0000F8010000}"/>
    <cellStyle name="20% - Accent1 22 2" xfId="6161" xr:uid="{00000000-0005-0000-0000-0000F9010000}"/>
    <cellStyle name="20% - Accent1 22 2 2" xfId="6160" xr:uid="{00000000-0005-0000-0000-0000FA010000}"/>
    <cellStyle name="20% - Accent1 22 2 2 2" xfId="6159" xr:uid="{00000000-0005-0000-0000-0000FB010000}"/>
    <cellStyle name="20% - Accent1 22 2 2 3" xfId="6158" xr:uid="{00000000-0005-0000-0000-0000FC010000}"/>
    <cellStyle name="20% - Accent1 22 2 3" xfId="6157" xr:uid="{00000000-0005-0000-0000-0000FD010000}"/>
    <cellStyle name="20% - Accent1 22 2 4" xfId="6156" xr:uid="{00000000-0005-0000-0000-0000FE010000}"/>
    <cellStyle name="20% - Accent1 22 3" xfId="6155" xr:uid="{00000000-0005-0000-0000-0000FF010000}"/>
    <cellStyle name="20% - Accent1 22 3 2" xfId="6154" xr:uid="{00000000-0005-0000-0000-000000020000}"/>
    <cellStyle name="20% - Accent1 22 3 3" xfId="6153" xr:uid="{00000000-0005-0000-0000-000001020000}"/>
    <cellStyle name="20% - Accent1 22 4" xfId="6152" xr:uid="{00000000-0005-0000-0000-000002020000}"/>
    <cellStyle name="20% - Accent1 22 4 2" xfId="6151" xr:uid="{00000000-0005-0000-0000-000003020000}"/>
    <cellStyle name="20% - Accent1 22 4 3" xfId="6150" xr:uid="{00000000-0005-0000-0000-000004020000}"/>
    <cellStyle name="20% - Accent1 22 5" xfId="6149" xr:uid="{00000000-0005-0000-0000-000005020000}"/>
    <cellStyle name="20% - Accent1 22 6" xfId="6148" xr:uid="{00000000-0005-0000-0000-000006020000}"/>
    <cellStyle name="20% - Accent1 23" xfId="6147" xr:uid="{00000000-0005-0000-0000-000007020000}"/>
    <cellStyle name="20% - Accent1 23 2" xfId="6146" xr:uid="{00000000-0005-0000-0000-000008020000}"/>
    <cellStyle name="20% - Accent1 23 2 2" xfId="6145" xr:uid="{00000000-0005-0000-0000-000009020000}"/>
    <cellStyle name="20% - Accent1 23 2 3" xfId="6144" xr:uid="{00000000-0005-0000-0000-00000A020000}"/>
    <cellStyle name="20% - Accent1 23 3" xfId="6143" xr:uid="{00000000-0005-0000-0000-00000B020000}"/>
    <cellStyle name="20% - Accent1 23 4" xfId="6142" xr:uid="{00000000-0005-0000-0000-00000C020000}"/>
    <cellStyle name="20% - Accent1 24" xfId="6141" xr:uid="{00000000-0005-0000-0000-00000D020000}"/>
    <cellStyle name="20% - Accent1 24 2" xfId="6140" xr:uid="{00000000-0005-0000-0000-00000E020000}"/>
    <cellStyle name="20% - Accent1 24 3" xfId="6139" xr:uid="{00000000-0005-0000-0000-00000F020000}"/>
    <cellStyle name="20% - Accent1 25" xfId="6138" xr:uid="{00000000-0005-0000-0000-000010020000}"/>
    <cellStyle name="20% - Accent1 25 2" xfId="6137" xr:uid="{00000000-0005-0000-0000-000011020000}"/>
    <cellStyle name="20% - Accent1 25 3" xfId="6136" xr:uid="{00000000-0005-0000-0000-000012020000}"/>
    <cellStyle name="20% - Accent1 26" xfId="6135" xr:uid="{00000000-0005-0000-0000-000013020000}"/>
    <cellStyle name="20% - Accent1 27" xfId="6134" xr:uid="{00000000-0005-0000-0000-000014020000}"/>
    <cellStyle name="20% - Accent1 28" xfId="6133" xr:uid="{00000000-0005-0000-0000-000015020000}"/>
    <cellStyle name="20% - Accent1 29" xfId="6132" xr:uid="{00000000-0005-0000-0000-000016020000}"/>
    <cellStyle name="20% - Accent1 3" xfId="6131" xr:uid="{00000000-0005-0000-0000-000017020000}"/>
    <cellStyle name="20% - Accent1 3 10" xfId="6673" xr:uid="{00000000-0005-0000-0000-000018020000}"/>
    <cellStyle name="20% - Accent1 3 2" xfId="6130" xr:uid="{00000000-0005-0000-0000-000019020000}"/>
    <cellStyle name="20% - Accent1 3 2 2" xfId="6674" xr:uid="{00000000-0005-0000-0000-00001A020000}"/>
    <cellStyle name="20% - Accent1 3 2 2 2" xfId="6675" xr:uid="{00000000-0005-0000-0000-00001B020000}"/>
    <cellStyle name="20% - Accent1 3 2 2 2 2" xfId="6676" xr:uid="{00000000-0005-0000-0000-00001C020000}"/>
    <cellStyle name="20% - Accent1 3 2 2 3" xfId="6677" xr:uid="{00000000-0005-0000-0000-00001D020000}"/>
    <cellStyle name="20% - Accent1 3 2 2 4" xfId="6678" xr:uid="{00000000-0005-0000-0000-00001E020000}"/>
    <cellStyle name="20% - Accent1 3 2 2 5" xfId="6679" xr:uid="{00000000-0005-0000-0000-00001F020000}"/>
    <cellStyle name="20% - Accent1 3 2 3" xfId="6680" xr:uid="{00000000-0005-0000-0000-000020020000}"/>
    <cellStyle name="20% - Accent1 3 2 3 2" xfId="6681" xr:uid="{00000000-0005-0000-0000-000021020000}"/>
    <cellStyle name="20% - Accent1 3 2 3 2 2" xfId="6682" xr:uid="{00000000-0005-0000-0000-000022020000}"/>
    <cellStyle name="20% - Accent1 3 2 3 3" xfId="6683" xr:uid="{00000000-0005-0000-0000-000023020000}"/>
    <cellStyle name="20% - Accent1 3 2 3 4" xfId="6684" xr:uid="{00000000-0005-0000-0000-000024020000}"/>
    <cellStyle name="20% - Accent1 3 2 4" xfId="6685" xr:uid="{00000000-0005-0000-0000-000025020000}"/>
    <cellStyle name="20% - Accent1 3 2 4 2" xfId="6686" xr:uid="{00000000-0005-0000-0000-000026020000}"/>
    <cellStyle name="20% - Accent1 3 2 5" xfId="6687" xr:uid="{00000000-0005-0000-0000-000027020000}"/>
    <cellStyle name="20% - Accent1 3 2 5 2" xfId="6688" xr:uid="{00000000-0005-0000-0000-000028020000}"/>
    <cellStyle name="20% - Accent1 3 2 6" xfId="6689" xr:uid="{00000000-0005-0000-0000-000029020000}"/>
    <cellStyle name="20% - Accent1 3 2 7" xfId="6690" xr:uid="{00000000-0005-0000-0000-00002A020000}"/>
    <cellStyle name="20% - Accent1 3 2 8" xfId="6691" xr:uid="{00000000-0005-0000-0000-00002B020000}"/>
    <cellStyle name="20% - Accent1 3 3" xfId="6129" xr:uid="{00000000-0005-0000-0000-00002C020000}"/>
    <cellStyle name="20% - Accent1 3 3 2" xfId="6128" xr:uid="{00000000-0005-0000-0000-00002D020000}"/>
    <cellStyle name="20% - Accent1 3 3 2 2" xfId="6127" xr:uid="{00000000-0005-0000-0000-00002E020000}"/>
    <cellStyle name="20% - Accent1 3 3 2 2 2" xfId="6126" xr:uid="{00000000-0005-0000-0000-00002F020000}"/>
    <cellStyle name="20% - Accent1 3 3 2 2 3" xfId="6125" xr:uid="{00000000-0005-0000-0000-000030020000}"/>
    <cellStyle name="20% - Accent1 3 3 2 3" xfId="6124" xr:uid="{00000000-0005-0000-0000-000031020000}"/>
    <cellStyle name="20% - Accent1 3 3 2 4" xfId="6123" xr:uid="{00000000-0005-0000-0000-000032020000}"/>
    <cellStyle name="20% - Accent1 3 3 3" xfId="6122" xr:uid="{00000000-0005-0000-0000-000033020000}"/>
    <cellStyle name="20% - Accent1 3 3 3 2" xfId="6121" xr:uid="{00000000-0005-0000-0000-000034020000}"/>
    <cellStyle name="20% - Accent1 3 3 3 3" xfId="6120" xr:uid="{00000000-0005-0000-0000-000035020000}"/>
    <cellStyle name="20% - Accent1 3 3 4" xfId="6119" xr:uid="{00000000-0005-0000-0000-000036020000}"/>
    <cellStyle name="20% - Accent1 3 3 4 2" xfId="6118" xr:uid="{00000000-0005-0000-0000-000037020000}"/>
    <cellStyle name="20% - Accent1 3 3 4 3" xfId="6117" xr:uid="{00000000-0005-0000-0000-000038020000}"/>
    <cellStyle name="20% - Accent1 3 3 5" xfId="6116" xr:uid="{00000000-0005-0000-0000-000039020000}"/>
    <cellStyle name="20% - Accent1 3 3 6" xfId="6115" xr:uid="{00000000-0005-0000-0000-00003A020000}"/>
    <cellStyle name="20% - Accent1 3 3 7" xfId="6692" xr:uid="{00000000-0005-0000-0000-00003B020000}"/>
    <cellStyle name="20% - Accent1 3 4" xfId="6693" xr:uid="{00000000-0005-0000-0000-00003C020000}"/>
    <cellStyle name="20% - Accent1 3 4 2" xfId="6694" xr:uid="{00000000-0005-0000-0000-00003D020000}"/>
    <cellStyle name="20% - Accent1 3 4 2 2" xfId="6695" xr:uid="{00000000-0005-0000-0000-00003E020000}"/>
    <cellStyle name="20% - Accent1 3 4 3" xfId="6696" xr:uid="{00000000-0005-0000-0000-00003F020000}"/>
    <cellStyle name="20% - Accent1 3 4 4" xfId="6697" xr:uid="{00000000-0005-0000-0000-000040020000}"/>
    <cellStyle name="20% - Accent1 3 5" xfId="6698" xr:uid="{00000000-0005-0000-0000-000041020000}"/>
    <cellStyle name="20% - Accent1 3 5 2" xfId="6699" xr:uid="{00000000-0005-0000-0000-000042020000}"/>
    <cellStyle name="20% - Accent1 3 6" xfId="6700" xr:uid="{00000000-0005-0000-0000-000043020000}"/>
    <cellStyle name="20% - Accent1 3 7" xfId="6701" xr:uid="{00000000-0005-0000-0000-000044020000}"/>
    <cellStyle name="20% - Accent1 3 7 2" xfId="6702" xr:uid="{00000000-0005-0000-0000-000045020000}"/>
    <cellStyle name="20% - Accent1 3 8" xfId="6703" xr:uid="{00000000-0005-0000-0000-000046020000}"/>
    <cellStyle name="20% - Accent1 3 9" xfId="6704" xr:uid="{00000000-0005-0000-0000-000047020000}"/>
    <cellStyle name="20% - Accent1 3 9 2" xfId="6705" xr:uid="{00000000-0005-0000-0000-000048020000}"/>
    <cellStyle name="20% - Accent1 4" xfId="6114" xr:uid="{00000000-0005-0000-0000-000049020000}"/>
    <cellStyle name="20% - Accent1 4 2" xfId="6113" xr:uid="{00000000-0005-0000-0000-00004A020000}"/>
    <cellStyle name="20% - Accent1 4 2 2" xfId="6112" xr:uid="{00000000-0005-0000-0000-00004B020000}"/>
    <cellStyle name="20% - Accent1 4 2 2 2" xfId="6111" xr:uid="{00000000-0005-0000-0000-00004C020000}"/>
    <cellStyle name="20% - Accent1 4 2 2 2 2" xfId="6110" xr:uid="{00000000-0005-0000-0000-00004D020000}"/>
    <cellStyle name="20% - Accent1 4 2 2 2 3" xfId="6109" xr:uid="{00000000-0005-0000-0000-00004E020000}"/>
    <cellStyle name="20% - Accent1 4 2 2 3" xfId="6108" xr:uid="{00000000-0005-0000-0000-00004F020000}"/>
    <cellStyle name="20% - Accent1 4 2 2 4" xfId="6107" xr:uid="{00000000-0005-0000-0000-000050020000}"/>
    <cellStyle name="20% - Accent1 4 2 3" xfId="6106" xr:uid="{00000000-0005-0000-0000-000051020000}"/>
    <cellStyle name="20% - Accent1 4 2 3 2" xfId="6105" xr:uid="{00000000-0005-0000-0000-000052020000}"/>
    <cellStyle name="20% - Accent1 4 2 3 3" xfId="6104" xr:uid="{00000000-0005-0000-0000-000053020000}"/>
    <cellStyle name="20% - Accent1 4 2 4" xfId="6103" xr:uid="{00000000-0005-0000-0000-000054020000}"/>
    <cellStyle name="20% - Accent1 4 2 4 2" xfId="6102" xr:uid="{00000000-0005-0000-0000-000055020000}"/>
    <cellStyle name="20% - Accent1 4 2 4 3" xfId="6101" xr:uid="{00000000-0005-0000-0000-000056020000}"/>
    <cellStyle name="20% - Accent1 4 2 5" xfId="6100" xr:uid="{00000000-0005-0000-0000-000057020000}"/>
    <cellStyle name="20% - Accent1 4 2 6" xfId="6099" xr:uid="{00000000-0005-0000-0000-000058020000}"/>
    <cellStyle name="20% - Accent1 4 3" xfId="6098" xr:uid="{00000000-0005-0000-0000-000059020000}"/>
    <cellStyle name="20% - Accent1 4 3 2" xfId="6097" xr:uid="{00000000-0005-0000-0000-00005A020000}"/>
    <cellStyle name="20% - Accent1 4 3 2 2" xfId="6096" xr:uid="{00000000-0005-0000-0000-00005B020000}"/>
    <cellStyle name="20% - Accent1 4 3 2 3" xfId="6095" xr:uid="{00000000-0005-0000-0000-00005C020000}"/>
    <cellStyle name="20% - Accent1 4 3 3" xfId="6094" xr:uid="{00000000-0005-0000-0000-00005D020000}"/>
    <cellStyle name="20% - Accent1 4 3 3 2" xfId="6706" xr:uid="{00000000-0005-0000-0000-00005E020000}"/>
    <cellStyle name="20% - Accent1 4 3 4" xfId="6093" xr:uid="{00000000-0005-0000-0000-00005F020000}"/>
    <cellStyle name="20% - Accent1 4 4" xfId="6092" xr:uid="{00000000-0005-0000-0000-000060020000}"/>
    <cellStyle name="20% - Accent1 4 4 2" xfId="6091" xr:uid="{00000000-0005-0000-0000-000061020000}"/>
    <cellStyle name="20% - Accent1 4 4 2 2" xfId="6707" xr:uid="{00000000-0005-0000-0000-000062020000}"/>
    <cellStyle name="20% - Accent1 4 4 3" xfId="6090" xr:uid="{00000000-0005-0000-0000-000063020000}"/>
    <cellStyle name="20% - Accent1 4 4 4" xfId="6708" xr:uid="{00000000-0005-0000-0000-000064020000}"/>
    <cellStyle name="20% - Accent1 4 5" xfId="6089" xr:uid="{00000000-0005-0000-0000-000065020000}"/>
    <cellStyle name="20% - Accent1 4 5 2" xfId="6088" xr:uid="{00000000-0005-0000-0000-000066020000}"/>
    <cellStyle name="20% - Accent1 4 5 3" xfId="6087" xr:uid="{00000000-0005-0000-0000-000067020000}"/>
    <cellStyle name="20% - Accent1 4 6" xfId="6086" xr:uid="{00000000-0005-0000-0000-000068020000}"/>
    <cellStyle name="20% - Accent1 4 6 2" xfId="6709" xr:uid="{00000000-0005-0000-0000-000069020000}"/>
    <cellStyle name="20% - Accent1 4 7" xfId="6085" xr:uid="{00000000-0005-0000-0000-00006A020000}"/>
    <cellStyle name="20% - Accent1 4 7 2" xfId="6710" xr:uid="{00000000-0005-0000-0000-00006B020000}"/>
    <cellStyle name="20% - Accent1 4 8" xfId="6711" xr:uid="{00000000-0005-0000-0000-00006C020000}"/>
    <cellStyle name="20% - Accent1 4 9" xfId="6712" xr:uid="{00000000-0005-0000-0000-00006D020000}"/>
    <cellStyle name="20% - Accent1 5" xfId="6084" xr:uid="{00000000-0005-0000-0000-00006E020000}"/>
    <cellStyle name="20% - Accent1 5 10" xfId="6713" xr:uid="{00000000-0005-0000-0000-00006F020000}"/>
    <cellStyle name="20% - Accent1 5 11" xfId="6714" xr:uid="{00000000-0005-0000-0000-000070020000}"/>
    <cellStyle name="20% - Accent1 5 2" xfId="6083" xr:uid="{00000000-0005-0000-0000-000071020000}"/>
    <cellStyle name="20% - Accent1 5 2 2" xfId="6082" xr:uid="{00000000-0005-0000-0000-000072020000}"/>
    <cellStyle name="20% - Accent1 5 2 2 2" xfId="6081" xr:uid="{00000000-0005-0000-0000-000073020000}"/>
    <cellStyle name="20% - Accent1 5 2 2 2 2" xfId="6715" xr:uid="{00000000-0005-0000-0000-000074020000}"/>
    <cellStyle name="20% - Accent1 5 2 2 2 2 2" xfId="6716" xr:uid="{00000000-0005-0000-0000-000075020000}"/>
    <cellStyle name="20% - Accent1 5 2 2 2 3" xfId="6717" xr:uid="{00000000-0005-0000-0000-000076020000}"/>
    <cellStyle name="20% - Accent1 5 2 2 2 3 2" xfId="6718" xr:uid="{00000000-0005-0000-0000-000077020000}"/>
    <cellStyle name="20% - Accent1 5 2 2 2 4" xfId="6719" xr:uid="{00000000-0005-0000-0000-000078020000}"/>
    <cellStyle name="20% - Accent1 5 2 2 2 4 2" xfId="6720" xr:uid="{00000000-0005-0000-0000-000079020000}"/>
    <cellStyle name="20% - Accent1 5 2 2 2 5" xfId="6721" xr:uid="{00000000-0005-0000-0000-00007A020000}"/>
    <cellStyle name="20% - Accent1 5 2 2 3" xfId="6080" xr:uid="{00000000-0005-0000-0000-00007B020000}"/>
    <cellStyle name="20% - Accent1 5 2 2 3 2" xfId="6722" xr:uid="{00000000-0005-0000-0000-00007C020000}"/>
    <cellStyle name="20% - Accent1 5 2 2 3 2 2" xfId="6723" xr:uid="{00000000-0005-0000-0000-00007D020000}"/>
    <cellStyle name="20% - Accent1 5 2 2 3 3" xfId="6724" xr:uid="{00000000-0005-0000-0000-00007E020000}"/>
    <cellStyle name="20% - Accent1 5 2 2 3 3 2" xfId="6725" xr:uid="{00000000-0005-0000-0000-00007F020000}"/>
    <cellStyle name="20% - Accent1 5 2 2 3 4" xfId="6726" xr:uid="{00000000-0005-0000-0000-000080020000}"/>
    <cellStyle name="20% - Accent1 5 2 2 4" xfId="6727" xr:uid="{00000000-0005-0000-0000-000081020000}"/>
    <cellStyle name="20% - Accent1 5 2 2 4 2" xfId="6728" xr:uid="{00000000-0005-0000-0000-000082020000}"/>
    <cellStyle name="20% - Accent1 5 2 2 4 2 2" xfId="6729" xr:uid="{00000000-0005-0000-0000-000083020000}"/>
    <cellStyle name="20% - Accent1 5 2 2 4 3" xfId="6730" xr:uid="{00000000-0005-0000-0000-000084020000}"/>
    <cellStyle name="20% - Accent1 5 2 2 4 3 2" xfId="6731" xr:uid="{00000000-0005-0000-0000-000085020000}"/>
    <cellStyle name="20% - Accent1 5 2 2 4 4" xfId="6732" xr:uid="{00000000-0005-0000-0000-000086020000}"/>
    <cellStyle name="20% - Accent1 5 2 2 5" xfId="6733" xr:uid="{00000000-0005-0000-0000-000087020000}"/>
    <cellStyle name="20% - Accent1 5 2 2 5 2" xfId="6734" xr:uid="{00000000-0005-0000-0000-000088020000}"/>
    <cellStyle name="20% - Accent1 5 2 2 5 2 2" xfId="6735" xr:uid="{00000000-0005-0000-0000-000089020000}"/>
    <cellStyle name="20% - Accent1 5 2 2 5 3" xfId="6736" xr:uid="{00000000-0005-0000-0000-00008A020000}"/>
    <cellStyle name="20% - Accent1 5 2 2 5 3 2" xfId="6737" xr:uid="{00000000-0005-0000-0000-00008B020000}"/>
    <cellStyle name="20% - Accent1 5 2 2 5 4" xfId="6738" xr:uid="{00000000-0005-0000-0000-00008C020000}"/>
    <cellStyle name="20% - Accent1 5 2 2 6" xfId="6739" xr:uid="{00000000-0005-0000-0000-00008D020000}"/>
    <cellStyle name="20% - Accent1 5 2 2 7" xfId="6740" xr:uid="{00000000-0005-0000-0000-00008E020000}"/>
    <cellStyle name="20% - Accent1 5 2 3" xfId="6079" xr:uid="{00000000-0005-0000-0000-00008F020000}"/>
    <cellStyle name="20% - Accent1 5 2 4" xfId="6078" xr:uid="{00000000-0005-0000-0000-000090020000}"/>
    <cellStyle name="20% - Accent1 5 2 5" xfId="6741" xr:uid="{00000000-0005-0000-0000-000091020000}"/>
    <cellStyle name="20% - Accent1 5 2 5 2" xfId="6742" xr:uid="{00000000-0005-0000-0000-000092020000}"/>
    <cellStyle name="20% - Accent1 5 2 6" xfId="6743" xr:uid="{00000000-0005-0000-0000-000093020000}"/>
    <cellStyle name="20% - Accent1 5 3" xfId="6077" xr:uid="{00000000-0005-0000-0000-000094020000}"/>
    <cellStyle name="20% - Accent1 5 3 2" xfId="6076" xr:uid="{00000000-0005-0000-0000-000095020000}"/>
    <cellStyle name="20% - Accent1 5 3 2 2" xfId="6744" xr:uid="{00000000-0005-0000-0000-000096020000}"/>
    <cellStyle name="20% - Accent1 5 3 3" xfId="6075" xr:uid="{00000000-0005-0000-0000-000097020000}"/>
    <cellStyle name="20% - Accent1 5 3 4" xfId="6745" xr:uid="{00000000-0005-0000-0000-000098020000}"/>
    <cellStyle name="20% - Accent1 5 3 5" xfId="6746" xr:uid="{00000000-0005-0000-0000-000099020000}"/>
    <cellStyle name="20% - Accent1 5 3 5 2" xfId="6747" xr:uid="{00000000-0005-0000-0000-00009A020000}"/>
    <cellStyle name="20% - Accent1 5 3 6" xfId="6748" xr:uid="{00000000-0005-0000-0000-00009B020000}"/>
    <cellStyle name="20% - Accent1 5 4" xfId="6074" xr:uid="{00000000-0005-0000-0000-00009C020000}"/>
    <cellStyle name="20% - Accent1 5 4 2" xfId="6073" xr:uid="{00000000-0005-0000-0000-00009D020000}"/>
    <cellStyle name="20% - Accent1 5 4 3" xfId="6072" xr:uid="{00000000-0005-0000-0000-00009E020000}"/>
    <cellStyle name="20% - Accent1 5 5" xfId="6071" xr:uid="{00000000-0005-0000-0000-00009F020000}"/>
    <cellStyle name="20% - Accent1 5 5 2" xfId="6749" xr:uid="{00000000-0005-0000-0000-0000A0020000}"/>
    <cellStyle name="20% - Accent1 5 5 2 2" xfId="6750" xr:uid="{00000000-0005-0000-0000-0000A1020000}"/>
    <cellStyle name="20% - Accent1 5 5 2 2 2" xfId="6751" xr:uid="{00000000-0005-0000-0000-0000A2020000}"/>
    <cellStyle name="20% - Accent1 5 5 2 3" xfId="6752" xr:uid="{00000000-0005-0000-0000-0000A3020000}"/>
    <cellStyle name="20% - Accent1 5 5 2 3 2" xfId="6753" xr:uid="{00000000-0005-0000-0000-0000A4020000}"/>
    <cellStyle name="20% - Accent1 5 5 2 4" xfId="6754" xr:uid="{00000000-0005-0000-0000-0000A5020000}"/>
    <cellStyle name="20% - Accent1 5 5 2 4 2" xfId="6755" xr:uid="{00000000-0005-0000-0000-0000A6020000}"/>
    <cellStyle name="20% - Accent1 5 5 2 5" xfId="6756" xr:uid="{00000000-0005-0000-0000-0000A7020000}"/>
    <cellStyle name="20% - Accent1 5 5 3" xfId="6757" xr:uid="{00000000-0005-0000-0000-0000A8020000}"/>
    <cellStyle name="20% - Accent1 5 5 3 2" xfId="6758" xr:uid="{00000000-0005-0000-0000-0000A9020000}"/>
    <cellStyle name="20% - Accent1 5 5 3 2 2" xfId="6759" xr:uid="{00000000-0005-0000-0000-0000AA020000}"/>
    <cellStyle name="20% - Accent1 5 5 3 3" xfId="6760" xr:uid="{00000000-0005-0000-0000-0000AB020000}"/>
    <cellStyle name="20% - Accent1 5 5 3 3 2" xfId="6761" xr:uid="{00000000-0005-0000-0000-0000AC020000}"/>
    <cellStyle name="20% - Accent1 5 5 3 4" xfId="6762" xr:uid="{00000000-0005-0000-0000-0000AD020000}"/>
    <cellStyle name="20% - Accent1 5 5 4" xfId="6763" xr:uid="{00000000-0005-0000-0000-0000AE020000}"/>
    <cellStyle name="20% - Accent1 5 5 4 2" xfId="6764" xr:uid="{00000000-0005-0000-0000-0000AF020000}"/>
    <cellStyle name="20% - Accent1 5 5 4 2 2" xfId="6765" xr:uid="{00000000-0005-0000-0000-0000B0020000}"/>
    <cellStyle name="20% - Accent1 5 5 4 3" xfId="6766" xr:uid="{00000000-0005-0000-0000-0000B1020000}"/>
    <cellStyle name="20% - Accent1 5 5 4 3 2" xfId="6767" xr:uid="{00000000-0005-0000-0000-0000B2020000}"/>
    <cellStyle name="20% - Accent1 5 5 4 4" xfId="6768" xr:uid="{00000000-0005-0000-0000-0000B3020000}"/>
    <cellStyle name="20% - Accent1 5 5 5" xfId="6769" xr:uid="{00000000-0005-0000-0000-0000B4020000}"/>
    <cellStyle name="20% - Accent1 5 5 5 2" xfId="6770" xr:uid="{00000000-0005-0000-0000-0000B5020000}"/>
    <cellStyle name="20% - Accent1 5 5 5 2 2" xfId="6771" xr:uid="{00000000-0005-0000-0000-0000B6020000}"/>
    <cellStyle name="20% - Accent1 5 5 5 3" xfId="6772" xr:uid="{00000000-0005-0000-0000-0000B7020000}"/>
    <cellStyle name="20% - Accent1 5 5 5 3 2" xfId="6773" xr:uid="{00000000-0005-0000-0000-0000B8020000}"/>
    <cellStyle name="20% - Accent1 5 5 5 4" xfId="6774" xr:uid="{00000000-0005-0000-0000-0000B9020000}"/>
    <cellStyle name="20% - Accent1 5 5 6" xfId="6775" xr:uid="{00000000-0005-0000-0000-0000BA020000}"/>
    <cellStyle name="20% - Accent1 5 6" xfId="6070" xr:uid="{00000000-0005-0000-0000-0000BB020000}"/>
    <cellStyle name="20% - Accent1 5 6 2" xfId="6776" xr:uid="{00000000-0005-0000-0000-0000BC020000}"/>
    <cellStyle name="20% - Accent1 5 6 2 2" xfId="6777" xr:uid="{00000000-0005-0000-0000-0000BD020000}"/>
    <cellStyle name="20% - Accent1 5 6 2 2 2" xfId="6778" xr:uid="{00000000-0005-0000-0000-0000BE020000}"/>
    <cellStyle name="20% - Accent1 5 6 2 2 2 2" xfId="6779" xr:uid="{00000000-0005-0000-0000-0000BF020000}"/>
    <cellStyle name="20% - Accent1 5 6 2 2 3" xfId="6780" xr:uid="{00000000-0005-0000-0000-0000C0020000}"/>
    <cellStyle name="20% - Accent1 5 6 2 2 3 2" xfId="6781" xr:uid="{00000000-0005-0000-0000-0000C1020000}"/>
    <cellStyle name="20% - Accent1 5 6 2 2 4" xfId="6782" xr:uid="{00000000-0005-0000-0000-0000C2020000}"/>
    <cellStyle name="20% - Accent1 5 6 2 2 5" xfId="6783" xr:uid="{00000000-0005-0000-0000-0000C3020000}"/>
    <cellStyle name="20% - Accent1 5 6 2 3" xfId="6784" xr:uid="{00000000-0005-0000-0000-0000C4020000}"/>
    <cellStyle name="20% - Accent1 5 6 2 3 2" xfId="6785" xr:uid="{00000000-0005-0000-0000-0000C5020000}"/>
    <cellStyle name="20% - Accent1 5 6 2 3 2 2" xfId="6786" xr:uid="{00000000-0005-0000-0000-0000C6020000}"/>
    <cellStyle name="20% - Accent1 5 6 2 3 3" xfId="6787" xr:uid="{00000000-0005-0000-0000-0000C7020000}"/>
    <cellStyle name="20% - Accent1 5 6 2 4" xfId="6788" xr:uid="{00000000-0005-0000-0000-0000C8020000}"/>
    <cellStyle name="20% - Accent1 5 6 2 4 2" xfId="6789" xr:uid="{00000000-0005-0000-0000-0000C9020000}"/>
    <cellStyle name="20% - Accent1 5 6 2 5" xfId="6790" xr:uid="{00000000-0005-0000-0000-0000CA020000}"/>
    <cellStyle name="20% - Accent1 5 6 2 5 2" xfId="6791" xr:uid="{00000000-0005-0000-0000-0000CB020000}"/>
    <cellStyle name="20% - Accent1 5 6 2 6" xfId="6792" xr:uid="{00000000-0005-0000-0000-0000CC020000}"/>
    <cellStyle name="20% - Accent1 5 6 3" xfId="6793" xr:uid="{00000000-0005-0000-0000-0000CD020000}"/>
    <cellStyle name="20% - Accent1 5 6 3 2" xfId="6794" xr:uid="{00000000-0005-0000-0000-0000CE020000}"/>
    <cellStyle name="20% - Accent1 5 6 3 2 2" xfId="6795" xr:uid="{00000000-0005-0000-0000-0000CF020000}"/>
    <cellStyle name="20% - Accent1 5 6 3 2 2 2" xfId="6796" xr:uid="{00000000-0005-0000-0000-0000D0020000}"/>
    <cellStyle name="20% - Accent1 5 6 3 2 3" xfId="6797" xr:uid="{00000000-0005-0000-0000-0000D1020000}"/>
    <cellStyle name="20% - Accent1 5 6 3 2 3 2" xfId="6798" xr:uid="{00000000-0005-0000-0000-0000D2020000}"/>
    <cellStyle name="20% - Accent1 5 6 3 2 4" xfId="6799" xr:uid="{00000000-0005-0000-0000-0000D3020000}"/>
    <cellStyle name="20% - Accent1 5 6 3 2 5" xfId="6800" xr:uid="{00000000-0005-0000-0000-0000D4020000}"/>
    <cellStyle name="20% - Accent1 5 6 3 3" xfId="6801" xr:uid="{00000000-0005-0000-0000-0000D5020000}"/>
    <cellStyle name="20% - Accent1 5 6 3 3 2" xfId="6802" xr:uid="{00000000-0005-0000-0000-0000D6020000}"/>
    <cellStyle name="20% - Accent1 5 6 3 3 2 2" xfId="6803" xr:uid="{00000000-0005-0000-0000-0000D7020000}"/>
    <cellStyle name="20% - Accent1 5 6 3 3 3" xfId="6804" xr:uid="{00000000-0005-0000-0000-0000D8020000}"/>
    <cellStyle name="20% - Accent1 5 6 3 4" xfId="6805" xr:uid="{00000000-0005-0000-0000-0000D9020000}"/>
    <cellStyle name="20% - Accent1 5 6 3 4 2" xfId="6806" xr:uid="{00000000-0005-0000-0000-0000DA020000}"/>
    <cellStyle name="20% - Accent1 5 6 3 5" xfId="6807" xr:uid="{00000000-0005-0000-0000-0000DB020000}"/>
    <cellStyle name="20% - Accent1 5 6 3 5 2" xfId="6808" xr:uid="{00000000-0005-0000-0000-0000DC020000}"/>
    <cellStyle name="20% - Accent1 5 6 3 6" xfId="6809" xr:uid="{00000000-0005-0000-0000-0000DD020000}"/>
    <cellStyle name="20% - Accent1 5 6 4" xfId="6810" xr:uid="{00000000-0005-0000-0000-0000DE020000}"/>
    <cellStyle name="20% - Accent1 5 6 4 2" xfId="6811" xr:uid="{00000000-0005-0000-0000-0000DF020000}"/>
    <cellStyle name="20% - Accent1 5 6 4 2 2" xfId="6812" xr:uid="{00000000-0005-0000-0000-0000E0020000}"/>
    <cellStyle name="20% - Accent1 5 6 4 3" xfId="6813" xr:uid="{00000000-0005-0000-0000-0000E1020000}"/>
    <cellStyle name="20% - Accent1 5 6 4 3 2" xfId="6814" xr:uid="{00000000-0005-0000-0000-0000E2020000}"/>
    <cellStyle name="20% - Accent1 5 6 4 4" xfId="6815" xr:uid="{00000000-0005-0000-0000-0000E3020000}"/>
    <cellStyle name="20% - Accent1 5 6 5" xfId="6816" xr:uid="{00000000-0005-0000-0000-0000E4020000}"/>
    <cellStyle name="20% - Accent1 5 6 5 2" xfId="6817" xr:uid="{00000000-0005-0000-0000-0000E5020000}"/>
    <cellStyle name="20% - Accent1 5 6 5 3" xfId="6818" xr:uid="{00000000-0005-0000-0000-0000E6020000}"/>
    <cellStyle name="20% - Accent1 5 6 6" xfId="6819" xr:uid="{00000000-0005-0000-0000-0000E7020000}"/>
    <cellStyle name="20% - Accent1 5 6 6 2" xfId="6820" xr:uid="{00000000-0005-0000-0000-0000E8020000}"/>
    <cellStyle name="20% - Accent1 5 6 6 3" xfId="6821" xr:uid="{00000000-0005-0000-0000-0000E9020000}"/>
    <cellStyle name="20% - Accent1 5 6 7" xfId="6822" xr:uid="{00000000-0005-0000-0000-0000EA020000}"/>
    <cellStyle name="20% - Accent1 5 6 7 2" xfId="6823" xr:uid="{00000000-0005-0000-0000-0000EB020000}"/>
    <cellStyle name="20% - Accent1 5 6 7 3" xfId="6824" xr:uid="{00000000-0005-0000-0000-0000EC020000}"/>
    <cellStyle name="20% - Accent1 5 6 8" xfId="6825" xr:uid="{00000000-0005-0000-0000-0000ED020000}"/>
    <cellStyle name="20% - Accent1 5 7" xfId="6826" xr:uid="{00000000-0005-0000-0000-0000EE020000}"/>
    <cellStyle name="20% - Accent1 5 7 2" xfId="6827" xr:uid="{00000000-0005-0000-0000-0000EF020000}"/>
    <cellStyle name="20% - Accent1 5 7 2 2" xfId="6828" xr:uid="{00000000-0005-0000-0000-0000F0020000}"/>
    <cellStyle name="20% - Accent1 5 7 2 2 2" xfId="6829" xr:uid="{00000000-0005-0000-0000-0000F1020000}"/>
    <cellStyle name="20% - Accent1 5 7 2 3" xfId="6830" xr:uid="{00000000-0005-0000-0000-0000F2020000}"/>
    <cellStyle name="20% - Accent1 5 7 2 3 2" xfId="6831" xr:uid="{00000000-0005-0000-0000-0000F3020000}"/>
    <cellStyle name="20% - Accent1 5 7 2 4" xfId="6832" xr:uid="{00000000-0005-0000-0000-0000F4020000}"/>
    <cellStyle name="20% - Accent1 5 7 2 4 2" xfId="6833" xr:uid="{00000000-0005-0000-0000-0000F5020000}"/>
    <cellStyle name="20% - Accent1 5 7 2 5" xfId="6834" xr:uid="{00000000-0005-0000-0000-0000F6020000}"/>
    <cellStyle name="20% - Accent1 5 7 3" xfId="6835" xr:uid="{00000000-0005-0000-0000-0000F7020000}"/>
    <cellStyle name="20% - Accent1 5 7 3 2" xfId="6836" xr:uid="{00000000-0005-0000-0000-0000F8020000}"/>
    <cellStyle name="20% - Accent1 5 7 3 2 2" xfId="6837" xr:uid="{00000000-0005-0000-0000-0000F9020000}"/>
    <cellStyle name="20% - Accent1 5 7 3 3" xfId="6838" xr:uid="{00000000-0005-0000-0000-0000FA020000}"/>
    <cellStyle name="20% - Accent1 5 7 3 3 2" xfId="6839" xr:uid="{00000000-0005-0000-0000-0000FB020000}"/>
    <cellStyle name="20% - Accent1 5 7 3 4" xfId="6840" xr:uid="{00000000-0005-0000-0000-0000FC020000}"/>
    <cellStyle name="20% - Accent1 5 7 4" xfId="6841" xr:uid="{00000000-0005-0000-0000-0000FD020000}"/>
    <cellStyle name="20% - Accent1 5 7 4 2" xfId="6842" xr:uid="{00000000-0005-0000-0000-0000FE020000}"/>
    <cellStyle name="20% - Accent1 5 7 5" xfId="6843" xr:uid="{00000000-0005-0000-0000-0000FF020000}"/>
    <cellStyle name="20% - Accent1 5 7 5 2" xfId="6844" xr:uid="{00000000-0005-0000-0000-000000030000}"/>
    <cellStyle name="20% - Accent1 5 7 6" xfId="6845" xr:uid="{00000000-0005-0000-0000-000001030000}"/>
    <cellStyle name="20% - Accent1 5 7 7" xfId="6846" xr:uid="{00000000-0005-0000-0000-000002030000}"/>
    <cellStyle name="20% - Accent1 5 8" xfId="6847" xr:uid="{00000000-0005-0000-0000-000003030000}"/>
    <cellStyle name="20% - Accent1 5 8 2" xfId="6848" xr:uid="{00000000-0005-0000-0000-000004030000}"/>
    <cellStyle name="20% - Accent1 5 8 2 2" xfId="6849" xr:uid="{00000000-0005-0000-0000-000005030000}"/>
    <cellStyle name="20% - Accent1 5 8 2 2 2" xfId="6850" xr:uid="{00000000-0005-0000-0000-000006030000}"/>
    <cellStyle name="20% - Accent1 5 8 2 3" xfId="6851" xr:uid="{00000000-0005-0000-0000-000007030000}"/>
    <cellStyle name="20% - Accent1 5 8 2 3 2" xfId="6852" xr:uid="{00000000-0005-0000-0000-000008030000}"/>
    <cellStyle name="20% - Accent1 5 8 2 4" xfId="6853" xr:uid="{00000000-0005-0000-0000-000009030000}"/>
    <cellStyle name="20% - Accent1 5 8 3" xfId="6854" xr:uid="{00000000-0005-0000-0000-00000A030000}"/>
    <cellStyle name="20% - Accent1 5 8 3 2" xfId="6855" xr:uid="{00000000-0005-0000-0000-00000B030000}"/>
    <cellStyle name="20% - Accent1 5 8 4" xfId="6856" xr:uid="{00000000-0005-0000-0000-00000C030000}"/>
    <cellStyle name="20% - Accent1 5 9" xfId="6857" xr:uid="{00000000-0005-0000-0000-00000D030000}"/>
    <cellStyle name="20% - Accent1 5 9 2" xfId="6858" xr:uid="{00000000-0005-0000-0000-00000E030000}"/>
    <cellStyle name="20% - Accent1 6" xfId="6069" xr:uid="{00000000-0005-0000-0000-00000F030000}"/>
    <cellStyle name="20% - Accent1 6 10" xfId="6859" xr:uid="{00000000-0005-0000-0000-000010030000}"/>
    <cellStyle name="20% - Accent1 6 2" xfId="6068" xr:uid="{00000000-0005-0000-0000-000011030000}"/>
    <cellStyle name="20% - Accent1 6 2 2" xfId="6067" xr:uid="{00000000-0005-0000-0000-000012030000}"/>
    <cellStyle name="20% - Accent1 6 2 2 2" xfId="6066" xr:uid="{00000000-0005-0000-0000-000013030000}"/>
    <cellStyle name="20% - Accent1 6 2 2 3" xfId="6065" xr:uid="{00000000-0005-0000-0000-000014030000}"/>
    <cellStyle name="20% - Accent1 6 2 3" xfId="6064" xr:uid="{00000000-0005-0000-0000-000015030000}"/>
    <cellStyle name="20% - Accent1 6 2 4" xfId="6063" xr:uid="{00000000-0005-0000-0000-000016030000}"/>
    <cellStyle name="20% - Accent1 6 2 5" xfId="6860" xr:uid="{00000000-0005-0000-0000-000017030000}"/>
    <cellStyle name="20% - Accent1 6 2 5 2" xfId="6861" xr:uid="{00000000-0005-0000-0000-000018030000}"/>
    <cellStyle name="20% - Accent1 6 2 5 2 2" xfId="6862" xr:uid="{00000000-0005-0000-0000-000019030000}"/>
    <cellStyle name="20% - Accent1 6 2 5 3" xfId="6863" xr:uid="{00000000-0005-0000-0000-00001A030000}"/>
    <cellStyle name="20% - Accent1 6 2 5 3 2" xfId="6864" xr:uid="{00000000-0005-0000-0000-00001B030000}"/>
    <cellStyle name="20% - Accent1 6 2 5 4" xfId="6865" xr:uid="{00000000-0005-0000-0000-00001C030000}"/>
    <cellStyle name="20% - Accent1 6 2 5 5" xfId="6866" xr:uid="{00000000-0005-0000-0000-00001D030000}"/>
    <cellStyle name="20% - Accent1 6 2 6" xfId="6867" xr:uid="{00000000-0005-0000-0000-00001E030000}"/>
    <cellStyle name="20% - Accent1 6 2 6 2" xfId="6868" xr:uid="{00000000-0005-0000-0000-00001F030000}"/>
    <cellStyle name="20% - Accent1 6 2 7" xfId="6869" xr:uid="{00000000-0005-0000-0000-000020030000}"/>
    <cellStyle name="20% - Accent1 6 2 7 2" xfId="6870" xr:uid="{00000000-0005-0000-0000-000021030000}"/>
    <cellStyle name="20% - Accent1 6 2 8" xfId="6871" xr:uid="{00000000-0005-0000-0000-000022030000}"/>
    <cellStyle name="20% - Accent1 6 2 8 2" xfId="6872" xr:uid="{00000000-0005-0000-0000-000023030000}"/>
    <cellStyle name="20% - Accent1 6 2 9" xfId="6873" xr:uid="{00000000-0005-0000-0000-000024030000}"/>
    <cellStyle name="20% - Accent1 6 3" xfId="6062" xr:uid="{00000000-0005-0000-0000-000025030000}"/>
    <cellStyle name="20% - Accent1 6 3 2" xfId="6061" xr:uid="{00000000-0005-0000-0000-000026030000}"/>
    <cellStyle name="20% - Accent1 6 3 3" xfId="6060" xr:uid="{00000000-0005-0000-0000-000027030000}"/>
    <cellStyle name="20% - Accent1 6 3 4" xfId="6874" xr:uid="{00000000-0005-0000-0000-000028030000}"/>
    <cellStyle name="20% - Accent1 6 3 4 2" xfId="6875" xr:uid="{00000000-0005-0000-0000-000029030000}"/>
    <cellStyle name="20% - Accent1 6 3 5" xfId="6876" xr:uid="{00000000-0005-0000-0000-00002A030000}"/>
    <cellStyle name="20% - Accent1 6 3 5 2" xfId="6877" xr:uid="{00000000-0005-0000-0000-00002B030000}"/>
    <cellStyle name="20% - Accent1 6 4" xfId="6059" xr:uid="{00000000-0005-0000-0000-00002C030000}"/>
    <cellStyle name="20% - Accent1 6 4 2" xfId="6058" xr:uid="{00000000-0005-0000-0000-00002D030000}"/>
    <cellStyle name="20% - Accent1 6 4 2 2" xfId="6878" xr:uid="{00000000-0005-0000-0000-00002E030000}"/>
    <cellStyle name="20% - Accent1 6 4 2 2 2" xfId="6879" xr:uid="{00000000-0005-0000-0000-00002F030000}"/>
    <cellStyle name="20% - Accent1 6 4 2 2 2 2" xfId="6880" xr:uid="{00000000-0005-0000-0000-000030030000}"/>
    <cellStyle name="20% - Accent1 6 4 2 2 3" xfId="6881" xr:uid="{00000000-0005-0000-0000-000031030000}"/>
    <cellStyle name="20% - Accent1 6 4 2 2 3 2" xfId="6882" xr:uid="{00000000-0005-0000-0000-000032030000}"/>
    <cellStyle name="20% - Accent1 6 4 2 2 4" xfId="6883" xr:uid="{00000000-0005-0000-0000-000033030000}"/>
    <cellStyle name="20% - Accent1 6 4 2 2 5" xfId="6884" xr:uid="{00000000-0005-0000-0000-000034030000}"/>
    <cellStyle name="20% - Accent1 6 4 2 3" xfId="6885" xr:uid="{00000000-0005-0000-0000-000035030000}"/>
    <cellStyle name="20% - Accent1 6 4 2 3 2" xfId="6886" xr:uid="{00000000-0005-0000-0000-000036030000}"/>
    <cellStyle name="20% - Accent1 6 4 2 3 2 2" xfId="6887" xr:uid="{00000000-0005-0000-0000-000037030000}"/>
    <cellStyle name="20% - Accent1 6 4 2 3 3" xfId="6888" xr:uid="{00000000-0005-0000-0000-000038030000}"/>
    <cellStyle name="20% - Accent1 6 4 2 4" xfId="6889" xr:uid="{00000000-0005-0000-0000-000039030000}"/>
    <cellStyle name="20% - Accent1 6 4 2 4 2" xfId="6890" xr:uid="{00000000-0005-0000-0000-00003A030000}"/>
    <cellStyle name="20% - Accent1 6 4 2 5" xfId="6891" xr:uid="{00000000-0005-0000-0000-00003B030000}"/>
    <cellStyle name="20% - Accent1 6 4 2 5 2" xfId="6892" xr:uid="{00000000-0005-0000-0000-00003C030000}"/>
    <cellStyle name="20% - Accent1 6 4 2 6" xfId="6893" xr:uid="{00000000-0005-0000-0000-00003D030000}"/>
    <cellStyle name="20% - Accent1 6 4 3" xfId="6057" xr:uid="{00000000-0005-0000-0000-00003E030000}"/>
    <cellStyle name="20% - Accent1 6 4 3 2" xfId="6894" xr:uid="{00000000-0005-0000-0000-00003F030000}"/>
    <cellStyle name="20% - Accent1 6 4 3 2 2" xfId="6895" xr:uid="{00000000-0005-0000-0000-000040030000}"/>
    <cellStyle name="20% - Accent1 6 4 3 3" xfId="6896" xr:uid="{00000000-0005-0000-0000-000041030000}"/>
    <cellStyle name="20% - Accent1 6 4 3 3 2" xfId="6897" xr:uid="{00000000-0005-0000-0000-000042030000}"/>
    <cellStyle name="20% - Accent1 6 4 3 4" xfId="6898" xr:uid="{00000000-0005-0000-0000-000043030000}"/>
    <cellStyle name="20% - Accent1 6 4 4" xfId="6899" xr:uid="{00000000-0005-0000-0000-000044030000}"/>
    <cellStyle name="20% - Accent1 6 4 4 2" xfId="6900" xr:uid="{00000000-0005-0000-0000-000045030000}"/>
    <cellStyle name="20% - Accent1 6 4 4 3" xfId="6901" xr:uid="{00000000-0005-0000-0000-000046030000}"/>
    <cellStyle name="20% - Accent1 6 4 5" xfId="6902" xr:uid="{00000000-0005-0000-0000-000047030000}"/>
    <cellStyle name="20% - Accent1 6 4 5 2" xfId="6903" xr:uid="{00000000-0005-0000-0000-000048030000}"/>
    <cellStyle name="20% - Accent1 6 4 5 3" xfId="6904" xr:uid="{00000000-0005-0000-0000-000049030000}"/>
    <cellStyle name="20% - Accent1 6 4 6" xfId="6905" xr:uid="{00000000-0005-0000-0000-00004A030000}"/>
    <cellStyle name="20% - Accent1 6 4 6 2" xfId="6906" xr:uid="{00000000-0005-0000-0000-00004B030000}"/>
    <cellStyle name="20% - Accent1 6 4 6 3" xfId="6907" xr:uid="{00000000-0005-0000-0000-00004C030000}"/>
    <cellStyle name="20% - Accent1 6 4 7" xfId="6908" xr:uid="{00000000-0005-0000-0000-00004D030000}"/>
    <cellStyle name="20% - Accent1 6 4 8" xfId="6909" xr:uid="{00000000-0005-0000-0000-00004E030000}"/>
    <cellStyle name="20% - Accent1 6 5" xfId="6056" xr:uid="{00000000-0005-0000-0000-00004F030000}"/>
    <cellStyle name="20% - Accent1 6 5 2" xfId="6910" xr:uid="{00000000-0005-0000-0000-000050030000}"/>
    <cellStyle name="20% - Accent1 6 5 2 2" xfId="6911" xr:uid="{00000000-0005-0000-0000-000051030000}"/>
    <cellStyle name="20% - Accent1 6 5 2 2 2" xfId="6912" xr:uid="{00000000-0005-0000-0000-000052030000}"/>
    <cellStyle name="20% - Accent1 6 5 2 3" xfId="6913" xr:uid="{00000000-0005-0000-0000-000053030000}"/>
    <cellStyle name="20% - Accent1 6 5 2 3 2" xfId="6914" xr:uid="{00000000-0005-0000-0000-000054030000}"/>
    <cellStyle name="20% - Accent1 6 5 2 4" xfId="6915" xr:uid="{00000000-0005-0000-0000-000055030000}"/>
    <cellStyle name="20% - Accent1 6 5 3" xfId="6916" xr:uid="{00000000-0005-0000-0000-000056030000}"/>
    <cellStyle name="20% - Accent1 6 5 3 2" xfId="6917" xr:uid="{00000000-0005-0000-0000-000057030000}"/>
    <cellStyle name="20% - Accent1 6 5 3 3" xfId="6918" xr:uid="{00000000-0005-0000-0000-000058030000}"/>
    <cellStyle name="20% - Accent1 6 5 4" xfId="6919" xr:uid="{00000000-0005-0000-0000-000059030000}"/>
    <cellStyle name="20% - Accent1 6 5 4 2" xfId="6920" xr:uid="{00000000-0005-0000-0000-00005A030000}"/>
    <cellStyle name="20% - Accent1 6 5 4 3" xfId="6921" xr:uid="{00000000-0005-0000-0000-00005B030000}"/>
    <cellStyle name="20% - Accent1 6 5 5" xfId="6922" xr:uid="{00000000-0005-0000-0000-00005C030000}"/>
    <cellStyle name="20% - Accent1 6 5 5 2" xfId="6923" xr:uid="{00000000-0005-0000-0000-00005D030000}"/>
    <cellStyle name="20% - Accent1 6 5 5 3" xfId="6924" xr:uid="{00000000-0005-0000-0000-00005E030000}"/>
    <cellStyle name="20% - Accent1 6 5 6" xfId="6925" xr:uid="{00000000-0005-0000-0000-00005F030000}"/>
    <cellStyle name="20% - Accent1 6 6" xfId="6055" xr:uid="{00000000-0005-0000-0000-000060030000}"/>
    <cellStyle name="20% - Accent1 6 7" xfId="6926" xr:uid="{00000000-0005-0000-0000-000061030000}"/>
    <cellStyle name="20% - Accent1 6 7 2" xfId="6927" xr:uid="{00000000-0005-0000-0000-000062030000}"/>
    <cellStyle name="20% - Accent1 6 7 2 2" xfId="6928" xr:uid="{00000000-0005-0000-0000-000063030000}"/>
    <cellStyle name="20% - Accent1 6 7 3" xfId="6929" xr:uid="{00000000-0005-0000-0000-000064030000}"/>
    <cellStyle name="20% - Accent1 6 7 3 2" xfId="6930" xr:uid="{00000000-0005-0000-0000-000065030000}"/>
    <cellStyle name="20% - Accent1 6 7 4" xfId="6931" xr:uid="{00000000-0005-0000-0000-000066030000}"/>
    <cellStyle name="20% - Accent1 6 7 5" xfId="6932" xr:uid="{00000000-0005-0000-0000-000067030000}"/>
    <cellStyle name="20% - Accent1 6 8" xfId="6933" xr:uid="{00000000-0005-0000-0000-000068030000}"/>
    <cellStyle name="20% - Accent1 6 8 2" xfId="6934" xr:uid="{00000000-0005-0000-0000-000069030000}"/>
    <cellStyle name="20% - Accent1 6 8 2 2" xfId="6935" xr:uid="{00000000-0005-0000-0000-00006A030000}"/>
    <cellStyle name="20% - Accent1 6 8 3" xfId="6936" xr:uid="{00000000-0005-0000-0000-00006B030000}"/>
    <cellStyle name="20% - Accent1 6 9" xfId="6937" xr:uid="{00000000-0005-0000-0000-00006C030000}"/>
    <cellStyle name="20% - Accent1 6 9 2" xfId="6938" xr:uid="{00000000-0005-0000-0000-00006D030000}"/>
    <cellStyle name="20% - Accent1 7" xfId="6054" xr:uid="{00000000-0005-0000-0000-00006E030000}"/>
    <cellStyle name="20% - Accent1 7 2" xfId="6053" xr:uid="{00000000-0005-0000-0000-00006F030000}"/>
    <cellStyle name="20% - Accent1 7 2 2" xfId="6052" xr:uid="{00000000-0005-0000-0000-000070030000}"/>
    <cellStyle name="20% - Accent1 7 2 2 2" xfId="6051" xr:uid="{00000000-0005-0000-0000-000071030000}"/>
    <cellStyle name="20% - Accent1 7 2 2 2 2" xfId="6939" xr:uid="{00000000-0005-0000-0000-000072030000}"/>
    <cellStyle name="20% - Accent1 7 2 2 3" xfId="6050" xr:uid="{00000000-0005-0000-0000-000073030000}"/>
    <cellStyle name="20% - Accent1 7 2 2 3 2" xfId="6940" xr:uid="{00000000-0005-0000-0000-000074030000}"/>
    <cellStyle name="20% - Accent1 7 2 2 4" xfId="6941" xr:uid="{00000000-0005-0000-0000-000075030000}"/>
    <cellStyle name="20% - Accent1 7 2 3" xfId="6049" xr:uid="{00000000-0005-0000-0000-000076030000}"/>
    <cellStyle name="20% - Accent1 7 2 3 2" xfId="6942" xr:uid="{00000000-0005-0000-0000-000077030000}"/>
    <cellStyle name="20% - Accent1 7 2 3 2 2" xfId="6943" xr:uid="{00000000-0005-0000-0000-000078030000}"/>
    <cellStyle name="20% - Accent1 7 2 3 3" xfId="6944" xr:uid="{00000000-0005-0000-0000-000079030000}"/>
    <cellStyle name="20% - Accent1 7 2 4" xfId="6048" xr:uid="{00000000-0005-0000-0000-00007A030000}"/>
    <cellStyle name="20% - Accent1 7 2 4 2" xfId="6945" xr:uid="{00000000-0005-0000-0000-00007B030000}"/>
    <cellStyle name="20% - Accent1 7 2 4 2 2" xfId="6946" xr:uid="{00000000-0005-0000-0000-00007C030000}"/>
    <cellStyle name="20% - Accent1 7 2 4 3" xfId="6947" xr:uid="{00000000-0005-0000-0000-00007D030000}"/>
    <cellStyle name="20% - Accent1 7 2 4 3 2" xfId="6948" xr:uid="{00000000-0005-0000-0000-00007E030000}"/>
    <cellStyle name="20% - Accent1 7 2 4 4" xfId="6949" xr:uid="{00000000-0005-0000-0000-00007F030000}"/>
    <cellStyle name="20% - Accent1 7 2 5" xfId="6950" xr:uid="{00000000-0005-0000-0000-000080030000}"/>
    <cellStyle name="20% - Accent1 7 2 5 2" xfId="6951" xr:uid="{00000000-0005-0000-0000-000081030000}"/>
    <cellStyle name="20% - Accent1 7 2 5 2 2" xfId="6952" xr:uid="{00000000-0005-0000-0000-000082030000}"/>
    <cellStyle name="20% - Accent1 7 2 6" xfId="6953" xr:uid="{00000000-0005-0000-0000-000083030000}"/>
    <cellStyle name="20% - Accent1 7 3" xfId="6047" xr:uid="{00000000-0005-0000-0000-000084030000}"/>
    <cellStyle name="20% - Accent1 7 3 2" xfId="6046" xr:uid="{00000000-0005-0000-0000-000085030000}"/>
    <cellStyle name="20% - Accent1 7 3 2 2" xfId="6954" xr:uid="{00000000-0005-0000-0000-000086030000}"/>
    <cellStyle name="20% - Accent1 7 3 2 2 2" xfId="6955" xr:uid="{00000000-0005-0000-0000-000087030000}"/>
    <cellStyle name="20% - Accent1 7 3 2 3" xfId="6956" xr:uid="{00000000-0005-0000-0000-000088030000}"/>
    <cellStyle name="20% - Accent1 7 3 2 3 2" xfId="6957" xr:uid="{00000000-0005-0000-0000-000089030000}"/>
    <cellStyle name="20% - Accent1 7 3 2 4" xfId="6958" xr:uid="{00000000-0005-0000-0000-00008A030000}"/>
    <cellStyle name="20% - Accent1 7 3 3" xfId="6045" xr:uid="{00000000-0005-0000-0000-00008B030000}"/>
    <cellStyle name="20% - Accent1 7 3 3 2" xfId="6959" xr:uid="{00000000-0005-0000-0000-00008C030000}"/>
    <cellStyle name="20% - Accent1 7 3 3 2 2" xfId="6960" xr:uid="{00000000-0005-0000-0000-00008D030000}"/>
    <cellStyle name="20% - Accent1 7 3 3 3" xfId="6961" xr:uid="{00000000-0005-0000-0000-00008E030000}"/>
    <cellStyle name="20% - Accent1 7 3 3 3 2" xfId="6962" xr:uid="{00000000-0005-0000-0000-00008F030000}"/>
    <cellStyle name="20% - Accent1 7 3 3 4" xfId="6963" xr:uid="{00000000-0005-0000-0000-000090030000}"/>
    <cellStyle name="20% - Accent1 7 3 4" xfId="6964" xr:uid="{00000000-0005-0000-0000-000091030000}"/>
    <cellStyle name="20% - Accent1 7 4" xfId="6044" xr:uid="{00000000-0005-0000-0000-000092030000}"/>
    <cellStyle name="20% - Accent1 7 4 2" xfId="6043" xr:uid="{00000000-0005-0000-0000-000093030000}"/>
    <cellStyle name="20% - Accent1 7 4 2 2" xfId="6965" xr:uid="{00000000-0005-0000-0000-000094030000}"/>
    <cellStyle name="20% - Accent1 7 4 3" xfId="6042" xr:uid="{00000000-0005-0000-0000-000095030000}"/>
    <cellStyle name="20% - Accent1 7 4 3 2" xfId="6966" xr:uid="{00000000-0005-0000-0000-000096030000}"/>
    <cellStyle name="20% - Accent1 7 4 4" xfId="6967" xr:uid="{00000000-0005-0000-0000-000097030000}"/>
    <cellStyle name="20% - Accent1 7 4 4 2" xfId="6968" xr:uid="{00000000-0005-0000-0000-000098030000}"/>
    <cellStyle name="20% - Accent1 7 4 5" xfId="6969" xr:uid="{00000000-0005-0000-0000-000099030000}"/>
    <cellStyle name="20% - Accent1 7 5" xfId="6041" xr:uid="{00000000-0005-0000-0000-00009A030000}"/>
    <cellStyle name="20% - Accent1 7 5 2" xfId="6970" xr:uid="{00000000-0005-0000-0000-00009B030000}"/>
    <cellStyle name="20% - Accent1 7 5 2 2" xfId="6971" xr:uid="{00000000-0005-0000-0000-00009C030000}"/>
    <cellStyle name="20% - Accent1 7 5 2 2 2" xfId="6972" xr:uid="{00000000-0005-0000-0000-00009D030000}"/>
    <cellStyle name="20% - Accent1 7 5 3" xfId="6973" xr:uid="{00000000-0005-0000-0000-00009E030000}"/>
    <cellStyle name="20% - Accent1 7 5 3 2" xfId="6974" xr:uid="{00000000-0005-0000-0000-00009F030000}"/>
    <cellStyle name="20% - Accent1 7 5 4" xfId="6975" xr:uid="{00000000-0005-0000-0000-0000A0030000}"/>
    <cellStyle name="20% - Accent1 7 6" xfId="6040" xr:uid="{00000000-0005-0000-0000-0000A1030000}"/>
    <cellStyle name="20% - Accent1 7 6 2" xfId="6976" xr:uid="{00000000-0005-0000-0000-0000A2030000}"/>
    <cellStyle name="20% - Accent1 7 7" xfId="6977" xr:uid="{00000000-0005-0000-0000-0000A3030000}"/>
    <cellStyle name="20% - Accent1 7 7 2" xfId="6978" xr:uid="{00000000-0005-0000-0000-0000A4030000}"/>
    <cellStyle name="20% - Accent1 7 8" xfId="6979" xr:uid="{00000000-0005-0000-0000-0000A5030000}"/>
    <cellStyle name="20% - Accent1 7 8 2" xfId="6980" xr:uid="{00000000-0005-0000-0000-0000A6030000}"/>
    <cellStyle name="20% - Accent1 7 9" xfId="6981" xr:uid="{00000000-0005-0000-0000-0000A7030000}"/>
    <cellStyle name="20% - Accent1 8" xfId="6039" xr:uid="{00000000-0005-0000-0000-0000A8030000}"/>
    <cellStyle name="20% - Accent1 8 2" xfId="6038" xr:uid="{00000000-0005-0000-0000-0000A9030000}"/>
    <cellStyle name="20% - Accent1 8 2 2" xfId="6037" xr:uid="{00000000-0005-0000-0000-0000AA030000}"/>
    <cellStyle name="20% - Accent1 8 2 2 2" xfId="6036" xr:uid="{00000000-0005-0000-0000-0000AB030000}"/>
    <cellStyle name="20% - Accent1 8 2 2 2 2" xfId="6982" xr:uid="{00000000-0005-0000-0000-0000AC030000}"/>
    <cellStyle name="20% - Accent1 8 2 2 3" xfId="6035" xr:uid="{00000000-0005-0000-0000-0000AD030000}"/>
    <cellStyle name="20% - Accent1 8 2 2 3 2" xfId="6983" xr:uid="{00000000-0005-0000-0000-0000AE030000}"/>
    <cellStyle name="20% - Accent1 8 2 2 4" xfId="6984" xr:uid="{00000000-0005-0000-0000-0000AF030000}"/>
    <cellStyle name="20% - Accent1 8 2 3" xfId="6034" xr:uid="{00000000-0005-0000-0000-0000B0030000}"/>
    <cellStyle name="20% - Accent1 8 2 3 2" xfId="6985" xr:uid="{00000000-0005-0000-0000-0000B1030000}"/>
    <cellStyle name="20% - Accent1 8 2 3 2 2" xfId="6986" xr:uid="{00000000-0005-0000-0000-0000B2030000}"/>
    <cellStyle name="20% - Accent1 8 2 3 3" xfId="6987" xr:uid="{00000000-0005-0000-0000-0000B3030000}"/>
    <cellStyle name="20% - Accent1 8 2 4" xfId="6033" xr:uid="{00000000-0005-0000-0000-0000B4030000}"/>
    <cellStyle name="20% - Accent1 8 2 4 2" xfId="6988" xr:uid="{00000000-0005-0000-0000-0000B5030000}"/>
    <cellStyle name="20% - Accent1 8 2 4 2 2" xfId="6989" xr:uid="{00000000-0005-0000-0000-0000B6030000}"/>
    <cellStyle name="20% - Accent1 8 2 4 3" xfId="6990" xr:uid="{00000000-0005-0000-0000-0000B7030000}"/>
    <cellStyle name="20% - Accent1 8 2 4 3 2" xfId="6991" xr:uid="{00000000-0005-0000-0000-0000B8030000}"/>
    <cellStyle name="20% - Accent1 8 2 4 4" xfId="6992" xr:uid="{00000000-0005-0000-0000-0000B9030000}"/>
    <cellStyle name="20% - Accent1 8 2 5" xfId="6993" xr:uid="{00000000-0005-0000-0000-0000BA030000}"/>
    <cellStyle name="20% - Accent1 8 2 5 2" xfId="6994" xr:uid="{00000000-0005-0000-0000-0000BB030000}"/>
    <cellStyle name="20% - Accent1 8 2 6" xfId="6995" xr:uid="{00000000-0005-0000-0000-0000BC030000}"/>
    <cellStyle name="20% - Accent1 8 3" xfId="6032" xr:uid="{00000000-0005-0000-0000-0000BD030000}"/>
    <cellStyle name="20% - Accent1 8 3 2" xfId="6031" xr:uid="{00000000-0005-0000-0000-0000BE030000}"/>
    <cellStyle name="20% - Accent1 8 3 2 2" xfId="6996" xr:uid="{00000000-0005-0000-0000-0000BF030000}"/>
    <cellStyle name="20% - Accent1 8 3 2 2 2" xfId="6997" xr:uid="{00000000-0005-0000-0000-0000C0030000}"/>
    <cellStyle name="20% - Accent1 8 3 2 3" xfId="6998" xr:uid="{00000000-0005-0000-0000-0000C1030000}"/>
    <cellStyle name="20% - Accent1 8 3 2 3 2" xfId="6999" xr:uid="{00000000-0005-0000-0000-0000C2030000}"/>
    <cellStyle name="20% - Accent1 8 3 2 4" xfId="7000" xr:uid="{00000000-0005-0000-0000-0000C3030000}"/>
    <cellStyle name="20% - Accent1 8 3 3" xfId="6030" xr:uid="{00000000-0005-0000-0000-0000C4030000}"/>
    <cellStyle name="20% - Accent1 8 3 3 2" xfId="7001" xr:uid="{00000000-0005-0000-0000-0000C5030000}"/>
    <cellStyle name="20% - Accent1 8 3 3 2 2" xfId="7002" xr:uid="{00000000-0005-0000-0000-0000C6030000}"/>
    <cellStyle name="20% - Accent1 8 3 3 3" xfId="7003" xr:uid="{00000000-0005-0000-0000-0000C7030000}"/>
    <cellStyle name="20% - Accent1 8 3 3 3 2" xfId="7004" xr:uid="{00000000-0005-0000-0000-0000C8030000}"/>
    <cellStyle name="20% - Accent1 8 3 3 4" xfId="7005" xr:uid="{00000000-0005-0000-0000-0000C9030000}"/>
    <cellStyle name="20% - Accent1 8 3 4" xfId="7006" xr:uid="{00000000-0005-0000-0000-0000CA030000}"/>
    <cellStyle name="20% - Accent1 8 3 4 2" xfId="7007" xr:uid="{00000000-0005-0000-0000-0000CB030000}"/>
    <cellStyle name="20% - Accent1 8 3 5" xfId="7008" xr:uid="{00000000-0005-0000-0000-0000CC030000}"/>
    <cellStyle name="20% - Accent1 8 3 5 2" xfId="7009" xr:uid="{00000000-0005-0000-0000-0000CD030000}"/>
    <cellStyle name="20% - Accent1 8 3 6" xfId="7010" xr:uid="{00000000-0005-0000-0000-0000CE030000}"/>
    <cellStyle name="20% - Accent1 8 4" xfId="6029" xr:uid="{00000000-0005-0000-0000-0000CF030000}"/>
    <cellStyle name="20% - Accent1 8 4 2" xfId="6028" xr:uid="{00000000-0005-0000-0000-0000D0030000}"/>
    <cellStyle name="20% - Accent1 8 4 2 2" xfId="7011" xr:uid="{00000000-0005-0000-0000-0000D1030000}"/>
    <cellStyle name="20% - Accent1 8 4 3" xfId="6027" xr:uid="{00000000-0005-0000-0000-0000D2030000}"/>
    <cellStyle name="20% - Accent1 8 5" xfId="6026" xr:uid="{00000000-0005-0000-0000-0000D3030000}"/>
    <cellStyle name="20% - Accent1 8 5 2" xfId="7012" xr:uid="{00000000-0005-0000-0000-0000D4030000}"/>
    <cellStyle name="20% - Accent1 8 6" xfId="6025" xr:uid="{00000000-0005-0000-0000-0000D5030000}"/>
    <cellStyle name="20% - Accent1 8 6 2" xfId="7013" xr:uid="{00000000-0005-0000-0000-0000D6030000}"/>
    <cellStyle name="20% - Accent1 8 7" xfId="7014" xr:uid="{00000000-0005-0000-0000-0000D7030000}"/>
    <cellStyle name="20% - Accent1 9" xfId="6024" xr:uid="{00000000-0005-0000-0000-0000D8030000}"/>
    <cellStyle name="20% - Accent1 9 2" xfId="6023" xr:uid="{00000000-0005-0000-0000-0000D9030000}"/>
    <cellStyle name="20% - Accent1 9 2 2" xfId="6022" xr:uid="{00000000-0005-0000-0000-0000DA030000}"/>
    <cellStyle name="20% - Accent1 9 2 2 2" xfId="6021" xr:uid="{00000000-0005-0000-0000-0000DB030000}"/>
    <cellStyle name="20% - Accent1 9 2 2 3" xfId="6020" xr:uid="{00000000-0005-0000-0000-0000DC030000}"/>
    <cellStyle name="20% - Accent1 9 2 3" xfId="6019" xr:uid="{00000000-0005-0000-0000-0000DD030000}"/>
    <cellStyle name="20% - Accent1 9 2 3 2" xfId="7015" xr:uid="{00000000-0005-0000-0000-0000DE030000}"/>
    <cellStyle name="20% - Accent1 9 2 4" xfId="6018" xr:uid="{00000000-0005-0000-0000-0000DF030000}"/>
    <cellStyle name="20% - Accent1 9 2 4 2" xfId="7016" xr:uid="{00000000-0005-0000-0000-0000E0030000}"/>
    <cellStyle name="20% - Accent1 9 2 5" xfId="7017" xr:uid="{00000000-0005-0000-0000-0000E1030000}"/>
    <cellStyle name="20% - Accent1 9 3" xfId="6017" xr:uid="{00000000-0005-0000-0000-0000E2030000}"/>
    <cellStyle name="20% - Accent1 9 3 2" xfId="6016" xr:uid="{00000000-0005-0000-0000-0000E3030000}"/>
    <cellStyle name="20% - Accent1 9 3 2 2" xfId="7018" xr:uid="{00000000-0005-0000-0000-0000E4030000}"/>
    <cellStyle name="20% - Accent1 9 3 3" xfId="6015" xr:uid="{00000000-0005-0000-0000-0000E5030000}"/>
    <cellStyle name="20% - Accent1 9 3 3 2" xfId="7019" xr:uid="{00000000-0005-0000-0000-0000E6030000}"/>
    <cellStyle name="20% - Accent1 9 3 4" xfId="7020" xr:uid="{00000000-0005-0000-0000-0000E7030000}"/>
    <cellStyle name="20% - Accent1 9 4" xfId="6014" xr:uid="{00000000-0005-0000-0000-0000E8030000}"/>
    <cellStyle name="20% - Accent1 9 4 2" xfId="6013" xr:uid="{00000000-0005-0000-0000-0000E9030000}"/>
    <cellStyle name="20% - Accent1 9 4 2 2" xfId="7021" xr:uid="{00000000-0005-0000-0000-0000EA030000}"/>
    <cellStyle name="20% - Accent1 9 4 3" xfId="6012" xr:uid="{00000000-0005-0000-0000-0000EB030000}"/>
    <cellStyle name="20% - Accent1 9 5" xfId="6011" xr:uid="{00000000-0005-0000-0000-0000EC030000}"/>
    <cellStyle name="20% - Accent1 9 5 2" xfId="7022" xr:uid="{00000000-0005-0000-0000-0000ED030000}"/>
    <cellStyle name="20% - Accent1 9 6" xfId="6010" xr:uid="{00000000-0005-0000-0000-0000EE030000}"/>
    <cellStyle name="20% - Accent1 9 7" xfId="7023" xr:uid="{00000000-0005-0000-0000-0000EF030000}"/>
    <cellStyle name="20% - Accent2 10" xfId="6009" xr:uid="{00000000-0005-0000-0000-0000F0030000}"/>
    <cellStyle name="20% - Accent2 10 2" xfId="6008" xr:uid="{00000000-0005-0000-0000-0000F1030000}"/>
    <cellStyle name="20% - Accent2 10 2 2" xfId="6007" xr:uid="{00000000-0005-0000-0000-0000F2030000}"/>
    <cellStyle name="20% - Accent2 10 2 2 2" xfId="6006" xr:uid="{00000000-0005-0000-0000-0000F3030000}"/>
    <cellStyle name="20% - Accent2 10 2 2 3" xfId="6005" xr:uid="{00000000-0005-0000-0000-0000F4030000}"/>
    <cellStyle name="20% - Accent2 10 2 3" xfId="6004" xr:uid="{00000000-0005-0000-0000-0000F5030000}"/>
    <cellStyle name="20% - Accent2 10 2 3 2" xfId="7024" xr:uid="{00000000-0005-0000-0000-0000F6030000}"/>
    <cellStyle name="20% - Accent2 10 2 4" xfId="6003" xr:uid="{00000000-0005-0000-0000-0000F7030000}"/>
    <cellStyle name="20% - Accent2 10 2 4 2" xfId="7025" xr:uid="{00000000-0005-0000-0000-0000F8030000}"/>
    <cellStyle name="20% - Accent2 10 2 5" xfId="7026" xr:uid="{00000000-0005-0000-0000-0000F9030000}"/>
    <cellStyle name="20% - Accent2 10 3" xfId="6002" xr:uid="{00000000-0005-0000-0000-0000FA030000}"/>
    <cellStyle name="20% - Accent2 10 3 2" xfId="6001" xr:uid="{00000000-0005-0000-0000-0000FB030000}"/>
    <cellStyle name="20% - Accent2 10 3 2 2" xfId="7027" xr:uid="{00000000-0005-0000-0000-0000FC030000}"/>
    <cellStyle name="20% - Accent2 10 3 3" xfId="6000" xr:uid="{00000000-0005-0000-0000-0000FD030000}"/>
    <cellStyle name="20% - Accent2 10 4" xfId="5999" xr:uid="{00000000-0005-0000-0000-0000FE030000}"/>
    <cellStyle name="20% - Accent2 10 4 2" xfId="5998" xr:uid="{00000000-0005-0000-0000-0000FF030000}"/>
    <cellStyle name="20% - Accent2 10 4 3" xfId="5997" xr:uid="{00000000-0005-0000-0000-000000040000}"/>
    <cellStyle name="20% - Accent2 10 5" xfId="5996" xr:uid="{00000000-0005-0000-0000-000001040000}"/>
    <cellStyle name="20% - Accent2 10 5 2" xfId="7028" xr:uid="{00000000-0005-0000-0000-000002040000}"/>
    <cellStyle name="20% - Accent2 10 6" xfId="5995" xr:uid="{00000000-0005-0000-0000-000003040000}"/>
    <cellStyle name="20% - Accent2 10 7" xfId="7029" xr:uid="{00000000-0005-0000-0000-000004040000}"/>
    <cellStyle name="20% - Accent2 11" xfId="5994" xr:uid="{00000000-0005-0000-0000-000005040000}"/>
    <cellStyle name="20% - Accent2 11 2" xfId="5993" xr:uid="{00000000-0005-0000-0000-000006040000}"/>
    <cellStyle name="20% - Accent2 11 2 2" xfId="5992" xr:uid="{00000000-0005-0000-0000-000007040000}"/>
    <cellStyle name="20% - Accent2 11 2 2 2" xfId="5991" xr:uid="{00000000-0005-0000-0000-000008040000}"/>
    <cellStyle name="20% - Accent2 11 2 2 3" xfId="5990" xr:uid="{00000000-0005-0000-0000-000009040000}"/>
    <cellStyle name="20% - Accent2 11 2 3" xfId="5989" xr:uid="{00000000-0005-0000-0000-00000A040000}"/>
    <cellStyle name="20% - Accent2 11 2 4" xfId="5988" xr:uid="{00000000-0005-0000-0000-00000B040000}"/>
    <cellStyle name="20% - Accent2 11 3" xfId="5987" xr:uid="{00000000-0005-0000-0000-00000C040000}"/>
    <cellStyle name="20% - Accent2 11 3 2" xfId="5986" xr:uid="{00000000-0005-0000-0000-00000D040000}"/>
    <cellStyle name="20% - Accent2 11 3 3" xfId="5985" xr:uid="{00000000-0005-0000-0000-00000E040000}"/>
    <cellStyle name="20% - Accent2 11 4" xfId="5984" xr:uid="{00000000-0005-0000-0000-00000F040000}"/>
    <cellStyle name="20% - Accent2 11 4 2" xfId="5983" xr:uid="{00000000-0005-0000-0000-000010040000}"/>
    <cellStyle name="20% - Accent2 11 4 3" xfId="5982" xr:uid="{00000000-0005-0000-0000-000011040000}"/>
    <cellStyle name="20% - Accent2 11 5" xfId="5981" xr:uid="{00000000-0005-0000-0000-000012040000}"/>
    <cellStyle name="20% - Accent2 11 6" xfId="5980" xr:uid="{00000000-0005-0000-0000-000013040000}"/>
    <cellStyle name="20% - Accent2 12" xfId="5979" xr:uid="{00000000-0005-0000-0000-000014040000}"/>
    <cellStyle name="20% - Accent2 12 2" xfId="5978" xr:uid="{00000000-0005-0000-0000-000015040000}"/>
    <cellStyle name="20% - Accent2 12 2 2" xfId="5977" xr:uid="{00000000-0005-0000-0000-000016040000}"/>
    <cellStyle name="20% - Accent2 12 2 2 2" xfId="5976" xr:uid="{00000000-0005-0000-0000-000017040000}"/>
    <cellStyle name="20% - Accent2 12 2 2 3" xfId="5975" xr:uid="{00000000-0005-0000-0000-000018040000}"/>
    <cellStyle name="20% - Accent2 12 2 3" xfId="5974" xr:uid="{00000000-0005-0000-0000-000019040000}"/>
    <cellStyle name="20% - Accent2 12 2 4" xfId="5973" xr:uid="{00000000-0005-0000-0000-00001A040000}"/>
    <cellStyle name="20% - Accent2 12 3" xfId="5972" xr:uid="{00000000-0005-0000-0000-00001B040000}"/>
    <cellStyle name="20% - Accent2 12 3 2" xfId="5971" xr:uid="{00000000-0005-0000-0000-00001C040000}"/>
    <cellStyle name="20% - Accent2 12 3 3" xfId="5970" xr:uid="{00000000-0005-0000-0000-00001D040000}"/>
    <cellStyle name="20% - Accent2 12 4" xfId="5969" xr:uid="{00000000-0005-0000-0000-00001E040000}"/>
    <cellStyle name="20% - Accent2 12 4 2" xfId="5968" xr:uid="{00000000-0005-0000-0000-00001F040000}"/>
    <cellStyle name="20% - Accent2 12 4 3" xfId="5967" xr:uid="{00000000-0005-0000-0000-000020040000}"/>
    <cellStyle name="20% - Accent2 12 5" xfId="5966" xr:uid="{00000000-0005-0000-0000-000021040000}"/>
    <cellStyle name="20% - Accent2 12 6" xfId="5965" xr:uid="{00000000-0005-0000-0000-000022040000}"/>
    <cellStyle name="20% - Accent2 13" xfId="5964" xr:uid="{00000000-0005-0000-0000-000023040000}"/>
    <cellStyle name="20% - Accent2 13 2" xfId="5963" xr:uid="{00000000-0005-0000-0000-000024040000}"/>
    <cellStyle name="20% - Accent2 13 2 2" xfId="5962" xr:uid="{00000000-0005-0000-0000-000025040000}"/>
    <cellStyle name="20% - Accent2 13 2 2 2" xfId="5961" xr:uid="{00000000-0005-0000-0000-000026040000}"/>
    <cellStyle name="20% - Accent2 13 2 2 3" xfId="5960" xr:uid="{00000000-0005-0000-0000-000027040000}"/>
    <cellStyle name="20% - Accent2 13 2 3" xfId="5959" xr:uid="{00000000-0005-0000-0000-000028040000}"/>
    <cellStyle name="20% - Accent2 13 2 4" xfId="5958" xr:uid="{00000000-0005-0000-0000-000029040000}"/>
    <cellStyle name="20% - Accent2 13 3" xfId="5957" xr:uid="{00000000-0005-0000-0000-00002A040000}"/>
    <cellStyle name="20% - Accent2 13 3 2" xfId="5956" xr:uid="{00000000-0005-0000-0000-00002B040000}"/>
    <cellStyle name="20% - Accent2 13 3 3" xfId="5955" xr:uid="{00000000-0005-0000-0000-00002C040000}"/>
    <cellStyle name="20% - Accent2 13 4" xfId="5954" xr:uid="{00000000-0005-0000-0000-00002D040000}"/>
    <cellStyle name="20% - Accent2 13 4 2" xfId="5953" xr:uid="{00000000-0005-0000-0000-00002E040000}"/>
    <cellStyle name="20% - Accent2 13 4 3" xfId="5952" xr:uid="{00000000-0005-0000-0000-00002F040000}"/>
    <cellStyle name="20% - Accent2 13 5" xfId="5951" xr:uid="{00000000-0005-0000-0000-000030040000}"/>
    <cellStyle name="20% - Accent2 13 6" xfId="5950" xr:uid="{00000000-0005-0000-0000-000031040000}"/>
    <cellStyle name="20% - Accent2 14" xfId="5949" xr:uid="{00000000-0005-0000-0000-000032040000}"/>
    <cellStyle name="20% - Accent2 14 2" xfId="5948" xr:uid="{00000000-0005-0000-0000-000033040000}"/>
    <cellStyle name="20% - Accent2 14 2 2" xfId="5947" xr:uid="{00000000-0005-0000-0000-000034040000}"/>
    <cellStyle name="20% - Accent2 14 2 2 2" xfId="5946" xr:uid="{00000000-0005-0000-0000-000035040000}"/>
    <cellStyle name="20% - Accent2 14 2 2 3" xfId="5945" xr:uid="{00000000-0005-0000-0000-000036040000}"/>
    <cellStyle name="20% - Accent2 14 2 3" xfId="5944" xr:uid="{00000000-0005-0000-0000-000037040000}"/>
    <cellStyle name="20% - Accent2 14 2 4" xfId="5943" xr:uid="{00000000-0005-0000-0000-000038040000}"/>
    <cellStyle name="20% - Accent2 14 3" xfId="5942" xr:uid="{00000000-0005-0000-0000-000039040000}"/>
    <cellStyle name="20% - Accent2 14 3 2" xfId="5941" xr:uid="{00000000-0005-0000-0000-00003A040000}"/>
    <cellStyle name="20% - Accent2 14 3 3" xfId="5940" xr:uid="{00000000-0005-0000-0000-00003B040000}"/>
    <cellStyle name="20% - Accent2 14 4" xfId="5939" xr:uid="{00000000-0005-0000-0000-00003C040000}"/>
    <cellStyle name="20% - Accent2 14 4 2" xfId="5938" xr:uid="{00000000-0005-0000-0000-00003D040000}"/>
    <cellStyle name="20% - Accent2 14 4 3" xfId="5937" xr:uid="{00000000-0005-0000-0000-00003E040000}"/>
    <cellStyle name="20% - Accent2 14 5" xfId="5936" xr:uid="{00000000-0005-0000-0000-00003F040000}"/>
    <cellStyle name="20% - Accent2 14 6" xfId="5935" xr:uid="{00000000-0005-0000-0000-000040040000}"/>
    <cellStyle name="20% - Accent2 15" xfId="5934" xr:uid="{00000000-0005-0000-0000-000041040000}"/>
    <cellStyle name="20% - Accent2 15 2" xfId="5933" xr:uid="{00000000-0005-0000-0000-000042040000}"/>
    <cellStyle name="20% - Accent2 15 2 2" xfId="5932" xr:uid="{00000000-0005-0000-0000-000043040000}"/>
    <cellStyle name="20% - Accent2 15 2 2 2" xfId="5931" xr:uid="{00000000-0005-0000-0000-000044040000}"/>
    <cellStyle name="20% - Accent2 15 2 2 3" xfId="5930" xr:uid="{00000000-0005-0000-0000-000045040000}"/>
    <cellStyle name="20% - Accent2 15 2 3" xfId="5929" xr:uid="{00000000-0005-0000-0000-000046040000}"/>
    <cellStyle name="20% - Accent2 15 2 4" xfId="5928" xr:uid="{00000000-0005-0000-0000-000047040000}"/>
    <cellStyle name="20% - Accent2 15 3" xfId="5927" xr:uid="{00000000-0005-0000-0000-000048040000}"/>
    <cellStyle name="20% - Accent2 15 3 2" xfId="5926" xr:uid="{00000000-0005-0000-0000-000049040000}"/>
    <cellStyle name="20% - Accent2 15 3 3" xfId="5925" xr:uid="{00000000-0005-0000-0000-00004A040000}"/>
    <cellStyle name="20% - Accent2 15 4" xfId="5924" xr:uid="{00000000-0005-0000-0000-00004B040000}"/>
    <cellStyle name="20% - Accent2 15 4 2" xfId="5923" xr:uid="{00000000-0005-0000-0000-00004C040000}"/>
    <cellStyle name="20% - Accent2 15 4 3" xfId="5922" xr:uid="{00000000-0005-0000-0000-00004D040000}"/>
    <cellStyle name="20% - Accent2 15 5" xfId="5921" xr:uid="{00000000-0005-0000-0000-00004E040000}"/>
    <cellStyle name="20% - Accent2 15 6" xfId="5920" xr:uid="{00000000-0005-0000-0000-00004F040000}"/>
    <cellStyle name="20% - Accent2 16" xfId="5919" xr:uid="{00000000-0005-0000-0000-000050040000}"/>
    <cellStyle name="20% - Accent2 16 2" xfId="5918" xr:uid="{00000000-0005-0000-0000-000051040000}"/>
    <cellStyle name="20% - Accent2 16 2 2" xfId="5917" xr:uid="{00000000-0005-0000-0000-000052040000}"/>
    <cellStyle name="20% - Accent2 16 2 2 2" xfId="5916" xr:uid="{00000000-0005-0000-0000-000053040000}"/>
    <cellStyle name="20% - Accent2 16 2 2 3" xfId="5915" xr:uid="{00000000-0005-0000-0000-000054040000}"/>
    <cellStyle name="20% - Accent2 16 2 3" xfId="5914" xr:uid="{00000000-0005-0000-0000-000055040000}"/>
    <cellStyle name="20% - Accent2 16 2 4" xfId="5913" xr:uid="{00000000-0005-0000-0000-000056040000}"/>
    <cellStyle name="20% - Accent2 16 3" xfId="5912" xr:uid="{00000000-0005-0000-0000-000057040000}"/>
    <cellStyle name="20% - Accent2 16 3 2" xfId="5911" xr:uid="{00000000-0005-0000-0000-000058040000}"/>
    <cellStyle name="20% - Accent2 16 3 3" xfId="5910" xr:uid="{00000000-0005-0000-0000-000059040000}"/>
    <cellStyle name="20% - Accent2 16 4" xfId="5909" xr:uid="{00000000-0005-0000-0000-00005A040000}"/>
    <cellStyle name="20% - Accent2 16 4 2" xfId="5908" xr:uid="{00000000-0005-0000-0000-00005B040000}"/>
    <cellStyle name="20% - Accent2 16 4 3" xfId="5907" xr:uid="{00000000-0005-0000-0000-00005C040000}"/>
    <cellStyle name="20% - Accent2 16 5" xfId="5906" xr:uid="{00000000-0005-0000-0000-00005D040000}"/>
    <cellStyle name="20% - Accent2 16 6" xfId="5905" xr:uid="{00000000-0005-0000-0000-00005E040000}"/>
    <cellStyle name="20% - Accent2 17" xfId="5904" xr:uid="{00000000-0005-0000-0000-00005F040000}"/>
    <cellStyle name="20% - Accent2 17 2" xfId="5903" xr:uid="{00000000-0005-0000-0000-000060040000}"/>
    <cellStyle name="20% - Accent2 17 2 2" xfId="5902" xr:uid="{00000000-0005-0000-0000-000061040000}"/>
    <cellStyle name="20% - Accent2 17 2 2 2" xfId="5901" xr:uid="{00000000-0005-0000-0000-000062040000}"/>
    <cellStyle name="20% - Accent2 17 2 2 3" xfId="5900" xr:uid="{00000000-0005-0000-0000-000063040000}"/>
    <cellStyle name="20% - Accent2 17 2 3" xfId="5899" xr:uid="{00000000-0005-0000-0000-000064040000}"/>
    <cellStyle name="20% - Accent2 17 2 4" xfId="5898" xr:uid="{00000000-0005-0000-0000-000065040000}"/>
    <cellStyle name="20% - Accent2 17 3" xfId="5897" xr:uid="{00000000-0005-0000-0000-000066040000}"/>
    <cellStyle name="20% - Accent2 17 3 2" xfId="5896" xr:uid="{00000000-0005-0000-0000-000067040000}"/>
    <cellStyle name="20% - Accent2 17 3 3" xfId="5895" xr:uid="{00000000-0005-0000-0000-000068040000}"/>
    <cellStyle name="20% - Accent2 17 4" xfId="5894" xr:uid="{00000000-0005-0000-0000-000069040000}"/>
    <cellStyle name="20% - Accent2 17 4 2" xfId="5893" xr:uid="{00000000-0005-0000-0000-00006A040000}"/>
    <cellStyle name="20% - Accent2 17 4 3" xfId="5892" xr:uid="{00000000-0005-0000-0000-00006B040000}"/>
    <cellStyle name="20% - Accent2 17 5" xfId="5891" xr:uid="{00000000-0005-0000-0000-00006C040000}"/>
    <cellStyle name="20% - Accent2 17 6" xfId="5890" xr:uid="{00000000-0005-0000-0000-00006D040000}"/>
    <cellStyle name="20% - Accent2 18" xfId="5889" xr:uid="{00000000-0005-0000-0000-00006E040000}"/>
    <cellStyle name="20% - Accent2 18 2" xfId="5888" xr:uid="{00000000-0005-0000-0000-00006F040000}"/>
    <cellStyle name="20% - Accent2 18 2 2" xfId="5887" xr:uid="{00000000-0005-0000-0000-000070040000}"/>
    <cellStyle name="20% - Accent2 18 2 2 2" xfId="5886" xr:uid="{00000000-0005-0000-0000-000071040000}"/>
    <cellStyle name="20% - Accent2 18 2 2 3" xfId="5885" xr:uid="{00000000-0005-0000-0000-000072040000}"/>
    <cellStyle name="20% - Accent2 18 2 3" xfId="5884" xr:uid="{00000000-0005-0000-0000-000073040000}"/>
    <cellStyle name="20% - Accent2 18 2 4" xfId="5883" xr:uid="{00000000-0005-0000-0000-000074040000}"/>
    <cellStyle name="20% - Accent2 18 3" xfId="5882" xr:uid="{00000000-0005-0000-0000-000075040000}"/>
    <cellStyle name="20% - Accent2 18 3 2" xfId="5881" xr:uid="{00000000-0005-0000-0000-000076040000}"/>
    <cellStyle name="20% - Accent2 18 3 3" xfId="5880" xr:uid="{00000000-0005-0000-0000-000077040000}"/>
    <cellStyle name="20% - Accent2 18 4" xfId="5879" xr:uid="{00000000-0005-0000-0000-000078040000}"/>
    <cellStyle name="20% - Accent2 18 4 2" xfId="5878" xr:uid="{00000000-0005-0000-0000-000079040000}"/>
    <cellStyle name="20% - Accent2 18 4 3" xfId="5877" xr:uid="{00000000-0005-0000-0000-00007A040000}"/>
    <cellStyle name="20% - Accent2 18 5" xfId="5876" xr:uid="{00000000-0005-0000-0000-00007B040000}"/>
    <cellStyle name="20% - Accent2 18 6" xfId="5875" xr:uid="{00000000-0005-0000-0000-00007C040000}"/>
    <cellStyle name="20% - Accent2 19" xfId="5874" xr:uid="{00000000-0005-0000-0000-00007D040000}"/>
    <cellStyle name="20% - Accent2 19 2" xfId="5873" xr:uid="{00000000-0005-0000-0000-00007E040000}"/>
    <cellStyle name="20% - Accent2 19 2 2" xfId="5872" xr:uid="{00000000-0005-0000-0000-00007F040000}"/>
    <cellStyle name="20% - Accent2 19 2 2 2" xfId="5871" xr:uid="{00000000-0005-0000-0000-000080040000}"/>
    <cellStyle name="20% - Accent2 19 2 2 3" xfId="5870" xr:uid="{00000000-0005-0000-0000-000081040000}"/>
    <cellStyle name="20% - Accent2 19 2 3" xfId="5869" xr:uid="{00000000-0005-0000-0000-000082040000}"/>
    <cellStyle name="20% - Accent2 19 2 4" xfId="5868" xr:uid="{00000000-0005-0000-0000-000083040000}"/>
    <cellStyle name="20% - Accent2 19 3" xfId="5867" xr:uid="{00000000-0005-0000-0000-000084040000}"/>
    <cellStyle name="20% - Accent2 19 3 2" xfId="5866" xr:uid="{00000000-0005-0000-0000-000085040000}"/>
    <cellStyle name="20% - Accent2 19 3 3" xfId="5865" xr:uid="{00000000-0005-0000-0000-000086040000}"/>
    <cellStyle name="20% - Accent2 19 4" xfId="5864" xr:uid="{00000000-0005-0000-0000-000087040000}"/>
    <cellStyle name="20% - Accent2 19 4 2" xfId="5863" xr:uid="{00000000-0005-0000-0000-000088040000}"/>
    <cellStyle name="20% - Accent2 19 4 3" xfId="5862" xr:uid="{00000000-0005-0000-0000-000089040000}"/>
    <cellStyle name="20% - Accent2 19 5" xfId="5861" xr:uid="{00000000-0005-0000-0000-00008A040000}"/>
    <cellStyle name="20% - Accent2 19 6" xfId="5860" xr:uid="{00000000-0005-0000-0000-00008B040000}"/>
    <cellStyle name="20% - Accent2 2" xfId="5859" xr:uid="{00000000-0005-0000-0000-00008C040000}"/>
    <cellStyle name="20% - Accent2 2 10" xfId="7030" xr:uid="{00000000-0005-0000-0000-00008D040000}"/>
    <cellStyle name="20% - Accent2 2 10 2" xfId="7031" xr:uid="{00000000-0005-0000-0000-00008E040000}"/>
    <cellStyle name="20% - Accent2 2 11" xfId="7032" xr:uid="{00000000-0005-0000-0000-00008F040000}"/>
    <cellStyle name="20% - Accent2 2 12" xfId="7033" xr:uid="{00000000-0005-0000-0000-000090040000}"/>
    <cellStyle name="20% - Accent2 2 12 2" xfId="7034" xr:uid="{00000000-0005-0000-0000-000091040000}"/>
    <cellStyle name="20% - Accent2 2 12 2 2" xfId="7035" xr:uid="{00000000-0005-0000-0000-000092040000}"/>
    <cellStyle name="20% - Accent2 2 12 3" xfId="7036" xr:uid="{00000000-0005-0000-0000-000093040000}"/>
    <cellStyle name="20% - Accent2 2 12 4" xfId="7037" xr:uid="{00000000-0005-0000-0000-000094040000}"/>
    <cellStyle name="20% - Accent2 2 12 4 2" xfId="7038" xr:uid="{00000000-0005-0000-0000-000095040000}"/>
    <cellStyle name="20% - Accent2 2 12 5" xfId="7039" xr:uid="{00000000-0005-0000-0000-000096040000}"/>
    <cellStyle name="20% - Accent2 2 13" xfId="7040" xr:uid="{00000000-0005-0000-0000-000097040000}"/>
    <cellStyle name="20% - Accent2 2 13 2" xfId="7041" xr:uid="{00000000-0005-0000-0000-000098040000}"/>
    <cellStyle name="20% - Accent2 2 13 2 2" xfId="7042" xr:uid="{00000000-0005-0000-0000-000099040000}"/>
    <cellStyle name="20% - Accent2 2 13 3" xfId="7043" xr:uid="{00000000-0005-0000-0000-00009A040000}"/>
    <cellStyle name="20% - Accent2 2 14" xfId="7044" xr:uid="{00000000-0005-0000-0000-00009B040000}"/>
    <cellStyle name="20% - Accent2 2 15" xfId="7045" xr:uid="{00000000-0005-0000-0000-00009C040000}"/>
    <cellStyle name="20% - Accent2 2 2" xfId="5858" xr:uid="{00000000-0005-0000-0000-00009D040000}"/>
    <cellStyle name="20% - Accent2 2 2 10" xfId="7046" xr:uid="{00000000-0005-0000-0000-00009E040000}"/>
    <cellStyle name="20% - Accent2 2 2 10 2" xfId="7047" xr:uid="{00000000-0005-0000-0000-00009F040000}"/>
    <cellStyle name="20% - Accent2 2 2 11" xfId="7048" xr:uid="{00000000-0005-0000-0000-0000A0040000}"/>
    <cellStyle name="20% - Accent2 2 2 2" xfId="7049" xr:uid="{00000000-0005-0000-0000-0000A1040000}"/>
    <cellStyle name="20% - Accent2 2 2 2 2" xfId="7050" xr:uid="{00000000-0005-0000-0000-0000A2040000}"/>
    <cellStyle name="20% - Accent2 2 2 2 2 2" xfId="7051" xr:uid="{00000000-0005-0000-0000-0000A3040000}"/>
    <cellStyle name="20% - Accent2 2 2 2 2 3" xfId="7052" xr:uid="{00000000-0005-0000-0000-0000A4040000}"/>
    <cellStyle name="20% - Accent2 2 2 2 3" xfId="7053" xr:uid="{00000000-0005-0000-0000-0000A5040000}"/>
    <cellStyle name="20% - Accent2 2 2 2 3 2" xfId="7054" xr:uid="{00000000-0005-0000-0000-0000A6040000}"/>
    <cellStyle name="20% - Accent2 2 2 2 4" xfId="7055" xr:uid="{00000000-0005-0000-0000-0000A7040000}"/>
    <cellStyle name="20% - Accent2 2 2 2 5" xfId="7056" xr:uid="{00000000-0005-0000-0000-0000A8040000}"/>
    <cellStyle name="20% - Accent2 2 2 3" xfId="7057" xr:uid="{00000000-0005-0000-0000-0000A9040000}"/>
    <cellStyle name="20% - Accent2 2 2 3 2" xfId="7058" xr:uid="{00000000-0005-0000-0000-0000AA040000}"/>
    <cellStyle name="20% - Accent2 2 2 3 2 2" xfId="7059" xr:uid="{00000000-0005-0000-0000-0000AB040000}"/>
    <cellStyle name="20% - Accent2 2 2 3 2 3" xfId="7060" xr:uid="{00000000-0005-0000-0000-0000AC040000}"/>
    <cellStyle name="20% - Accent2 2 2 3 3" xfId="7061" xr:uid="{00000000-0005-0000-0000-0000AD040000}"/>
    <cellStyle name="20% - Accent2 2 2 3 3 2" xfId="7062" xr:uid="{00000000-0005-0000-0000-0000AE040000}"/>
    <cellStyle name="20% - Accent2 2 2 3 4" xfId="7063" xr:uid="{00000000-0005-0000-0000-0000AF040000}"/>
    <cellStyle name="20% - Accent2 2 2 3 5" xfId="7064" xr:uid="{00000000-0005-0000-0000-0000B0040000}"/>
    <cellStyle name="20% - Accent2 2 2 4" xfId="7065" xr:uid="{00000000-0005-0000-0000-0000B1040000}"/>
    <cellStyle name="20% - Accent2 2 2 4 2" xfId="7066" xr:uid="{00000000-0005-0000-0000-0000B2040000}"/>
    <cellStyle name="20% - Accent2 2 2 4 2 2" xfId="7067" xr:uid="{00000000-0005-0000-0000-0000B3040000}"/>
    <cellStyle name="20% - Accent2 2 2 4 3" xfId="7068" xr:uid="{00000000-0005-0000-0000-0000B4040000}"/>
    <cellStyle name="20% - Accent2 2 2 4 4" xfId="7069" xr:uid="{00000000-0005-0000-0000-0000B5040000}"/>
    <cellStyle name="20% - Accent2 2 2 5" xfId="7070" xr:uid="{00000000-0005-0000-0000-0000B6040000}"/>
    <cellStyle name="20% - Accent2 2 2 5 2" xfId="7071" xr:uid="{00000000-0005-0000-0000-0000B7040000}"/>
    <cellStyle name="20% - Accent2 2 2 6" xfId="7072" xr:uid="{00000000-0005-0000-0000-0000B8040000}"/>
    <cellStyle name="20% - Accent2 2 2 6 2" xfId="7073" xr:uid="{00000000-0005-0000-0000-0000B9040000}"/>
    <cellStyle name="20% - Accent2 2 2 7" xfId="7074" xr:uid="{00000000-0005-0000-0000-0000BA040000}"/>
    <cellStyle name="20% - Accent2 2 2 8" xfId="7075" xr:uid="{00000000-0005-0000-0000-0000BB040000}"/>
    <cellStyle name="20% - Accent2 2 2 9" xfId="7076" xr:uid="{00000000-0005-0000-0000-0000BC040000}"/>
    <cellStyle name="20% - Accent2 2 2 9 2" xfId="7077" xr:uid="{00000000-0005-0000-0000-0000BD040000}"/>
    <cellStyle name="20% - Accent2 2 3" xfId="5857" xr:uid="{00000000-0005-0000-0000-0000BE040000}"/>
    <cellStyle name="20% - Accent2 2 3 2" xfId="5856" xr:uid="{00000000-0005-0000-0000-0000BF040000}"/>
    <cellStyle name="20% - Accent2 2 3 2 2" xfId="5855" xr:uid="{00000000-0005-0000-0000-0000C0040000}"/>
    <cellStyle name="20% - Accent2 2 3 2 2 2" xfId="5854" xr:uid="{00000000-0005-0000-0000-0000C1040000}"/>
    <cellStyle name="20% - Accent2 2 3 2 2 3" xfId="5853" xr:uid="{00000000-0005-0000-0000-0000C2040000}"/>
    <cellStyle name="20% - Accent2 2 3 2 3" xfId="5852" xr:uid="{00000000-0005-0000-0000-0000C3040000}"/>
    <cellStyle name="20% - Accent2 2 3 2 3 2" xfId="7078" xr:uid="{00000000-0005-0000-0000-0000C4040000}"/>
    <cellStyle name="20% - Accent2 2 3 2 4" xfId="5851" xr:uid="{00000000-0005-0000-0000-0000C5040000}"/>
    <cellStyle name="20% - Accent2 2 3 2 5" xfId="7079" xr:uid="{00000000-0005-0000-0000-0000C6040000}"/>
    <cellStyle name="20% - Accent2 2 3 3" xfId="5850" xr:uid="{00000000-0005-0000-0000-0000C7040000}"/>
    <cellStyle name="20% - Accent2 2 3 3 2" xfId="5849" xr:uid="{00000000-0005-0000-0000-0000C8040000}"/>
    <cellStyle name="20% - Accent2 2 3 3 2 2" xfId="7080" xr:uid="{00000000-0005-0000-0000-0000C9040000}"/>
    <cellStyle name="20% - Accent2 2 3 3 3" xfId="5848" xr:uid="{00000000-0005-0000-0000-0000CA040000}"/>
    <cellStyle name="20% - Accent2 2 3 3 4" xfId="7081" xr:uid="{00000000-0005-0000-0000-0000CB040000}"/>
    <cellStyle name="20% - Accent2 2 3 4" xfId="5847" xr:uid="{00000000-0005-0000-0000-0000CC040000}"/>
    <cellStyle name="20% - Accent2 2 3 4 2" xfId="5846" xr:uid="{00000000-0005-0000-0000-0000CD040000}"/>
    <cellStyle name="20% - Accent2 2 3 4 3" xfId="5845" xr:uid="{00000000-0005-0000-0000-0000CE040000}"/>
    <cellStyle name="20% - Accent2 2 3 5" xfId="5844" xr:uid="{00000000-0005-0000-0000-0000CF040000}"/>
    <cellStyle name="20% - Accent2 2 3 5 2" xfId="7082" xr:uid="{00000000-0005-0000-0000-0000D0040000}"/>
    <cellStyle name="20% - Accent2 2 3 6" xfId="5843" xr:uid="{00000000-0005-0000-0000-0000D1040000}"/>
    <cellStyle name="20% - Accent2 2 3 7" xfId="7083" xr:uid="{00000000-0005-0000-0000-0000D2040000}"/>
    <cellStyle name="20% - Accent2 2 3 8" xfId="7084" xr:uid="{00000000-0005-0000-0000-0000D3040000}"/>
    <cellStyle name="20% - Accent2 2 4" xfId="7085" xr:uid="{00000000-0005-0000-0000-0000D4040000}"/>
    <cellStyle name="20% - Accent2 2 4 2" xfId="7086" xr:uid="{00000000-0005-0000-0000-0000D5040000}"/>
    <cellStyle name="20% - Accent2 2 4 2 2" xfId="7087" xr:uid="{00000000-0005-0000-0000-0000D6040000}"/>
    <cellStyle name="20% - Accent2 2 4 2 2 2" xfId="7088" xr:uid="{00000000-0005-0000-0000-0000D7040000}"/>
    <cellStyle name="20% - Accent2 2 4 2 3" xfId="7089" xr:uid="{00000000-0005-0000-0000-0000D8040000}"/>
    <cellStyle name="20% - Accent2 2 4 2 4" xfId="7090" xr:uid="{00000000-0005-0000-0000-0000D9040000}"/>
    <cellStyle name="20% - Accent2 2 4 3" xfId="7091" xr:uid="{00000000-0005-0000-0000-0000DA040000}"/>
    <cellStyle name="20% - Accent2 2 4 3 2" xfId="7092" xr:uid="{00000000-0005-0000-0000-0000DB040000}"/>
    <cellStyle name="20% - Accent2 2 4 4" xfId="7093" xr:uid="{00000000-0005-0000-0000-0000DC040000}"/>
    <cellStyle name="20% - Accent2 2 4 4 2" xfId="7094" xr:uid="{00000000-0005-0000-0000-0000DD040000}"/>
    <cellStyle name="20% - Accent2 2 4 5" xfId="7095" xr:uid="{00000000-0005-0000-0000-0000DE040000}"/>
    <cellStyle name="20% - Accent2 2 4 6" xfId="7096" xr:uid="{00000000-0005-0000-0000-0000DF040000}"/>
    <cellStyle name="20% - Accent2 2 5" xfId="7097" xr:uid="{00000000-0005-0000-0000-0000E0040000}"/>
    <cellStyle name="20% - Accent2 2 5 2" xfId="7098" xr:uid="{00000000-0005-0000-0000-0000E1040000}"/>
    <cellStyle name="20% - Accent2 2 5 2 2" xfId="7099" xr:uid="{00000000-0005-0000-0000-0000E2040000}"/>
    <cellStyle name="20% - Accent2 2 5 3" xfId="7100" xr:uid="{00000000-0005-0000-0000-0000E3040000}"/>
    <cellStyle name="20% - Accent2 2 5 4" xfId="7101" xr:uid="{00000000-0005-0000-0000-0000E4040000}"/>
    <cellStyle name="20% - Accent2 2 6" xfId="7102" xr:uid="{00000000-0005-0000-0000-0000E5040000}"/>
    <cellStyle name="20% - Accent2 2 6 10" xfId="7103" xr:uid="{00000000-0005-0000-0000-0000E6040000}"/>
    <cellStyle name="20% - Accent2 2 6 2" xfId="7104" xr:uid="{00000000-0005-0000-0000-0000E7040000}"/>
    <cellStyle name="20% - Accent2 2 6 2 2" xfId="7105" xr:uid="{00000000-0005-0000-0000-0000E8040000}"/>
    <cellStyle name="20% - Accent2 2 6 2 2 2" xfId="7106" xr:uid="{00000000-0005-0000-0000-0000E9040000}"/>
    <cellStyle name="20% - Accent2 2 6 2 2 2 2" xfId="7107" xr:uid="{00000000-0005-0000-0000-0000EA040000}"/>
    <cellStyle name="20% - Accent2 2 6 2 2 3" xfId="7108" xr:uid="{00000000-0005-0000-0000-0000EB040000}"/>
    <cellStyle name="20% - Accent2 2 6 2 2 3 2" xfId="7109" xr:uid="{00000000-0005-0000-0000-0000EC040000}"/>
    <cellStyle name="20% - Accent2 2 6 2 2 4" xfId="7110" xr:uid="{00000000-0005-0000-0000-0000ED040000}"/>
    <cellStyle name="20% - Accent2 2 6 2 2 5" xfId="7111" xr:uid="{00000000-0005-0000-0000-0000EE040000}"/>
    <cellStyle name="20% - Accent2 2 6 2 3" xfId="7112" xr:uid="{00000000-0005-0000-0000-0000EF040000}"/>
    <cellStyle name="20% - Accent2 2 6 2 3 2" xfId="7113" xr:uid="{00000000-0005-0000-0000-0000F0040000}"/>
    <cellStyle name="20% - Accent2 2 6 2 3 2 2" xfId="7114" xr:uid="{00000000-0005-0000-0000-0000F1040000}"/>
    <cellStyle name="20% - Accent2 2 6 2 3 3" xfId="7115" xr:uid="{00000000-0005-0000-0000-0000F2040000}"/>
    <cellStyle name="20% - Accent2 2 6 2 4" xfId="7116" xr:uid="{00000000-0005-0000-0000-0000F3040000}"/>
    <cellStyle name="20% - Accent2 2 6 2 4 2" xfId="7117" xr:uid="{00000000-0005-0000-0000-0000F4040000}"/>
    <cellStyle name="20% - Accent2 2 6 2 5" xfId="7118" xr:uid="{00000000-0005-0000-0000-0000F5040000}"/>
    <cellStyle name="20% - Accent2 2 6 2 5 2" xfId="7119" xr:uid="{00000000-0005-0000-0000-0000F6040000}"/>
    <cellStyle name="20% - Accent2 2 6 2 6" xfId="7120" xr:uid="{00000000-0005-0000-0000-0000F7040000}"/>
    <cellStyle name="20% - Accent2 2 6 3" xfId="7121" xr:uid="{00000000-0005-0000-0000-0000F8040000}"/>
    <cellStyle name="20% - Accent2 2 6 3 2" xfId="7122" xr:uid="{00000000-0005-0000-0000-0000F9040000}"/>
    <cellStyle name="20% - Accent2 2 6 3 2 2" xfId="7123" xr:uid="{00000000-0005-0000-0000-0000FA040000}"/>
    <cellStyle name="20% - Accent2 2 6 3 2 2 2" xfId="7124" xr:uid="{00000000-0005-0000-0000-0000FB040000}"/>
    <cellStyle name="20% - Accent2 2 6 3 2 3" xfId="7125" xr:uid="{00000000-0005-0000-0000-0000FC040000}"/>
    <cellStyle name="20% - Accent2 2 6 3 2 3 2" xfId="7126" xr:uid="{00000000-0005-0000-0000-0000FD040000}"/>
    <cellStyle name="20% - Accent2 2 6 3 2 4" xfId="7127" xr:uid="{00000000-0005-0000-0000-0000FE040000}"/>
    <cellStyle name="20% - Accent2 2 6 3 2 5" xfId="7128" xr:uid="{00000000-0005-0000-0000-0000FF040000}"/>
    <cellStyle name="20% - Accent2 2 6 3 3" xfId="7129" xr:uid="{00000000-0005-0000-0000-000000050000}"/>
    <cellStyle name="20% - Accent2 2 6 3 3 2" xfId="7130" xr:uid="{00000000-0005-0000-0000-000001050000}"/>
    <cellStyle name="20% - Accent2 2 6 3 3 2 2" xfId="7131" xr:uid="{00000000-0005-0000-0000-000002050000}"/>
    <cellStyle name="20% - Accent2 2 6 3 3 3" xfId="7132" xr:uid="{00000000-0005-0000-0000-000003050000}"/>
    <cellStyle name="20% - Accent2 2 6 3 4" xfId="7133" xr:uid="{00000000-0005-0000-0000-000004050000}"/>
    <cellStyle name="20% - Accent2 2 6 3 4 2" xfId="7134" xr:uid="{00000000-0005-0000-0000-000005050000}"/>
    <cellStyle name="20% - Accent2 2 6 3 5" xfId="7135" xr:uid="{00000000-0005-0000-0000-000006050000}"/>
    <cellStyle name="20% - Accent2 2 6 3 5 2" xfId="7136" xr:uid="{00000000-0005-0000-0000-000007050000}"/>
    <cellStyle name="20% - Accent2 2 6 3 6" xfId="7137" xr:uid="{00000000-0005-0000-0000-000008050000}"/>
    <cellStyle name="20% - Accent2 2 6 4" xfId="7138" xr:uid="{00000000-0005-0000-0000-000009050000}"/>
    <cellStyle name="20% - Accent2 2 6 4 2" xfId="7139" xr:uid="{00000000-0005-0000-0000-00000A050000}"/>
    <cellStyle name="20% - Accent2 2 6 4 2 2" xfId="7140" xr:uid="{00000000-0005-0000-0000-00000B050000}"/>
    <cellStyle name="20% - Accent2 2 6 4 2 2 2" xfId="7141" xr:uid="{00000000-0005-0000-0000-00000C050000}"/>
    <cellStyle name="20% - Accent2 2 6 4 2 3" xfId="7142" xr:uid="{00000000-0005-0000-0000-00000D050000}"/>
    <cellStyle name="20% - Accent2 2 6 4 3" xfId="7143" xr:uid="{00000000-0005-0000-0000-00000E050000}"/>
    <cellStyle name="20% - Accent2 2 6 4 3 2" xfId="7144" xr:uid="{00000000-0005-0000-0000-00000F050000}"/>
    <cellStyle name="20% - Accent2 2 6 4 4" xfId="7145" xr:uid="{00000000-0005-0000-0000-000010050000}"/>
    <cellStyle name="20% - Accent2 2 6 4 4 2" xfId="7146" xr:uid="{00000000-0005-0000-0000-000011050000}"/>
    <cellStyle name="20% - Accent2 2 6 4 5" xfId="7147" xr:uid="{00000000-0005-0000-0000-000012050000}"/>
    <cellStyle name="20% - Accent2 2 6 5" xfId="7148" xr:uid="{00000000-0005-0000-0000-000013050000}"/>
    <cellStyle name="20% - Accent2 2 6 5 2" xfId="7149" xr:uid="{00000000-0005-0000-0000-000014050000}"/>
    <cellStyle name="20% - Accent2 2 6 5 2 2" xfId="7150" xr:uid="{00000000-0005-0000-0000-000015050000}"/>
    <cellStyle name="20% - Accent2 2 6 5 3" xfId="7151" xr:uid="{00000000-0005-0000-0000-000016050000}"/>
    <cellStyle name="20% - Accent2 2 6 5 3 2" xfId="7152" xr:uid="{00000000-0005-0000-0000-000017050000}"/>
    <cellStyle name="20% - Accent2 2 6 5 4" xfId="7153" xr:uid="{00000000-0005-0000-0000-000018050000}"/>
    <cellStyle name="20% - Accent2 2 6 6" xfId="7154" xr:uid="{00000000-0005-0000-0000-000019050000}"/>
    <cellStyle name="20% - Accent2 2 6 6 2" xfId="7155" xr:uid="{00000000-0005-0000-0000-00001A050000}"/>
    <cellStyle name="20% - Accent2 2 6 6 2 2" xfId="7156" xr:uid="{00000000-0005-0000-0000-00001B050000}"/>
    <cellStyle name="20% - Accent2 2 6 6 3" xfId="7157" xr:uid="{00000000-0005-0000-0000-00001C050000}"/>
    <cellStyle name="20% - Accent2 2 6 7" xfId="7158" xr:uid="{00000000-0005-0000-0000-00001D050000}"/>
    <cellStyle name="20% - Accent2 2 6 7 2" xfId="7159" xr:uid="{00000000-0005-0000-0000-00001E050000}"/>
    <cellStyle name="20% - Accent2 2 6 7 3" xfId="7160" xr:uid="{00000000-0005-0000-0000-00001F050000}"/>
    <cellStyle name="20% - Accent2 2 6 8" xfId="7161" xr:uid="{00000000-0005-0000-0000-000020050000}"/>
    <cellStyle name="20% - Accent2 2 6 8 2" xfId="7162" xr:uid="{00000000-0005-0000-0000-000021050000}"/>
    <cellStyle name="20% - Accent2 2 6 9" xfId="7163" xr:uid="{00000000-0005-0000-0000-000022050000}"/>
    <cellStyle name="20% - Accent2 2 7" xfId="7164" xr:uid="{00000000-0005-0000-0000-000023050000}"/>
    <cellStyle name="20% - Accent2 2 7 2" xfId="7165" xr:uid="{00000000-0005-0000-0000-000024050000}"/>
    <cellStyle name="20% - Accent2 2 7 2 2" xfId="7166" xr:uid="{00000000-0005-0000-0000-000025050000}"/>
    <cellStyle name="20% - Accent2 2 7 3" xfId="7167" xr:uid="{00000000-0005-0000-0000-000026050000}"/>
    <cellStyle name="20% - Accent2 2 7 4" xfId="7168" xr:uid="{00000000-0005-0000-0000-000027050000}"/>
    <cellStyle name="20% - Accent2 2 8" xfId="7169" xr:uid="{00000000-0005-0000-0000-000028050000}"/>
    <cellStyle name="20% - Accent2 2 8 2" xfId="7170" xr:uid="{00000000-0005-0000-0000-000029050000}"/>
    <cellStyle name="20% - Accent2 2 9" xfId="7171" xr:uid="{00000000-0005-0000-0000-00002A050000}"/>
    <cellStyle name="20% - Accent2 2 9 2" xfId="7172" xr:uid="{00000000-0005-0000-0000-00002B050000}"/>
    <cellStyle name="20% - Accent2 20" xfId="5842" xr:uid="{00000000-0005-0000-0000-00002C050000}"/>
    <cellStyle name="20% - Accent2 20 2" xfId="5841" xr:uid="{00000000-0005-0000-0000-00002D050000}"/>
    <cellStyle name="20% - Accent2 20 2 2" xfId="5840" xr:uid="{00000000-0005-0000-0000-00002E050000}"/>
    <cellStyle name="20% - Accent2 20 2 2 2" xfId="5839" xr:uid="{00000000-0005-0000-0000-00002F050000}"/>
    <cellStyle name="20% - Accent2 20 2 2 3" xfId="5838" xr:uid="{00000000-0005-0000-0000-000030050000}"/>
    <cellStyle name="20% - Accent2 20 2 3" xfId="5837" xr:uid="{00000000-0005-0000-0000-000031050000}"/>
    <cellStyle name="20% - Accent2 20 2 4" xfId="5836" xr:uid="{00000000-0005-0000-0000-000032050000}"/>
    <cellStyle name="20% - Accent2 20 3" xfId="5835" xr:uid="{00000000-0005-0000-0000-000033050000}"/>
    <cellStyle name="20% - Accent2 20 3 2" xfId="5834" xr:uid="{00000000-0005-0000-0000-000034050000}"/>
    <cellStyle name="20% - Accent2 20 3 3" xfId="5833" xr:uid="{00000000-0005-0000-0000-000035050000}"/>
    <cellStyle name="20% - Accent2 20 4" xfId="5832" xr:uid="{00000000-0005-0000-0000-000036050000}"/>
    <cellStyle name="20% - Accent2 20 4 2" xfId="5831" xr:uid="{00000000-0005-0000-0000-000037050000}"/>
    <cellStyle name="20% - Accent2 20 4 3" xfId="5830" xr:uid="{00000000-0005-0000-0000-000038050000}"/>
    <cellStyle name="20% - Accent2 20 5" xfId="5829" xr:uid="{00000000-0005-0000-0000-000039050000}"/>
    <cellStyle name="20% - Accent2 20 6" xfId="5828" xr:uid="{00000000-0005-0000-0000-00003A050000}"/>
    <cellStyle name="20% - Accent2 21" xfId="5827" xr:uid="{00000000-0005-0000-0000-00003B050000}"/>
    <cellStyle name="20% - Accent2 22" xfId="5826" xr:uid="{00000000-0005-0000-0000-00003C050000}"/>
    <cellStyle name="20% - Accent2 22 2" xfId="5825" xr:uid="{00000000-0005-0000-0000-00003D050000}"/>
    <cellStyle name="20% - Accent2 22 2 2" xfId="5824" xr:uid="{00000000-0005-0000-0000-00003E050000}"/>
    <cellStyle name="20% - Accent2 22 2 2 2" xfId="5823" xr:uid="{00000000-0005-0000-0000-00003F050000}"/>
    <cellStyle name="20% - Accent2 22 2 2 3" xfId="5822" xr:uid="{00000000-0005-0000-0000-000040050000}"/>
    <cellStyle name="20% - Accent2 22 2 3" xfId="5821" xr:uid="{00000000-0005-0000-0000-000041050000}"/>
    <cellStyle name="20% - Accent2 22 2 4" xfId="5820" xr:uid="{00000000-0005-0000-0000-000042050000}"/>
    <cellStyle name="20% - Accent2 22 3" xfId="5819" xr:uid="{00000000-0005-0000-0000-000043050000}"/>
    <cellStyle name="20% - Accent2 22 3 2" xfId="5818" xr:uid="{00000000-0005-0000-0000-000044050000}"/>
    <cellStyle name="20% - Accent2 22 3 3" xfId="5817" xr:uid="{00000000-0005-0000-0000-000045050000}"/>
    <cellStyle name="20% - Accent2 22 4" xfId="5816" xr:uid="{00000000-0005-0000-0000-000046050000}"/>
    <cellStyle name="20% - Accent2 22 4 2" xfId="5815" xr:uid="{00000000-0005-0000-0000-000047050000}"/>
    <cellStyle name="20% - Accent2 22 4 3" xfId="5814" xr:uid="{00000000-0005-0000-0000-000048050000}"/>
    <cellStyle name="20% - Accent2 22 5" xfId="5813" xr:uid="{00000000-0005-0000-0000-000049050000}"/>
    <cellStyle name="20% - Accent2 22 6" xfId="5812" xr:uid="{00000000-0005-0000-0000-00004A050000}"/>
    <cellStyle name="20% - Accent2 23" xfId="5811" xr:uid="{00000000-0005-0000-0000-00004B050000}"/>
    <cellStyle name="20% - Accent2 23 2" xfId="5810" xr:uid="{00000000-0005-0000-0000-00004C050000}"/>
    <cellStyle name="20% - Accent2 23 2 2" xfId="5809" xr:uid="{00000000-0005-0000-0000-00004D050000}"/>
    <cellStyle name="20% - Accent2 23 2 3" xfId="5808" xr:uid="{00000000-0005-0000-0000-00004E050000}"/>
    <cellStyle name="20% - Accent2 23 3" xfId="5807" xr:uid="{00000000-0005-0000-0000-00004F050000}"/>
    <cellStyle name="20% - Accent2 23 4" xfId="5806" xr:uid="{00000000-0005-0000-0000-000050050000}"/>
    <cellStyle name="20% - Accent2 24" xfId="5805" xr:uid="{00000000-0005-0000-0000-000051050000}"/>
    <cellStyle name="20% - Accent2 24 2" xfId="5804" xr:uid="{00000000-0005-0000-0000-000052050000}"/>
    <cellStyle name="20% - Accent2 24 3" xfId="5803" xr:uid="{00000000-0005-0000-0000-000053050000}"/>
    <cellStyle name="20% - Accent2 25" xfId="5802" xr:uid="{00000000-0005-0000-0000-000054050000}"/>
    <cellStyle name="20% - Accent2 25 2" xfId="5801" xr:uid="{00000000-0005-0000-0000-000055050000}"/>
    <cellStyle name="20% - Accent2 25 3" xfId="5800" xr:uid="{00000000-0005-0000-0000-000056050000}"/>
    <cellStyle name="20% - Accent2 26" xfId="5799" xr:uid="{00000000-0005-0000-0000-000057050000}"/>
    <cellStyle name="20% - Accent2 27" xfId="5798" xr:uid="{00000000-0005-0000-0000-000058050000}"/>
    <cellStyle name="20% - Accent2 28" xfId="5797" xr:uid="{00000000-0005-0000-0000-000059050000}"/>
    <cellStyle name="20% - Accent2 29" xfId="5796" xr:uid="{00000000-0005-0000-0000-00005A050000}"/>
    <cellStyle name="20% - Accent2 3" xfId="5795" xr:uid="{00000000-0005-0000-0000-00005B050000}"/>
    <cellStyle name="20% - Accent2 3 10" xfId="7173" xr:uid="{00000000-0005-0000-0000-00005C050000}"/>
    <cellStyle name="20% - Accent2 3 2" xfId="5794" xr:uid="{00000000-0005-0000-0000-00005D050000}"/>
    <cellStyle name="20% - Accent2 3 2 2" xfId="7174" xr:uid="{00000000-0005-0000-0000-00005E050000}"/>
    <cellStyle name="20% - Accent2 3 2 2 2" xfId="7175" xr:uid="{00000000-0005-0000-0000-00005F050000}"/>
    <cellStyle name="20% - Accent2 3 2 2 2 2" xfId="7176" xr:uid="{00000000-0005-0000-0000-000060050000}"/>
    <cellStyle name="20% - Accent2 3 2 2 3" xfId="7177" xr:uid="{00000000-0005-0000-0000-000061050000}"/>
    <cellStyle name="20% - Accent2 3 2 2 4" xfId="7178" xr:uid="{00000000-0005-0000-0000-000062050000}"/>
    <cellStyle name="20% - Accent2 3 2 2 5" xfId="7179" xr:uid="{00000000-0005-0000-0000-000063050000}"/>
    <cellStyle name="20% - Accent2 3 2 3" xfId="7180" xr:uid="{00000000-0005-0000-0000-000064050000}"/>
    <cellStyle name="20% - Accent2 3 2 3 2" xfId="7181" xr:uid="{00000000-0005-0000-0000-000065050000}"/>
    <cellStyle name="20% - Accent2 3 2 3 2 2" xfId="7182" xr:uid="{00000000-0005-0000-0000-000066050000}"/>
    <cellStyle name="20% - Accent2 3 2 3 3" xfId="7183" xr:uid="{00000000-0005-0000-0000-000067050000}"/>
    <cellStyle name="20% - Accent2 3 2 3 4" xfId="7184" xr:uid="{00000000-0005-0000-0000-000068050000}"/>
    <cellStyle name="20% - Accent2 3 2 4" xfId="7185" xr:uid="{00000000-0005-0000-0000-000069050000}"/>
    <cellStyle name="20% - Accent2 3 2 4 2" xfId="7186" xr:uid="{00000000-0005-0000-0000-00006A050000}"/>
    <cellStyle name="20% - Accent2 3 2 5" xfId="7187" xr:uid="{00000000-0005-0000-0000-00006B050000}"/>
    <cellStyle name="20% - Accent2 3 2 5 2" xfId="7188" xr:uid="{00000000-0005-0000-0000-00006C050000}"/>
    <cellStyle name="20% - Accent2 3 2 6" xfId="7189" xr:uid="{00000000-0005-0000-0000-00006D050000}"/>
    <cellStyle name="20% - Accent2 3 2 7" xfId="7190" xr:uid="{00000000-0005-0000-0000-00006E050000}"/>
    <cellStyle name="20% - Accent2 3 2 8" xfId="7191" xr:uid="{00000000-0005-0000-0000-00006F050000}"/>
    <cellStyle name="20% - Accent2 3 3" xfId="5793" xr:uid="{00000000-0005-0000-0000-000070050000}"/>
    <cellStyle name="20% - Accent2 3 3 2" xfId="5792" xr:uid="{00000000-0005-0000-0000-000071050000}"/>
    <cellStyle name="20% - Accent2 3 3 2 2" xfId="5791" xr:uid="{00000000-0005-0000-0000-000072050000}"/>
    <cellStyle name="20% - Accent2 3 3 2 2 2" xfId="5790" xr:uid="{00000000-0005-0000-0000-000073050000}"/>
    <cellStyle name="20% - Accent2 3 3 2 2 3" xfId="5789" xr:uid="{00000000-0005-0000-0000-000074050000}"/>
    <cellStyle name="20% - Accent2 3 3 2 3" xfId="5788" xr:uid="{00000000-0005-0000-0000-000075050000}"/>
    <cellStyle name="20% - Accent2 3 3 2 4" xfId="5787" xr:uid="{00000000-0005-0000-0000-000076050000}"/>
    <cellStyle name="20% - Accent2 3 3 3" xfId="5786" xr:uid="{00000000-0005-0000-0000-000077050000}"/>
    <cellStyle name="20% - Accent2 3 3 3 2" xfId="5785" xr:uid="{00000000-0005-0000-0000-000078050000}"/>
    <cellStyle name="20% - Accent2 3 3 3 3" xfId="5784" xr:uid="{00000000-0005-0000-0000-000079050000}"/>
    <cellStyle name="20% - Accent2 3 3 4" xfId="5783" xr:uid="{00000000-0005-0000-0000-00007A050000}"/>
    <cellStyle name="20% - Accent2 3 3 4 2" xfId="5782" xr:uid="{00000000-0005-0000-0000-00007B050000}"/>
    <cellStyle name="20% - Accent2 3 3 4 3" xfId="5781" xr:uid="{00000000-0005-0000-0000-00007C050000}"/>
    <cellStyle name="20% - Accent2 3 3 5" xfId="5780" xr:uid="{00000000-0005-0000-0000-00007D050000}"/>
    <cellStyle name="20% - Accent2 3 3 6" xfId="5779" xr:uid="{00000000-0005-0000-0000-00007E050000}"/>
    <cellStyle name="20% - Accent2 3 3 7" xfId="7192" xr:uid="{00000000-0005-0000-0000-00007F050000}"/>
    <cellStyle name="20% - Accent2 3 4" xfId="7193" xr:uid="{00000000-0005-0000-0000-000080050000}"/>
    <cellStyle name="20% - Accent2 3 4 2" xfId="7194" xr:uid="{00000000-0005-0000-0000-000081050000}"/>
    <cellStyle name="20% - Accent2 3 4 2 2" xfId="7195" xr:uid="{00000000-0005-0000-0000-000082050000}"/>
    <cellStyle name="20% - Accent2 3 4 3" xfId="7196" xr:uid="{00000000-0005-0000-0000-000083050000}"/>
    <cellStyle name="20% - Accent2 3 4 4" xfId="7197" xr:uid="{00000000-0005-0000-0000-000084050000}"/>
    <cellStyle name="20% - Accent2 3 5" xfId="7198" xr:uid="{00000000-0005-0000-0000-000085050000}"/>
    <cellStyle name="20% - Accent2 3 5 2" xfId="7199" xr:uid="{00000000-0005-0000-0000-000086050000}"/>
    <cellStyle name="20% - Accent2 3 6" xfId="7200" xr:uid="{00000000-0005-0000-0000-000087050000}"/>
    <cellStyle name="20% - Accent2 3 7" xfId="7201" xr:uid="{00000000-0005-0000-0000-000088050000}"/>
    <cellStyle name="20% - Accent2 3 7 2" xfId="7202" xr:uid="{00000000-0005-0000-0000-000089050000}"/>
    <cellStyle name="20% - Accent2 3 8" xfId="7203" xr:uid="{00000000-0005-0000-0000-00008A050000}"/>
    <cellStyle name="20% - Accent2 3 9" xfId="7204" xr:uid="{00000000-0005-0000-0000-00008B050000}"/>
    <cellStyle name="20% - Accent2 3 9 2" xfId="7205" xr:uid="{00000000-0005-0000-0000-00008C050000}"/>
    <cellStyle name="20% - Accent2 4" xfId="5778" xr:uid="{00000000-0005-0000-0000-00008D050000}"/>
    <cellStyle name="20% - Accent2 4 2" xfId="5777" xr:uid="{00000000-0005-0000-0000-00008E050000}"/>
    <cellStyle name="20% - Accent2 4 2 2" xfId="5776" xr:uid="{00000000-0005-0000-0000-00008F050000}"/>
    <cellStyle name="20% - Accent2 4 2 2 2" xfId="5775" xr:uid="{00000000-0005-0000-0000-000090050000}"/>
    <cellStyle name="20% - Accent2 4 2 2 2 2" xfId="5774" xr:uid="{00000000-0005-0000-0000-000091050000}"/>
    <cellStyle name="20% - Accent2 4 2 2 2 3" xfId="5773" xr:uid="{00000000-0005-0000-0000-000092050000}"/>
    <cellStyle name="20% - Accent2 4 2 2 3" xfId="5772" xr:uid="{00000000-0005-0000-0000-000093050000}"/>
    <cellStyle name="20% - Accent2 4 2 2 4" xfId="5771" xr:uid="{00000000-0005-0000-0000-000094050000}"/>
    <cellStyle name="20% - Accent2 4 2 3" xfId="5770" xr:uid="{00000000-0005-0000-0000-000095050000}"/>
    <cellStyle name="20% - Accent2 4 2 3 2" xfId="5769" xr:uid="{00000000-0005-0000-0000-000096050000}"/>
    <cellStyle name="20% - Accent2 4 2 3 3" xfId="5768" xr:uid="{00000000-0005-0000-0000-000097050000}"/>
    <cellStyle name="20% - Accent2 4 2 4" xfId="5767" xr:uid="{00000000-0005-0000-0000-000098050000}"/>
    <cellStyle name="20% - Accent2 4 2 4 2" xfId="5766" xr:uid="{00000000-0005-0000-0000-000099050000}"/>
    <cellStyle name="20% - Accent2 4 2 4 3" xfId="5765" xr:uid="{00000000-0005-0000-0000-00009A050000}"/>
    <cellStyle name="20% - Accent2 4 2 5" xfId="5764" xr:uid="{00000000-0005-0000-0000-00009B050000}"/>
    <cellStyle name="20% - Accent2 4 2 6" xfId="5763" xr:uid="{00000000-0005-0000-0000-00009C050000}"/>
    <cellStyle name="20% - Accent2 4 3" xfId="5762" xr:uid="{00000000-0005-0000-0000-00009D050000}"/>
    <cellStyle name="20% - Accent2 4 3 2" xfId="5761" xr:uid="{00000000-0005-0000-0000-00009E050000}"/>
    <cellStyle name="20% - Accent2 4 3 2 2" xfId="5760" xr:uid="{00000000-0005-0000-0000-00009F050000}"/>
    <cellStyle name="20% - Accent2 4 3 2 3" xfId="5759" xr:uid="{00000000-0005-0000-0000-0000A0050000}"/>
    <cellStyle name="20% - Accent2 4 3 3" xfId="5758" xr:uid="{00000000-0005-0000-0000-0000A1050000}"/>
    <cellStyle name="20% - Accent2 4 3 3 2" xfId="7206" xr:uid="{00000000-0005-0000-0000-0000A2050000}"/>
    <cellStyle name="20% - Accent2 4 3 4" xfId="5757" xr:uid="{00000000-0005-0000-0000-0000A3050000}"/>
    <cellStyle name="20% - Accent2 4 4" xfId="5756" xr:uid="{00000000-0005-0000-0000-0000A4050000}"/>
    <cellStyle name="20% - Accent2 4 4 2" xfId="5755" xr:uid="{00000000-0005-0000-0000-0000A5050000}"/>
    <cellStyle name="20% - Accent2 4 4 2 2" xfId="7207" xr:uid="{00000000-0005-0000-0000-0000A6050000}"/>
    <cellStyle name="20% - Accent2 4 4 3" xfId="5754" xr:uid="{00000000-0005-0000-0000-0000A7050000}"/>
    <cellStyle name="20% - Accent2 4 4 4" xfId="7208" xr:uid="{00000000-0005-0000-0000-0000A8050000}"/>
    <cellStyle name="20% - Accent2 4 5" xfId="5753" xr:uid="{00000000-0005-0000-0000-0000A9050000}"/>
    <cellStyle name="20% - Accent2 4 5 2" xfId="5752" xr:uid="{00000000-0005-0000-0000-0000AA050000}"/>
    <cellStyle name="20% - Accent2 4 5 3" xfId="5751" xr:uid="{00000000-0005-0000-0000-0000AB050000}"/>
    <cellStyle name="20% - Accent2 4 6" xfId="5750" xr:uid="{00000000-0005-0000-0000-0000AC050000}"/>
    <cellStyle name="20% - Accent2 4 6 2" xfId="7209" xr:uid="{00000000-0005-0000-0000-0000AD050000}"/>
    <cellStyle name="20% - Accent2 4 7" xfId="5749" xr:uid="{00000000-0005-0000-0000-0000AE050000}"/>
    <cellStyle name="20% - Accent2 4 7 2" xfId="7210" xr:uid="{00000000-0005-0000-0000-0000AF050000}"/>
    <cellStyle name="20% - Accent2 4 8" xfId="7211" xr:uid="{00000000-0005-0000-0000-0000B0050000}"/>
    <cellStyle name="20% - Accent2 4 9" xfId="7212" xr:uid="{00000000-0005-0000-0000-0000B1050000}"/>
    <cellStyle name="20% - Accent2 5" xfId="5748" xr:uid="{00000000-0005-0000-0000-0000B2050000}"/>
    <cellStyle name="20% - Accent2 5 10" xfId="7213" xr:uid="{00000000-0005-0000-0000-0000B3050000}"/>
    <cellStyle name="20% - Accent2 5 11" xfId="7214" xr:uid="{00000000-0005-0000-0000-0000B4050000}"/>
    <cellStyle name="20% - Accent2 5 2" xfId="5747" xr:uid="{00000000-0005-0000-0000-0000B5050000}"/>
    <cellStyle name="20% - Accent2 5 2 2" xfId="5746" xr:uid="{00000000-0005-0000-0000-0000B6050000}"/>
    <cellStyle name="20% - Accent2 5 2 2 2" xfId="5745" xr:uid="{00000000-0005-0000-0000-0000B7050000}"/>
    <cellStyle name="20% - Accent2 5 2 2 2 2" xfId="7215" xr:uid="{00000000-0005-0000-0000-0000B8050000}"/>
    <cellStyle name="20% - Accent2 5 2 2 2 2 2" xfId="7216" xr:uid="{00000000-0005-0000-0000-0000B9050000}"/>
    <cellStyle name="20% - Accent2 5 2 2 2 3" xfId="7217" xr:uid="{00000000-0005-0000-0000-0000BA050000}"/>
    <cellStyle name="20% - Accent2 5 2 2 2 3 2" xfId="7218" xr:uid="{00000000-0005-0000-0000-0000BB050000}"/>
    <cellStyle name="20% - Accent2 5 2 2 2 4" xfId="7219" xr:uid="{00000000-0005-0000-0000-0000BC050000}"/>
    <cellStyle name="20% - Accent2 5 2 2 2 4 2" xfId="7220" xr:uid="{00000000-0005-0000-0000-0000BD050000}"/>
    <cellStyle name="20% - Accent2 5 2 2 2 5" xfId="7221" xr:uid="{00000000-0005-0000-0000-0000BE050000}"/>
    <cellStyle name="20% - Accent2 5 2 2 3" xfId="5744" xr:uid="{00000000-0005-0000-0000-0000BF050000}"/>
    <cellStyle name="20% - Accent2 5 2 2 3 2" xfId="7222" xr:uid="{00000000-0005-0000-0000-0000C0050000}"/>
    <cellStyle name="20% - Accent2 5 2 2 3 2 2" xfId="7223" xr:uid="{00000000-0005-0000-0000-0000C1050000}"/>
    <cellStyle name="20% - Accent2 5 2 2 3 3" xfId="7224" xr:uid="{00000000-0005-0000-0000-0000C2050000}"/>
    <cellStyle name="20% - Accent2 5 2 2 3 3 2" xfId="7225" xr:uid="{00000000-0005-0000-0000-0000C3050000}"/>
    <cellStyle name="20% - Accent2 5 2 2 3 4" xfId="7226" xr:uid="{00000000-0005-0000-0000-0000C4050000}"/>
    <cellStyle name="20% - Accent2 5 2 2 4" xfId="7227" xr:uid="{00000000-0005-0000-0000-0000C5050000}"/>
    <cellStyle name="20% - Accent2 5 2 2 4 2" xfId="7228" xr:uid="{00000000-0005-0000-0000-0000C6050000}"/>
    <cellStyle name="20% - Accent2 5 2 2 4 2 2" xfId="7229" xr:uid="{00000000-0005-0000-0000-0000C7050000}"/>
    <cellStyle name="20% - Accent2 5 2 2 4 3" xfId="7230" xr:uid="{00000000-0005-0000-0000-0000C8050000}"/>
    <cellStyle name="20% - Accent2 5 2 2 4 3 2" xfId="7231" xr:uid="{00000000-0005-0000-0000-0000C9050000}"/>
    <cellStyle name="20% - Accent2 5 2 2 4 4" xfId="7232" xr:uid="{00000000-0005-0000-0000-0000CA050000}"/>
    <cellStyle name="20% - Accent2 5 2 2 5" xfId="7233" xr:uid="{00000000-0005-0000-0000-0000CB050000}"/>
    <cellStyle name="20% - Accent2 5 2 2 5 2" xfId="7234" xr:uid="{00000000-0005-0000-0000-0000CC050000}"/>
    <cellStyle name="20% - Accent2 5 2 2 5 2 2" xfId="7235" xr:uid="{00000000-0005-0000-0000-0000CD050000}"/>
    <cellStyle name="20% - Accent2 5 2 2 5 3" xfId="7236" xr:uid="{00000000-0005-0000-0000-0000CE050000}"/>
    <cellStyle name="20% - Accent2 5 2 2 5 3 2" xfId="7237" xr:uid="{00000000-0005-0000-0000-0000CF050000}"/>
    <cellStyle name="20% - Accent2 5 2 2 5 4" xfId="7238" xr:uid="{00000000-0005-0000-0000-0000D0050000}"/>
    <cellStyle name="20% - Accent2 5 2 2 6" xfId="7239" xr:uid="{00000000-0005-0000-0000-0000D1050000}"/>
    <cellStyle name="20% - Accent2 5 2 2 7" xfId="7240" xr:uid="{00000000-0005-0000-0000-0000D2050000}"/>
    <cellStyle name="20% - Accent2 5 2 3" xfId="5743" xr:uid="{00000000-0005-0000-0000-0000D3050000}"/>
    <cellStyle name="20% - Accent2 5 2 4" xfId="5742" xr:uid="{00000000-0005-0000-0000-0000D4050000}"/>
    <cellStyle name="20% - Accent2 5 2 5" xfId="7241" xr:uid="{00000000-0005-0000-0000-0000D5050000}"/>
    <cellStyle name="20% - Accent2 5 2 5 2" xfId="7242" xr:uid="{00000000-0005-0000-0000-0000D6050000}"/>
    <cellStyle name="20% - Accent2 5 2 6" xfId="7243" xr:uid="{00000000-0005-0000-0000-0000D7050000}"/>
    <cellStyle name="20% - Accent2 5 3" xfId="5741" xr:uid="{00000000-0005-0000-0000-0000D8050000}"/>
    <cellStyle name="20% - Accent2 5 3 2" xfId="5740" xr:uid="{00000000-0005-0000-0000-0000D9050000}"/>
    <cellStyle name="20% - Accent2 5 3 2 2" xfId="7244" xr:uid="{00000000-0005-0000-0000-0000DA050000}"/>
    <cellStyle name="20% - Accent2 5 3 3" xfId="5739" xr:uid="{00000000-0005-0000-0000-0000DB050000}"/>
    <cellStyle name="20% - Accent2 5 3 4" xfId="7245" xr:uid="{00000000-0005-0000-0000-0000DC050000}"/>
    <cellStyle name="20% - Accent2 5 3 5" xfId="7246" xr:uid="{00000000-0005-0000-0000-0000DD050000}"/>
    <cellStyle name="20% - Accent2 5 3 5 2" xfId="7247" xr:uid="{00000000-0005-0000-0000-0000DE050000}"/>
    <cellStyle name="20% - Accent2 5 3 6" xfId="7248" xr:uid="{00000000-0005-0000-0000-0000DF050000}"/>
    <cellStyle name="20% - Accent2 5 4" xfId="5738" xr:uid="{00000000-0005-0000-0000-0000E0050000}"/>
    <cellStyle name="20% - Accent2 5 4 2" xfId="5737" xr:uid="{00000000-0005-0000-0000-0000E1050000}"/>
    <cellStyle name="20% - Accent2 5 4 3" xfId="5736" xr:uid="{00000000-0005-0000-0000-0000E2050000}"/>
    <cellStyle name="20% - Accent2 5 5" xfId="5735" xr:uid="{00000000-0005-0000-0000-0000E3050000}"/>
    <cellStyle name="20% - Accent2 5 5 2" xfId="7249" xr:uid="{00000000-0005-0000-0000-0000E4050000}"/>
    <cellStyle name="20% - Accent2 5 5 2 2" xfId="7250" xr:uid="{00000000-0005-0000-0000-0000E5050000}"/>
    <cellStyle name="20% - Accent2 5 5 2 2 2" xfId="7251" xr:uid="{00000000-0005-0000-0000-0000E6050000}"/>
    <cellStyle name="20% - Accent2 5 5 2 3" xfId="7252" xr:uid="{00000000-0005-0000-0000-0000E7050000}"/>
    <cellStyle name="20% - Accent2 5 5 2 3 2" xfId="7253" xr:uid="{00000000-0005-0000-0000-0000E8050000}"/>
    <cellStyle name="20% - Accent2 5 5 2 4" xfId="7254" xr:uid="{00000000-0005-0000-0000-0000E9050000}"/>
    <cellStyle name="20% - Accent2 5 5 2 4 2" xfId="7255" xr:uid="{00000000-0005-0000-0000-0000EA050000}"/>
    <cellStyle name="20% - Accent2 5 5 2 5" xfId="7256" xr:uid="{00000000-0005-0000-0000-0000EB050000}"/>
    <cellStyle name="20% - Accent2 5 5 3" xfId="7257" xr:uid="{00000000-0005-0000-0000-0000EC050000}"/>
    <cellStyle name="20% - Accent2 5 5 3 2" xfId="7258" xr:uid="{00000000-0005-0000-0000-0000ED050000}"/>
    <cellStyle name="20% - Accent2 5 5 3 2 2" xfId="7259" xr:uid="{00000000-0005-0000-0000-0000EE050000}"/>
    <cellStyle name="20% - Accent2 5 5 3 3" xfId="7260" xr:uid="{00000000-0005-0000-0000-0000EF050000}"/>
    <cellStyle name="20% - Accent2 5 5 3 3 2" xfId="7261" xr:uid="{00000000-0005-0000-0000-0000F0050000}"/>
    <cellStyle name="20% - Accent2 5 5 3 4" xfId="7262" xr:uid="{00000000-0005-0000-0000-0000F1050000}"/>
    <cellStyle name="20% - Accent2 5 5 4" xfId="7263" xr:uid="{00000000-0005-0000-0000-0000F2050000}"/>
    <cellStyle name="20% - Accent2 5 5 4 2" xfId="7264" xr:uid="{00000000-0005-0000-0000-0000F3050000}"/>
    <cellStyle name="20% - Accent2 5 5 4 2 2" xfId="7265" xr:uid="{00000000-0005-0000-0000-0000F4050000}"/>
    <cellStyle name="20% - Accent2 5 5 4 3" xfId="7266" xr:uid="{00000000-0005-0000-0000-0000F5050000}"/>
    <cellStyle name="20% - Accent2 5 5 4 3 2" xfId="7267" xr:uid="{00000000-0005-0000-0000-0000F6050000}"/>
    <cellStyle name="20% - Accent2 5 5 4 4" xfId="7268" xr:uid="{00000000-0005-0000-0000-0000F7050000}"/>
    <cellStyle name="20% - Accent2 5 5 5" xfId="7269" xr:uid="{00000000-0005-0000-0000-0000F8050000}"/>
    <cellStyle name="20% - Accent2 5 5 5 2" xfId="7270" xr:uid="{00000000-0005-0000-0000-0000F9050000}"/>
    <cellStyle name="20% - Accent2 5 5 5 2 2" xfId="7271" xr:uid="{00000000-0005-0000-0000-0000FA050000}"/>
    <cellStyle name="20% - Accent2 5 5 5 3" xfId="7272" xr:uid="{00000000-0005-0000-0000-0000FB050000}"/>
    <cellStyle name="20% - Accent2 5 5 5 3 2" xfId="7273" xr:uid="{00000000-0005-0000-0000-0000FC050000}"/>
    <cellStyle name="20% - Accent2 5 5 5 4" xfId="7274" xr:uid="{00000000-0005-0000-0000-0000FD050000}"/>
    <cellStyle name="20% - Accent2 5 5 6" xfId="7275" xr:uid="{00000000-0005-0000-0000-0000FE050000}"/>
    <cellStyle name="20% - Accent2 5 6" xfId="5734" xr:uid="{00000000-0005-0000-0000-0000FF050000}"/>
    <cellStyle name="20% - Accent2 5 6 2" xfId="7276" xr:uid="{00000000-0005-0000-0000-000000060000}"/>
    <cellStyle name="20% - Accent2 5 6 2 2" xfId="7277" xr:uid="{00000000-0005-0000-0000-000001060000}"/>
    <cellStyle name="20% - Accent2 5 6 2 2 2" xfId="7278" xr:uid="{00000000-0005-0000-0000-000002060000}"/>
    <cellStyle name="20% - Accent2 5 6 2 2 2 2" xfId="7279" xr:uid="{00000000-0005-0000-0000-000003060000}"/>
    <cellStyle name="20% - Accent2 5 6 2 2 3" xfId="7280" xr:uid="{00000000-0005-0000-0000-000004060000}"/>
    <cellStyle name="20% - Accent2 5 6 2 2 3 2" xfId="7281" xr:uid="{00000000-0005-0000-0000-000005060000}"/>
    <cellStyle name="20% - Accent2 5 6 2 2 4" xfId="7282" xr:uid="{00000000-0005-0000-0000-000006060000}"/>
    <cellStyle name="20% - Accent2 5 6 2 2 5" xfId="7283" xr:uid="{00000000-0005-0000-0000-000007060000}"/>
    <cellStyle name="20% - Accent2 5 6 2 3" xfId="7284" xr:uid="{00000000-0005-0000-0000-000008060000}"/>
    <cellStyle name="20% - Accent2 5 6 2 3 2" xfId="7285" xr:uid="{00000000-0005-0000-0000-000009060000}"/>
    <cellStyle name="20% - Accent2 5 6 2 3 2 2" xfId="7286" xr:uid="{00000000-0005-0000-0000-00000A060000}"/>
    <cellStyle name="20% - Accent2 5 6 2 3 3" xfId="7287" xr:uid="{00000000-0005-0000-0000-00000B060000}"/>
    <cellStyle name="20% - Accent2 5 6 2 4" xfId="7288" xr:uid="{00000000-0005-0000-0000-00000C060000}"/>
    <cellStyle name="20% - Accent2 5 6 2 4 2" xfId="7289" xr:uid="{00000000-0005-0000-0000-00000D060000}"/>
    <cellStyle name="20% - Accent2 5 6 2 5" xfId="7290" xr:uid="{00000000-0005-0000-0000-00000E060000}"/>
    <cellStyle name="20% - Accent2 5 6 2 5 2" xfId="7291" xr:uid="{00000000-0005-0000-0000-00000F060000}"/>
    <cellStyle name="20% - Accent2 5 6 2 6" xfId="7292" xr:uid="{00000000-0005-0000-0000-000010060000}"/>
    <cellStyle name="20% - Accent2 5 6 3" xfId="7293" xr:uid="{00000000-0005-0000-0000-000011060000}"/>
    <cellStyle name="20% - Accent2 5 6 3 2" xfId="7294" xr:uid="{00000000-0005-0000-0000-000012060000}"/>
    <cellStyle name="20% - Accent2 5 6 3 2 2" xfId="7295" xr:uid="{00000000-0005-0000-0000-000013060000}"/>
    <cellStyle name="20% - Accent2 5 6 3 2 2 2" xfId="7296" xr:uid="{00000000-0005-0000-0000-000014060000}"/>
    <cellStyle name="20% - Accent2 5 6 3 2 3" xfId="7297" xr:uid="{00000000-0005-0000-0000-000015060000}"/>
    <cellStyle name="20% - Accent2 5 6 3 2 3 2" xfId="7298" xr:uid="{00000000-0005-0000-0000-000016060000}"/>
    <cellStyle name="20% - Accent2 5 6 3 2 4" xfId="7299" xr:uid="{00000000-0005-0000-0000-000017060000}"/>
    <cellStyle name="20% - Accent2 5 6 3 2 5" xfId="7300" xr:uid="{00000000-0005-0000-0000-000018060000}"/>
    <cellStyle name="20% - Accent2 5 6 3 3" xfId="7301" xr:uid="{00000000-0005-0000-0000-000019060000}"/>
    <cellStyle name="20% - Accent2 5 6 3 3 2" xfId="7302" xr:uid="{00000000-0005-0000-0000-00001A060000}"/>
    <cellStyle name="20% - Accent2 5 6 3 3 2 2" xfId="7303" xr:uid="{00000000-0005-0000-0000-00001B060000}"/>
    <cellStyle name="20% - Accent2 5 6 3 3 3" xfId="7304" xr:uid="{00000000-0005-0000-0000-00001C060000}"/>
    <cellStyle name="20% - Accent2 5 6 3 4" xfId="7305" xr:uid="{00000000-0005-0000-0000-00001D060000}"/>
    <cellStyle name="20% - Accent2 5 6 3 4 2" xfId="7306" xr:uid="{00000000-0005-0000-0000-00001E060000}"/>
    <cellStyle name="20% - Accent2 5 6 3 5" xfId="7307" xr:uid="{00000000-0005-0000-0000-00001F060000}"/>
    <cellStyle name="20% - Accent2 5 6 3 5 2" xfId="7308" xr:uid="{00000000-0005-0000-0000-000020060000}"/>
    <cellStyle name="20% - Accent2 5 6 3 6" xfId="7309" xr:uid="{00000000-0005-0000-0000-000021060000}"/>
    <cellStyle name="20% - Accent2 5 6 4" xfId="7310" xr:uid="{00000000-0005-0000-0000-000022060000}"/>
    <cellStyle name="20% - Accent2 5 6 4 2" xfId="7311" xr:uid="{00000000-0005-0000-0000-000023060000}"/>
    <cellStyle name="20% - Accent2 5 6 4 2 2" xfId="7312" xr:uid="{00000000-0005-0000-0000-000024060000}"/>
    <cellStyle name="20% - Accent2 5 6 4 3" xfId="7313" xr:uid="{00000000-0005-0000-0000-000025060000}"/>
    <cellStyle name="20% - Accent2 5 6 4 3 2" xfId="7314" xr:uid="{00000000-0005-0000-0000-000026060000}"/>
    <cellStyle name="20% - Accent2 5 6 4 4" xfId="7315" xr:uid="{00000000-0005-0000-0000-000027060000}"/>
    <cellStyle name="20% - Accent2 5 6 5" xfId="7316" xr:uid="{00000000-0005-0000-0000-000028060000}"/>
    <cellStyle name="20% - Accent2 5 6 5 2" xfId="7317" xr:uid="{00000000-0005-0000-0000-000029060000}"/>
    <cellStyle name="20% - Accent2 5 6 5 3" xfId="7318" xr:uid="{00000000-0005-0000-0000-00002A060000}"/>
    <cellStyle name="20% - Accent2 5 6 6" xfId="7319" xr:uid="{00000000-0005-0000-0000-00002B060000}"/>
    <cellStyle name="20% - Accent2 5 6 6 2" xfId="7320" xr:uid="{00000000-0005-0000-0000-00002C060000}"/>
    <cellStyle name="20% - Accent2 5 6 6 3" xfId="7321" xr:uid="{00000000-0005-0000-0000-00002D060000}"/>
    <cellStyle name="20% - Accent2 5 6 7" xfId="7322" xr:uid="{00000000-0005-0000-0000-00002E060000}"/>
    <cellStyle name="20% - Accent2 5 6 7 2" xfId="7323" xr:uid="{00000000-0005-0000-0000-00002F060000}"/>
    <cellStyle name="20% - Accent2 5 6 7 3" xfId="7324" xr:uid="{00000000-0005-0000-0000-000030060000}"/>
    <cellStyle name="20% - Accent2 5 6 8" xfId="7325" xr:uid="{00000000-0005-0000-0000-000031060000}"/>
    <cellStyle name="20% - Accent2 5 7" xfId="7326" xr:uid="{00000000-0005-0000-0000-000032060000}"/>
    <cellStyle name="20% - Accent2 5 7 2" xfId="7327" xr:uid="{00000000-0005-0000-0000-000033060000}"/>
    <cellStyle name="20% - Accent2 5 7 2 2" xfId="7328" xr:uid="{00000000-0005-0000-0000-000034060000}"/>
    <cellStyle name="20% - Accent2 5 7 2 2 2" xfId="7329" xr:uid="{00000000-0005-0000-0000-000035060000}"/>
    <cellStyle name="20% - Accent2 5 7 2 3" xfId="7330" xr:uid="{00000000-0005-0000-0000-000036060000}"/>
    <cellStyle name="20% - Accent2 5 7 2 3 2" xfId="7331" xr:uid="{00000000-0005-0000-0000-000037060000}"/>
    <cellStyle name="20% - Accent2 5 7 2 4" xfId="7332" xr:uid="{00000000-0005-0000-0000-000038060000}"/>
    <cellStyle name="20% - Accent2 5 7 2 4 2" xfId="7333" xr:uid="{00000000-0005-0000-0000-000039060000}"/>
    <cellStyle name="20% - Accent2 5 7 2 5" xfId="7334" xr:uid="{00000000-0005-0000-0000-00003A060000}"/>
    <cellStyle name="20% - Accent2 5 7 3" xfId="7335" xr:uid="{00000000-0005-0000-0000-00003B060000}"/>
    <cellStyle name="20% - Accent2 5 7 3 2" xfId="7336" xr:uid="{00000000-0005-0000-0000-00003C060000}"/>
    <cellStyle name="20% - Accent2 5 7 3 2 2" xfId="7337" xr:uid="{00000000-0005-0000-0000-00003D060000}"/>
    <cellStyle name="20% - Accent2 5 7 3 3" xfId="7338" xr:uid="{00000000-0005-0000-0000-00003E060000}"/>
    <cellStyle name="20% - Accent2 5 7 3 3 2" xfId="7339" xr:uid="{00000000-0005-0000-0000-00003F060000}"/>
    <cellStyle name="20% - Accent2 5 7 3 4" xfId="7340" xr:uid="{00000000-0005-0000-0000-000040060000}"/>
    <cellStyle name="20% - Accent2 5 7 4" xfId="7341" xr:uid="{00000000-0005-0000-0000-000041060000}"/>
    <cellStyle name="20% - Accent2 5 7 4 2" xfId="7342" xr:uid="{00000000-0005-0000-0000-000042060000}"/>
    <cellStyle name="20% - Accent2 5 7 5" xfId="7343" xr:uid="{00000000-0005-0000-0000-000043060000}"/>
    <cellStyle name="20% - Accent2 5 7 5 2" xfId="7344" xr:uid="{00000000-0005-0000-0000-000044060000}"/>
    <cellStyle name="20% - Accent2 5 7 6" xfId="7345" xr:uid="{00000000-0005-0000-0000-000045060000}"/>
    <cellStyle name="20% - Accent2 5 7 7" xfId="7346" xr:uid="{00000000-0005-0000-0000-000046060000}"/>
    <cellStyle name="20% - Accent2 5 8" xfId="7347" xr:uid="{00000000-0005-0000-0000-000047060000}"/>
    <cellStyle name="20% - Accent2 5 8 2" xfId="7348" xr:uid="{00000000-0005-0000-0000-000048060000}"/>
    <cellStyle name="20% - Accent2 5 8 2 2" xfId="7349" xr:uid="{00000000-0005-0000-0000-000049060000}"/>
    <cellStyle name="20% - Accent2 5 8 2 2 2" xfId="7350" xr:uid="{00000000-0005-0000-0000-00004A060000}"/>
    <cellStyle name="20% - Accent2 5 8 2 3" xfId="7351" xr:uid="{00000000-0005-0000-0000-00004B060000}"/>
    <cellStyle name="20% - Accent2 5 8 2 3 2" xfId="7352" xr:uid="{00000000-0005-0000-0000-00004C060000}"/>
    <cellStyle name="20% - Accent2 5 8 2 4" xfId="7353" xr:uid="{00000000-0005-0000-0000-00004D060000}"/>
    <cellStyle name="20% - Accent2 5 8 3" xfId="7354" xr:uid="{00000000-0005-0000-0000-00004E060000}"/>
    <cellStyle name="20% - Accent2 5 8 3 2" xfId="7355" xr:uid="{00000000-0005-0000-0000-00004F060000}"/>
    <cellStyle name="20% - Accent2 5 8 4" xfId="7356" xr:uid="{00000000-0005-0000-0000-000050060000}"/>
    <cellStyle name="20% - Accent2 5 9" xfId="7357" xr:uid="{00000000-0005-0000-0000-000051060000}"/>
    <cellStyle name="20% - Accent2 5 9 2" xfId="7358" xr:uid="{00000000-0005-0000-0000-000052060000}"/>
    <cellStyle name="20% - Accent2 6" xfId="5733" xr:uid="{00000000-0005-0000-0000-000053060000}"/>
    <cellStyle name="20% - Accent2 6 10" xfId="7359" xr:uid="{00000000-0005-0000-0000-000054060000}"/>
    <cellStyle name="20% - Accent2 6 2" xfId="5732" xr:uid="{00000000-0005-0000-0000-000055060000}"/>
    <cellStyle name="20% - Accent2 6 2 2" xfId="5731" xr:uid="{00000000-0005-0000-0000-000056060000}"/>
    <cellStyle name="20% - Accent2 6 2 2 2" xfId="5730" xr:uid="{00000000-0005-0000-0000-000057060000}"/>
    <cellStyle name="20% - Accent2 6 2 2 3" xfId="5729" xr:uid="{00000000-0005-0000-0000-000058060000}"/>
    <cellStyle name="20% - Accent2 6 2 3" xfId="5728" xr:uid="{00000000-0005-0000-0000-000059060000}"/>
    <cellStyle name="20% - Accent2 6 2 4" xfId="5727" xr:uid="{00000000-0005-0000-0000-00005A060000}"/>
    <cellStyle name="20% - Accent2 6 2 5" xfId="7360" xr:uid="{00000000-0005-0000-0000-00005B060000}"/>
    <cellStyle name="20% - Accent2 6 2 5 2" xfId="7361" xr:uid="{00000000-0005-0000-0000-00005C060000}"/>
    <cellStyle name="20% - Accent2 6 2 5 2 2" xfId="7362" xr:uid="{00000000-0005-0000-0000-00005D060000}"/>
    <cellStyle name="20% - Accent2 6 2 5 3" xfId="7363" xr:uid="{00000000-0005-0000-0000-00005E060000}"/>
    <cellStyle name="20% - Accent2 6 2 5 3 2" xfId="7364" xr:uid="{00000000-0005-0000-0000-00005F060000}"/>
    <cellStyle name="20% - Accent2 6 2 5 4" xfId="7365" xr:uid="{00000000-0005-0000-0000-000060060000}"/>
    <cellStyle name="20% - Accent2 6 2 5 5" xfId="7366" xr:uid="{00000000-0005-0000-0000-000061060000}"/>
    <cellStyle name="20% - Accent2 6 2 6" xfId="7367" xr:uid="{00000000-0005-0000-0000-000062060000}"/>
    <cellStyle name="20% - Accent2 6 2 6 2" xfId="7368" xr:uid="{00000000-0005-0000-0000-000063060000}"/>
    <cellStyle name="20% - Accent2 6 2 7" xfId="7369" xr:uid="{00000000-0005-0000-0000-000064060000}"/>
    <cellStyle name="20% - Accent2 6 2 7 2" xfId="7370" xr:uid="{00000000-0005-0000-0000-000065060000}"/>
    <cellStyle name="20% - Accent2 6 2 8" xfId="7371" xr:uid="{00000000-0005-0000-0000-000066060000}"/>
    <cellStyle name="20% - Accent2 6 2 8 2" xfId="7372" xr:uid="{00000000-0005-0000-0000-000067060000}"/>
    <cellStyle name="20% - Accent2 6 2 9" xfId="7373" xr:uid="{00000000-0005-0000-0000-000068060000}"/>
    <cellStyle name="20% - Accent2 6 3" xfId="5726" xr:uid="{00000000-0005-0000-0000-000069060000}"/>
    <cellStyle name="20% - Accent2 6 3 2" xfId="5725" xr:uid="{00000000-0005-0000-0000-00006A060000}"/>
    <cellStyle name="20% - Accent2 6 3 3" xfId="5724" xr:uid="{00000000-0005-0000-0000-00006B060000}"/>
    <cellStyle name="20% - Accent2 6 3 4" xfId="7374" xr:uid="{00000000-0005-0000-0000-00006C060000}"/>
    <cellStyle name="20% - Accent2 6 3 4 2" xfId="7375" xr:uid="{00000000-0005-0000-0000-00006D060000}"/>
    <cellStyle name="20% - Accent2 6 3 5" xfId="7376" xr:uid="{00000000-0005-0000-0000-00006E060000}"/>
    <cellStyle name="20% - Accent2 6 3 5 2" xfId="7377" xr:uid="{00000000-0005-0000-0000-00006F060000}"/>
    <cellStyle name="20% - Accent2 6 4" xfId="5723" xr:uid="{00000000-0005-0000-0000-000070060000}"/>
    <cellStyle name="20% - Accent2 6 4 2" xfId="5722" xr:uid="{00000000-0005-0000-0000-000071060000}"/>
    <cellStyle name="20% - Accent2 6 4 2 2" xfId="7378" xr:uid="{00000000-0005-0000-0000-000072060000}"/>
    <cellStyle name="20% - Accent2 6 4 2 2 2" xfId="7379" xr:uid="{00000000-0005-0000-0000-000073060000}"/>
    <cellStyle name="20% - Accent2 6 4 2 2 2 2" xfId="7380" xr:uid="{00000000-0005-0000-0000-000074060000}"/>
    <cellStyle name="20% - Accent2 6 4 2 2 3" xfId="7381" xr:uid="{00000000-0005-0000-0000-000075060000}"/>
    <cellStyle name="20% - Accent2 6 4 2 2 3 2" xfId="7382" xr:uid="{00000000-0005-0000-0000-000076060000}"/>
    <cellStyle name="20% - Accent2 6 4 2 2 4" xfId="7383" xr:uid="{00000000-0005-0000-0000-000077060000}"/>
    <cellStyle name="20% - Accent2 6 4 2 2 5" xfId="7384" xr:uid="{00000000-0005-0000-0000-000078060000}"/>
    <cellStyle name="20% - Accent2 6 4 2 3" xfId="7385" xr:uid="{00000000-0005-0000-0000-000079060000}"/>
    <cellStyle name="20% - Accent2 6 4 2 3 2" xfId="7386" xr:uid="{00000000-0005-0000-0000-00007A060000}"/>
    <cellStyle name="20% - Accent2 6 4 2 3 2 2" xfId="7387" xr:uid="{00000000-0005-0000-0000-00007B060000}"/>
    <cellStyle name="20% - Accent2 6 4 2 3 3" xfId="7388" xr:uid="{00000000-0005-0000-0000-00007C060000}"/>
    <cellStyle name="20% - Accent2 6 4 2 4" xfId="7389" xr:uid="{00000000-0005-0000-0000-00007D060000}"/>
    <cellStyle name="20% - Accent2 6 4 2 4 2" xfId="7390" xr:uid="{00000000-0005-0000-0000-00007E060000}"/>
    <cellStyle name="20% - Accent2 6 4 2 5" xfId="7391" xr:uid="{00000000-0005-0000-0000-00007F060000}"/>
    <cellStyle name="20% - Accent2 6 4 2 5 2" xfId="7392" xr:uid="{00000000-0005-0000-0000-000080060000}"/>
    <cellStyle name="20% - Accent2 6 4 2 6" xfId="7393" xr:uid="{00000000-0005-0000-0000-000081060000}"/>
    <cellStyle name="20% - Accent2 6 4 3" xfId="5721" xr:uid="{00000000-0005-0000-0000-000082060000}"/>
    <cellStyle name="20% - Accent2 6 4 3 2" xfId="7394" xr:uid="{00000000-0005-0000-0000-000083060000}"/>
    <cellStyle name="20% - Accent2 6 4 3 2 2" xfId="7395" xr:uid="{00000000-0005-0000-0000-000084060000}"/>
    <cellStyle name="20% - Accent2 6 4 3 3" xfId="7396" xr:uid="{00000000-0005-0000-0000-000085060000}"/>
    <cellStyle name="20% - Accent2 6 4 3 3 2" xfId="7397" xr:uid="{00000000-0005-0000-0000-000086060000}"/>
    <cellStyle name="20% - Accent2 6 4 3 4" xfId="7398" xr:uid="{00000000-0005-0000-0000-000087060000}"/>
    <cellStyle name="20% - Accent2 6 4 4" xfId="7399" xr:uid="{00000000-0005-0000-0000-000088060000}"/>
    <cellStyle name="20% - Accent2 6 4 4 2" xfId="7400" xr:uid="{00000000-0005-0000-0000-000089060000}"/>
    <cellStyle name="20% - Accent2 6 4 4 3" xfId="7401" xr:uid="{00000000-0005-0000-0000-00008A060000}"/>
    <cellStyle name="20% - Accent2 6 4 5" xfId="7402" xr:uid="{00000000-0005-0000-0000-00008B060000}"/>
    <cellStyle name="20% - Accent2 6 4 5 2" xfId="7403" xr:uid="{00000000-0005-0000-0000-00008C060000}"/>
    <cellStyle name="20% - Accent2 6 4 5 3" xfId="7404" xr:uid="{00000000-0005-0000-0000-00008D060000}"/>
    <cellStyle name="20% - Accent2 6 4 6" xfId="7405" xr:uid="{00000000-0005-0000-0000-00008E060000}"/>
    <cellStyle name="20% - Accent2 6 4 6 2" xfId="7406" xr:uid="{00000000-0005-0000-0000-00008F060000}"/>
    <cellStyle name="20% - Accent2 6 4 6 3" xfId="7407" xr:uid="{00000000-0005-0000-0000-000090060000}"/>
    <cellStyle name="20% - Accent2 6 4 7" xfId="7408" xr:uid="{00000000-0005-0000-0000-000091060000}"/>
    <cellStyle name="20% - Accent2 6 4 8" xfId="7409" xr:uid="{00000000-0005-0000-0000-000092060000}"/>
    <cellStyle name="20% - Accent2 6 5" xfId="5720" xr:uid="{00000000-0005-0000-0000-000093060000}"/>
    <cellStyle name="20% - Accent2 6 5 2" xfId="7410" xr:uid="{00000000-0005-0000-0000-000094060000}"/>
    <cellStyle name="20% - Accent2 6 5 2 2" xfId="7411" xr:uid="{00000000-0005-0000-0000-000095060000}"/>
    <cellStyle name="20% - Accent2 6 5 2 2 2" xfId="7412" xr:uid="{00000000-0005-0000-0000-000096060000}"/>
    <cellStyle name="20% - Accent2 6 5 2 3" xfId="7413" xr:uid="{00000000-0005-0000-0000-000097060000}"/>
    <cellStyle name="20% - Accent2 6 5 2 3 2" xfId="7414" xr:uid="{00000000-0005-0000-0000-000098060000}"/>
    <cellStyle name="20% - Accent2 6 5 2 4" xfId="7415" xr:uid="{00000000-0005-0000-0000-000099060000}"/>
    <cellStyle name="20% - Accent2 6 5 3" xfId="7416" xr:uid="{00000000-0005-0000-0000-00009A060000}"/>
    <cellStyle name="20% - Accent2 6 5 3 2" xfId="7417" xr:uid="{00000000-0005-0000-0000-00009B060000}"/>
    <cellStyle name="20% - Accent2 6 5 3 3" xfId="7418" xr:uid="{00000000-0005-0000-0000-00009C060000}"/>
    <cellStyle name="20% - Accent2 6 5 4" xfId="7419" xr:uid="{00000000-0005-0000-0000-00009D060000}"/>
    <cellStyle name="20% - Accent2 6 5 4 2" xfId="7420" xr:uid="{00000000-0005-0000-0000-00009E060000}"/>
    <cellStyle name="20% - Accent2 6 5 4 3" xfId="7421" xr:uid="{00000000-0005-0000-0000-00009F060000}"/>
    <cellStyle name="20% - Accent2 6 5 5" xfId="7422" xr:uid="{00000000-0005-0000-0000-0000A0060000}"/>
    <cellStyle name="20% - Accent2 6 5 5 2" xfId="7423" xr:uid="{00000000-0005-0000-0000-0000A1060000}"/>
    <cellStyle name="20% - Accent2 6 5 5 3" xfId="7424" xr:uid="{00000000-0005-0000-0000-0000A2060000}"/>
    <cellStyle name="20% - Accent2 6 5 6" xfId="7425" xr:uid="{00000000-0005-0000-0000-0000A3060000}"/>
    <cellStyle name="20% - Accent2 6 6" xfId="5719" xr:uid="{00000000-0005-0000-0000-0000A4060000}"/>
    <cellStyle name="20% - Accent2 6 7" xfId="7426" xr:uid="{00000000-0005-0000-0000-0000A5060000}"/>
    <cellStyle name="20% - Accent2 6 7 2" xfId="7427" xr:uid="{00000000-0005-0000-0000-0000A6060000}"/>
    <cellStyle name="20% - Accent2 6 7 2 2" xfId="7428" xr:uid="{00000000-0005-0000-0000-0000A7060000}"/>
    <cellStyle name="20% - Accent2 6 7 3" xfId="7429" xr:uid="{00000000-0005-0000-0000-0000A8060000}"/>
    <cellStyle name="20% - Accent2 6 7 3 2" xfId="7430" xr:uid="{00000000-0005-0000-0000-0000A9060000}"/>
    <cellStyle name="20% - Accent2 6 7 4" xfId="7431" xr:uid="{00000000-0005-0000-0000-0000AA060000}"/>
    <cellStyle name="20% - Accent2 6 7 5" xfId="7432" xr:uid="{00000000-0005-0000-0000-0000AB060000}"/>
    <cellStyle name="20% - Accent2 6 8" xfId="7433" xr:uid="{00000000-0005-0000-0000-0000AC060000}"/>
    <cellStyle name="20% - Accent2 6 8 2" xfId="7434" xr:uid="{00000000-0005-0000-0000-0000AD060000}"/>
    <cellStyle name="20% - Accent2 6 8 2 2" xfId="7435" xr:uid="{00000000-0005-0000-0000-0000AE060000}"/>
    <cellStyle name="20% - Accent2 6 8 3" xfId="7436" xr:uid="{00000000-0005-0000-0000-0000AF060000}"/>
    <cellStyle name="20% - Accent2 6 9" xfId="7437" xr:uid="{00000000-0005-0000-0000-0000B0060000}"/>
    <cellStyle name="20% - Accent2 6 9 2" xfId="7438" xr:uid="{00000000-0005-0000-0000-0000B1060000}"/>
    <cellStyle name="20% - Accent2 7" xfId="5718" xr:uid="{00000000-0005-0000-0000-0000B2060000}"/>
    <cellStyle name="20% - Accent2 7 2" xfId="5717" xr:uid="{00000000-0005-0000-0000-0000B3060000}"/>
    <cellStyle name="20% - Accent2 7 2 2" xfId="5716" xr:uid="{00000000-0005-0000-0000-0000B4060000}"/>
    <cellStyle name="20% - Accent2 7 2 2 2" xfId="5715" xr:uid="{00000000-0005-0000-0000-0000B5060000}"/>
    <cellStyle name="20% - Accent2 7 2 2 2 2" xfId="7439" xr:uid="{00000000-0005-0000-0000-0000B6060000}"/>
    <cellStyle name="20% - Accent2 7 2 2 3" xfId="5714" xr:uid="{00000000-0005-0000-0000-0000B7060000}"/>
    <cellStyle name="20% - Accent2 7 2 2 3 2" xfId="7440" xr:uid="{00000000-0005-0000-0000-0000B8060000}"/>
    <cellStyle name="20% - Accent2 7 2 2 4" xfId="7441" xr:uid="{00000000-0005-0000-0000-0000B9060000}"/>
    <cellStyle name="20% - Accent2 7 2 3" xfId="5713" xr:uid="{00000000-0005-0000-0000-0000BA060000}"/>
    <cellStyle name="20% - Accent2 7 2 3 2" xfId="7442" xr:uid="{00000000-0005-0000-0000-0000BB060000}"/>
    <cellStyle name="20% - Accent2 7 2 3 2 2" xfId="7443" xr:uid="{00000000-0005-0000-0000-0000BC060000}"/>
    <cellStyle name="20% - Accent2 7 2 3 3" xfId="7444" xr:uid="{00000000-0005-0000-0000-0000BD060000}"/>
    <cellStyle name="20% - Accent2 7 2 4" xfId="5712" xr:uid="{00000000-0005-0000-0000-0000BE060000}"/>
    <cellStyle name="20% - Accent2 7 2 4 2" xfId="7445" xr:uid="{00000000-0005-0000-0000-0000BF060000}"/>
    <cellStyle name="20% - Accent2 7 2 4 2 2" xfId="7446" xr:uid="{00000000-0005-0000-0000-0000C0060000}"/>
    <cellStyle name="20% - Accent2 7 2 4 3" xfId="7447" xr:uid="{00000000-0005-0000-0000-0000C1060000}"/>
    <cellStyle name="20% - Accent2 7 2 4 3 2" xfId="7448" xr:uid="{00000000-0005-0000-0000-0000C2060000}"/>
    <cellStyle name="20% - Accent2 7 2 4 4" xfId="7449" xr:uid="{00000000-0005-0000-0000-0000C3060000}"/>
    <cellStyle name="20% - Accent2 7 2 5" xfId="7450" xr:uid="{00000000-0005-0000-0000-0000C4060000}"/>
    <cellStyle name="20% - Accent2 7 2 5 2" xfId="7451" xr:uid="{00000000-0005-0000-0000-0000C5060000}"/>
    <cellStyle name="20% - Accent2 7 2 5 2 2" xfId="7452" xr:uid="{00000000-0005-0000-0000-0000C6060000}"/>
    <cellStyle name="20% - Accent2 7 2 6" xfId="7453" xr:uid="{00000000-0005-0000-0000-0000C7060000}"/>
    <cellStyle name="20% - Accent2 7 3" xfId="5711" xr:uid="{00000000-0005-0000-0000-0000C8060000}"/>
    <cellStyle name="20% - Accent2 7 3 2" xfId="5710" xr:uid="{00000000-0005-0000-0000-0000C9060000}"/>
    <cellStyle name="20% - Accent2 7 3 2 2" xfId="7454" xr:uid="{00000000-0005-0000-0000-0000CA060000}"/>
    <cellStyle name="20% - Accent2 7 3 2 2 2" xfId="7455" xr:uid="{00000000-0005-0000-0000-0000CB060000}"/>
    <cellStyle name="20% - Accent2 7 3 2 3" xfId="7456" xr:uid="{00000000-0005-0000-0000-0000CC060000}"/>
    <cellStyle name="20% - Accent2 7 3 2 3 2" xfId="7457" xr:uid="{00000000-0005-0000-0000-0000CD060000}"/>
    <cellStyle name="20% - Accent2 7 3 2 4" xfId="7458" xr:uid="{00000000-0005-0000-0000-0000CE060000}"/>
    <cellStyle name="20% - Accent2 7 3 3" xfId="5709" xr:uid="{00000000-0005-0000-0000-0000CF060000}"/>
    <cellStyle name="20% - Accent2 7 3 3 2" xfId="7459" xr:uid="{00000000-0005-0000-0000-0000D0060000}"/>
    <cellStyle name="20% - Accent2 7 3 3 2 2" xfId="7460" xr:uid="{00000000-0005-0000-0000-0000D1060000}"/>
    <cellStyle name="20% - Accent2 7 3 3 3" xfId="7461" xr:uid="{00000000-0005-0000-0000-0000D2060000}"/>
    <cellStyle name="20% - Accent2 7 3 3 3 2" xfId="7462" xr:uid="{00000000-0005-0000-0000-0000D3060000}"/>
    <cellStyle name="20% - Accent2 7 3 3 4" xfId="7463" xr:uid="{00000000-0005-0000-0000-0000D4060000}"/>
    <cellStyle name="20% - Accent2 7 3 4" xfId="7464" xr:uid="{00000000-0005-0000-0000-0000D5060000}"/>
    <cellStyle name="20% - Accent2 7 4" xfId="5708" xr:uid="{00000000-0005-0000-0000-0000D6060000}"/>
    <cellStyle name="20% - Accent2 7 4 2" xfId="5707" xr:uid="{00000000-0005-0000-0000-0000D7060000}"/>
    <cellStyle name="20% - Accent2 7 4 2 2" xfId="7465" xr:uid="{00000000-0005-0000-0000-0000D8060000}"/>
    <cellStyle name="20% - Accent2 7 4 3" xfId="5706" xr:uid="{00000000-0005-0000-0000-0000D9060000}"/>
    <cellStyle name="20% - Accent2 7 4 3 2" xfId="7466" xr:uid="{00000000-0005-0000-0000-0000DA060000}"/>
    <cellStyle name="20% - Accent2 7 4 4" xfId="7467" xr:uid="{00000000-0005-0000-0000-0000DB060000}"/>
    <cellStyle name="20% - Accent2 7 4 4 2" xfId="7468" xr:uid="{00000000-0005-0000-0000-0000DC060000}"/>
    <cellStyle name="20% - Accent2 7 4 5" xfId="7469" xr:uid="{00000000-0005-0000-0000-0000DD060000}"/>
    <cellStyle name="20% - Accent2 7 5" xfId="5705" xr:uid="{00000000-0005-0000-0000-0000DE060000}"/>
    <cellStyle name="20% - Accent2 7 5 2" xfId="7470" xr:uid="{00000000-0005-0000-0000-0000DF060000}"/>
    <cellStyle name="20% - Accent2 7 5 2 2" xfId="7471" xr:uid="{00000000-0005-0000-0000-0000E0060000}"/>
    <cellStyle name="20% - Accent2 7 5 2 2 2" xfId="7472" xr:uid="{00000000-0005-0000-0000-0000E1060000}"/>
    <cellStyle name="20% - Accent2 7 5 3" xfId="7473" xr:uid="{00000000-0005-0000-0000-0000E2060000}"/>
    <cellStyle name="20% - Accent2 7 5 3 2" xfId="7474" xr:uid="{00000000-0005-0000-0000-0000E3060000}"/>
    <cellStyle name="20% - Accent2 7 5 4" xfId="7475" xr:uid="{00000000-0005-0000-0000-0000E4060000}"/>
    <cellStyle name="20% - Accent2 7 6" xfId="5704" xr:uid="{00000000-0005-0000-0000-0000E5060000}"/>
    <cellStyle name="20% - Accent2 7 6 2" xfId="7476" xr:uid="{00000000-0005-0000-0000-0000E6060000}"/>
    <cellStyle name="20% - Accent2 7 7" xfId="7477" xr:uid="{00000000-0005-0000-0000-0000E7060000}"/>
    <cellStyle name="20% - Accent2 7 7 2" xfId="7478" xr:uid="{00000000-0005-0000-0000-0000E8060000}"/>
    <cellStyle name="20% - Accent2 7 8" xfId="7479" xr:uid="{00000000-0005-0000-0000-0000E9060000}"/>
    <cellStyle name="20% - Accent2 7 8 2" xfId="7480" xr:uid="{00000000-0005-0000-0000-0000EA060000}"/>
    <cellStyle name="20% - Accent2 7 9" xfId="7481" xr:uid="{00000000-0005-0000-0000-0000EB060000}"/>
    <cellStyle name="20% - Accent2 8" xfId="5703" xr:uid="{00000000-0005-0000-0000-0000EC060000}"/>
    <cellStyle name="20% - Accent2 8 2" xfId="5702" xr:uid="{00000000-0005-0000-0000-0000ED060000}"/>
    <cellStyle name="20% - Accent2 8 2 2" xfId="5701" xr:uid="{00000000-0005-0000-0000-0000EE060000}"/>
    <cellStyle name="20% - Accent2 8 2 2 2" xfId="5700" xr:uid="{00000000-0005-0000-0000-0000EF060000}"/>
    <cellStyle name="20% - Accent2 8 2 2 2 2" xfId="7482" xr:uid="{00000000-0005-0000-0000-0000F0060000}"/>
    <cellStyle name="20% - Accent2 8 2 2 3" xfId="5699" xr:uid="{00000000-0005-0000-0000-0000F1060000}"/>
    <cellStyle name="20% - Accent2 8 2 2 3 2" xfId="7483" xr:uid="{00000000-0005-0000-0000-0000F2060000}"/>
    <cellStyle name="20% - Accent2 8 2 2 4" xfId="7484" xr:uid="{00000000-0005-0000-0000-0000F3060000}"/>
    <cellStyle name="20% - Accent2 8 2 3" xfId="5698" xr:uid="{00000000-0005-0000-0000-0000F4060000}"/>
    <cellStyle name="20% - Accent2 8 2 3 2" xfId="7485" xr:uid="{00000000-0005-0000-0000-0000F5060000}"/>
    <cellStyle name="20% - Accent2 8 2 3 2 2" xfId="7486" xr:uid="{00000000-0005-0000-0000-0000F6060000}"/>
    <cellStyle name="20% - Accent2 8 2 3 3" xfId="7487" xr:uid="{00000000-0005-0000-0000-0000F7060000}"/>
    <cellStyle name="20% - Accent2 8 2 4" xfId="5697" xr:uid="{00000000-0005-0000-0000-0000F8060000}"/>
    <cellStyle name="20% - Accent2 8 2 4 2" xfId="7488" xr:uid="{00000000-0005-0000-0000-0000F9060000}"/>
    <cellStyle name="20% - Accent2 8 2 4 2 2" xfId="7489" xr:uid="{00000000-0005-0000-0000-0000FA060000}"/>
    <cellStyle name="20% - Accent2 8 2 4 3" xfId="7490" xr:uid="{00000000-0005-0000-0000-0000FB060000}"/>
    <cellStyle name="20% - Accent2 8 2 4 3 2" xfId="7491" xr:uid="{00000000-0005-0000-0000-0000FC060000}"/>
    <cellStyle name="20% - Accent2 8 2 4 4" xfId="7492" xr:uid="{00000000-0005-0000-0000-0000FD060000}"/>
    <cellStyle name="20% - Accent2 8 2 5" xfId="7493" xr:uid="{00000000-0005-0000-0000-0000FE060000}"/>
    <cellStyle name="20% - Accent2 8 2 5 2" xfId="7494" xr:uid="{00000000-0005-0000-0000-0000FF060000}"/>
    <cellStyle name="20% - Accent2 8 2 6" xfId="7495" xr:uid="{00000000-0005-0000-0000-000000070000}"/>
    <cellStyle name="20% - Accent2 8 3" xfId="5696" xr:uid="{00000000-0005-0000-0000-000001070000}"/>
    <cellStyle name="20% - Accent2 8 3 2" xfId="5695" xr:uid="{00000000-0005-0000-0000-000002070000}"/>
    <cellStyle name="20% - Accent2 8 3 2 2" xfId="7496" xr:uid="{00000000-0005-0000-0000-000003070000}"/>
    <cellStyle name="20% - Accent2 8 3 2 2 2" xfId="7497" xr:uid="{00000000-0005-0000-0000-000004070000}"/>
    <cellStyle name="20% - Accent2 8 3 2 3" xfId="7498" xr:uid="{00000000-0005-0000-0000-000005070000}"/>
    <cellStyle name="20% - Accent2 8 3 2 3 2" xfId="7499" xr:uid="{00000000-0005-0000-0000-000006070000}"/>
    <cellStyle name="20% - Accent2 8 3 2 4" xfId="7500" xr:uid="{00000000-0005-0000-0000-000007070000}"/>
    <cellStyle name="20% - Accent2 8 3 3" xfId="5694" xr:uid="{00000000-0005-0000-0000-000008070000}"/>
    <cellStyle name="20% - Accent2 8 3 3 2" xfId="7501" xr:uid="{00000000-0005-0000-0000-000009070000}"/>
    <cellStyle name="20% - Accent2 8 3 3 2 2" xfId="7502" xr:uid="{00000000-0005-0000-0000-00000A070000}"/>
    <cellStyle name="20% - Accent2 8 3 3 3" xfId="7503" xr:uid="{00000000-0005-0000-0000-00000B070000}"/>
    <cellStyle name="20% - Accent2 8 3 3 3 2" xfId="7504" xr:uid="{00000000-0005-0000-0000-00000C070000}"/>
    <cellStyle name="20% - Accent2 8 3 3 4" xfId="7505" xr:uid="{00000000-0005-0000-0000-00000D070000}"/>
    <cellStyle name="20% - Accent2 8 3 4" xfId="7506" xr:uid="{00000000-0005-0000-0000-00000E070000}"/>
    <cellStyle name="20% - Accent2 8 3 4 2" xfId="7507" xr:uid="{00000000-0005-0000-0000-00000F070000}"/>
    <cellStyle name="20% - Accent2 8 3 5" xfId="7508" xr:uid="{00000000-0005-0000-0000-000010070000}"/>
    <cellStyle name="20% - Accent2 8 3 5 2" xfId="7509" xr:uid="{00000000-0005-0000-0000-000011070000}"/>
    <cellStyle name="20% - Accent2 8 3 6" xfId="7510" xr:uid="{00000000-0005-0000-0000-000012070000}"/>
    <cellStyle name="20% - Accent2 8 4" xfId="5693" xr:uid="{00000000-0005-0000-0000-000013070000}"/>
    <cellStyle name="20% - Accent2 8 4 2" xfId="5692" xr:uid="{00000000-0005-0000-0000-000014070000}"/>
    <cellStyle name="20% - Accent2 8 4 2 2" xfId="7511" xr:uid="{00000000-0005-0000-0000-000015070000}"/>
    <cellStyle name="20% - Accent2 8 4 3" xfId="5691" xr:uid="{00000000-0005-0000-0000-000016070000}"/>
    <cellStyle name="20% - Accent2 8 5" xfId="5690" xr:uid="{00000000-0005-0000-0000-000017070000}"/>
    <cellStyle name="20% - Accent2 8 5 2" xfId="7512" xr:uid="{00000000-0005-0000-0000-000018070000}"/>
    <cellStyle name="20% - Accent2 8 6" xfId="5689" xr:uid="{00000000-0005-0000-0000-000019070000}"/>
    <cellStyle name="20% - Accent2 8 6 2" xfId="7513" xr:uid="{00000000-0005-0000-0000-00001A070000}"/>
    <cellStyle name="20% - Accent2 8 7" xfId="7514" xr:uid="{00000000-0005-0000-0000-00001B070000}"/>
    <cellStyle name="20% - Accent2 9" xfId="5688" xr:uid="{00000000-0005-0000-0000-00001C070000}"/>
    <cellStyle name="20% - Accent2 9 2" xfId="5687" xr:uid="{00000000-0005-0000-0000-00001D070000}"/>
    <cellStyle name="20% - Accent2 9 2 2" xfId="5686" xr:uid="{00000000-0005-0000-0000-00001E070000}"/>
    <cellStyle name="20% - Accent2 9 2 2 2" xfId="5685" xr:uid="{00000000-0005-0000-0000-00001F070000}"/>
    <cellStyle name="20% - Accent2 9 2 2 3" xfId="5684" xr:uid="{00000000-0005-0000-0000-000020070000}"/>
    <cellStyle name="20% - Accent2 9 2 3" xfId="5683" xr:uid="{00000000-0005-0000-0000-000021070000}"/>
    <cellStyle name="20% - Accent2 9 2 3 2" xfId="7515" xr:uid="{00000000-0005-0000-0000-000022070000}"/>
    <cellStyle name="20% - Accent2 9 2 4" xfId="5682" xr:uid="{00000000-0005-0000-0000-000023070000}"/>
    <cellStyle name="20% - Accent2 9 2 4 2" xfId="7516" xr:uid="{00000000-0005-0000-0000-000024070000}"/>
    <cellStyle name="20% - Accent2 9 2 5" xfId="7517" xr:uid="{00000000-0005-0000-0000-000025070000}"/>
    <cellStyle name="20% - Accent2 9 3" xfId="5681" xr:uid="{00000000-0005-0000-0000-000026070000}"/>
    <cellStyle name="20% - Accent2 9 3 2" xfId="5680" xr:uid="{00000000-0005-0000-0000-000027070000}"/>
    <cellStyle name="20% - Accent2 9 3 2 2" xfId="7518" xr:uid="{00000000-0005-0000-0000-000028070000}"/>
    <cellStyle name="20% - Accent2 9 3 3" xfId="5679" xr:uid="{00000000-0005-0000-0000-000029070000}"/>
    <cellStyle name="20% - Accent2 9 3 3 2" xfId="7519" xr:uid="{00000000-0005-0000-0000-00002A070000}"/>
    <cellStyle name="20% - Accent2 9 3 4" xfId="7520" xr:uid="{00000000-0005-0000-0000-00002B070000}"/>
    <cellStyle name="20% - Accent2 9 4" xfId="5678" xr:uid="{00000000-0005-0000-0000-00002C070000}"/>
    <cellStyle name="20% - Accent2 9 4 2" xfId="5677" xr:uid="{00000000-0005-0000-0000-00002D070000}"/>
    <cellStyle name="20% - Accent2 9 4 2 2" xfId="7521" xr:uid="{00000000-0005-0000-0000-00002E070000}"/>
    <cellStyle name="20% - Accent2 9 4 3" xfId="5676" xr:uid="{00000000-0005-0000-0000-00002F070000}"/>
    <cellStyle name="20% - Accent2 9 5" xfId="5675" xr:uid="{00000000-0005-0000-0000-000030070000}"/>
    <cellStyle name="20% - Accent2 9 5 2" xfId="7522" xr:uid="{00000000-0005-0000-0000-000031070000}"/>
    <cellStyle name="20% - Accent2 9 6" xfId="5674" xr:uid="{00000000-0005-0000-0000-000032070000}"/>
    <cellStyle name="20% - Accent2 9 7" xfId="7523" xr:uid="{00000000-0005-0000-0000-000033070000}"/>
    <cellStyle name="20% - Accent3 10" xfId="5673" xr:uid="{00000000-0005-0000-0000-000034070000}"/>
    <cellStyle name="20% - Accent3 10 2" xfId="5672" xr:uid="{00000000-0005-0000-0000-000035070000}"/>
    <cellStyle name="20% - Accent3 10 2 2" xfId="5671" xr:uid="{00000000-0005-0000-0000-000036070000}"/>
    <cellStyle name="20% - Accent3 10 2 2 2" xfId="5670" xr:uid="{00000000-0005-0000-0000-000037070000}"/>
    <cellStyle name="20% - Accent3 10 2 2 3" xfId="5669" xr:uid="{00000000-0005-0000-0000-000038070000}"/>
    <cellStyle name="20% - Accent3 10 2 3" xfId="5668" xr:uid="{00000000-0005-0000-0000-000039070000}"/>
    <cellStyle name="20% - Accent3 10 2 3 2" xfId="7524" xr:uid="{00000000-0005-0000-0000-00003A070000}"/>
    <cellStyle name="20% - Accent3 10 2 4" xfId="5667" xr:uid="{00000000-0005-0000-0000-00003B070000}"/>
    <cellStyle name="20% - Accent3 10 2 4 2" xfId="7525" xr:uid="{00000000-0005-0000-0000-00003C070000}"/>
    <cellStyle name="20% - Accent3 10 2 5" xfId="7526" xr:uid="{00000000-0005-0000-0000-00003D070000}"/>
    <cellStyle name="20% - Accent3 10 3" xfId="5666" xr:uid="{00000000-0005-0000-0000-00003E070000}"/>
    <cellStyle name="20% - Accent3 10 3 2" xfId="5665" xr:uid="{00000000-0005-0000-0000-00003F070000}"/>
    <cellStyle name="20% - Accent3 10 3 2 2" xfId="7527" xr:uid="{00000000-0005-0000-0000-000040070000}"/>
    <cellStyle name="20% - Accent3 10 3 3" xfId="5664" xr:uid="{00000000-0005-0000-0000-000041070000}"/>
    <cellStyle name="20% - Accent3 10 4" xfId="5663" xr:uid="{00000000-0005-0000-0000-000042070000}"/>
    <cellStyle name="20% - Accent3 10 4 2" xfId="5662" xr:uid="{00000000-0005-0000-0000-000043070000}"/>
    <cellStyle name="20% - Accent3 10 4 3" xfId="5661" xr:uid="{00000000-0005-0000-0000-000044070000}"/>
    <cellStyle name="20% - Accent3 10 5" xfId="5660" xr:uid="{00000000-0005-0000-0000-000045070000}"/>
    <cellStyle name="20% - Accent3 10 5 2" xfId="7528" xr:uid="{00000000-0005-0000-0000-000046070000}"/>
    <cellStyle name="20% - Accent3 10 6" xfId="5659" xr:uid="{00000000-0005-0000-0000-000047070000}"/>
    <cellStyle name="20% - Accent3 10 7" xfId="7529" xr:uid="{00000000-0005-0000-0000-000048070000}"/>
    <cellStyle name="20% - Accent3 11" xfId="5658" xr:uid="{00000000-0005-0000-0000-000049070000}"/>
    <cellStyle name="20% - Accent3 11 2" xfId="5657" xr:uid="{00000000-0005-0000-0000-00004A070000}"/>
    <cellStyle name="20% - Accent3 11 2 2" xfId="5656" xr:uid="{00000000-0005-0000-0000-00004B070000}"/>
    <cellStyle name="20% - Accent3 11 2 2 2" xfId="5655" xr:uid="{00000000-0005-0000-0000-00004C070000}"/>
    <cellStyle name="20% - Accent3 11 2 2 3" xfId="5654" xr:uid="{00000000-0005-0000-0000-00004D070000}"/>
    <cellStyle name="20% - Accent3 11 2 3" xfId="5653" xr:uid="{00000000-0005-0000-0000-00004E070000}"/>
    <cellStyle name="20% - Accent3 11 2 4" xfId="5652" xr:uid="{00000000-0005-0000-0000-00004F070000}"/>
    <cellStyle name="20% - Accent3 11 3" xfId="5651" xr:uid="{00000000-0005-0000-0000-000050070000}"/>
    <cellStyle name="20% - Accent3 11 3 2" xfId="5650" xr:uid="{00000000-0005-0000-0000-000051070000}"/>
    <cellStyle name="20% - Accent3 11 3 3" xfId="5649" xr:uid="{00000000-0005-0000-0000-000052070000}"/>
    <cellStyle name="20% - Accent3 11 4" xfId="5648" xr:uid="{00000000-0005-0000-0000-000053070000}"/>
    <cellStyle name="20% - Accent3 11 4 2" xfId="5647" xr:uid="{00000000-0005-0000-0000-000054070000}"/>
    <cellStyle name="20% - Accent3 11 4 3" xfId="5646" xr:uid="{00000000-0005-0000-0000-000055070000}"/>
    <cellStyle name="20% - Accent3 11 5" xfId="5645" xr:uid="{00000000-0005-0000-0000-000056070000}"/>
    <cellStyle name="20% - Accent3 11 6" xfId="5644" xr:uid="{00000000-0005-0000-0000-000057070000}"/>
    <cellStyle name="20% - Accent3 12" xfId="5643" xr:uid="{00000000-0005-0000-0000-000058070000}"/>
    <cellStyle name="20% - Accent3 12 2" xfId="5642" xr:uid="{00000000-0005-0000-0000-000059070000}"/>
    <cellStyle name="20% - Accent3 12 2 2" xfId="5641" xr:uid="{00000000-0005-0000-0000-00005A070000}"/>
    <cellStyle name="20% - Accent3 12 2 2 2" xfId="5640" xr:uid="{00000000-0005-0000-0000-00005B070000}"/>
    <cellStyle name="20% - Accent3 12 2 2 3" xfId="5639" xr:uid="{00000000-0005-0000-0000-00005C070000}"/>
    <cellStyle name="20% - Accent3 12 2 3" xfId="5638" xr:uid="{00000000-0005-0000-0000-00005D070000}"/>
    <cellStyle name="20% - Accent3 12 2 4" xfId="5637" xr:uid="{00000000-0005-0000-0000-00005E070000}"/>
    <cellStyle name="20% - Accent3 12 3" xfId="5636" xr:uid="{00000000-0005-0000-0000-00005F070000}"/>
    <cellStyle name="20% - Accent3 12 3 2" xfId="5635" xr:uid="{00000000-0005-0000-0000-000060070000}"/>
    <cellStyle name="20% - Accent3 12 3 3" xfId="5634" xr:uid="{00000000-0005-0000-0000-000061070000}"/>
    <cellStyle name="20% - Accent3 12 4" xfId="5633" xr:uid="{00000000-0005-0000-0000-000062070000}"/>
    <cellStyle name="20% - Accent3 12 4 2" xfId="5632" xr:uid="{00000000-0005-0000-0000-000063070000}"/>
    <cellStyle name="20% - Accent3 12 4 3" xfId="5631" xr:uid="{00000000-0005-0000-0000-000064070000}"/>
    <cellStyle name="20% - Accent3 12 5" xfId="5630" xr:uid="{00000000-0005-0000-0000-000065070000}"/>
    <cellStyle name="20% - Accent3 12 6" xfId="5629" xr:uid="{00000000-0005-0000-0000-000066070000}"/>
    <cellStyle name="20% - Accent3 13" xfId="5628" xr:uid="{00000000-0005-0000-0000-000067070000}"/>
    <cellStyle name="20% - Accent3 13 2" xfId="5627" xr:uid="{00000000-0005-0000-0000-000068070000}"/>
    <cellStyle name="20% - Accent3 13 2 2" xfId="5626" xr:uid="{00000000-0005-0000-0000-000069070000}"/>
    <cellStyle name="20% - Accent3 13 2 2 2" xfId="5625" xr:uid="{00000000-0005-0000-0000-00006A070000}"/>
    <cellStyle name="20% - Accent3 13 2 2 3" xfId="5624" xr:uid="{00000000-0005-0000-0000-00006B070000}"/>
    <cellStyle name="20% - Accent3 13 2 3" xfId="5623" xr:uid="{00000000-0005-0000-0000-00006C070000}"/>
    <cellStyle name="20% - Accent3 13 2 4" xfId="5622" xr:uid="{00000000-0005-0000-0000-00006D070000}"/>
    <cellStyle name="20% - Accent3 13 3" xfId="5621" xr:uid="{00000000-0005-0000-0000-00006E070000}"/>
    <cellStyle name="20% - Accent3 13 3 2" xfId="5620" xr:uid="{00000000-0005-0000-0000-00006F070000}"/>
    <cellStyle name="20% - Accent3 13 3 3" xfId="5619" xr:uid="{00000000-0005-0000-0000-000070070000}"/>
    <cellStyle name="20% - Accent3 13 4" xfId="5618" xr:uid="{00000000-0005-0000-0000-000071070000}"/>
    <cellStyle name="20% - Accent3 13 4 2" xfId="5617" xr:uid="{00000000-0005-0000-0000-000072070000}"/>
    <cellStyle name="20% - Accent3 13 4 3" xfId="5616" xr:uid="{00000000-0005-0000-0000-000073070000}"/>
    <cellStyle name="20% - Accent3 13 5" xfId="5615" xr:uid="{00000000-0005-0000-0000-000074070000}"/>
    <cellStyle name="20% - Accent3 13 6" xfId="5614" xr:uid="{00000000-0005-0000-0000-000075070000}"/>
    <cellStyle name="20% - Accent3 14" xfId="5613" xr:uid="{00000000-0005-0000-0000-000076070000}"/>
    <cellStyle name="20% - Accent3 14 2" xfId="5612" xr:uid="{00000000-0005-0000-0000-000077070000}"/>
    <cellStyle name="20% - Accent3 14 2 2" xfId="5611" xr:uid="{00000000-0005-0000-0000-000078070000}"/>
    <cellStyle name="20% - Accent3 14 2 2 2" xfId="5610" xr:uid="{00000000-0005-0000-0000-000079070000}"/>
    <cellStyle name="20% - Accent3 14 2 2 3" xfId="5609" xr:uid="{00000000-0005-0000-0000-00007A070000}"/>
    <cellStyle name="20% - Accent3 14 2 3" xfId="5608" xr:uid="{00000000-0005-0000-0000-00007B070000}"/>
    <cellStyle name="20% - Accent3 14 2 4" xfId="5607" xr:uid="{00000000-0005-0000-0000-00007C070000}"/>
    <cellStyle name="20% - Accent3 14 3" xfId="5606" xr:uid="{00000000-0005-0000-0000-00007D070000}"/>
    <cellStyle name="20% - Accent3 14 3 2" xfId="5605" xr:uid="{00000000-0005-0000-0000-00007E070000}"/>
    <cellStyle name="20% - Accent3 14 3 3" xfId="5604" xr:uid="{00000000-0005-0000-0000-00007F070000}"/>
    <cellStyle name="20% - Accent3 14 4" xfId="5603" xr:uid="{00000000-0005-0000-0000-000080070000}"/>
    <cellStyle name="20% - Accent3 14 4 2" xfId="5602" xr:uid="{00000000-0005-0000-0000-000081070000}"/>
    <cellStyle name="20% - Accent3 14 4 3" xfId="5601" xr:uid="{00000000-0005-0000-0000-000082070000}"/>
    <cellStyle name="20% - Accent3 14 5" xfId="5600" xr:uid="{00000000-0005-0000-0000-000083070000}"/>
    <cellStyle name="20% - Accent3 14 6" xfId="5599" xr:uid="{00000000-0005-0000-0000-000084070000}"/>
    <cellStyle name="20% - Accent3 15" xfId="5598" xr:uid="{00000000-0005-0000-0000-000085070000}"/>
    <cellStyle name="20% - Accent3 15 2" xfId="5597" xr:uid="{00000000-0005-0000-0000-000086070000}"/>
    <cellStyle name="20% - Accent3 15 2 2" xfId="5596" xr:uid="{00000000-0005-0000-0000-000087070000}"/>
    <cellStyle name="20% - Accent3 15 2 2 2" xfId="5595" xr:uid="{00000000-0005-0000-0000-000088070000}"/>
    <cellStyle name="20% - Accent3 15 2 2 3" xfId="5594" xr:uid="{00000000-0005-0000-0000-000089070000}"/>
    <cellStyle name="20% - Accent3 15 2 3" xfId="5593" xr:uid="{00000000-0005-0000-0000-00008A070000}"/>
    <cellStyle name="20% - Accent3 15 2 4" xfId="5592" xr:uid="{00000000-0005-0000-0000-00008B070000}"/>
    <cellStyle name="20% - Accent3 15 3" xfId="5591" xr:uid="{00000000-0005-0000-0000-00008C070000}"/>
    <cellStyle name="20% - Accent3 15 3 2" xfId="5590" xr:uid="{00000000-0005-0000-0000-00008D070000}"/>
    <cellStyle name="20% - Accent3 15 3 3" xfId="5589" xr:uid="{00000000-0005-0000-0000-00008E070000}"/>
    <cellStyle name="20% - Accent3 15 4" xfId="5588" xr:uid="{00000000-0005-0000-0000-00008F070000}"/>
    <cellStyle name="20% - Accent3 15 4 2" xfId="5587" xr:uid="{00000000-0005-0000-0000-000090070000}"/>
    <cellStyle name="20% - Accent3 15 4 3" xfId="5586" xr:uid="{00000000-0005-0000-0000-000091070000}"/>
    <cellStyle name="20% - Accent3 15 5" xfId="5585" xr:uid="{00000000-0005-0000-0000-000092070000}"/>
    <cellStyle name="20% - Accent3 15 6" xfId="5584" xr:uid="{00000000-0005-0000-0000-000093070000}"/>
    <cellStyle name="20% - Accent3 16" xfId="5583" xr:uid="{00000000-0005-0000-0000-000094070000}"/>
    <cellStyle name="20% - Accent3 16 2" xfId="5582" xr:uid="{00000000-0005-0000-0000-000095070000}"/>
    <cellStyle name="20% - Accent3 16 2 2" xfId="5581" xr:uid="{00000000-0005-0000-0000-000096070000}"/>
    <cellStyle name="20% - Accent3 16 2 2 2" xfId="5580" xr:uid="{00000000-0005-0000-0000-000097070000}"/>
    <cellStyle name="20% - Accent3 16 2 2 3" xfId="5579" xr:uid="{00000000-0005-0000-0000-000098070000}"/>
    <cellStyle name="20% - Accent3 16 2 3" xfId="5578" xr:uid="{00000000-0005-0000-0000-000099070000}"/>
    <cellStyle name="20% - Accent3 16 2 4" xfId="5577" xr:uid="{00000000-0005-0000-0000-00009A070000}"/>
    <cellStyle name="20% - Accent3 16 3" xfId="5576" xr:uid="{00000000-0005-0000-0000-00009B070000}"/>
    <cellStyle name="20% - Accent3 16 3 2" xfId="5575" xr:uid="{00000000-0005-0000-0000-00009C070000}"/>
    <cellStyle name="20% - Accent3 16 3 3" xfId="5574" xr:uid="{00000000-0005-0000-0000-00009D070000}"/>
    <cellStyle name="20% - Accent3 16 4" xfId="5573" xr:uid="{00000000-0005-0000-0000-00009E070000}"/>
    <cellStyle name="20% - Accent3 16 4 2" xfId="5572" xr:uid="{00000000-0005-0000-0000-00009F070000}"/>
    <cellStyle name="20% - Accent3 16 4 3" xfId="5571" xr:uid="{00000000-0005-0000-0000-0000A0070000}"/>
    <cellStyle name="20% - Accent3 16 5" xfId="5570" xr:uid="{00000000-0005-0000-0000-0000A1070000}"/>
    <cellStyle name="20% - Accent3 16 6" xfId="5569" xr:uid="{00000000-0005-0000-0000-0000A2070000}"/>
    <cellStyle name="20% - Accent3 17" xfId="5568" xr:uid="{00000000-0005-0000-0000-0000A3070000}"/>
    <cellStyle name="20% - Accent3 17 2" xfId="5567" xr:uid="{00000000-0005-0000-0000-0000A4070000}"/>
    <cellStyle name="20% - Accent3 17 2 2" xfId="5566" xr:uid="{00000000-0005-0000-0000-0000A5070000}"/>
    <cellStyle name="20% - Accent3 17 2 2 2" xfId="5565" xr:uid="{00000000-0005-0000-0000-0000A6070000}"/>
    <cellStyle name="20% - Accent3 17 2 2 3" xfId="5564" xr:uid="{00000000-0005-0000-0000-0000A7070000}"/>
    <cellStyle name="20% - Accent3 17 2 3" xfId="5563" xr:uid="{00000000-0005-0000-0000-0000A8070000}"/>
    <cellStyle name="20% - Accent3 17 2 4" xfId="5562" xr:uid="{00000000-0005-0000-0000-0000A9070000}"/>
    <cellStyle name="20% - Accent3 17 3" xfId="5561" xr:uid="{00000000-0005-0000-0000-0000AA070000}"/>
    <cellStyle name="20% - Accent3 17 3 2" xfId="5560" xr:uid="{00000000-0005-0000-0000-0000AB070000}"/>
    <cellStyle name="20% - Accent3 17 3 3" xfId="5559" xr:uid="{00000000-0005-0000-0000-0000AC070000}"/>
    <cellStyle name="20% - Accent3 17 4" xfId="5558" xr:uid="{00000000-0005-0000-0000-0000AD070000}"/>
    <cellStyle name="20% - Accent3 17 4 2" xfId="5557" xr:uid="{00000000-0005-0000-0000-0000AE070000}"/>
    <cellStyle name="20% - Accent3 17 4 3" xfId="5556" xr:uid="{00000000-0005-0000-0000-0000AF070000}"/>
    <cellStyle name="20% - Accent3 17 5" xfId="5555" xr:uid="{00000000-0005-0000-0000-0000B0070000}"/>
    <cellStyle name="20% - Accent3 17 6" xfId="5554" xr:uid="{00000000-0005-0000-0000-0000B1070000}"/>
    <cellStyle name="20% - Accent3 18" xfId="5553" xr:uid="{00000000-0005-0000-0000-0000B2070000}"/>
    <cellStyle name="20% - Accent3 18 2" xfId="5552" xr:uid="{00000000-0005-0000-0000-0000B3070000}"/>
    <cellStyle name="20% - Accent3 18 2 2" xfId="5551" xr:uid="{00000000-0005-0000-0000-0000B4070000}"/>
    <cellStyle name="20% - Accent3 18 2 2 2" xfId="5550" xr:uid="{00000000-0005-0000-0000-0000B5070000}"/>
    <cellStyle name="20% - Accent3 18 2 2 3" xfId="5549" xr:uid="{00000000-0005-0000-0000-0000B6070000}"/>
    <cellStyle name="20% - Accent3 18 2 3" xfId="5548" xr:uid="{00000000-0005-0000-0000-0000B7070000}"/>
    <cellStyle name="20% - Accent3 18 2 4" xfId="5547" xr:uid="{00000000-0005-0000-0000-0000B8070000}"/>
    <cellStyle name="20% - Accent3 18 3" xfId="5546" xr:uid="{00000000-0005-0000-0000-0000B9070000}"/>
    <cellStyle name="20% - Accent3 18 3 2" xfId="5545" xr:uid="{00000000-0005-0000-0000-0000BA070000}"/>
    <cellStyle name="20% - Accent3 18 3 3" xfId="5544" xr:uid="{00000000-0005-0000-0000-0000BB070000}"/>
    <cellStyle name="20% - Accent3 18 4" xfId="5543" xr:uid="{00000000-0005-0000-0000-0000BC070000}"/>
    <cellStyle name="20% - Accent3 18 4 2" xfId="5542" xr:uid="{00000000-0005-0000-0000-0000BD070000}"/>
    <cellStyle name="20% - Accent3 18 4 3" xfId="5541" xr:uid="{00000000-0005-0000-0000-0000BE070000}"/>
    <cellStyle name="20% - Accent3 18 5" xfId="5540" xr:uid="{00000000-0005-0000-0000-0000BF070000}"/>
    <cellStyle name="20% - Accent3 18 6" xfId="5539" xr:uid="{00000000-0005-0000-0000-0000C0070000}"/>
    <cellStyle name="20% - Accent3 19" xfId="5538" xr:uid="{00000000-0005-0000-0000-0000C1070000}"/>
    <cellStyle name="20% - Accent3 19 2" xfId="5537" xr:uid="{00000000-0005-0000-0000-0000C2070000}"/>
    <cellStyle name="20% - Accent3 19 2 2" xfId="5536" xr:uid="{00000000-0005-0000-0000-0000C3070000}"/>
    <cellStyle name="20% - Accent3 19 2 2 2" xfId="5535" xr:uid="{00000000-0005-0000-0000-0000C4070000}"/>
    <cellStyle name="20% - Accent3 19 2 2 3" xfId="5534" xr:uid="{00000000-0005-0000-0000-0000C5070000}"/>
    <cellStyle name="20% - Accent3 19 2 3" xfId="5533" xr:uid="{00000000-0005-0000-0000-0000C6070000}"/>
    <cellStyle name="20% - Accent3 19 2 4" xfId="5532" xr:uid="{00000000-0005-0000-0000-0000C7070000}"/>
    <cellStyle name="20% - Accent3 19 3" xfId="5531" xr:uid="{00000000-0005-0000-0000-0000C8070000}"/>
    <cellStyle name="20% - Accent3 19 3 2" xfId="5530" xr:uid="{00000000-0005-0000-0000-0000C9070000}"/>
    <cellStyle name="20% - Accent3 19 3 3" xfId="5529" xr:uid="{00000000-0005-0000-0000-0000CA070000}"/>
    <cellStyle name="20% - Accent3 19 4" xfId="5528" xr:uid="{00000000-0005-0000-0000-0000CB070000}"/>
    <cellStyle name="20% - Accent3 19 4 2" xfId="5527" xr:uid="{00000000-0005-0000-0000-0000CC070000}"/>
    <cellStyle name="20% - Accent3 19 4 3" xfId="5526" xr:uid="{00000000-0005-0000-0000-0000CD070000}"/>
    <cellStyle name="20% - Accent3 19 5" xfId="5525" xr:uid="{00000000-0005-0000-0000-0000CE070000}"/>
    <cellStyle name="20% - Accent3 19 6" xfId="5524" xr:uid="{00000000-0005-0000-0000-0000CF070000}"/>
    <cellStyle name="20% - Accent3 2" xfId="5523" xr:uid="{00000000-0005-0000-0000-0000D0070000}"/>
    <cellStyle name="20% - Accent3 2 10" xfId="7530" xr:uid="{00000000-0005-0000-0000-0000D1070000}"/>
    <cellStyle name="20% - Accent3 2 10 2" xfId="7531" xr:uid="{00000000-0005-0000-0000-0000D2070000}"/>
    <cellStyle name="20% - Accent3 2 11" xfId="7532" xr:uid="{00000000-0005-0000-0000-0000D3070000}"/>
    <cellStyle name="20% - Accent3 2 12" xfId="7533" xr:uid="{00000000-0005-0000-0000-0000D4070000}"/>
    <cellStyle name="20% - Accent3 2 12 2" xfId="7534" xr:uid="{00000000-0005-0000-0000-0000D5070000}"/>
    <cellStyle name="20% - Accent3 2 12 2 2" xfId="7535" xr:uid="{00000000-0005-0000-0000-0000D6070000}"/>
    <cellStyle name="20% - Accent3 2 12 3" xfId="7536" xr:uid="{00000000-0005-0000-0000-0000D7070000}"/>
    <cellStyle name="20% - Accent3 2 12 4" xfId="7537" xr:uid="{00000000-0005-0000-0000-0000D8070000}"/>
    <cellStyle name="20% - Accent3 2 12 4 2" xfId="7538" xr:uid="{00000000-0005-0000-0000-0000D9070000}"/>
    <cellStyle name="20% - Accent3 2 12 5" xfId="7539" xr:uid="{00000000-0005-0000-0000-0000DA070000}"/>
    <cellStyle name="20% - Accent3 2 13" xfId="7540" xr:uid="{00000000-0005-0000-0000-0000DB070000}"/>
    <cellStyle name="20% - Accent3 2 13 2" xfId="7541" xr:uid="{00000000-0005-0000-0000-0000DC070000}"/>
    <cellStyle name="20% - Accent3 2 13 2 2" xfId="7542" xr:uid="{00000000-0005-0000-0000-0000DD070000}"/>
    <cellStyle name="20% - Accent3 2 13 3" xfId="7543" xr:uid="{00000000-0005-0000-0000-0000DE070000}"/>
    <cellStyle name="20% - Accent3 2 14" xfId="7544" xr:uid="{00000000-0005-0000-0000-0000DF070000}"/>
    <cellStyle name="20% - Accent3 2 15" xfId="7545" xr:uid="{00000000-0005-0000-0000-0000E0070000}"/>
    <cellStyle name="20% - Accent3 2 2" xfId="5522" xr:uid="{00000000-0005-0000-0000-0000E1070000}"/>
    <cellStyle name="20% - Accent3 2 2 10" xfId="7546" xr:uid="{00000000-0005-0000-0000-0000E2070000}"/>
    <cellStyle name="20% - Accent3 2 2 10 2" xfId="7547" xr:uid="{00000000-0005-0000-0000-0000E3070000}"/>
    <cellStyle name="20% - Accent3 2 2 11" xfId="7548" xr:uid="{00000000-0005-0000-0000-0000E4070000}"/>
    <cellStyle name="20% - Accent3 2 2 2" xfId="7549" xr:uid="{00000000-0005-0000-0000-0000E5070000}"/>
    <cellStyle name="20% - Accent3 2 2 2 2" xfId="7550" xr:uid="{00000000-0005-0000-0000-0000E6070000}"/>
    <cellStyle name="20% - Accent3 2 2 2 2 2" xfId="7551" xr:uid="{00000000-0005-0000-0000-0000E7070000}"/>
    <cellStyle name="20% - Accent3 2 2 2 2 3" xfId="7552" xr:uid="{00000000-0005-0000-0000-0000E8070000}"/>
    <cellStyle name="20% - Accent3 2 2 2 3" xfId="7553" xr:uid="{00000000-0005-0000-0000-0000E9070000}"/>
    <cellStyle name="20% - Accent3 2 2 2 3 2" xfId="7554" xr:uid="{00000000-0005-0000-0000-0000EA070000}"/>
    <cellStyle name="20% - Accent3 2 2 2 4" xfId="7555" xr:uid="{00000000-0005-0000-0000-0000EB070000}"/>
    <cellStyle name="20% - Accent3 2 2 2 5" xfId="7556" xr:uid="{00000000-0005-0000-0000-0000EC070000}"/>
    <cellStyle name="20% - Accent3 2 2 3" xfId="7557" xr:uid="{00000000-0005-0000-0000-0000ED070000}"/>
    <cellStyle name="20% - Accent3 2 2 3 2" xfId="7558" xr:uid="{00000000-0005-0000-0000-0000EE070000}"/>
    <cellStyle name="20% - Accent3 2 2 3 2 2" xfId="7559" xr:uid="{00000000-0005-0000-0000-0000EF070000}"/>
    <cellStyle name="20% - Accent3 2 2 3 2 3" xfId="7560" xr:uid="{00000000-0005-0000-0000-0000F0070000}"/>
    <cellStyle name="20% - Accent3 2 2 3 3" xfId="7561" xr:uid="{00000000-0005-0000-0000-0000F1070000}"/>
    <cellStyle name="20% - Accent3 2 2 3 3 2" xfId="7562" xr:uid="{00000000-0005-0000-0000-0000F2070000}"/>
    <cellStyle name="20% - Accent3 2 2 3 4" xfId="7563" xr:uid="{00000000-0005-0000-0000-0000F3070000}"/>
    <cellStyle name="20% - Accent3 2 2 3 5" xfId="7564" xr:uid="{00000000-0005-0000-0000-0000F4070000}"/>
    <cellStyle name="20% - Accent3 2 2 4" xfId="7565" xr:uid="{00000000-0005-0000-0000-0000F5070000}"/>
    <cellStyle name="20% - Accent3 2 2 4 2" xfId="7566" xr:uid="{00000000-0005-0000-0000-0000F6070000}"/>
    <cellStyle name="20% - Accent3 2 2 4 2 2" xfId="7567" xr:uid="{00000000-0005-0000-0000-0000F7070000}"/>
    <cellStyle name="20% - Accent3 2 2 4 3" xfId="7568" xr:uid="{00000000-0005-0000-0000-0000F8070000}"/>
    <cellStyle name="20% - Accent3 2 2 4 4" xfId="7569" xr:uid="{00000000-0005-0000-0000-0000F9070000}"/>
    <cellStyle name="20% - Accent3 2 2 5" xfId="7570" xr:uid="{00000000-0005-0000-0000-0000FA070000}"/>
    <cellStyle name="20% - Accent3 2 2 5 2" xfId="7571" xr:uid="{00000000-0005-0000-0000-0000FB070000}"/>
    <cellStyle name="20% - Accent3 2 2 6" xfId="7572" xr:uid="{00000000-0005-0000-0000-0000FC070000}"/>
    <cellStyle name="20% - Accent3 2 2 6 2" xfId="7573" xr:uid="{00000000-0005-0000-0000-0000FD070000}"/>
    <cellStyle name="20% - Accent3 2 2 7" xfId="7574" xr:uid="{00000000-0005-0000-0000-0000FE070000}"/>
    <cellStyle name="20% - Accent3 2 2 8" xfId="7575" xr:uid="{00000000-0005-0000-0000-0000FF070000}"/>
    <cellStyle name="20% - Accent3 2 2 9" xfId="7576" xr:uid="{00000000-0005-0000-0000-000000080000}"/>
    <cellStyle name="20% - Accent3 2 2 9 2" xfId="7577" xr:uid="{00000000-0005-0000-0000-000001080000}"/>
    <cellStyle name="20% - Accent3 2 3" xfId="5521" xr:uid="{00000000-0005-0000-0000-000002080000}"/>
    <cellStyle name="20% - Accent3 2 3 2" xfId="5520" xr:uid="{00000000-0005-0000-0000-000003080000}"/>
    <cellStyle name="20% - Accent3 2 3 2 2" xfId="5519" xr:uid="{00000000-0005-0000-0000-000004080000}"/>
    <cellStyle name="20% - Accent3 2 3 2 2 2" xfId="5518" xr:uid="{00000000-0005-0000-0000-000005080000}"/>
    <cellStyle name="20% - Accent3 2 3 2 2 3" xfId="5517" xr:uid="{00000000-0005-0000-0000-000006080000}"/>
    <cellStyle name="20% - Accent3 2 3 2 3" xfId="5516" xr:uid="{00000000-0005-0000-0000-000007080000}"/>
    <cellStyle name="20% - Accent3 2 3 2 3 2" xfId="7578" xr:uid="{00000000-0005-0000-0000-000008080000}"/>
    <cellStyle name="20% - Accent3 2 3 2 4" xfId="5515" xr:uid="{00000000-0005-0000-0000-000009080000}"/>
    <cellStyle name="20% - Accent3 2 3 2 5" xfId="7579" xr:uid="{00000000-0005-0000-0000-00000A080000}"/>
    <cellStyle name="20% - Accent3 2 3 3" xfId="5514" xr:uid="{00000000-0005-0000-0000-00000B080000}"/>
    <cellStyle name="20% - Accent3 2 3 3 2" xfId="5513" xr:uid="{00000000-0005-0000-0000-00000C080000}"/>
    <cellStyle name="20% - Accent3 2 3 3 2 2" xfId="7580" xr:uid="{00000000-0005-0000-0000-00000D080000}"/>
    <cellStyle name="20% - Accent3 2 3 3 3" xfId="5512" xr:uid="{00000000-0005-0000-0000-00000E080000}"/>
    <cellStyle name="20% - Accent3 2 3 3 4" xfId="7581" xr:uid="{00000000-0005-0000-0000-00000F080000}"/>
    <cellStyle name="20% - Accent3 2 3 4" xfId="5511" xr:uid="{00000000-0005-0000-0000-000010080000}"/>
    <cellStyle name="20% - Accent3 2 3 4 2" xfId="5510" xr:uid="{00000000-0005-0000-0000-000011080000}"/>
    <cellStyle name="20% - Accent3 2 3 4 3" xfId="5509" xr:uid="{00000000-0005-0000-0000-000012080000}"/>
    <cellStyle name="20% - Accent3 2 3 5" xfId="5508" xr:uid="{00000000-0005-0000-0000-000013080000}"/>
    <cellStyle name="20% - Accent3 2 3 5 2" xfId="7582" xr:uid="{00000000-0005-0000-0000-000014080000}"/>
    <cellStyle name="20% - Accent3 2 3 6" xfId="5507" xr:uid="{00000000-0005-0000-0000-000015080000}"/>
    <cellStyle name="20% - Accent3 2 3 7" xfId="7583" xr:uid="{00000000-0005-0000-0000-000016080000}"/>
    <cellStyle name="20% - Accent3 2 3 8" xfId="7584" xr:uid="{00000000-0005-0000-0000-000017080000}"/>
    <cellStyle name="20% - Accent3 2 4" xfId="7585" xr:uid="{00000000-0005-0000-0000-000018080000}"/>
    <cellStyle name="20% - Accent3 2 4 2" xfId="7586" xr:uid="{00000000-0005-0000-0000-000019080000}"/>
    <cellStyle name="20% - Accent3 2 4 2 2" xfId="7587" xr:uid="{00000000-0005-0000-0000-00001A080000}"/>
    <cellStyle name="20% - Accent3 2 4 2 2 2" xfId="7588" xr:uid="{00000000-0005-0000-0000-00001B080000}"/>
    <cellStyle name="20% - Accent3 2 4 2 3" xfId="7589" xr:uid="{00000000-0005-0000-0000-00001C080000}"/>
    <cellStyle name="20% - Accent3 2 4 2 4" xfId="7590" xr:uid="{00000000-0005-0000-0000-00001D080000}"/>
    <cellStyle name="20% - Accent3 2 4 3" xfId="7591" xr:uid="{00000000-0005-0000-0000-00001E080000}"/>
    <cellStyle name="20% - Accent3 2 4 3 2" xfId="7592" xr:uid="{00000000-0005-0000-0000-00001F080000}"/>
    <cellStyle name="20% - Accent3 2 4 4" xfId="7593" xr:uid="{00000000-0005-0000-0000-000020080000}"/>
    <cellStyle name="20% - Accent3 2 4 4 2" xfId="7594" xr:uid="{00000000-0005-0000-0000-000021080000}"/>
    <cellStyle name="20% - Accent3 2 4 5" xfId="7595" xr:uid="{00000000-0005-0000-0000-000022080000}"/>
    <cellStyle name="20% - Accent3 2 4 6" xfId="7596" xr:uid="{00000000-0005-0000-0000-000023080000}"/>
    <cellStyle name="20% - Accent3 2 5" xfId="7597" xr:uid="{00000000-0005-0000-0000-000024080000}"/>
    <cellStyle name="20% - Accent3 2 5 2" xfId="7598" xr:uid="{00000000-0005-0000-0000-000025080000}"/>
    <cellStyle name="20% - Accent3 2 5 2 2" xfId="7599" xr:uid="{00000000-0005-0000-0000-000026080000}"/>
    <cellStyle name="20% - Accent3 2 5 3" xfId="7600" xr:uid="{00000000-0005-0000-0000-000027080000}"/>
    <cellStyle name="20% - Accent3 2 5 4" xfId="7601" xr:uid="{00000000-0005-0000-0000-000028080000}"/>
    <cellStyle name="20% - Accent3 2 6" xfId="7602" xr:uid="{00000000-0005-0000-0000-000029080000}"/>
    <cellStyle name="20% - Accent3 2 6 10" xfId="7603" xr:uid="{00000000-0005-0000-0000-00002A080000}"/>
    <cellStyle name="20% - Accent3 2 6 2" xfId="7604" xr:uid="{00000000-0005-0000-0000-00002B080000}"/>
    <cellStyle name="20% - Accent3 2 6 2 2" xfId="7605" xr:uid="{00000000-0005-0000-0000-00002C080000}"/>
    <cellStyle name="20% - Accent3 2 6 2 2 2" xfId="7606" xr:uid="{00000000-0005-0000-0000-00002D080000}"/>
    <cellStyle name="20% - Accent3 2 6 2 2 2 2" xfId="7607" xr:uid="{00000000-0005-0000-0000-00002E080000}"/>
    <cellStyle name="20% - Accent3 2 6 2 2 3" xfId="7608" xr:uid="{00000000-0005-0000-0000-00002F080000}"/>
    <cellStyle name="20% - Accent3 2 6 2 2 3 2" xfId="7609" xr:uid="{00000000-0005-0000-0000-000030080000}"/>
    <cellStyle name="20% - Accent3 2 6 2 2 4" xfId="7610" xr:uid="{00000000-0005-0000-0000-000031080000}"/>
    <cellStyle name="20% - Accent3 2 6 2 2 5" xfId="7611" xr:uid="{00000000-0005-0000-0000-000032080000}"/>
    <cellStyle name="20% - Accent3 2 6 2 3" xfId="7612" xr:uid="{00000000-0005-0000-0000-000033080000}"/>
    <cellStyle name="20% - Accent3 2 6 2 3 2" xfId="7613" xr:uid="{00000000-0005-0000-0000-000034080000}"/>
    <cellStyle name="20% - Accent3 2 6 2 3 2 2" xfId="7614" xr:uid="{00000000-0005-0000-0000-000035080000}"/>
    <cellStyle name="20% - Accent3 2 6 2 3 3" xfId="7615" xr:uid="{00000000-0005-0000-0000-000036080000}"/>
    <cellStyle name="20% - Accent3 2 6 2 4" xfId="7616" xr:uid="{00000000-0005-0000-0000-000037080000}"/>
    <cellStyle name="20% - Accent3 2 6 2 4 2" xfId="7617" xr:uid="{00000000-0005-0000-0000-000038080000}"/>
    <cellStyle name="20% - Accent3 2 6 2 5" xfId="7618" xr:uid="{00000000-0005-0000-0000-000039080000}"/>
    <cellStyle name="20% - Accent3 2 6 2 5 2" xfId="7619" xr:uid="{00000000-0005-0000-0000-00003A080000}"/>
    <cellStyle name="20% - Accent3 2 6 2 6" xfId="7620" xr:uid="{00000000-0005-0000-0000-00003B080000}"/>
    <cellStyle name="20% - Accent3 2 6 3" xfId="7621" xr:uid="{00000000-0005-0000-0000-00003C080000}"/>
    <cellStyle name="20% - Accent3 2 6 3 2" xfId="7622" xr:uid="{00000000-0005-0000-0000-00003D080000}"/>
    <cellStyle name="20% - Accent3 2 6 3 2 2" xfId="7623" xr:uid="{00000000-0005-0000-0000-00003E080000}"/>
    <cellStyle name="20% - Accent3 2 6 3 2 2 2" xfId="7624" xr:uid="{00000000-0005-0000-0000-00003F080000}"/>
    <cellStyle name="20% - Accent3 2 6 3 2 3" xfId="7625" xr:uid="{00000000-0005-0000-0000-000040080000}"/>
    <cellStyle name="20% - Accent3 2 6 3 2 3 2" xfId="7626" xr:uid="{00000000-0005-0000-0000-000041080000}"/>
    <cellStyle name="20% - Accent3 2 6 3 2 4" xfId="7627" xr:uid="{00000000-0005-0000-0000-000042080000}"/>
    <cellStyle name="20% - Accent3 2 6 3 2 5" xfId="7628" xr:uid="{00000000-0005-0000-0000-000043080000}"/>
    <cellStyle name="20% - Accent3 2 6 3 3" xfId="7629" xr:uid="{00000000-0005-0000-0000-000044080000}"/>
    <cellStyle name="20% - Accent3 2 6 3 3 2" xfId="7630" xr:uid="{00000000-0005-0000-0000-000045080000}"/>
    <cellStyle name="20% - Accent3 2 6 3 3 2 2" xfId="7631" xr:uid="{00000000-0005-0000-0000-000046080000}"/>
    <cellStyle name="20% - Accent3 2 6 3 3 3" xfId="7632" xr:uid="{00000000-0005-0000-0000-000047080000}"/>
    <cellStyle name="20% - Accent3 2 6 3 4" xfId="7633" xr:uid="{00000000-0005-0000-0000-000048080000}"/>
    <cellStyle name="20% - Accent3 2 6 3 4 2" xfId="7634" xr:uid="{00000000-0005-0000-0000-000049080000}"/>
    <cellStyle name="20% - Accent3 2 6 3 5" xfId="7635" xr:uid="{00000000-0005-0000-0000-00004A080000}"/>
    <cellStyle name="20% - Accent3 2 6 3 5 2" xfId="7636" xr:uid="{00000000-0005-0000-0000-00004B080000}"/>
    <cellStyle name="20% - Accent3 2 6 3 6" xfId="7637" xr:uid="{00000000-0005-0000-0000-00004C080000}"/>
    <cellStyle name="20% - Accent3 2 6 4" xfId="7638" xr:uid="{00000000-0005-0000-0000-00004D080000}"/>
    <cellStyle name="20% - Accent3 2 6 4 2" xfId="7639" xr:uid="{00000000-0005-0000-0000-00004E080000}"/>
    <cellStyle name="20% - Accent3 2 6 4 2 2" xfId="7640" xr:uid="{00000000-0005-0000-0000-00004F080000}"/>
    <cellStyle name="20% - Accent3 2 6 4 2 2 2" xfId="7641" xr:uid="{00000000-0005-0000-0000-000050080000}"/>
    <cellStyle name="20% - Accent3 2 6 4 2 3" xfId="7642" xr:uid="{00000000-0005-0000-0000-000051080000}"/>
    <cellStyle name="20% - Accent3 2 6 4 3" xfId="7643" xr:uid="{00000000-0005-0000-0000-000052080000}"/>
    <cellStyle name="20% - Accent3 2 6 4 3 2" xfId="7644" xr:uid="{00000000-0005-0000-0000-000053080000}"/>
    <cellStyle name="20% - Accent3 2 6 4 4" xfId="7645" xr:uid="{00000000-0005-0000-0000-000054080000}"/>
    <cellStyle name="20% - Accent3 2 6 4 4 2" xfId="7646" xr:uid="{00000000-0005-0000-0000-000055080000}"/>
    <cellStyle name="20% - Accent3 2 6 4 5" xfId="7647" xr:uid="{00000000-0005-0000-0000-000056080000}"/>
    <cellStyle name="20% - Accent3 2 6 5" xfId="7648" xr:uid="{00000000-0005-0000-0000-000057080000}"/>
    <cellStyle name="20% - Accent3 2 6 5 2" xfId="7649" xr:uid="{00000000-0005-0000-0000-000058080000}"/>
    <cellStyle name="20% - Accent3 2 6 5 2 2" xfId="7650" xr:uid="{00000000-0005-0000-0000-000059080000}"/>
    <cellStyle name="20% - Accent3 2 6 5 3" xfId="7651" xr:uid="{00000000-0005-0000-0000-00005A080000}"/>
    <cellStyle name="20% - Accent3 2 6 5 3 2" xfId="7652" xr:uid="{00000000-0005-0000-0000-00005B080000}"/>
    <cellStyle name="20% - Accent3 2 6 5 4" xfId="7653" xr:uid="{00000000-0005-0000-0000-00005C080000}"/>
    <cellStyle name="20% - Accent3 2 6 6" xfId="7654" xr:uid="{00000000-0005-0000-0000-00005D080000}"/>
    <cellStyle name="20% - Accent3 2 6 6 2" xfId="7655" xr:uid="{00000000-0005-0000-0000-00005E080000}"/>
    <cellStyle name="20% - Accent3 2 6 6 2 2" xfId="7656" xr:uid="{00000000-0005-0000-0000-00005F080000}"/>
    <cellStyle name="20% - Accent3 2 6 6 3" xfId="7657" xr:uid="{00000000-0005-0000-0000-000060080000}"/>
    <cellStyle name="20% - Accent3 2 6 7" xfId="7658" xr:uid="{00000000-0005-0000-0000-000061080000}"/>
    <cellStyle name="20% - Accent3 2 6 7 2" xfId="7659" xr:uid="{00000000-0005-0000-0000-000062080000}"/>
    <cellStyle name="20% - Accent3 2 6 7 3" xfId="7660" xr:uid="{00000000-0005-0000-0000-000063080000}"/>
    <cellStyle name="20% - Accent3 2 6 8" xfId="7661" xr:uid="{00000000-0005-0000-0000-000064080000}"/>
    <cellStyle name="20% - Accent3 2 6 8 2" xfId="7662" xr:uid="{00000000-0005-0000-0000-000065080000}"/>
    <cellStyle name="20% - Accent3 2 6 9" xfId="7663" xr:uid="{00000000-0005-0000-0000-000066080000}"/>
    <cellStyle name="20% - Accent3 2 7" xfId="7664" xr:uid="{00000000-0005-0000-0000-000067080000}"/>
    <cellStyle name="20% - Accent3 2 7 2" xfId="7665" xr:uid="{00000000-0005-0000-0000-000068080000}"/>
    <cellStyle name="20% - Accent3 2 7 2 2" xfId="7666" xr:uid="{00000000-0005-0000-0000-000069080000}"/>
    <cellStyle name="20% - Accent3 2 7 3" xfId="7667" xr:uid="{00000000-0005-0000-0000-00006A080000}"/>
    <cellStyle name="20% - Accent3 2 7 4" xfId="7668" xr:uid="{00000000-0005-0000-0000-00006B080000}"/>
    <cellStyle name="20% - Accent3 2 8" xfId="7669" xr:uid="{00000000-0005-0000-0000-00006C080000}"/>
    <cellStyle name="20% - Accent3 2 8 2" xfId="7670" xr:uid="{00000000-0005-0000-0000-00006D080000}"/>
    <cellStyle name="20% - Accent3 2 9" xfId="7671" xr:uid="{00000000-0005-0000-0000-00006E080000}"/>
    <cellStyle name="20% - Accent3 2 9 2" xfId="7672" xr:uid="{00000000-0005-0000-0000-00006F080000}"/>
    <cellStyle name="20% - Accent3 20" xfId="5506" xr:uid="{00000000-0005-0000-0000-000070080000}"/>
    <cellStyle name="20% - Accent3 20 2" xfId="5505" xr:uid="{00000000-0005-0000-0000-000071080000}"/>
    <cellStyle name="20% - Accent3 20 2 2" xfId="5504" xr:uid="{00000000-0005-0000-0000-000072080000}"/>
    <cellStyle name="20% - Accent3 20 2 2 2" xfId="5503" xr:uid="{00000000-0005-0000-0000-000073080000}"/>
    <cellStyle name="20% - Accent3 20 2 2 3" xfId="5502" xr:uid="{00000000-0005-0000-0000-000074080000}"/>
    <cellStyle name="20% - Accent3 20 2 3" xfId="5501" xr:uid="{00000000-0005-0000-0000-000075080000}"/>
    <cellStyle name="20% - Accent3 20 2 4" xfId="5500" xr:uid="{00000000-0005-0000-0000-000076080000}"/>
    <cellStyle name="20% - Accent3 20 3" xfId="5499" xr:uid="{00000000-0005-0000-0000-000077080000}"/>
    <cellStyle name="20% - Accent3 20 3 2" xfId="5498" xr:uid="{00000000-0005-0000-0000-000078080000}"/>
    <cellStyle name="20% - Accent3 20 3 3" xfId="5497" xr:uid="{00000000-0005-0000-0000-000079080000}"/>
    <cellStyle name="20% - Accent3 20 4" xfId="5496" xr:uid="{00000000-0005-0000-0000-00007A080000}"/>
    <cellStyle name="20% - Accent3 20 4 2" xfId="5495" xr:uid="{00000000-0005-0000-0000-00007B080000}"/>
    <cellStyle name="20% - Accent3 20 4 3" xfId="5494" xr:uid="{00000000-0005-0000-0000-00007C080000}"/>
    <cellStyle name="20% - Accent3 20 5" xfId="5493" xr:uid="{00000000-0005-0000-0000-00007D080000}"/>
    <cellStyle name="20% - Accent3 20 6" xfId="5492" xr:uid="{00000000-0005-0000-0000-00007E080000}"/>
    <cellStyle name="20% - Accent3 21" xfId="5491" xr:uid="{00000000-0005-0000-0000-00007F080000}"/>
    <cellStyle name="20% - Accent3 22" xfId="5490" xr:uid="{00000000-0005-0000-0000-000080080000}"/>
    <cellStyle name="20% - Accent3 22 2" xfId="5489" xr:uid="{00000000-0005-0000-0000-000081080000}"/>
    <cellStyle name="20% - Accent3 22 2 2" xfId="5488" xr:uid="{00000000-0005-0000-0000-000082080000}"/>
    <cellStyle name="20% - Accent3 22 2 2 2" xfId="5487" xr:uid="{00000000-0005-0000-0000-000083080000}"/>
    <cellStyle name="20% - Accent3 22 2 2 3" xfId="5486" xr:uid="{00000000-0005-0000-0000-000084080000}"/>
    <cellStyle name="20% - Accent3 22 2 3" xfId="5485" xr:uid="{00000000-0005-0000-0000-000085080000}"/>
    <cellStyle name="20% - Accent3 22 2 4" xfId="5484" xr:uid="{00000000-0005-0000-0000-000086080000}"/>
    <cellStyle name="20% - Accent3 22 3" xfId="5483" xr:uid="{00000000-0005-0000-0000-000087080000}"/>
    <cellStyle name="20% - Accent3 22 3 2" xfId="5482" xr:uid="{00000000-0005-0000-0000-000088080000}"/>
    <cellStyle name="20% - Accent3 22 3 3" xfId="5481" xr:uid="{00000000-0005-0000-0000-000089080000}"/>
    <cellStyle name="20% - Accent3 22 4" xfId="5480" xr:uid="{00000000-0005-0000-0000-00008A080000}"/>
    <cellStyle name="20% - Accent3 22 4 2" xfId="5479" xr:uid="{00000000-0005-0000-0000-00008B080000}"/>
    <cellStyle name="20% - Accent3 22 4 3" xfId="5478" xr:uid="{00000000-0005-0000-0000-00008C080000}"/>
    <cellStyle name="20% - Accent3 22 5" xfId="5477" xr:uid="{00000000-0005-0000-0000-00008D080000}"/>
    <cellStyle name="20% - Accent3 22 6" xfId="5476" xr:uid="{00000000-0005-0000-0000-00008E080000}"/>
    <cellStyle name="20% - Accent3 23" xfId="5475" xr:uid="{00000000-0005-0000-0000-00008F080000}"/>
    <cellStyle name="20% - Accent3 23 2" xfId="5474" xr:uid="{00000000-0005-0000-0000-000090080000}"/>
    <cellStyle name="20% - Accent3 23 2 2" xfId="5473" xr:uid="{00000000-0005-0000-0000-000091080000}"/>
    <cellStyle name="20% - Accent3 23 2 3" xfId="5472" xr:uid="{00000000-0005-0000-0000-000092080000}"/>
    <cellStyle name="20% - Accent3 23 3" xfId="5471" xr:uid="{00000000-0005-0000-0000-000093080000}"/>
    <cellStyle name="20% - Accent3 23 4" xfId="5470" xr:uid="{00000000-0005-0000-0000-000094080000}"/>
    <cellStyle name="20% - Accent3 24" xfId="5469" xr:uid="{00000000-0005-0000-0000-000095080000}"/>
    <cellStyle name="20% - Accent3 24 2" xfId="5468" xr:uid="{00000000-0005-0000-0000-000096080000}"/>
    <cellStyle name="20% - Accent3 24 3" xfId="5467" xr:uid="{00000000-0005-0000-0000-000097080000}"/>
    <cellStyle name="20% - Accent3 25" xfId="5466" xr:uid="{00000000-0005-0000-0000-000098080000}"/>
    <cellStyle name="20% - Accent3 25 2" xfId="5465" xr:uid="{00000000-0005-0000-0000-000099080000}"/>
    <cellStyle name="20% - Accent3 25 3" xfId="5464" xr:uid="{00000000-0005-0000-0000-00009A080000}"/>
    <cellStyle name="20% - Accent3 26" xfId="5463" xr:uid="{00000000-0005-0000-0000-00009B080000}"/>
    <cellStyle name="20% - Accent3 27" xfId="5462" xr:uid="{00000000-0005-0000-0000-00009C080000}"/>
    <cellStyle name="20% - Accent3 28" xfId="5461" xr:uid="{00000000-0005-0000-0000-00009D080000}"/>
    <cellStyle name="20% - Accent3 29" xfId="5460" xr:uid="{00000000-0005-0000-0000-00009E080000}"/>
    <cellStyle name="20% - Accent3 3" xfId="5459" xr:uid="{00000000-0005-0000-0000-00009F080000}"/>
    <cellStyle name="20% - Accent3 3 10" xfId="7673" xr:uid="{00000000-0005-0000-0000-0000A0080000}"/>
    <cellStyle name="20% - Accent3 3 2" xfId="5458" xr:uid="{00000000-0005-0000-0000-0000A1080000}"/>
    <cellStyle name="20% - Accent3 3 2 2" xfId="7674" xr:uid="{00000000-0005-0000-0000-0000A2080000}"/>
    <cellStyle name="20% - Accent3 3 2 2 2" xfId="7675" xr:uid="{00000000-0005-0000-0000-0000A3080000}"/>
    <cellStyle name="20% - Accent3 3 2 2 2 2" xfId="7676" xr:uid="{00000000-0005-0000-0000-0000A4080000}"/>
    <cellStyle name="20% - Accent3 3 2 2 3" xfId="7677" xr:uid="{00000000-0005-0000-0000-0000A5080000}"/>
    <cellStyle name="20% - Accent3 3 2 2 4" xfId="7678" xr:uid="{00000000-0005-0000-0000-0000A6080000}"/>
    <cellStyle name="20% - Accent3 3 2 2 5" xfId="7679" xr:uid="{00000000-0005-0000-0000-0000A7080000}"/>
    <cellStyle name="20% - Accent3 3 2 3" xfId="7680" xr:uid="{00000000-0005-0000-0000-0000A8080000}"/>
    <cellStyle name="20% - Accent3 3 2 3 2" xfId="7681" xr:uid="{00000000-0005-0000-0000-0000A9080000}"/>
    <cellStyle name="20% - Accent3 3 2 3 2 2" xfId="7682" xr:uid="{00000000-0005-0000-0000-0000AA080000}"/>
    <cellStyle name="20% - Accent3 3 2 3 3" xfId="7683" xr:uid="{00000000-0005-0000-0000-0000AB080000}"/>
    <cellStyle name="20% - Accent3 3 2 3 4" xfId="7684" xr:uid="{00000000-0005-0000-0000-0000AC080000}"/>
    <cellStyle name="20% - Accent3 3 2 4" xfId="7685" xr:uid="{00000000-0005-0000-0000-0000AD080000}"/>
    <cellStyle name="20% - Accent3 3 2 4 2" xfId="7686" xr:uid="{00000000-0005-0000-0000-0000AE080000}"/>
    <cellStyle name="20% - Accent3 3 2 5" xfId="7687" xr:uid="{00000000-0005-0000-0000-0000AF080000}"/>
    <cellStyle name="20% - Accent3 3 2 5 2" xfId="7688" xr:uid="{00000000-0005-0000-0000-0000B0080000}"/>
    <cellStyle name="20% - Accent3 3 2 6" xfId="7689" xr:uid="{00000000-0005-0000-0000-0000B1080000}"/>
    <cellStyle name="20% - Accent3 3 2 7" xfId="7690" xr:uid="{00000000-0005-0000-0000-0000B2080000}"/>
    <cellStyle name="20% - Accent3 3 2 8" xfId="7691" xr:uid="{00000000-0005-0000-0000-0000B3080000}"/>
    <cellStyle name="20% - Accent3 3 3" xfId="5457" xr:uid="{00000000-0005-0000-0000-0000B4080000}"/>
    <cellStyle name="20% - Accent3 3 3 2" xfId="5456" xr:uid="{00000000-0005-0000-0000-0000B5080000}"/>
    <cellStyle name="20% - Accent3 3 3 2 2" xfId="5455" xr:uid="{00000000-0005-0000-0000-0000B6080000}"/>
    <cellStyle name="20% - Accent3 3 3 2 2 2" xfId="5454" xr:uid="{00000000-0005-0000-0000-0000B7080000}"/>
    <cellStyle name="20% - Accent3 3 3 2 2 3" xfId="5453" xr:uid="{00000000-0005-0000-0000-0000B8080000}"/>
    <cellStyle name="20% - Accent3 3 3 2 3" xfId="5452" xr:uid="{00000000-0005-0000-0000-0000B9080000}"/>
    <cellStyle name="20% - Accent3 3 3 2 4" xfId="5451" xr:uid="{00000000-0005-0000-0000-0000BA080000}"/>
    <cellStyle name="20% - Accent3 3 3 3" xfId="5450" xr:uid="{00000000-0005-0000-0000-0000BB080000}"/>
    <cellStyle name="20% - Accent3 3 3 3 2" xfId="5449" xr:uid="{00000000-0005-0000-0000-0000BC080000}"/>
    <cellStyle name="20% - Accent3 3 3 3 3" xfId="5448" xr:uid="{00000000-0005-0000-0000-0000BD080000}"/>
    <cellStyle name="20% - Accent3 3 3 4" xfId="5447" xr:uid="{00000000-0005-0000-0000-0000BE080000}"/>
    <cellStyle name="20% - Accent3 3 3 4 2" xfId="5446" xr:uid="{00000000-0005-0000-0000-0000BF080000}"/>
    <cellStyle name="20% - Accent3 3 3 4 3" xfId="5445" xr:uid="{00000000-0005-0000-0000-0000C0080000}"/>
    <cellStyle name="20% - Accent3 3 3 5" xfId="5444" xr:uid="{00000000-0005-0000-0000-0000C1080000}"/>
    <cellStyle name="20% - Accent3 3 3 6" xfId="5443" xr:uid="{00000000-0005-0000-0000-0000C2080000}"/>
    <cellStyle name="20% - Accent3 3 3 7" xfId="7692" xr:uid="{00000000-0005-0000-0000-0000C3080000}"/>
    <cellStyle name="20% - Accent3 3 4" xfId="7693" xr:uid="{00000000-0005-0000-0000-0000C4080000}"/>
    <cellStyle name="20% - Accent3 3 4 2" xfId="7694" xr:uid="{00000000-0005-0000-0000-0000C5080000}"/>
    <cellStyle name="20% - Accent3 3 4 2 2" xfId="7695" xr:uid="{00000000-0005-0000-0000-0000C6080000}"/>
    <cellStyle name="20% - Accent3 3 4 3" xfId="7696" xr:uid="{00000000-0005-0000-0000-0000C7080000}"/>
    <cellStyle name="20% - Accent3 3 4 4" xfId="7697" xr:uid="{00000000-0005-0000-0000-0000C8080000}"/>
    <cellStyle name="20% - Accent3 3 5" xfId="7698" xr:uid="{00000000-0005-0000-0000-0000C9080000}"/>
    <cellStyle name="20% - Accent3 3 5 2" xfId="7699" xr:uid="{00000000-0005-0000-0000-0000CA080000}"/>
    <cellStyle name="20% - Accent3 3 6" xfId="7700" xr:uid="{00000000-0005-0000-0000-0000CB080000}"/>
    <cellStyle name="20% - Accent3 3 7" xfId="7701" xr:uid="{00000000-0005-0000-0000-0000CC080000}"/>
    <cellStyle name="20% - Accent3 3 7 2" xfId="7702" xr:uid="{00000000-0005-0000-0000-0000CD080000}"/>
    <cellStyle name="20% - Accent3 3 8" xfId="7703" xr:uid="{00000000-0005-0000-0000-0000CE080000}"/>
    <cellStyle name="20% - Accent3 3 9" xfId="7704" xr:uid="{00000000-0005-0000-0000-0000CF080000}"/>
    <cellStyle name="20% - Accent3 3 9 2" xfId="7705" xr:uid="{00000000-0005-0000-0000-0000D0080000}"/>
    <cellStyle name="20% - Accent3 4" xfId="5442" xr:uid="{00000000-0005-0000-0000-0000D1080000}"/>
    <cellStyle name="20% - Accent3 4 2" xfId="5441" xr:uid="{00000000-0005-0000-0000-0000D2080000}"/>
    <cellStyle name="20% - Accent3 4 2 2" xfId="5440" xr:uid="{00000000-0005-0000-0000-0000D3080000}"/>
    <cellStyle name="20% - Accent3 4 2 2 2" xfId="5439" xr:uid="{00000000-0005-0000-0000-0000D4080000}"/>
    <cellStyle name="20% - Accent3 4 2 2 2 2" xfId="5438" xr:uid="{00000000-0005-0000-0000-0000D5080000}"/>
    <cellStyle name="20% - Accent3 4 2 2 2 3" xfId="5437" xr:uid="{00000000-0005-0000-0000-0000D6080000}"/>
    <cellStyle name="20% - Accent3 4 2 2 3" xfId="5436" xr:uid="{00000000-0005-0000-0000-0000D7080000}"/>
    <cellStyle name="20% - Accent3 4 2 2 4" xfId="5435" xr:uid="{00000000-0005-0000-0000-0000D8080000}"/>
    <cellStyle name="20% - Accent3 4 2 3" xfId="5434" xr:uid="{00000000-0005-0000-0000-0000D9080000}"/>
    <cellStyle name="20% - Accent3 4 2 3 2" xfId="5433" xr:uid="{00000000-0005-0000-0000-0000DA080000}"/>
    <cellStyle name="20% - Accent3 4 2 3 3" xfId="5432" xr:uid="{00000000-0005-0000-0000-0000DB080000}"/>
    <cellStyle name="20% - Accent3 4 2 4" xfId="5431" xr:uid="{00000000-0005-0000-0000-0000DC080000}"/>
    <cellStyle name="20% - Accent3 4 2 4 2" xfId="5430" xr:uid="{00000000-0005-0000-0000-0000DD080000}"/>
    <cellStyle name="20% - Accent3 4 2 4 3" xfId="5429" xr:uid="{00000000-0005-0000-0000-0000DE080000}"/>
    <cellStyle name="20% - Accent3 4 2 5" xfId="5428" xr:uid="{00000000-0005-0000-0000-0000DF080000}"/>
    <cellStyle name="20% - Accent3 4 2 6" xfId="5427" xr:uid="{00000000-0005-0000-0000-0000E0080000}"/>
    <cellStyle name="20% - Accent3 4 3" xfId="5426" xr:uid="{00000000-0005-0000-0000-0000E1080000}"/>
    <cellStyle name="20% - Accent3 4 3 2" xfId="5425" xr:uid="{00000000-0005-0000-0000-0000E2080000}"/>
    <cellStyle name="20% - Accent3 4 3 2 2" xfId="5424" xr:uid="{00000000-0005-0000-0000-0000E3080000}"/>
    <cellStyle name="20% - Accent3 4 3 2 3" xfId="5423" xr:uid="{00000000-0005-0000-0000-0000E4080000}"/>
    <cellStyle name="20% - Accent3 4 3 3" xfId="5422" xr:uid="{00000000-0005-0000-0000-0000E5080000}"/>
    <cellStyle name="20% - Accent3 4 3 3 2" xfId="7706" xr:uid="{00000000-0005-0000-0000-0000E6080000}"/>
    <cellStyle name="20% - Accent3 4 3 4" xfId="5421" xr:uid="{00000000-0005-0000-0000-0000E7080000}"/>
    <cellStyle name="20% - Accent3 4 4" xfId="5420" xr:uid="{00000000-0005-0000-0000-0000E8080000}"/>
    <cellStyle name="20% - Accent3 4 4 2" xfId="5419" xr:uid="{00000000-0005-0000-0000-0000E9080000}"/>
    <cellStyle name="20% - Accent3 4 4 2 2" xfId="7707" xr:uid="{00000000-0005-0000-0000-0000EA080000}"/>
    <cellStyle name="20% - Accent3 4 4 3" xfId="5418" xr:uid="{00000000-0005-0000-0000-0000EB080000}"/>
    <cellStyle name="20% - Accent3 4 4 4" xfId="7708" xr:uid="{00000000-0005-0000-0000-0000EC080000}"/>
    <cellStyle name="20% - Accent3 4 5" xfId="5417" xr:uid="{00000000-0005-0000-0000-0000ED080000}"/>
    <cellStyle name="20% - Accent3 4 5 2" xfId="5416" xr:uid="{00000000-0005-0000-0000-0000EE080000}"/>
    <cellStyle name="20% - Accent3 4 5 3" xfId="5415" xr:uid="{00000000-0005-0000-0000-0000EF080000}"/>
    <cellStyle name="20% - Accent3 4 6" xfId="5414" xr:uid="{00000000-0005-0000-0000-0000F0080000}"/>
    <cellStyle name="20% - Accent3 4 6 2" xfId="7709" xr:uid="{00000000-0005-0000-0000-0000F1080000}"/>
    <cellStyle name="20% - Accent3 4 7" xfId="5413" xr:uid="{00000000-0005-0000-0000-0000F2080000}"/>
    <cellStyle name="20% - Accent3 4 7 2" xfId="7710" xr:uid="{00000000-0005-0000-0000-0000F3080000}"/>
    <cellStyle name="20% - Accent3 4 8" xfId="7711" xr:uid="{00000000-0005-0000-0000-0000F4080000}"/>
    <cellStyle name="20% - Accent3 4 9" xfId="7712" xr:uid="{00000000-0005-0000-0000-0000F5080000}"/>
    <cellStyle name="20% - Accent3 5" xfId="5412" xr:uid="{00000000-0005-0000-0000-0000F6080000}"/>
    <cellStyle name="20% - Accent3 5 10" xfId="7713" xr:uid="{00000000-0005-0000-0000-0000F7080000}"/>
    <cellStyle name="20% - Accent3 5 11" xfId="7714" xr:uid="{00000000-0005-0000-0000-0000F8080000}"/>
    <cellStyle name="20% - Accent3 5 2" xfId="5411" xr:uid="{00000000-0005-0000-0000-0000F9080000}"/>
    <cellStyle name="20% - Accent3 5 2 2" xfId="5410" xr:uid="{00000000-0005-0000-0000-0000FA080000}"/>
    <cellStyle name="20% - Accent3 5 2 2 2" xfId="5409" xr:uid="{00000000-0005-0000-0000-0000FB080000}"/>
    <cellStyle name="20% - Accent3 5 2 2 2 2" xfId="7715" xr:uid="{00000000-0005-0000-0000-0000FC080000}"/>
    <cellStyle name="20% - Accent3 5 2 2 2 2 2" xfId="7716" xr:uid="{00000000-0005-0000-0000-0000FD080000}"/>
    <cellStyle name="20% - Accent3 5 2 2 2 3" xfId="7717" xr:uid="{00000000-0005-0000-0000-0000FE080000}"/>
    <cellStyle name="20% - Accent3 5 2 2 2 3 2" xfId="7718" xr:uid="{00000000-0005-0000-0000-0000FF080000}"/>
    <cellStyle name="20% - Accent3 5 2 2 2 4" xfId="7719" xr:uid="{00000000-0005-0000-0000-000000090000}"/>
    <cellStyle name="20% - Accent3 5 2 2 2 4 2" xfId="7720" xr:uid="{00000000-0005-0000-0000-000001090000}"/>
    <cellStyle name="20% - Accent3 5 2 2 2 5" xfId="7721" xr:uid="{00000000-0005-0000-0000-000002090000}"/>
    <cellStyle name="20% - Accent3 5 2 2 3" xfId="5408" xr:uid="{00000000-0005-0000-0000-000003090000}"/>
    <cellStyle name="20% - Accent3 5 2 2 3 2" xfId="7722" xr:uid="{00000000-0005-0000-0000-000004090000}"/>
    <cellStyle name="20% - Accent3 5 2 2 3 2 2" xfId="7723" xr:uid="{00000000-0005-0000-0000-000005090000}"/>
    <cellStyle name="20% - Accent3 5 2 2 3 3" xfId="7724" xr:uid="{00000000-0005-0000-0000-000006090000}"/>
    <cellStyle name="20% - Accent3 5 2 2 3 3 2" xfId="7725" xr:uid="{00000000-0005-0000-0000-000007090000}"/>
    <cellStyle name="20% - Accent3 5 2 2 3 4" xfId="7726" xr:uid="{00000000-0005-0000-0000-000008090000}"/>
    <cellStyle name="20% - Accent3 5 2 2 4" xfId="7727" xr:uid="{00000000-0005-0000-0000-000009090000}"/>
    <cellStyle name="20% - Accent3 5 2 2 4 2" xfId="7728" xr:uid="{00000000-0005-0000-0000-00000A090000}"/>
    <cellStyle name="20% - Accent3 5 2 2 4 2 2" xfId="7729" xr:uid="{00000000-0005-0000-0000-00000B090000}"/>
    <cellStyle name="20% - Accent3 5 2 2 4 3" xfId="7730" xr:uid="{00000000-0005-0000-0000-00000C090000}"/>
    <cellStyle name="20% - Accent3 5 2 2 4 3 2" xfId="7731" xr:uid="{00000000-0005-0000-0000-00000D090000}"/>
    <cellStyle name="20% - Accent3 5 2 2 4 4" xfId="7732" xr:uid="{00000000-0005-0000-0000-00000E090000}"/>
    <cellStyle name="20% - Accent3 5 2 2 5" xfId="7733" xr:uid="{00000000-0005-0000-0000-00000F090000}"/>
    <cellStyle name="20% - Accent3 5 2 2 5 2" xfId="7734" xr:uid="{00000000-0005-0000-0000-000010090000}"/>
    <cellStyle name="20% - Accent3 5 2 2 5 2 2" xfId="7735" xr:uid="{00000000-0005-0000-0000-000011090000}"/>
    <cellStyle name="20% - Accent3 5 2 2 5 3" xfId="7736" xr:uid="{00000000-0005-0000-0000-000012090000}"/>
    <cellStyle name="20% - Accent3 5 2 2 5 3 2" xfId="7737" xr:uid="{00000000-0005-0000-0000-000013090000}"/>
    <cellStyle name="20% - Accent3 5 2 2 5 4" xfId="7738" xr:uid="{00000000-0005-0000-0000-000014090000}"/>
    <cellStyle name="20% - Accent3 5 2 2 6" xfId="7739" xr:uid="{00000000-0005-0000-0000-000015090000}"/>
    <cellStyle name="20% - Accent3 5 2 2 7" xfId="7740" xr:uid="{00000000-0005-0000-0000-000016090000}"/>
    <cellStyle name="20% - Accent3 5 2 3" xfId="5407" xr:uid="{00000000-0005-0000-0000-000017090000}"/>
    <cellStyle name="20% - Accent3 5 2 4" xfId="5406" xr:uid="{00000000-0005-0000-0000-000018090000}"/>
    <cellStyle name="20% - Accent3 5 2 5" xfId="7741" xr:uid="{00000000-0005-0000-0000-000019090000}"/>
    <cellStyle name="20% - Accent3 5 2 5 2" xfId="7742" xr:uid="{00000000-0005-0000-0000-00001A090000}"/>
    <cellStyle name="20% - Accent3 5 2 6" xfId="7743" xr:uid="{00000000-0005-0000-0000-00001B090000}"/>
    <cellStyle name="20% - Accent3 5 3" xfId="5405" xr:uid="{00000000-0005-0000-0000-00001C090000}"/>
    <cellStyle name="20% - Accent3 5 3 2" xfId="5404" xr:uid="{00000000-0005-0000-0000-00001D090000}"/>
    <cellStyle name="20% - Accent3 5 3 2 2" xfId="7744" xr:uid="{00000000-0005-0000-0000-00001E090000}"/>
    <cellStyle name="20% - Accent3 5 3 3" xfId="5403" xr:uid="{00000000-0005-0000-0000-00001F090000}"/>
    <cellStyle name="20% - Accent3 5 3 4" xfId="7745" xr:uid="{00000000-0005-0000-0000-000020090000}"/>
    <cellStyle name="20% - Accent3 5 3 5" xfId="7746" xr:uid="{00000000-0005-0000-0000-000021090000}"/>
    <cellStyle name="20% - Accent3 5 3 5 2" xfId="7747" xr:uid="{00000000-0005-0000-0000-000022090000}"/>
    <cellStyle name="20% - Accent3 5 3 6" xfId="7748" xr:uid="{00000000-0005-0000-0000-000023090000}"/>
    <cellStyle name="20% - Accent3 5 4" xfId="5402" xr:uid="{00000000-0005-0000-0000-000024090000}"/>
    <cellStyle name="20% - Accent3 5 4 2" xfId="5401" xr:uid="{00000000-0005-0000-0000-000025090000}"/>
    <cellStyle name="20% - Accent3 5 4 3" xfId="5400" xr:uid="{00000000-0005-0000-0000-000026090000}"/>
    <cellStyle name="20% - Accent3 5 5" xfId="5399" xr:uid="{00000000-0005-0000-0000-000027090000}"/>
    <cellStyle name="20% - Accent3 5 5 2" xfId="7749" xr:uid="{00000000-0005-0000-0000-000028090000}"/>
    <cellStyle name="20% - Accent3 5 5 2 2" xfId="7750" xr:uid="{00000000-0005-0000-0000-000029090000}"/>
    <cellStyle name="20% - Accent3 5 5 2 2 2" xfId="7751" xr:uid="{00000000-0005-0000-0000-00002A090000}"/>
    <cellStyle name="20% - Accent3 5 5 2 3" xfId="7752" xr:uid="{00000000-0005-0000-0000-00002B090000}"/>
    <cellStyle name="20% - Accent3 5 5 2 3 2" xfId="7753" xr:uid="{00000000-0005-0000-0000-00002C090000}"/>
    <cellStyle name="20% - Accent3 5 5 2 4" xfId="7754" xr:uid="{00000000-0005-0000-0000-00002D090000}"/>
    <cellStyle name="20% - Accent3 5 5 2 4 2" xfId="7755" xr:uid="{00000000-0005-0000-0000-00002E090000}"/>
    <cellStyle name="20% - Accent3 5 5 2 5" xfId="7756" xr:uid="{00000000-0005-0000-0000-00002F090000}"/>
    <cellStyle name="20% - Accent3 5 5 3" xfId="7757" xr:uid="{00000000-0005-0000-0000-000030090000}"/>
    <cellStyle name="20% - Accent3 5 5 3 2" xfId="7758" xr:uid="{00000000-0005-0000-0000-000031090000}"/>
    <cellStyle name="20% - Accent3 5 5 3 2 2" xfId="7759" xr:uid="{00000000-0005-0000-0000-000032090000}"/>
    <cellStyle name="20% - Accent3 5 5 3 3" xfId="7760" xr:uid="{00000000-0005-0000-0000-000033090000}"/>
    <cellStyle name="20% - Accent3 5 5 3 3 2" xfId="7761" xr:uid="{00000000-0005-0000-0000-000034090000}"/>
    <cellStyle name="20% - Accent3 5 5 3 4" xfId="7762" xr:uid="{00000000-0005-0000-0000-000035090000}"/>
    <cellStyle name="20% - Accent3 5 5 4" xfId="7763" xr:uid="{00000000-0005-0000-0000-000036090000}"/>
    <cellStyle name="20% - Accent3 5 5 4 2" xfId="7764" xr:uid="{00000000-0005-0000-0000-000037090000}"/>
    <cellStyle name="20% - Accent3 5 5 4 2 2" xfId="7765" xr:uid="{00000000-0005-0000-0000-000038090000}"/>
    <cellStyle name="20% - Accent3 5 5 4 3" xfId="7766" xr:uid="{00000000-0005-0000-0000-000039090000}"/>
    <cellStyle name="20% - Accent3 5 5 4 3 2" xfId="7767" xr:uid="{00000000-0005-0000-0000-00003A090000}"/>
    <cellStyle name="20% - Accent3 5 5 4 4" xfId="7768" xr:uid="{00000000-0005-0000-0000-00003B090000}"/>
    <cellStyle name="20% - Accent3 5 5 5" xfId="7769" xr:uid="{00000000-0005-0000-0000-00003C090000}"/>
    <cellStyle name="20% - Accent3 5 5 5 2" xfId="7770" xr:uid="{00000000-0005-0000-0000-00003D090000}"/>
    <cellStyle name="20% - Accent3 5 5 5 2 2" xfId="7771" xr:uid="{00000000-0005-0000-0000-00003E090000}"/>
    <cellStyle name="20% - Accent3 5 5 5 3" xfId="7772" xr:uid="{00000000-0005-0000-0000-00003F090000}"/>
    <cellStyle name="20% - Accent3 5 5 5 3 2" xfId="7773" xr:uid="{00000000-0005-0000-0000-000040090000}"/>
    <cellStyle name="20% - Accent3 5 5 5 4" xfId="7774" xr:uid="{00000000-0005-0000-0000-000041090000}"/>
    <cellStyle name="20% - Accent3 5 5 6" xfId="7775" xr:uid="{00000000-0005-0000-0000-000042090000}"/>
    <cellStyle name="20% - Accent3 5 6" xfId="5398" xr:uid="{00000000-0005-0000-0000-000043090000}"/>
    <cellStyle name="20% - Accent3 5 6 2" xfId="7776" xr:uid="{00000000-0005-0000-0000-000044090000}"/>
    <cellStyle name="20% - Accent3 5 6 2 2" xfId="7777" xr:uid="{00000000-0005-0000-0000-000045090000}"/>
    <cellStyle name="20% - Accent3 5 6 2 2 2" xfId="7778" xr:uid="{00000000-0005-0000-0000-000046090000}"/>
    <cellStyle name="20% - Accent3 5 6 2 2 2 2" xfId="7779" xr:uid="{00000000-0005-0000-0000-000047090000}"/>
    <cellStyle name="20% - Accent3 5 6 2 2 3" xfId="7780" xr:uid="{00000000-0005-0000-0000-000048090000}"/>
    <cellStyle name="20% - Accent3 5 6 2 2 3 2" xfId="7781" xr:uid="{00000000-0005-0000-0000-000049090000}"/>
    <cellStyle name="20% - Accent3 5 6 2 2 4" xfId="7782" xr:uid="{00000000-0005-0000-0000-00004A090000}"/>
    <cellStyle name="20% - Accent3 5 6 2 2 5" xfId="7783" xr:uid="{00000000-0005-0000-0000-00004B090000}"/>
    <cellStyle name="20% - Accent3 5 6 2 3" xfId="7784" xr:uid="{00000000-0005-0000-0000-00004C090000}"/>
    <cellStyle name="20% - Accent3 5 6 2 3 2" xfId="7785" xr:uid="{00000000-0005-0000-0000-00004D090000}"/>
    <cellStyle name="20% - Accent3 5 6 2 3 2 2" xfId="7786" xr:uid="{00000000-0005-0000-0000-00004E090000}"/>
    <cellStyle name="20% - Accent3 5 6 2 3 3" xfId="7787" xr:uid="{00000000-0005-0000-0000-00004F090000}"/>
    <cellStyle name="20% - Accent3 5 6 2 4" xfId="7788" xr:uid="{00000000-0005-0000-0000-000050090000}"/>
    <cellStyle name="20% - Accent3 5 6 2 4 2" xfId="7789" xr:uid="{00000000-0005-0000-0000-000051090000}"/>
    <cellStyle name="20% - Accent3 5 6 2 5" xfId="7790" xr:uid="{00000000-0005-0000-0000-000052090000}"/>
    <cellStyle name="20% - Accent3 5 6 2 5 2" xfId="7791" xr:uid="{00000000-0005-0000-0000-000053090000}"/>
    <cellStyle name="20% - Accent3 5 6 2 6" xfId="7792" xr:uid="{00000000-0005-0000-0000-000054090000}"/>
    <cellStyle name="20% - Accent3 5 6 3" xfId="7793" xr:uid="{00000000-0005-0000-0000-000055090000}"/>
    <cellStyle name="20% - Accent3 5 6 3 2" xfId="7794" xr:uid="{00000000-0005-0000-0000-000056090000}"/>
    <cellStyle name="20% - Accent3 5 6 3 2 2" xfId="7795" xr:uid="{00000000-0005-0000-0000-000057090000}"/>
    <cellStyle name="20% - Accent3 5 6 3 2 2 2" xfId="7796" xr:uid="{00000000-0005-0000-0000-000058090000}"/>
    <cellStyle name="20% - Accent3 5 6 3 2 3" xfId="7797" xr:uid="{00000000-0005-0000-0000-000059090000}"/>
    <cellStyle name="20% - Accent3 5 6 3 2 3 2" xfId="7798" xr:uid="{00000000-0005-0000-0000-00005A090000}"/>
    <cellStyle name="20% - Accent3 5 6 3 2 4" xfId="7799" xr:uid="{00000000-0005-0000-0000-00005B090000}"/>
    <cellStyle name="20% - Accent3 5 6 3 2 5" xfId="7800" xr:uid="{00000000-0005-0000-0000-00005C090000}"/>
    <cellStyle name="20% - Accent3 5 6 3 3" xfId="7801" xr:uid="{00000000-0005-0000-0000-00005D090000}"/>
    <cellStyle name="20% - Accent3 5 6 3 3 2" xfId="7802" xr:uid="{00000000-0005-0000-0000-00005E090000}"/>
    <cellStyle name="20% - Accent3 5 6 3 3 2 2" xfId="7803" xr:uid="{00000000-0005-0000-0000-00005F090000}"/>
    <cellStyle name="20% - Accent3 5 6 3 3 3" xfId="7804" xr:uid="{00000000-0005-0000-0000-000060090000}"/>
    <cellStyle name="20% - Accent3 5 6 3 4" xfId="7805" xr:uid="{00000000-0005-0000-0000-000061090000}"/>
    <cellStyle name="20% - Accent3 5 6 3 4 2" xfId="7806" xr:uid="{00000000-0005-0000-0000-000062090000}"/>
    <cellStyle name="20% - Accent3 5 6 3 5" xfId="7807" xr:uid="{00000000-0005-0000-0000-000063090000}"/>
    <cellStyle name="20% - Accent3 5 6 3 5 2" xfId="7808" xr:uid="{00000000-0005-0000-0000-000064090000}"/>
    <cellStyle name="20% - Accent3 5 6 3 6" xfId="7809" xr:uid="{00000000-0005-0000-0000-000065090000}"/>
    <cellStyle name="20% - Accent3 5 6 4" xfId="7810" xr:uid="{00000000-0005-0000-0000-000066090000}"/>
    <cellStyle name="20% - Accent3 5 6 4 2" xfId="7811" xr:uid="{00000000-0005-0000-0000-000067090000}"/>
    <cellStyle name="20% - Accent3 5 6 4 2 2" xfId="7812" xr:uid="{00000000-0005-0000-0000-000068090000}"/>
    <cellStyle name="20% - Accent3 5 6 4 3" xfId="7813" xr:uid="{00000000-0005-0000-0000-000069090000}"/>
    <cellStyle name="20% - Accent3 5 6 4 3 2" xfId="7814" xr:uid="{00000000-0005-0000-0000-00006A090000}"/>
    <cellStyle name="20% - Accent3 5 6 4 4" xfId="7815" xr:uid="{00000000-0005-0000-0000-00006B090000}"/>
    <cellStyle name="20% - Accent3 5 6 5" xfId="7816" xr:uid="{00000000-0005-0000-0000-00006C090000}"/>
    <cellStyle name="20% - Accent3 5 6 5 2" xfId="7817" xr:uid="{00000000-0005-0000-0000-00006D090000}"/>
    <cellStyle name="20% - Accent3 5 6 5 3" xfId="7818" xr:uid="{00000000-0005-0000-0000-00006E090000}"/>
    <cellStyle name="20% - Accent3 5 6 6" xfId="7819" xr:uid="{00000000-0005-0000-0000-00006F090000}"/>
    <cellStyle name="20% - Accent3 5 6 6 2" xfId="7820" xr:uid="{00000000-0005-0000-0000-000070090000}"/>
    <cellStyle name="20% - Accent3 5 6 6 3" xfId="7821" xr:uid="{00000000-0005-0000-0000-000071090000}"/>
    <cellStyle name="20% - Accent3 5 6 7" xfId="7822" xr:uid="{00000000-0005-0000-0000-000072090000}"/>
    <cellStyle name="20% - Accent3 5 6 7 2" xfId="7823" xr:uid="{00000000-0005-0000-0000-000073090000}"/>
    <cellStyle name="20% - Accent3 5 6 7 3" xfId="7824" xr:uid="{00000000-0005-0000-0000-000074090000}"/>
    <cellStyle name="20% - Accent3 5 6 8" xfId="7825" xr:uid="{00000000-0005-0000-0000-000075090000}"/>
    <cellStyle name="20% - Accent3 5 7" xfId="7826" xr:uid="{00000000-0005-0000-0000-000076090000}"/>
    <cellStyle name="20% - Accent3 5 7 2" xfId="7827" xr:uid="{00000000-0005-0000-0000-000077090000}"/>
    <cellStyle name="20% - Accent3 5 7 2 2" xfId="7828" xr:uid="{00000000-0005-0000-0000-000078090000}"/>
    <cellStyle name="20% - Accent3 5 7 2 2 2" xfId="7829" xr:uid="{00000000-0005-0000-0000-000079090000}"/>
    <cellStyle name="20% - Accent3 5 7 2 3" xfId="7830" xr:uid="{00000000-0005-0000-0000-00007A090000}"/>
    <cellStyle name="20% - Accent3 5 7 2 3 2" xfId="7831" xr:uid="{00000000-0005-0000-0000-00007B090000}"/>
    <cellStyle name="20% - Accent3 5 7 2 4" xfId="7832" xr:uid="{00000000-0005-0000-0000-00007C090000}"/>
    <cellStyle name="20% - Accent3 5 7 2 4 2" xfId="7833" xr:uid="{00000000-0005-0000-0000-00007D090000}"/>
    <cellStyle name="20% - Accent3 5 7 2 5" xfId="7834" xr:uid="{00000000-0005-0000-0000-00007E090000}"/>
    <cellStyle name="20% - Accent3 5 7 3" xfId="7835" xr:uid="{00000000-0005-0000-0000-00007F090000}"/>
    <cellStyle name="20% - Accent3 5 7 3 2" xfId="7836" xr:uid="{00000000-0005-0000-0000-000080090000}"/>
    <cellStyle name="20% - Accent3 5 7 3 2 2" xfId="7837" xr:uid="{00000000-0005-0000-0000-000081090000}"/>
    <cellStyle name="20% - Accent3 5 7 3 3" xfId="7838" xr:uid="{00000000-0005-0000-0000-000082090000}"/>
    <cellStyle name="20% - Accent3 5 7 3 3 2" xfId="7839" xr:uid="{00000000-0005-0000-0000-000083090000}"/>
    <cellStyle name="20% - Accent3 5 7 3 4" xfId="7840" xr:uid="{00000000-0005-0000-0000-000084090000}"/>
    <cellStyle name="20% - Accent3 5 7 4" xfId="7841" xr:uid="{00000000-0005-0000-0000-000085090000}"/>
    <cellStyle name="20% - Accent3 5 7 4 2" xfId="7842" xr:uid="{00000000-0005-0000-0000-000086090000}"/>
    <cellStyle name="20% - Accent3 5 7 5" xfId="7843" xr:uid="{00000000-0005-0000-0000-000087090000}"/>
    <cellStyle name="20% - Accent3 5 7 5 2" xfId="7844" xr:uid="{00000000-0005-0000-0000-000088090000}"/>
    <cellStyle name="20% - Accent3 5 7 6" xfId="7845" xr:uid="{00000000-0005-0000-0000-000089090000}"/>
    <cellStyle name="20% - Accent3 5 7 7" xfId="7846" xr:uid="{00000000-0005-0000-0000-00008A090000}"/>
    <cellStyle name="20% - Accent3 5 8" xfId="7847" xr:uid="{00000000-0005-0000-0000-00008B090000}"/>
    <cellStyle name="20% - Accent3 5 8 2" xfId="7848" xr:uid="{00000000-0005-0000-0000-00008C090000}"/>
    <cellStyle name="20% - Accent3 5 8 2 2" xfId="7849" xr:uid="{00000000-0005-0000-0000-00008D090000}"/>
    <cellStyle name="20% - Accent3 5 8 2 2 2" xfId="7850" xr:uid="{00000000-0005-0000-0000-00008E090000}"/>
    <cellStyle name="20% - Accent3 5 8 2 3" xfId="7851" xr:uid="{00000000-0005-0000-0000-00008F090000}"/>
    <cellStyle name="20% - Accent3 5 8 2 3 2" xfId="7852" xr:uid="{00000000-0005-0000-0000-000090090000}"/>
    <cellStyle name="20% - Accent3 5 8 2 4" xfId="7853" xr:uid="{00000000-0005-0000-0000-000091090000}"/>
    <cellStyle name="20% - Accent3 5 8 3" xfId="7854" xr:uid="{00000000-0005-0000-0000-000092090000}"/>
    <cellStyle name="20% - Accent3 5 8 3 2" xfId="7855" xr:uid="{00000000-0005-0000-0000-000093090000}"/>
    <cellStyle name="20% - Accent3 5 8 4" xfId="7856" xr:uid="{00000000-0005-0000-0000-000094090000}"/>
    <cellStyle name="20% - Accent3 5 9" xfId="7857" xr:uid="{00000000-0005-0000-0000-000095090000}"/>
    <cellStyle name="20% - Accent3 5 9 2" xfId="7858" xr:uid="{00000000-0005-0000-0000-000096090000}"/>
    <cellStyle name="20% - Accent3 6" xfId="5397" xr:uid="{00000000-0005-0000-0000-000097090000}"/>
    <cellStyle name="20% - Accent3 6 10" xfId="7859" xr:uid="{00000000-0005-0000-0000-000098090000}"/>
    <cellStyle name="20% - Accent3 6 2" xfId="5396" xr:uid="{00000000-0005-0000-0000-000099090000}"/>
    <cellStyle name="20% - Accent3 6 2 2" xfId="5395" xr:uid="{00000000-0005-0000-0000-00009A090000}"/>
    <cellStyle name="20% - Accent3 6 2 2 2" xfId="5394" xr:uid="{00000000-0005-0000-0000-00009B090000}"/>
    <cellStyle name="20% - Accent3 6 2 2 3" xfId="5393" xr:uid="{00000000-0005-0000-0000-00009C090000}"/>
    <cellStyle name="20% - Accent3 6 2 3" xfId="5392" xr:uid="{00000000-0005-0000-0000-00009D090000}"/>
    <cellStyle name="20% - Accent3 6 2 4" xfId="5391" xr:uid="{00000000-0005-0000-0000-00009E090000}"/>
    <cellStyle name="20% - Accent3 6 2 5" xfId="7860" xr:uid="{00000000-0005-0000-0000-00009F090000}"/>
    <cellStyle name="20% - Accent3 6 2 5 2" xfId="7861" xr:uid="{00000000-0005-0000-0000-0000A0090000}"/>
    <cellStyle name="20% - Accent3 6 2 5 2 2" xfId="7862" xr:uid="{00000000-0005-0000-0000-0000A1090000}"/>
    <cellStyle name="20% - Accent3 6 2 5 3" xfId="7863" xr:uid="{00000000-0005-0000-0000-0000A2090000}"/>
    <cellStyle name="20% - Accent3 6 2 5 3 2" xfId="7864" xr:uid="{00000000-0005-0000-0000-0000A3090000}"/>
    <cellStyle name="20% - Accent3 6 2 5 4" xfId="7865" xr:uid="{00000000-0005-0000-0000-0000A4090000}"/>
    <cellStyle name="20% - Accent3 6 2 5 5" xfId="7866" xr:uid="{00000000-0005-0000-0000-0000A5090000}"/>
    <cellStyle name="20% - Accent3 6 2 6" xfId="7867" xr:uid="{00000000-0005-0000-0000-0000A6090000}"/>
    <cellStyle name="20% - Accent3 6 2 6 2" xfId="7868" xr:uid="{00000000-0005-0000-0000-0000A7090000}"/>
    <cellStyle name="20% - Accent3 6 2 7" xfId="7869" xr:uid="{00000000-0005-0000-0000-0000A8090000}"/>
    <cellStyle name="20% - Accent3 6 2 7 2" xfId="7870" xr:uid="{00000000-0005-0000-0000-0000A9090000}"/>
    <cellStyle name="20% - Accent3 6 2 8" xfId="7871" xr:uid="{00000000-0005-0000-0000-0000AA090000}"/>
    <cellStyle name="20% - Accent3 6 2 8 2" xfId="7872" xr:uid="{00000000-0005-0000-0000-0000AB090000}"/>
    <cellStyle name="20% - Accent3 6 2 9" xfId="7873" xr:uid="{00000000-0005-0000-0000-0000AC090000}"/>
    <cellStyle name="20% - Accent3 6 3" xfId="5390" xr:uid="{00000000-0005-0000-0000-0000AD090000}"/>
    <cellStyle name="20% - Accent3 6 3 2" xfId="5389" xr:uid="{00000000-0005-0000-0000-0000AE090000}"/>
    <cellStyle name="20% - Accent3 6 3 3" xfId="5388" xr:uid="{00000000-0005-0000-0000-0000AF090000}"/>
    <cellStyle name="20% - Accent3 6 3 4" xfId="7874" xr:uid="{00000000-0005-0000-0000-0000B0090000}"/>
    <cellStyle name="20% - Accent3 6 3 4 2" xfId="7875" xr:uid="{00000000-0005-0000-0000-0000B1090000}"/>
    <cellStyle name="20% - Accent3 6 3 5" xfId="7876" xr:uid="{00000000-0005-0000-0000-0000B2090000}"/>
    <cellStyle name="20% - Accent3 6 3 5 2" xfId="7877" xr:uid="{00000000-0005-0000-0000-0000B3090000}"/>
    <cellStyle name="20% - Accent3 6 4" xfId="5387" xr:uid="{00000000-0005-0000-0000-0000B4090000}"/>
    <cellStyle name="20% - Accent3 6 4 2" xfId="5386" xr:uid="{00000000-0005-0000-0000-0000B5090000}"/>
    <cellStyle name="20% - Accent3 6 4 2 2" xfId="7878" xr:uid="{00000000-0005-0000-0000-0000B6090000}"/>
    <cellStyle name="20% - Accent3 6 4 2 2 2" xfId="7879" xr:uid="{00000000-0005-0000-0000-0000B7090000}"/>
    <cellStyle name="20% - Accent3 6 4 2 2 2 2" xfId="7880" xr:uid="{00000000-0005-0000-0000-0000B8090000}"/>
    <cellStyle name="20% - Accent3 6 4 2 2 3" xfId="7881" xr:uid="{00000000-0005-0000-0000-0000B9090000}"/>
    <cellStyle name="20% - Accent3 6 4 2 2 3 2" xfId="7882" xr:uid="{00000000-0005-0000-0000-0000BA090000}"/>
    <cellStyle name="20% - Accent3 6 4 2 2 4" xfId="7883" xr:uid="{00000000-0005-0000-0000-0000BB090000}"/>
    <cellStyle name="20% - Accent3 6 4 2 2 5" xfId="7884" xr:uid="{00000000-0005-0000-0000-0000BC090000}"/>
    <cellStyle name="20% - Accent3 6 4 2 3" xfId="7885" xr:uid="{00000000-0005-0000-0000-0000BD090000}"/>
    <cellStyle name="20% - Accent3 6 4 2 3 2" xfId="7886" xr:uid="{00000000-0005-0000-0000-0000BE090000}"/>
    <cellStyle name="20% - Accent3 6 4 2 3 2 2" xfId="7887" xr:uid="{00000000-0005-0000-0000-0000BF090000}"/>
    <cellStyle name="20% - Accent3 6 4 2 3 3" xfId="7888" xr:uid="{00000000-0005-0000-0000-0000C0090000}"/>
    <cellStyle name="20% - Accent3 6 4 2 4" xfId="7889" xr:uid="{00000000-0005-0000-0000-0000C1090000}"/>
    <cellStyle name="20% - Accent3 6 4 2 4 2" xfId="7890" xr:uid="{00000000-0005-0000-0000-0000C2090000}"/>
    <cellStyle name="20% - Accent3 6 4 2 5" xfId="7891" xr:uid="{00000000-0005-0000-0000-0000C3090000}"/>
    <cellStyle name="20% - Accent3 6 4 2 5 2" xfId="7892" xr:uid="{00000000-0005-0000-0000-0000C4090000}"/>
    <cellStyle name="20% - Accent3 6 4 2 6" xfId="7893" xr:uid="{00000000-0005-0000-0000-0000C5090000}"/>
    <cellStyle name="20% - Accent3 6 4 3" xfId="5385" xr:uid="{00000000-0005-0000-0000-0000C6090000}"/>
    <cellStyle name="20% - Accent3 6 4 3 2" xfId="7894" xr:uid="{00000000-0005-0000-0000-0000C7090000}"/>
    <cellStyle name="20% - Accent3 6 4 3 2 2" xfId="7895" xr:uid="{00000000-0005-0000-0000-0000C8090000}"/>
    <cellStyle name="20% - Accent3 6 4 3 3" xfId="7896" xr:uid="{00000000-0005-0000-0000-0000C9090000}"/>
    <cellStyle name="20% - Accent3 6 4 3 3 2" xfId="7897" xr:uid="{00000000-0005-0000-0000-0000CA090000}"/>
    <cellStyle name="20% - Accent3 6 4 3 4" xfId="7898" xr:uid="{00000000-0005-0000-0000-0000CB090000}"/>
    <cellStyle name="20% - Accent3 6 4 4" xfId="7899" xr:uid="{00000000-0005-0000-0000-0000CC090000}"/>
    <cellStyle name="20% - Accent3 6 4 4 2" xfId="7900" xr:uid="{00000000-0005-0000-0000-0000CD090000}"/>
    <cellStyle name="20% - Accent3 6 4 4 3" xfId="7901" xr:uid="{00000000-0005-0000-0000-0000CE090000}"/>
    <cellStyle name="20% - Accent3 6 4 5" xfId="7902" xr:uid="{00000000-0005-0000-0000-0000CF090000}"/>
    <cellStyle name="20% - Accent3 6 4 5 2" xfId="7903" xr:uid="{00000000-0005-0000-0000-0000D0090000}"/>
    <cellStyle name="20% - Accent3 6 4 5 3" xfId="7904" xr:uid="{00000000-0005-0000-0000-0000D1090000}"/>
    <cellStyle name="20% - Accent3 6 4 6" xfId="7905" xr:uid="{00000000-0005-0000-0000-0000D2090000}"/>
    <cellStyle name="20% - Accent3 6 4 6 2" xfId="7906" xr:uid="{00000000-0005-0000-0000-0000D3090000}"/>
    <cellStyle name="20% - Accent3 6 4 6 3" xfId="7907" xr:uid="{00000000-0005-0000-0000-0000D4090000}"/>
    <cellStyle name="20% - Accent3 6 4 7" xfId="7908" xr:uid="{00000000-0005-0000-0000-0000D5090000}"/>
    <cellStyle name="20% - Accent3 6 4 8" xfId="7909" xr:uid="{00000000-0005-0000-0000-0000D6090000}"/>
    <cellStyle name="20% - Accent3 6 5" xfId="5384" xr:uid="{00000000-0005-0000-0000-0000D7090000}"/>
    <cellStyle name="20% - Accent3 6 5 2" xfId="7910" xr:uid="{00000000-0005-0000-0000-0000D8090000}"/>
    <cellStyle name="20% - Accent3 6 5 2 2" xfId="7911" xr:uid="{00000000-0005-0000-0000-0000D9090000}"/>
    <cellStyle name="20% - Accent3 6 5 2 2 2" xfId="7912" xr:uid="{00000000-0005-0000-0000-0000DA090000}"/>
    <cellStyle name="20% - Accent3 6 5 2 3" xfId="7913" xr:uid="{00000000-0005-0000-0000-0000DB090000}"/>
    <cellStyle name="20% - Accent3 6 5 2 3 2" xfId="7914" xr:uid="{00000000-0005-0000-0000-0000DC090000}"/>
    <cellStyle name="20% - Accent3 6 5 2 4" xfId="7915" xr:uid="{00000000-0005-0000-0000-0000DD090000}"/>
    <cellStyle name="20% - Accent3 6 5 3" xfId="7916" xr:uid="{00000000-0005-0000-0000-0000DE090000}"/>
    <cellStyle name="20% - Accent3 6 5 3 2" xfId="7917" xr:uid="{00000000-0005-0000-0000-0000DF090000}"/>
    <cellStyle name="20% - Accent3 6 5 3 3" xfId="7918" xr:uid="{00000000-0005-0000-0000-0000E0090000}"/>
    <cellStyle name="20% - Accent3 6 5 4" xfId="7919" xr:uid="{00000000-0005-0000-0000-0000E1090000}"/>
    <cellStyle name="20% - Accent3 6 5 4 2" xfId="7920" xr:uid="{00000000-0005-0000-0000-0000E2090000}"/>
    <cellStyle name="20% - Accent3 6 5 4 3" xfId="7921" xr:uid="{00000000-0005-0000-0000-0000E3090000}"/>
    <cellStyle name="20% - Accent3 6 5 5" xfId="7922" xr:uid="{00000000-0005-0000-0000-0000E4090000}"/>
    <cellStyle name="20% - Accent3 6 5 5 2" xfId="7923" xr:uid="{00000000-0005-0000-0000-0000E5090000}"/>
    <cellStyle name="20% - Accent3 6 5 5 3" xfId="7924" xr:uid="{00000000-0005-0000-0000-0000E6090000}"/>
    <cellStyle name="20% - Accent3 6 5 6" xfId="7925" xr:uid="{00000000-0005-0000-0000-0000E7090000}"/>
    <cellStyle name="20% - Accent3 6 6" xfId="5383" xr:uid="{00000000-0005-0000-0000-0000E8090000}"/>
    <cellStyle name="20% - Accent3 6 7" xfId="7926" xr:uid="{00000000-0005-0000-0000-0000E9090000}"/>
    <cellStyle name="20% - Accent3 6 7 2" xfId="7927" xr:uid="{00000000-0005-0000-0000-0000EA090000}"/>
    <cellStyle name="20% - Accent3 6 7 2 2" xfId="7928" xr:uid="{00000000-0005-0000-0000-0000EB090000}"/>
    <cellStyle name="20% - Accent3 6 7 3" xfId="7929" xr:uid="{00000000-0005-0000-0000-0000EC090000}"/>
    <cellStyle name="20% - Accent3 6 7 3 2" xfId="7930" xr:uid="{00000000-0005-0000-0000-0000ED090000}"/>
    <cellStyle name="20% - Accent3 6 7 4" xfId="7931" xr:uid="{00000000-0005-0000-0000-0000EE090000}"/>
    <cellStyle name="20% - Accent3 6 7 5" xfId="7932" xr:uid="{00000000-0005-0000-0000-0000EF090000}"/>
    <cellStyle name="20% - Accent3 6 8" xfId="7933" xr:uid="{00000000-0005-0000-0000-0000F0090000}"/>
    <cellStyle name="20% - Accent3 6 8 2" xfId="7934" xr:uid="{00000000-0005-0000-0000-0000F1090000}"/>
    <cellStyle name="20% - Accent3 6 8 2 2" xfId="7935" xr:uid="{00000000-0005-0000-0000-0000F2090000}"/>
    <cellStyle name="20% - Accent3 6 8 3" xfId="7936" xr:uid="{00000000-0005-0000-0000-0000F3090000}"/>
    <cellStyle name="20% - Accent3 6 9" xfId="7937" xr:uid="{00000000-0005-0000-0000-0000F4090000}"/>
    <cellStyle name="20% - Accent3 6 9 2" xfId="7938" xr:uid="{00000000-0005-0000-0000-0000F5090000}"/>
    <cellStyle name="20% - Accent3 7" xfId="5382" xr:uid="{00000000-0005-0000-0000-0000F6090000}"/>
    <cellStyle name="20% - Accent3 7 2" xfId="5381" xr:uid="{00000000-0005-0000-0000-0000F7090000}"/>
    <cellStyle name="20% - Accent3 7 2 2" xfId="5380" xr:uid="{00000000-0005-0000-0000-0000F8090000}"/>
    <cellStyle name="20% - Accent3 7 2 2 2" xfId="5379" xr:uid="{00000000-0005-0000-0000-0000F9090000}"/>
    <cellStyle name="20% - Accent3 7 2 2 2 2" xfId="7939" xr:uid="{00000000-0005-0000-0000-0000FA090000}"/>
    <cellStyle name="20% - Accent3 7 2 2 3" xfId="5378" xr:uid="{00000000-0005-0000-0000-0000FB090000}"/>
    <cellStyle name="20% - Accent3 7 2 2 3 2" xfId="7940" xr:uid="{00000000-0005-0000-0000-0000FC090000}"/>
    <cellStyle name="20% - Accent3 7 2 2 4" xfId="7941" xr:uid="{00000000-0005-0000-0000-0000FD090000}"/>
    <cellStyle name="20% - Accent3 7 2 3" xfId="5377" xr:uid="{00000000-0005-0000-0000-0000FE090000}"/>
    <cellStyle name="20% - Accent3 7 2 3 2" xfId="7942" xr:uid="{00000000-0005-0000-0000-0000FF090000}"/>
    <cellStyle name="20% - Accent3 7 2 3 2 2" xfId="7943" xr:uid="{00000000-0005-0000-0000-0000000A0000}"/>
    <cellStyle name="20% - Accent3 7 2 3 3" xfId="7944" xr:uid="{00000000-0005-0000-0000-0000010A0000}"/>
    <cellStyle name="20% - Accent3 7 2 4" xfId="5376" xr:uid="{00000000-0005-0000-0000-0000020A0000}"/>
    <cellStyle name="20% - Accent3 7 2 4 2" xfId="7945" xr:uid="{00000000-0005-0000-0000-0000030A0000}"/>
    <cellStyle name="20% - Accent3 7 2 4 2 2" xfId="7946" xr:uid="{00000000-0005-0000-0000-0000040A0000}"/>
    <cellStyle name="20% - Accent3 7 2 4 3" xfId="7947" xr:uid="{00000000-0005-0000-0000-0000050A0000}"/>
    <cellStyle name="20% - Accent3 7 2 4 3 2" xfId="7948" xr:uid="{00000000-0005-0000-0000-0000060A0000}"/>
    <cellStyle name="20% - Accent3 7 2 4 4" xfId="7949" xr:uid="{00000000-0005-0000-0000-0000070A0000}"/>
    <cellStyle name="20% - Accent3 7 2 5" xfId="7950" xr:uid="{00000000-0005-0000-0000-0000080A0000}"/>
    <cellStyle name="20% - Accent3 7 2 5 2" xfId="7951" xr:uid="{00000000-0005-0000-0000-0000090A0000}"/>
    <cellStyle name="20% - Accent3 7 2 5 2 2" xfId="7952" xr:uid="{00000000-0005-0000-0000-00000A0A0000}"/>
    <cellStyle name="20% - Accent3 7 2 6" xfId="7953" xr:uid="{00000000-0005-0000-0000-00000B0A0000}"/>
    <cellStyle name="20% - Accent3 7 3" xfId="5375" xr:uid="{00000000-0005-0000-0000-00000C0A0000}"/>
    <cellStyle name="20% - Accent3 7 3 2" xfId="5374" xr:uid="{00000000-0005-0000-0000-00000D0A0000}"/>
    <cellStyle name="20% - Accent3 7 3 2 2" xfId="7954" xr:uid="{00000000-0005-0000-0000-00000E0A0000}"/>
    <cellStyle name="20% - Accent3 7 3 2 2 2" xfId="7955" xr:uid="{00000000-0005-0000-0000-00000F0A0000}"/>
    <cellStyle name="20% - Accent3 7 3 2 3" xfId="7956" xr:uid="{00000000-0005-0000-0000-0000100A0000}"/>
    <cellStyle name="20% - Accent3 7 3 2 3 2" xfId="7957" xr:uid="{00000000-0005-0000-0000-0000110A0000}"/>
    <cellStyle name="20% - Accent3 7 3 2 4" xfId="7958" xr:uid="{00000000-0005-0000-0000-0000120A0000}"/>
    <cellStyle name="20% - Accent3 7 3 3" xfId="5373" xr:uid="{00000000-0005-0000-0000-0000130A0000}"/>
    <cellStyle name="20% - Accent3 7 3 3 2" xfId="7959" xr:uid="{00000000-0005-0000-0000-0000140A0000}"/>
    <cellStyle name="20% - Accent3 7 3 3 2 2" xfId="7960" xr:uid="{00000000-0005-0000-0000-0000150A0000}"/>
    <cellStyle name="20% - Accent3 7 3 3 3" xfId="7961" xr:uid="{00000000-0005-0000-0000-0000160A0000}"/>
    <cellStyle name="20% - Accent3 7 3 3 3 2" xfId="7962" xr:uid="{00000000-0005-0000-0000-0000170A0000}"/>
    <cellStyle name="20% - Accent3 7 3 3 4" xfId="7963" xr:uid="{00000000-0005-0000-0000-0000180A0000}"/>
    <cellStyle name="20% - Accent3 7 3 4" xfId="7964" xr:uid="{00000000-0005-0000-0000-0000190A0000}"/>
    <cellStyle name="20% - Accent3 7 4" xfId="5372" xr:uid="{00000000-0005-0000-0000-00001A0A0000}"/>
    <cellStyle name="20% - Accent3 7 4 2" xfId="5371" xr:uid="{00000000-0005-0000-0000-00001B0A0000}"/>
    <cellStyle name="20% - Accent3 7 4 2 2" xfId="7965" xr:uid="{00000000-0005-0000-0000-00001C0A0000}"/>
    <cellStyle name="20% - Accent3 7 4 3" xfId="5370" xr:uid="{00000000-0005-0000-0000-00001D0A0000}"/>
    <cellStyle name="20% - Accent3 7 4 3 2" xfId="7966" xr:uid="{00000000-0005-0000-0000-00001E0A0000}"/>
    <cellStyle name="20% - Accent3 7 4 4" xfId="7967" xr:uid="{00000000-0005-0000-0000-00001F0A0000}"/>
    <cellStyle name="20% - Accent3 7 4 4 2" xfId="7968" xr:uid="{00000000-0005-0000-0000-0000200A0000}"/>
    <cellStyle name="20% - Accent3 7 4 5" xfId="7969" xr:uid="{00000000-0005-0000-0000-0000210A0000}"/>
    <cellStyle name="20% - Accent3 7 5" xfId="5369" xr:uid="{00000000-0005-0000-0000-0000220A0000}"/>
    <cellStyle name="20% - Accent3 7 5 2" xfId="7970" xr:uid="{00000000-0005-0000-0000-0000230A0000}"/>
    <cellStyle name="20% - Accent3 7 5 2 2" xfId="7971" xr:uid="{00000000-0005-0000-0000-0000240A0000}"/>
    <cellStyle name="20% - Accent3 7 5 2 2 2" xfId="7972" xr:uid="{00000000-0005-0000-0000-0000250A0000}"/>
    <cellStyle name="20% - Accent3 7 5 3" xfId="7973" xr:uid="{00000000-0005-0000-0000-0000260A0000}"/>
    <cellStyle name="20% - Accent3 7 5 3 2" xfId="7974" xr:uid="{00000000-0005-0000-0000-0000270A0000}"/>
    <cellStyle name="20% - Accent3 7 5 4" xfId="7975" xr:uid="{00000000-0005-0000-0000-0000280A0000}"/>
    <cellStyle name="20% - Accent3 7 6" xfId="5368" xr:uid="{00000000-0005-0000-0000-0000290A0000}"/>
    <cellStyle name="20% - Accent3 7 6 2" xfId="7976" xr:uid="{00000000-0005-0000-0000-00002A0A0000}"/>
    <cellStyle name="20% - Accent3 7 7" xfId="7977" xr:uid="{00000000-0005-0000-0000-00002B0A0000}"/>
    <cellStyle name="20% - Accent3 7 7 2" xfId="7978" xr:uid="{00000000-0005-0000-0000-00002C0A0000}"/>
    <cellStyle name="20% - Accent3 7 8" xfId="7979" xr:uid="{00000000-0005-0000-0000-00002D0A0000}"/>
    <cellStyle name="20% - Accent3 7 8 2" xfId="7980" xr:uid="{00000000-0005-0000-0000-00002E0A0000}"/>
    <cellStyle name="20% - Accent3 7 9" xfId="7981" xr:uid="{00000000-0005-0000-0000-00002F0A0000}"/>
    <cellStyle name="20% - Accent3 8" xfId="5367" xr:uid="{00000000-0005-0000-0000-0000300A0000}"/>
    <cellStyle name="20% - Accent3 8 2" xfId="5366" xr:uid="{00000000-0005-0000-0000-0000310A0000}"/>
    <cellStyle name="20% - Accent3 8 2 2" xfId="5365" xr:uid="{00000000-0005-0000-0000-0000320A0000}"/>
    <cellStyle name="20% - Accent3 8 2 2 2" xfId="5364" xr:uid="{00000000-0005-0000-0000-0000330A0000}"/>
    <cellStyle name="20% - Accent3 8 2 2 2 2" xfId="7982" xr:uid="{00000000-0005-0000-0000-0000340A0000}"/>
    <cellStyle name="20% - Accent3 8 2 2 3" xfId="5363" xr:uid="{00000000-0005-0000-0000-0000350A0000}"/>
    <cellStyle name="20% - Accent3 8 2 2 3 2" xfId="7983" xr:uid="{00000000-0005-0000-0000-0000360A0000}"/>
    <cellStyle name="20% - Accent3 8 2 2 4" xfId="7984" xr:uid="{00000000-0005-0000-0000-0000370A0000}"/>
    <cellStyle name="20% - Accent3 8 2 3" xfId="5362" xr:uid="{00000000-0005-0000-0000-0000380A0000}"/>
    <cellStyle name="20% - Accent3 8 2 3 2" xfId="7985" xr:uid="{00000000-0005-0000-0000-0000390A0000}"/>
    <cellStyle name="20% - Accent3 8 2 3 2 2" xfId="7986" xr:uid="{00000000-0005-0000-0000-00003A0A0000}"/>
    <cellStyle name="20% - Accent3 8 2 3 3" xfId="7987" xr:uid="{00000000-0005-0000-0000-00003B0A0000}"/>
    <cellStyle name="20% - Accent3 8 2 4" xfId="5361" xr:uid="{00000000-0005-0000-0000-00003C0A0000}"/>
    <cellStyle name="20% - Accent3 8 2 4 2" xfId="7988" xr:uid="{00000000-0005-0000-0000-00003D0A0000}"/>
    <cellStyle name="20% - Accent3 8 2 4 2 2" xfId="7989" xr:uid="{00000000-0005-0000-0000-00003E0A0000}"/>
    <cellStyle name="20% - Accent3 8 2 4 3" xfId="7990" xr:uid="{00000000-0005-0000-0000-00003F0A0000}"/>
    <cellStyle name="20% - Accent3 8 2 4 3 2" xfId="7991" xr:uid="{00000000-0005-0000-0000-0000400A0000}"/>
    <cellStyle name="20% - Accent3 8 2 4 4" xfId="7992" xr:uid="{00000000-0005-0000-0000-0000410A0000}"/>
    <cellStyle name="20% - Accent3 8 2 5" xfId="7993" xr:uid="{00000000-0005-0000-0000-0000420A0000}"/>
    <cellStyle name="20% - Accent3 8 2 5 2" xfId="7994" xr:uid="{00000000-0005-0000-0000-0000430A0000}"/>
    <cellStyle name="20% - Accent3 8 2 6" xfId="7995" xr:uid="{00000000-0005-0000-0000-0000440A0000}"/>
    <cellStyle name="20% - Accent3 8 3" xfId="5360" xr:uid="{00000000-0005-0000-0000-0000450A0000}"/>
    <cellStyle name="20% - Accent3 8 3 2" xfId="5359" xr:uid="{00000000-0005-0000-0000-0000460A0000}"/>
    <cellStyle name="20% - Accent3 8 3 2 2" xfId="7996" xr:uid="{00000000-0005-0000-0000-0000470A0000}"/>
    <cellStyle name="20% - Accent3 8 3 2 2 2" xfId="7997" xr:uid="{00000000-0005-0000-0000-0000480A0000}"/>
    <cellStyle name="20% - Accent3 8 3 2 3" xfId="7998" xr:uid="{00000000-0005-0000-0000-0000490A0000}"/>
    <cellStyle name="20% - Accent3 8 3 2 3 2" xfId="7999" xr:uid="{00000000-0005-0000-0000-00004A0A0000}"/>
    <cellStyle name="20% - Accent3 8 3 2 4" xfId="8000" xr:uid="{00000000-0005-0000-0000-00004B0A0000}"/>
    <cellStyle name="20% - Accent3 8 3 3" xfId="5358" xr:uid="{00000000-0005-0000-0000-00004C0A0000}"/>
    <cellStyle name="20% - Accent3 8 3 3 2" xfId="8001" xr:uid="{00000000-0005-0000-0000-00004D0A0000}"/>
    <cellStyle name="20% - Accent3 8 3 3 2 2" xfId="8002" xr:uid="{00000000-0005-0000-0000-00004E0A0000}"/>
    <cellStyle name="20% - Accent3 8 3 3 3" xfId="8003" xr:uid="{00000000-0005-0000-0000-00004F0A0000}"/>
    <cellStyle name="20% - Accent3 8 3 3 3 2" xfId="8004" xr:uid="{00000000-0005-0000-0000-0000500A0000}"/>
    <cellStyle name="20% - Accent3 8 3 3 4" xfId="8005" xr:uid="{00000000-0005-0000-0000-0000510A0000}"/>
    <cellStyle name="20% - Accent3 8 3 4" xfId="8006" xr:uid="{00000000-0005-0000-0000-0000520A0000}"/>
    <cellStyle name="20% - Accent3 8 3 4 2" xfId="8007" xr:uid="{00000000-0005-0000-0000-0000530A0000}"/>
    <cellStyle name="20% - Accent3 8 3 5" xfId="8008" xr:uid="{00000000-0005-0000-0000-0000540A0000}"/>
    <cellStyle name="20% - Accent3 8 3 5 2" xfId="8009" xr:uid="{00000000-0005-0000-0000-0000550A0000}"/>
    <cellStyle name="20% - Accent3 8 3 6" xfId="8010" xr:uid="{00000000-0005-0000-0000-0000560A0000}"/>
    <cellStyle name="20% - Accent3 8 4" xfId="5357" xr:uid="{00000000-0005-0000-0000-0000570A0000}"/>
    <cellStyle name="20% - Accent3 8 4 2" xfId="5356" xr:uid="{00000000-0005-0000-0000-0000580A0000}"/>
    <cellStyle name="20% - Accent3 8 4 2 2" xfId="8011" xr:uid="{00000000-0005-0000-0000-0000590A0000}"/>
    <cellStyle name="20% - Accent3 8 4 3" xfId="5355" xr:uid="{00000000-0005-0000-0000-00005A0A0000}"/>
    <cellStyle name="20% - Accent3 8 5" xfId="5354" xr:uid="{00000000-0005-0000-0000-00005B0A0000}"/>
    <cellStyle name="20% - Accent3 8 5 2" xfId="8012" xr:uid="{00000000-0005-0000-0000-00005C0A0000}"/>
    <cellStyle name="20% - Accent3 8 6" xfId="5353" xr:uid="{00000000-0005-0000-0000-00005D0A0000}"/>
    <cellStyle name="20% - Accent3 8 6 2" xfId="8013" xr:uid="{00000000-0005-0000-0000-00005E0A0000}"/>
    <cellStyle name="20% - Accent3 8 7" xfId="8014" xr:uid="{00000000-0005-0000-0000-00005F0A0000}"/>
    <cellStyle name="20% - Accent3 9" xfId="5352" xr:uid="{00000000-0005-0000-0000-0000600A0000}"/>
    <cellStyle name="20% - Accent3 9 2" xfId="5351" xr:uid="{00000000-0005-0000-0000-0000610A0000}"/>
    <cellStyle name="20% - Accent3 9 2 2" xfId="5350" xr:uid="{00000000-0005-0000-0000-0000620A0000}"/>
    <cellStyle name="20% - Accent3 9 2 2 2" xfId="5349" xr:uid="{00000000-0005-0000-0000-0000630A0000}"/>
    <cellStyle name="20% - Accent3 9 2 2 3" xfId="5348" xr:uid="{00000000-0005-0000-0000-0000640A0000}"/>
    <cellStyle name="20% - Accent3 9 2 3" xfId="5347" xr:uid="{00000000-0005-0000-0000-0000650A0000}"/>
    <cellStyle name="20% - Accent3 9 2 3 2" xfId="8015" xr:uid="{00000000-0005-0000-0000-0000660A0000}"/>
    <cellStyle name="20% - Accent3 9 2 4" xfId="5346" xr:uid="{00000000-0005-0000-0000-0000670A0000}"/>
    <cellStyle name="20% - Accent3 9 2 4 2" xfId="8016" xr:uid="{00000000-0005-0000-0000-0000680A0000}"/>
    <cellStyle name="20% - Accent3 9 2 5" xfId="8017" xr:uid="{00000000-0005-0000-0000-0000690A0000}"/>
    <cellStyle name="20% - Accent3 9 3" xfId="5345" xr:uid="{00000000-0005-0000-0000-00006A0A0000}"/>
    <cellStyle name="20% - Accent3 9 3 2" xfId="5344" xr:uid="{00000000-0005-0000-0000-00006B0A0000}"/>
    <cellStyle name="20% - Accent3 9 3 2 2" xfId="8018" xr:uid="{00000000-0005-0000-0000-00006C0A0000}"/>
    <cellStyle name="20% - Accent3 9 3 3" xfId="5343" xr:uid="{00000000-0005-0000-0000-00006D0A0000}"/>
    <cellStyle name="20% - Accent3 9 3 3 2" xfId="8019" xr:uid="{00000000-0005-0000-0000-00006E0A0000}"/>
    <cellStyle name="20% - Accent3 9 3 4" xfId="8020" xr:uid="{00000000-0005-0000-0000-00006F0A0000}"/>
    <cellStyle name="20% - Accent3 9 4" xfId="5342" xr:uid="{00000000-0005-0000-0000-0000700A0000}"/>
    <cellStyle name="20% - Accent3 9 4 2" xfId="5341" xr:uid="{00000000-0005-0000-0000-0000710A0000}"/>
    <cellStyle name="20% - Accent3 9 4 2 2" xfId="8021" xr:uid="{00000000-0005-0000-0000-0000720A0000}"/>
    <cellStyle name="20% - Accent3 9 4 3" xfId="5340" xr:uid="{00000000-0005-0000-0000-0000730A0000}"/>
    <cellStyle name="20% - Accent3 9 5" xfId="5339" xr:uid="{00000000-0005-0000-0000-0000740A0000}"/>
    <cellStyle name="20% - Accent3 9 5 2" xfId="8022" xr:uid="{00000000-0005-0000-0000-0000750A0000}"/>
    <cellStyle name="20% - Accent3 9 6" xfId="5338" xr:uid="{00000000-0005-0000-0000-0000760A0000}"/>
    <cellStyle name="20% - Accent3 9 7" xfId="8023" xr:uid="{00000000-0005-0000-0000-0000770A0000}"/>
    <cellStyle name="20% - Accent4 10" xfId="5337" xr:uid="{00000000-0005-0000-0000-0000780A0000}"/>
    <cellStyle name="20% - Accent4 10 2" xfId="5336" xr:uid="{00000000-0005-0000-0000-0000790A0000}"/>
    <cellStyle name="20% - Accent4 10 2 2" xfId="5335" xr:uid="{00000000-0005-0000-0000-00007A0A0000}"/>
    <cellStyle name="20% - Accent4 10 2 2 2" xfId="5334" xr:uid="{00000000-0005-0000-0000-00007B0A0000}"/>
    <cellStyle name="20% - Accent4 10 2 2 3" xfId="5333" xr:uid="{00000000-0005-0000-0000-00007C0A0000}"/>
    <cellStyle name="20% - Accent4 10 2 3" xfId="5332" xr:uid="{00000000-0005-0000-0000-00007D0A0000}"/>
    <cellStyle name="20% - Accent4 10 2 3 2" xfId="8024" xr:uid="{00000000-0005-0000-0000-00007E0A0000}"/>
    <cellStyle name="20% - Accent4 10 2 4" xfId="5331" xr:uid="{00000000-0005-0000-0000-00007F0A0000}"/>
    <cellStyle name="20% - Accent4 10 2 4 2" xfId="8025" xr:uid="{00000000-0005-0000-0000-0000800A0000}"/>
    <cellStyle name="20% - Accent4 10 2 5" xfId="8026" xr:uid="{00000000-0005-0000-0000-0000810A0000}"/>
    <cellStyle name="20% - Accent4 10 3" xfId="5330" xr:uid="{00000000-0005-0000-0000-0000820A0000}"/>
    <cellStyle name="20% - Accent4 10 3 2" xfId="5329" xr:uid="{00000000-0005-0000-0000-0000830A0000}"/>
    <cellStyle name="20% - Accent4 10 3 2 2" xfId="8027" xr:uid="{00000000-0005-0000-0000-0000840A0000}"/>
    <cellStyle name="20% - Accent4 10 3 3" xfId="5328" xr:uid="{00000000-0005-0000-0000-0000850A0000}"/>
    <cellStyle name="20% - Accent4 10 4" xfId="5327" xr:uid="{00000000-0005-0000-0000-0000860A0000}"/>
    <cellStyle name="20% - Accent4 10 4 2" xfId="5326" xr:uid="{00000000-0005-0000-0000-0000870A0000}"/>
    <cellStyle name="20% - Accent4 10 4 3" xfId="5325" xr:uid="{00000000-0005-0000-0000-0000880A0000}"/>
    <cellStyle name="20% - Accent4 10 5" xfId="5324" xr:uid="{00000000-0005-0000-0000-0000890A0000}"/>
    <cellStyle name="20% - Accent4 10 5 2" xfId="8028" xr:uid="{00000000-0005-0000-0000-00008A0A0000}"/>
    <cellStyle name="20% - Accent4 10 6" xfId="5323" xr:uid="{00000000-0005-0000-0000-00008B0A0000}"/>
    <cellStyle name="20% - Accent4 10 7" xfId="8029" xr:uid="{00000000-0005-0000-0000-00008C0A0000}"/>
    <cellStyle name="20% - Accent4 11" xfId="5322" xr:uid="{00000000-0005-0000-0000-00008D0A0000}"/>
    <cellStyle name="20% - Accent4 11 2" xfId="5321" xr:uid="{00000000-0005-0000-0000-00008E0A0000}"/>
    <cellStyle name="20% - Accent4 11 2 2" xfId="5320" xr:uid="{00000000-0005-0000-0000-00008F0A0000}"/>
    <cellStyle name="20% - Accent4 11 2 2 2" xfId="5319" xr:uid="{00000000-0005-0000-0000-0000900A0000}"/>
    <cellStyle name="20% - Accent4 11 2 2 3" xfId="5318" xr:uid="{00000000-0005-0000-0000-0000910A0000}"/>
    <cellStyle name="20% - Accent4 11 2 3" xfId="5317" xr:uid="{00000000-0005-0000-0000-0000920A0000}"/>
    <cellStyle name="20% - Accent4 11 2 4" xfId="5316" xr:uid="{00000000-0005-0000-0000-0000930A0000}"/>
    <cellStyle name="20% - Accent4 11 3" xfId="5315" xr:uid="{00000000-0005-0000-0000-0000940A0000}"/>
    <cellStyle name="20% - Accent4 11 3 2" xfId="5314" xr:uid="{00000000-0005-0000-0000-0000950A0000}"/>
    <cellStyle name="20% - Accent4 11 3 3" xfId="5313" xr:uid="{00000000-0005-0000-0000-0000960A0000}"/>
    <cellStyle name="20% - Accent4 11 4" xfId="5312" xr:uid="{00000000-0005-0000-0000-0000970A0000}"/>
    <cellStyle name="20% - Accent4 11 4 2" xfId="5311" xr:uid="{00000000-0005-0000-0000-0000980A0000}"/>
    <cellStyle name="20% - Accent4 11 4 3" xfId="5310" xr:uid="{00000000-0005-0000-0000-0000990A0000}"/>
    <cellStyle name="20% - Accent4 11 5" xfId="5309" xr:uid="{00000000-0005-0000-0000-00009A0A0000}"/>
    <cellStyle name="20% - Accent4 11 6" xfId="5308" xr:uid="{00000000-0005-0000-0000-00009B0A0000}"/>
    <cellStyle name="20% - Accent4 12" xfId="5307" xr:uid="{00000000-0005-0000-0000-00009C0A0000}"/>
    <cellStyle name="20% - Accent4 12 2" xfId="5306" xr:uid="{00000000-0005-0000-0000-00009D0A0000}"/>
    <cellStyle name="20% - Accent4 12 2 2" xfId="5305" xr:uid="{00000000-0005-0000-0000-00009E0A0000}"/>
    <cellStyle name="20% - Accent4 12 2 2 2" xfId="5304" xr:uid="{00000000-0005-0000-0000-00009F0A0000}"/>
    <cellStyle name="20% - Accent4 12 2 2 3" xfId="5303" xr:uid="{00000000-0005-0000-0000-0000A00A0000}"/>
    <cellStyle name="20% - Accent4 12 2 3" xfId="5302" xr:uid="{00000000-0005-0000-0000-0000A10A0000}"/>
    <cellStyle name="20% - Accent4 12 2 4" xfId="5301" xr:uid="{00000000-0005-0000-0000-0000A20A0000}"/>
    <cellStyle name="20% - Accent4 12 3" xfId="5300" xr:uid="{00000000-0005-0000-0000-0000A30A0000}"/>
    <cellStyle name="20% - Accent4 12 3 2" xfId="5299" xr:uid="{00000000-0005-0000-0000-0000A40A0000}"/>
    <cellStyle name="20% - Accent4 12 3 3" xfId="5298" xr:uid="{00000000-0005-0000-0000-0000A50A0000}"/>
    <cellStyle name="20% - Accent4 12 4" xfId="5297" xr:uid="{00000000-0005-0000-0000-0000A60A0000}"/>
    <cellStyle name="20% - Accent4 12 4 2" xfId="5296" xr:uid="{00000000-0005-0000-0000-0000A70A0000}"/>
    <cellStyle name="20% - Accent4 12 4 3" xfId="5295" xr:uid="{00000000-0005-0000-0000-0000A80A0000}"/>
    <cellStyle name="20% - Accent4 12 5" xfId="5294" xr:uid="{00000000-0005-0000-0000-0000A90A0000}"/>
    <cellStyle name="20% - Accent4 12 6" xfId="5293" xr:uid="{00000000-0005-0000-0000-0000AA0A0000}"/>
    <cellStyle name="20% - Accent4 13" xfId="5292" xr:uid="{00000000-0005-0000-0000-0000AB0A0000}"/>
    <cellStyle name="20% - Accent4 13 2" xfId="5291" xr:uid="{00000000-0005-0000-0000-0000AC0A0000}"/>
    <cellStyle name="20% - Accent4 13 2 2" xfId="5290" xr:uid="{00000000-0005-0000-0000-0000AD0A0000}"/>
    <cellStyle name="20% - Accent4 13 2 2 2" xfId="5289" xr:uid="{00000000-0005-0000-0000-0000AE0A0000}"/>
    <cellStyle name="20% - Accent4 13 2 2 3" xfId="5288" xr:uid="{00000000-0005-0000-0000-0000AF0A0000}"/>
    <cellStyle name="20% - Accent4 13 2 3" xfId="5287" xr:uid="{00000000-0005-0000-0000-0000B00A0000}"/>
    <cellStyle name="20% - Accent4 13 2 4" xfId="5286" xr:uid="{00000000-0005-0000-0000-0000B10A0000}"/>
    <cellStyle name="20% - Accent4 13 3" xfId="5285" xr:uid="{00000000-0005-0000-0000-0000B20A0000}"/>
    <cellStyle name="20% - Accent4 13 3 2" xfId="5284" xr:uid="{00000000-0005-0000-0000-0000B30A0000}"/>
    <cellStyle name="20% - Accent4 13 3 3" xfId="5283" xr:uid="{00000000-0005-0000-0000-0000B40A0000}"/>
    <cellStyle name="20% - Accent4 13 4" xfId="5282" xr:uid="{00000000-0005-0000-0000-0000B50A0000}"/>
    <cellStyle name="20% - Accent4 13 4 2" xfId="5281" xr:uid="{00000000-0005-0000-0000-0000B60A0000}"/>
    <cellStyle name="20% - Accent4 13 4 3" xfId="5280" xr:uid="{00000000-0005-0000-0000-0000B70A0000}"/>
    <cellStyle name="20% - Accent4 13 5" xfId="5279" xr:uid="{00000000-0005-0000-0000-0000B80A0000}"/>
    <cellStyle name="20% - Accent4 13 6" xfId="5278" xr:uid="{00000000-0005-0000-0000-0000B90A0000}"/>
    <cellStyle name="20% - Accent4 14" xfId="5277" xr:uid="{00000000-0005-0000-0000-0000BA0A0000}"/>
    <cellStyle name="20% - Accent4 14 2" xfId="5276" xr:uid="{00000000-0005-0000-0000-0000BB0A0000}"/>
    <cellStyle name="20% - Accent4 14 2 2" xfId="5275" xr:uid="{00000000-0005-0000-0000-0000BC0A0000}"/>
    <cellStyle name="20% - Accent4 14 2 2 2" xfId="5274" xr:uid="{00000000-0005-0000-0000-0000BD0A0000}"/>
    <cellStyle name="20% - Accent4 14 2 2 3" xfId="5273" xr:uid="{00000000-0005-0000-0000-0000BE0A0000}"/>
    <cellStyle name="20% - Accent4 14 2 3" xfId="5272" xr:uid="{00000000-0005-0000-0000-0000BF0A0000}"/>
    <cellStyle name="20% - Accent4 14 2 4" xfId="5271" xr:uid="{00000000-0005-0000-0000-0000C00A0000}"/>
    <cellStyle name="20% - Accent4 14 3" xfId="5270" xr:uid="{00000000-0005-0000-0000-0000C10A0000}"/>
    <cellStyle name="20% - Accent4 14 3 2" xfId="5269" xr:uid="{00000000-0005-0000-0000-0000C20A0000}"/>
    <cellStyle name="20% - Accent4 14 3 3" xfId="5268" xr:uid="{00000000-0005-0000-0000-0000C30A0000}"/>
    <cellStyle name="20% - Accent4 14 4" xfId="5267" xr:uid="{00000000-0005-0000-0000-0000C40A0000}"/>
    <cellStyle name="20% - Accent4 14 4 2" xfId="5266" xr:uid="{00000000-0005-0000-0000-0000C50A0000}"/>
    <cellStyle name="20% - Accent4 14 4 3" xfId="5265" xr:uid="{00000000-0005-0000-0000-0000C60A0000}"/>
    <cellStyle name="20% - Accent4 14 5" xfId="5264" xr:uid="{00000000-0005-0000-0000-0000C70A0000}"/>
    <cellStyle name="20% - Accent4 14 6" xfId="5263" xr:uid="{00000000-0005-0000-0000-0000C80A0000}"/>
    <cellStyle name="20% - Accent4 15" xfId="5262" xr:uid="{00000000-0005-0000-0000-0000C90A0000}"/>
    <cellStyle name="20% - Accent4 15 2" xfId="5261" xr:uid="{00000000-0005-0000-0000-0000CA0A0000}"/>
    <cellStyle name="20% - Accent4 15 2 2" xfId="5260" xr:uid="{00000000-0005-0000-0000-0000CB0A0000}"/>
    <cellStyle name="20% - Accent4 15 2 2 2" xfId="5259" xr:uid="{00000000-0005-0000-0000-0000CC0A0000}"/>
    <cellStyle name="20% - Accent4 15 2 2 3" xfId="5258" xr:uid="{00000000-0005-0000-0000-0000CD0A0000}"/>
    <cellStyle name="20% - Accent4 15 2 3" xfId="5257" xr:uid="{00000000-0005-0000-0000-0000CE0A0000}"/>
    <cellStyle name="20% - Accent4 15 2 4" xfId="5256" xr:uid="{00000000-0005-0000-0000-0000CF0A0000}"/>
    <cellStyle name="20% - Accent4 15 3" xfId="5255" xr:uid="{00000000-0005-0000-0000-0000D00A0000}"/>
    <cellStyle name="20% - Accent4 15 3 2" xfId="5254" xr:uid="{00000000-0005-0000-0000-0000D10A0000}"/>
    <cellStyle name="20% - Accent4 15 3 3" xfId="5253" xr:uid="{00000000-0005-0000-0000-0000D20A0000}"/>
    <cellStyle name="20% - Accent4 15 4" xfId="5252" xr:uid="{00000000-0005-0000-0000-0000D30A0000}"/>
    <cellStyle name="20% - Accent4 15 4 2" xfId="5251" xr:uid="{00000000-0005-0000-0000-0000D40A0000}"/>
    <cellStyle name="20% - Accent4 15 4 3" xfId="5250" xr:uid="{00000000-0005-0000-0000-0000D50A0000}"/>
    <cellStyle name="20% - Accent4 15 5" xfId="5249" xr:uid="{00000000-0005-0000-0000-0000D60A0000}"/>
    <cellStyle name="20% - Accent4 15 6" xfId="5248" xr:uid="{00000000-0005-0000-0000-0000D70A0000}"/>
    <cellStyle name="20% - Accent4 16" xfId="5247" xr:uid="{00000000-0005-0000-0000-0000D80A0000}"/>
    <cellStyle name="20% - Accent4 16 2" xfId="5246" xr:uid="{00000000-0005-0000-0000-0000D90A0000}"/>
    <cellStyle name="20% - Accent4 16 2 2" xfId="5245" xr:uid="{00000000-0005-0000-0000-0000DA0A0000}"/>
    <cellStyle name="20% - Accent4 16 2 2 2" xfId="5244" xr:uid="{00000000-0005-0000-0000-0000DB0A0000}"/>
    <cellStyle name="20% - Accent4 16 2 2 3" xfId="5243" xr:uid="{00000000-0005-0000-0000-0000DC0A0000}"/>
    <cellStyle name="20% - Accent4 16 2 3" xfId="5242" xr:uid="{00000000-0005-0000-0000-0000DD0A0000}"/>
    <cellStyle name="20% - Accent4 16 2 4" xfId="5241" xr:uid="{00000000-0005-0000-0000-0000DE0A0000}"/>
    <cellStyle name="20% - Accent4 16 3" xfId="5240" xr:uid="{00000000-0005-0000-0000-0000DF0A0000}"/>
    <cellStyle name="20% - Accent4 16 3 2" xfId="5239" xr:uid="{00000000-0005-0000-0000-0000E00A0000}"/>
    <cellStyle name="20% - Accent4 16 3 3" xfId="5238" xr:uid="{00000000-0005-0000-0000-0000E10A0000}"/>
    <cellStyle name="20% - Accent4 16 4" xfId="5237" xr:uid="{00000000-0005-0000-0000-0000E20A0000}"/>
    <cellStyle name="20% - Accent4 16 4 2" xfId="5236" xr:uid="{00000000-0005-0000-0000-0000E30A0000}"/>
    <cellStyle name="20% - Accent4 16 4 3" xfId="5235" xr:uid="{00000000-0005-0000-0000-0000E40A0000}"/>
    <cellStyle name="20% - Accent4 16 5" xfId="5234" xr:uid="{00000000-0005-0000-0000-0000E50A0000}"/>
    <cellStyle name="20% - Accent4 16 6" xfId="5233" xr:uid="{00000000-0005-0000-0000-0000E60A0000}"/>
    <cellStyle name="20% - Accent4 17" xfId="5232" xr:uid="{00000000-0005-0000-0000-0000E70A0000}"/>
    <cellStyle name="20% - Accent4 17 2" xfId="5231" xr:uid="{00000000-0005-0000-0000-0000E80A0000}"/>
    <cellStyle name="20% - Accent4 17 2 2" xfId="5230" xr:uid="{00000000-0005-0000-0000-0000E90A0000}"/>
    <cellStyle name="20% - Accent4 17 2 2 2" xfId="5229" xr:uid="{00000000-0005-0000-0000-0000EA0A0000}"/>
    <cellStyle name="20% - Accent4 17 2 2 3" xfId="5228" xr:uid="{00000000-0005-0000-0000-0000EB0A0000}"/>
    <cellStyle name="20% - Accent4 17 2 3" xfId="5227" xr:uid="{00000000-0005-0000-0000-0000EC0A0000}"/>
    <cellStyle name="20% - Accent4 17 2 4" xfId="5226" xr:uid="{00000000-0005-0000-0000-0000ED0A0000}"/>
    <cellStyle name="20% - Accent4 17 3" xfId="5225" xr:uid="{00000000-0005-0000-0000-0000EE0A0000}"/>
    <cellStyle name="20% - Accent4 17 3 2" xfId="5224" xr:uid="{00000000-0005-0000-0000-0000EF0A0000}"/>
    <cellStyle name="20% - Accent4 17 3 3" xfId="5223" xr:uid="{00000000-0005-0000-0000-0000F00A0000}"/>
    <cellStyle name="20% - Accent4 17 4" xfId="5222" xr:uid="{00000000-0005-0000-0000-0000F10A0000}"/>
    <cellStyle name="20% - Accent4 17 4 2" xfId="5221" xr:uid="{00000000-0005-0000-0000-0000F20A0000}"/>
    <cellStyle name="20% - Accent4 17 4 3" xfId="5220" xr:uid="{00000000-0005-0000-0000-0000F30A0000}"/>
    <cellStyle name="20% - Accent4 17 5" xfId="5219" xr:uid="{00000000-0005-0000-0000-0000F40A0000}"/>
    <cellStyle name="20% - Accent4 17 6" xfId="5218" xr:uid="{00000000-0005-0000-0000-0000F50A0000}"/>
    <cellStyle name="20% - Accent4 18" xfId="5217" xr:uid="{00000000-0005-0000-0000-0000F60A0000}"/>
    <cellStyle name="20% - Accent4 18 2" xfId="5216" xr:uid="{00000000-0005-0000-0000-0000F70A0000}"/>
    <cellStyle name="20% - Accent4 18 2 2" xfId="5215" xr:uid="{00000000-0005-0000-0000-0000F80A0000}"/>
    <cellStyle name="20% - Accent4 18 2 2 2" xfId="5214" xr:uid="{00000000-0005-0000-0000-0000F90A0000}"/>
    <cellStyle name="20% - Accent4 18 2 2 3" xfId="5213" xr:uid="{00000000-0005-0000-0000-0000FA0A0000}"/>
    <cellStyle name="20% - Accent4 18 2 3" xfId="5212" xr:uid="{00000000-0005-0000-0000-0000FB0A0000}"/>
    <cellStyle name="20% - Accent4 18 2 4" xfId="5211" xr:uid="{00000000-0005-0000-0000-0000FC0A0000}"/>
    <cellStyle name="20% - Accent4 18 3" xfId="5210" xr:uid="{00000000-0005-0000-0000-0000FD0A0000}"/>
    <cellStyle name="20% - Accent4 18 3 2" xfId="5209" xr:uid="{00000000-0005-0000-0000-0000FE0A0000}"/>
    <cellStyle name="20% - Accent4 18 3 3" xfId="5208" xr:uid="{00000000-0005-0000-0000-0000FF0A0000}"/>
    <cellStyle name="20% - Accent4 18 4" xfId="5207" xr:uid="{00000000-0005-0000-0000-0000000B0000}"/>
    <cellStyle name="20% - Accent4 18 4 2" xfId="5206" xr:uid="{00000000-0005-0000-0000-0000010B0000}"/>
    <cellStyle name="20% - Accent4 18 4 3" xfId="5205" xr:uid="{00000000-0005-0000-0000-0000020B0000}"/>
    <cellStyle name="20% - Accent4 18 5" xfId="5204" xr:uid="{00000000-0005-0000-0000-0000030B0000}"/>
    <cellStyle name="20% - Accent4 18 6" xfId="5203" xr:uid="{00000000-0005-0000-0000-0000040B0000}"/>
    <cellStyle name="20% - Accent4 19" xfId="5202" xr:uid="{00000000-0005-0000-0000-0000050B0000}"/>
    <cellStyle name="20% - Accent4 19 2" xfId="5201" xr:uid="{00000000-0005-0000-0000-0000060B0000}"/>
    <cellStyle name="20% - Accent4 19 2 2" xfId="5200" xr:uid="{00000000-0005-0000-0000-0000070B0000}"/>
    <cellStyle name="20% - Accent4 19 2 2 2" xfId="5199" xr:uid="{00000000-0005-0000-0000-0000080B0000}"/>
    <cellStyle name="20% - Accent4 19 2 2 3" xfId="5198" xr:uid="{00000000-0005-0000-0000-0000090B0000}"/>
    <cellStyle name="20% - Accent4 19 2 3" xfId="5197" xr:uid="{00000000-0005-0000-0000-00000A0B0000}"/>
    <cellStyle name="20% - Accent4 19 2 4" xfId="5196" xr:uid="{00000000-0005-0000-0000-00000B0B0000}"/>
    <cellStyle name="20% - Accent4 19 3" xfId="5195" xr:uid="{00000000-0005-0000-0000-00000C0B0000}"/>
    <cellStyle name="20% - Accent4 19 3 2" xfId="5194" xr:uid="{00000000-0005-0000-0000-00000D0B0000}"/>
    <cellStyle name="20% - Accent4 19 3 3" xfId="5193" xr:uid="{00000000-0005-0000-0000-00000E0B0000}"/>
    <cellStyle name="20% - Accent4 19 4" xfId="5192" xr:uid="{00000000-0005-0000-0000-00000F0B0000}"/>
    <cellStyle name="20% - Accent4 19 4 2" xfId="5191" xr:uid="{00000000-0005-0000-0000-0000100B0000}"/>
    <cellStyle name="20% - Accent4 19 4 3" xfId="5190" xr:uid="{00000000-0005-0000-0000-0000110B0000}"/>
    <cellStyle name="20% - Accent4 19 5" xfId="5189" xr:uid="{00000000-0005-0000-0000-0000120B0000}"/>
    <cellStyle name="20% - Accent4 19 6" xfId="5188" xr:uid="{00000000-0005-0000-0000-0000130B0000}"/>
    <cellStyle name="20% - Accent4 2" xfId="5187" xr:uid="{00000000-0005-0000-0000-0000140B0000}"/>
    <cellStyle name="20% - Accent4 2 10" xfId="8030" xr:uid="{00000000-0005-0000-0000-0000150B0000}"/>
    <cellStyle name="20% - Accent4 2 10 2" xfId="8031" xr:uid="{00000000-0005-0000-0000-0000160B0000}"/>
    <cellStyle name="20% - Accent4 2 11" xfId="8032" xr:uid="{00000000-0005-0000-0000-0000170B0000}"/>
    <cellStyle name="20% - Accent4 2 12" xfId="8033" xr:uid="{00000000-0005-0000-0000-0000180B0000}"/>
    <cellStyle name="20% - Accent4 2 12 2" xfId="8034" xr:uid="{00000000-0005-0000-0000-0000190B0000}"/>
    <cellStyle name="20% - Accent4 2 12 2 2" xfId="8035" xr:uid="{00000000-0005-0000-0000-00001A0B0000}"/>
    <cellStyle name="20% - Accent4 2 12 3" xfId="8036" xr:uid="{00000000-0005-0000-0000-00001B0B0000}"/>
    <cellStyle name="20% - Accent4 2 12 4" xfId="8037" xr:uid="{00000000-0005-0000-0000-00001C0B0000}"/>
    <cellStyle name="20% - Accent4 2 12 4 2" xfId="8038" xr:uid="{00000000-0005-0000-0000-00001D0B0000}"/>
    <cellStyle name="20% - Accent4 2 12 5" xfId="8039" xr:uid="{00000000-0005-0000-0000-00001E0B0000}"/>
    <cellStyle name="20% - Accent4 2 13" xfId="8040" xr:uid="{00000000-0005-0000-0000-00001F0B0000}"/>
    <cellStyle name="20% - Accent4 2 13 2" xfId="8041" xr:uid="{00000000-0005-0000-0000-0000200B0000}"/>
    <cellStyle name="20% - Accent4 2 13 2 2" xfId="8042" xr:uid="{00000000-0005-0000-0000-0000210B0000}"/>
    <cellStyle name="20% - Accent4 2 13 3" xfId="8043" xr:uid="{00000000-0005-0000-0000-0000220B0000}"/>
    <cellStyle name="20% - Accent4 2 14" xfId="8044" xr:uid="{00000000-0005-0000-0000-0000230B0000}"/>
    <cellStyle name="20% - Accent4 2 15" xfId="8045" xr:uid="{00000000-0005-0000-0000-0000240B0000}"/>
    <cellStyle name="20% - Accent4 2 2" xfId="5186" xr:uid="{00000000-0005-0000-0000-0000250B0000}"/>
    <cellStyle name="20% - Accent4 2 2 10" xfId="8046" xr:uid="{00000000-0005-0000-0000-0000260B0000}"/>
    <cellStyle name="20% - Accent4 2 2 10 2" xfId="8047" xr:uid="{00000000-0005-0000-0000-0000270B0000}"/>
    <cellStyle name="20% - Accent4 2 2 11" xfId="8048" xr:uid="{00000000-0005-0000-0000-0000280B0000}"/>
    <cellStyle name="20% - Accent4 2 2 2" xfId="8049" xr:uid="{00000000-0005-0000-0000-0000290B0000}"/>
    <cellStyle name="20% - Accent4 2 2 2 2" xfId="8050" xr:uid="{00000000-0005-0000-0000-00002A0B0000}"/>
    <cellStyle name="20% - Accent4 2 2 2 2 2" xfId="8051" xr:uid="{00000000-0005-0000-0000-00002B0B0000}"/>
    <cellStyle name="20% - Accent4 2 2 2 2 3" xfId="8052" xr:uid="{00000000-0005-0000-0000-00002C0B0000}"/>
    <cellStyle name="20% - Accent4 2 2 2 3" xfId="8053" xr:uid="{00000000-0005-0000-0000-00002D0B0000}"/>
    <cellStyle name="20% - Accent4 2 2 2 3 2" xfId="8054" xr:uid="{00000000-0005-0000-0000-00002E0B0000}"/>
    <cellStyle name="20% - Accent4 2 2 2 4" xfId="8055" xr:uid="{00000000-0005-0000-0000-00002F0B0000}"/>
    <cellStyle name="20% - Accent4 2 2 2 5" xfId="8056" xr:uid="{00000000-0005-0000-0000-0000300B0000}"/>
    <cellStyle name="20% - Accent4 2 2 3" xfId="8057" xr:uid="{00000000-0005-0000-0000-0000310B0000}"/>
    <cellStyle name="20% - Accent4 2 2 3 2" xfId="8058" xr:uid="{00000000-0005-0000-0000-0000320B0000}"/>
    <cellStyle name="20% - Accent4 2 2 3 2 2" xfId="8059" xr:uid="{00000000-0005-0000-0000-0000330B0000}"/>
    <cellStyle name="20% - Accent4 2 2 3 2 3" xfId="8060" xr:uid="{00000000-0005-0000-0000-0000340B0000}"/>
    <cellStyle name="20% - Accent4 2 2 3 3" xfId="8061" xr:uid="{00000000-0005-0000-0000-0000350B0000}"/>
    <cellStyle name="20% - Accent4 2 2 3 3 2" xfId="8062" xr:uid="{00000000-0005-0000-0000-0000360B0000}"/>
    <cellStyle name="20% - Accent4 2 2 3 4" xfId="8063" xr:uid="{00000000-0005-0000-0000-0000370B0000}"/>
    <cellStyle name="20% - Accent4 2 2 3 5" xfId="8064" xr:uid="{00000000-0005-0000-0000-0000380B0000}"/>
    <cellStyle name="20% - Accent4 2 2 4" xfId="8065" xr:uid="{00000000-0005-0000-0000-0000390B0000}"/>
    <cellStyle name="20% - Accent4 2 2 4 2" xfId="8066" xr:uid="{00000000-0005-0000-0000-00003A0B0000}"/>
    <cellStyle name="20% - Accent4 2 2 4 2 2" xfId="8067" xr:uid="{00000000-0005-0000-0000-00003B0B0000}"/>
    <cellStyle name="20% - Accent4 2 2 4 3" xfId="8068" xr:uid="{00000000-0005-0000-0000-00003C0B0000}"/>
    <cellStyle name="20% - Accent4 2 2 4 4" xfId="8069" xr:uid="{00000000-0005-0000-0000-00003D0B0000}"/>
    <cellStyle name="20% - Accent4 2 2 5" xfId="8070" xr:uid="{00000000-0005-0000-0000-00003E0B0000}"/>
    <cellStyle name="20% - Accent4 2 2 5 2" xfId="8071" xr:uid="{00000000-0005-0000-0000-00003F0B0000}"/>
    <cellStyle name="20% - Accent4 2 2 6" xfId="8072" xr:uid="{00000000-0005-0000-0000-0000400B0000}"/>
    <cellStyle name="20% - Accent4 2 2 6 2" xfId="8073" xr:uid="{00000000-0005-0000-0000-0000410B0000}"/>
    <cellStyle name="20% - Accent4 2 2 7" xfId="8074" xr:uid="{00000000-0005-0000-0000-0000420B0000}"/>
    <cellStyle name="20% - Accent4 2 2 8" xfId="8075" xr:uid="{00000000-0005-0000-0000-0000430B0000}"/>
    <cellStyle name="20% - Accent4 2 2 9" xfId="8076" xr:uid="{00000000-0005-0000-0000-0000440B0000}"/>
    <cellStyle name="20% - Accent4 2 2 9 2" xfId="8077" xr:uid="{00000000-0005-0000-0000-0000450B0000}"/>
    <cellStyle name="20% - Accent4 2 3" xfId="5185" xr:uid="{00000000-0005-0000-0000-0000460B0000}"/>
    <cellStyle name="20% - Accent4 2 3 2" xfId="5184" xr:uid="{00000000-0005-0000-0000-0000470B0000}"/>
    <cellStyle name="20% - Accent4 2 3 2 2" xfId="5183" xr:uid="{00000000-0005-0000-0000-0000480B0000}"/>
    <cellStyle name="20% - Accent4 2 3 2 2 2" xfId="5182" xr:uid="{00000000-0005-0000-0000-0000490B0000}"/>
    <cellStyle name="20% - Accent4 2 3 2 2 3" xfId="5181" xr:uid="{00000000-0005-0000-0000-00004A0B0000}"/>
    <cellStyle name="20% - Accent4 2 3 2 3" xfId="5180" xr:uid="{00000000-0005-0000-0000-00004B0B0000}"/>
    <cellStyle name="20% - Accent4 2 3 2 3 2" xfId="8078" xr:uid="{00000000-0005-0000-0000-00004C0B0000}"/>
    <cellStyle name="20% - Accent4 2 3 2 4" xfId="5179" xr:uid="{00000000-0005-0000-0000-00004D0B0000}"/>
    <cellStyle name="20% - Accent4 2 3 2 5" xfId="8079" xr:uid="{00000000-0005-0000-0000-00004E0B0000}"/>
    <cellStyle name="20% - Accent4 2 3 3" xfId="5178" xr:uid="{00000000-0005-0000-0000-00004F0B0000}"/>
    <cellStyle name="20% - Accent4 2 3 3 2" xfId="5177" xr:uid="{00000000-0005-0000-0000-0000500B0000}"/>
    <cellStyle name="20% - Accent4 2 3 3 2 2" xfId="8080" xr:uid="{00000000-0005-0000-0000-0000510B0000}"/>
    <cellStyle name="20% - Accent4 2 3 3 3" xfId="5176" xr:uid="{00000000-0005-0000-0000-0000520B0000}"/>
    <cellStyle name="20% - Accent4 2 3 3 4" xfId="8081" xr:uid="{00000000-0005-0000-0000-0000530B0000}"/>
    <cellStyle name="20% - Accent4 2 3 4" xfId="5175" xr:uid="{00000000-0005-0000-0000-0000540B0000}"/>
    <cellStyle name="20% - Accent4 2 3 4 2" xfId="5174" xr:uid="{00000000-0005-0000-0000-0000550B0000}"/>
    <cellStyle name="20% - Accent4 2 3 4 3" xfId="5173" xr:uid="{00000000-0005-0000-0000-0000560B0000}"/>
    <cellStyle name="20% - Accent4 2 3 5" xfId="5172" xr:uid="{00000000-0005-0000-0000-0000570B0000}"/>
    <cellStyle name="20% - Accent4 2 3 5 2" xfId="8082" xr:uid="{00000000-0005-0000-0000-0000580B0000}"/>
    <cellStyle name="20% - Accent4 2 3 6" xfId="5171" xr:uid="{00000000-0005-0000-0000-0000590B0000}"/>
    <cellStyle name="20% - Accent4 2 3 7" xfId="8083" xr:uid="{00000000-0005-0000-0000-00005A0B0000}"/>
    <cellStyle name="20% - Accent4 2 3 8" xfId="8084" xr:uid="{00000000-0005-0000-0000-00005B0B0000}"/>
    <cellStyle name="20% - Accent4 2 4" xfId="8085" xr:uid="{00000000-0005-0000-0000-00005C0B0000}"/>
    <cellStyle name="20% - Accent4 2 4 2" xfId="8086" xr:uid="{00000000-0005-0000-0000-00005D0B0000}"/>
    <cellStyle name="20% - Accent4 2 4 2 2" xfId="8087" xr:uid="{00000000-0005-0000-0000-00005E0B0000}"/>
    <cellStyle name="20% - Accent4 2 4 2 2 2" xfId="8088" xr:uid="{00000000-0005-0000-0000-00005F0B0000}"/>
    <cellStyle name="20% - Accent4 2 4 2 3" xfId="8089" xr:uid="{00000000-0005-0000-0000-0000600B0000}"/>
    <cellStyle name="20% - Accent4 2 4 2 4" xfId="8090" xr:uid="{00000000-0005-0000-0000-0000610B0000}"/>
    <cellStyle name="20% - Accent4 2 4 3" xfId="8091" xr:uid="{00000000-0005-0000-0000-0000620B0000}"/>
    <cellStyle name="20% - Accent4 2 4 3 2" xfId="8092" xr:uid="{00000000-0005-0000-0000-0000630B0000}"/>
    <cellStyle name="20% - Accent4 2 4 4" xfId="8093" xr:uid="{00000000-0005-0000-0000-0000640B0000}"/>
    <cellStyle name="20% - Accent4 2 4 4 2" xfId="8094" xr:uid="{00000000-0005-0000-0000-0000650B0000}"/>
    <cellStyle name="20% - Accent4 2 4 5" xfId="8095" xr:uid="{00000000-0005-0000-0000-0000660B0000}"/>
    <cellStyle name="20% - Accent4 2 4 6" xfId="8096" xr:uid="{00000000-0005-0000-0000-0000670B0000}"/>
    <cellStyle name="20% - Accent4 2 5" xfId="8097" xr:uid="{00000000-0005-0000-0000-0000680B0000}"/>
    <cellStyle name="20% - Accent4 2 5 2" xfId="8098" xr:uid="{00000000-0005-0000-0000-0000690B0000}"/>
    <cellStyle name="20% - Accent4 2 5 2 2" xfId="8099" xr:uid="{00000000-0005-0000-0000-00006A0B0000}"/>
    <cellStyle name="20% - Accent4 2 5 3" xfId="8100" xr:uid="{00000000-0005-0000-0000-00006B0B0000}"/>
    <cellStyle name="20% - Accent4 2 5 4" xfId="8101" xr:uid="{00000000-0005-0000-0000-00006C0B0000}"/>
    <cellStyle name="20% - Accent4 2 6" xfId="8102" xr:uid="{00000000-0005-0000-0000-00006D0B0000}"/>
    <cellStyle name="20% - Accent4 2 6 10" xfId="8103" xr:uid="{00000000-0005-0000-0000-00006E0B0000}"/>
    <cellStyle name="20% - Accent4 2 6 2" xfId="8104" xr:uid="{00000000-0005-0000-0000-00006F0B0000}"/>
    <cellStyle name="20% - Accent4 2 6 2 2" xfId="8105" xr:uid="{00000000-0005-0000-0000-0000700B0000}"/>
    <cellStyle name="20% - Accent4 2 6 2 2 2" xfId="8106" xr:uid="{00000000-0005-0000-0000-0000710B0000}"/>
    <cellStyle name="20% - Accent4 2 6 2 2 2 2" xfId="8107" xr:uid="{00000000-0005-0000-0000-0000720B0000}"/>
    <cellStyle name="20% - Accent4 2 6 2 2 3" xfId="8108" xr:uid="{00000000-0005-0000-0000-0000730B0000}"/>
    <cellStyle name="20% - Accent4 2 6 2 2 3 2" xfId="8109" xr:uid="{00000000-0005-0000-0000-0000740B0000}"/>
    <cellStyle name="20% - Accent4 2 6 2 2 4" xfId="8110" xr:uid="{00000000-0005-0000-0000-0000750B0000}"/>
    <cellStyle name="20% - Accent4 2 6 2 2 5" xfId="8111" xr:uid="{00000000-0005-0000-0000-0000760B0000}"/>
    <cellStyle name="20% - Accent4 2 6 2 3" xfId="8112" xr:uid="{00000000-0005-0000-0000-0000770B0000}"/>
    <cellStyle name="20% - Accent4 2 6 2 3 2" xfId="8113" xr:uid="{00000000-0005-0000-0000-0000780B0000}"/>
    <cellStyle name="20% - Accent4 2 6 2 3 2 2" xfId="8114" xr:uid="{00000000-0005-0000-0000-0000790B0000}"/>
    <cellStyle name="20% - Accent4 2 6 2 3 3" xfId="8115" xr:uid="{00000000-0005-0000-0000-00007A0B0000}"/>
    <cellStyle name="20% - Accent4 2 6 2 4" xfId="8116" xr:uid="{00000000-0005-0000-0000-00007B0B0000}"/>
    <cellStyle name="20% - Accent4 2 6 2 4 2" xfId="8117" xr:uid="{00000000-0005-0000-0000-00007C0B0000}"/>
    <cellStyle name="20% - Accent4 2 6 2 5" xfId="8118" xr:uid="{00000000-0005-0000-0000-00007D0B0000}"/>
    <cellStyle name="20% - Accent4 2 6 2 5 2" xfId="8119" xr:uid="{00000000-0005-0000-0000-00007E0B0000}"/>
    <cellStyle name="20% - Accent4 2 6 2 6" xfId="8120" xr:uid="{00000000-0005-0000-0000-00007F0B0000}"/>
    <cellStyle name="20% - Accent4 2 6 3" xfId="8121" xr:uid="{00000000-0005-0000-0000-0000800B0000}"/>
    <cellStyle name="20% - Accent4 2 6 3 2" xfId="8122" xr:uid="{00000000-0005-0000-0000-0000810B0000}"/>
    <cellStyle name="20% - Accent4 2 6 3 2 2" xfId="8123" xr:uid="{00000000-0005-0000-0000-0000820B0000}"/>
    <cellStyle name="20% - Accent4 2 6 3 2 2 2" xfId="8124" xr:uid="{00000000-0005-0000-0000-0000830B0000}"/>
    <cellStyle name="20% - Accent4 2 6 3 2 3" xfId="8125" xr:uid="{00000000-0005-0000-0000-0000840B0000}"/>
    <cellStyle name="20% - Accent4 2 6 3 2 3 2" xfId="8126" xr:uid="{00000000-0005-0000-0000-0000850B0000}"/>
    <cellStyle name="20% - Accent4 2 6 3 2 4" xfId="8127" xr:uid="{00000000-0005-0000-0000-0000860B0000}"/>
    <cellStyle name="20% - Accent4 2 6 3 2 5" xfId="8128" xr:uid="{00000000-0005-0000-0000-0000870B0000}"/>
    <cellStyle name="20% - Accent4 2 6 3 3" xfId="8129" xr:uid="{00000000-0005-0000-0000-0000880B0000}"/>
    <cellStyle name="20% - Accent4 2 6 3 3 2" xfId="8130" xr:uid="{00000000-0005-0000-0000-0000890B0000}"/>
    <cellStyle name="20% - Accent4 2 6 3 3 2 2" xfId="8131" xr:uid="{00000000-0005-0000-0000-00008A0B0000}"/>
    <cellStyle name="20% - Accent4 2 6 3 3 3" xfId="8132" xr:uid="{00000000-0005-0000-0000-00008B0B0000}"/>
    <cellStyle name="20% - Accent4 2 6 3 4" xfId="8133" xr:uid="{00000000-0005-0000-0000-00008C0B0000}"/>
    <cellStyle name="20% - Accent4 2 6 3 4 2" xfId="8134" xr:uid="{00000000-0005-0000-0000-00008D0B0000}"/>
    <cellStyle name="20% - Accent4 2 6 3 5" xfId="8135" xr:uid="{00000000-0005-0000-0000-00008E0B0000}"/>
    <cellStyle name="20% - Accent4 2 6 3 5 2" xfId="8136" xr:uid="{00000000-0005-0000-0000-00008F0B0000}"/>
    <cellStyle name="20% - Accent4 2 6 3 6" xfId="8137" xr:uid="{00000000-0005-0000-0000-0000900B0000}"/>
    <cellStyle name="20% - Accent4 2 6 4" xfId="8138" xr:uid="{00000000-0005-0000-0000-0000910B0000}"/>
    <cellStyle name="20% - Accent4 2 6 4 2" xfId="8139" xr:uid="{00000000-0005-0000-0000-0000920B0000}"/>
    <cellStyle name="20% - Accent4 2 6 4 2 2" xfId="8140" xr:uid="{00000000-0005-0000-0000-0000930B0000}"/>
    <cellStyle name="20% - Accent4 2 6 4 2 2 2" xfId="8141" xr:uid="{00000000-0005-0000-0000-0000940B0000}"/>
    <cellStyle name="20% - Accent4 2 6 4 2 3" xfId="8142" xr:uid="{00000000-0005-0000-0000-0000950B0000}"/>
    <cellStyle name="20% - Accent4 2 6 4 3" xfId="8143" xr:uid="{00000000-0005-0000-0000-0000960B0000}"/>
    <cellStyle name="20% - Accent4 2 6 4 3 2" xfId="8144" xr:uid="{00000000-0005-0000-0000-0000970B0000}"/>
    <cellStyle name="20% - Accent4 2 6 4 4" xfId="8145" xr:uid="{00000000-0005-0000-0000-0000980B0000}"/>
    <cellStyle name="20% - Accent4 2 6 4 4 2" xfId="8146" xr:uid="{00000000-0005-0000-0000-0000990B0000}"/>
    <cellStyle name="20% - Accent4 2 6 4 5" xfId="8147" xr:uid="{00000000-0005-0000-0000-00009A0B0000}"/>
    <cellStyle name="20% - Accent4 2 6 5" xfId="8148" xr:uid="{00000000-0005-0000-0000-00009B0B0000}"/>
    <cellStyle name="20% - Accent4 2 6 5 2" xfId="8149" xr:uid="{00000000-0005-0000-0000-00009C0B0000}"/>
    <cellStyle name="20% - Accent4 2 6 5 2 2" xfId="8150" xr:uid="{00000000-0005-0000-0000-00009D0B0000}"/>
    <cellStyle name="20% - Accent4 2 6 5 3" xfId="8151" xr:uid="{00000000-0005-0000-0000-00009E0B0000}"/>
    <cellStyle name="20% - Accent4 2 6 5 3 2" xfId="8152" xr:uid="{00000000-0005-0000-0000-00009F0B0000}"/>
    <cellStyle name="20% - Accent4 2 6 5 4" xfId="8153" xr:uid="{00000000-0005-0000-0000-0000A00B0000}"/>
    <cellStyle name="20% - Accent4 2 6 6" xfId="8154" xr:uid="{00000000-0005-0000-0000-0000A10B0000}"/>
    <cellStyle name="20% - Accent4 2 6 6 2" xfId="8155" xr:uid="{00000000-0005-0000-0000-0000A20B0000}"/>
    <cellStyle name="20% - Accent4 2 6 6 2 2" xfId="8156" xr:uid="{00000000-0005-0000-0000-0000A30B0000}"/>
    <cellStyle name="20% - Accent4 2 6 6 3" xfId="8157" xr:uid="{00000000-0005-0000-0000-0000A40B0000}"/>
    <cellStyle name="20% - Accent4 2 6 7" xfId="8158" xr:uid="{00000000-0005-0000-0000-0000A50B0000}"/>
    <cellStyle name="20% - Accent4 2 6 7 2" xfId="8159" xr:uid="{00000000-0005-0000-0000-0000A60B0000}"/>
    <cellStyle name="20% - Accent4 2 6 7 3" xfId="8160" xr:uid="{00000000-0005-0000-0000-0000A70B0000}"/>
    <cellStyle name="20% - Accent4 2 6 8" xfId="8161" xr:uid="{00000000-0005-0000-0000-0000A80B0000}"/>
    <cellStyle name="20% - Accent4 2 6 8 2" xfId="8162" xr:uid="{00000000-0005-0000-0000-0000A90B0000}"/>
    <cellStyle name="20% - Accent4 2 6 9" xfId="8163" xr:uid="{00000000-0005-0000-0000-0000AA0B0000}"/>
    <cellStyle name="20% - Accent4 2 7" xfId="8164" xr:uid="{00000000-0005-0000-0000-0000AB0B0000}"/>
    <cellStyle name="20% - Accent4 2 7 2" xfId="8165" xr:uid="{00000000-0005-0000-0000-0000AC0B0000}"/>
    <cellStyle name="20% - Accent4 2 7 2 2" xfId="8166" xr:uid="{00000000-0005-0000-0000-0000AD0B0000}"/>
    <cellStyle name="20% - Accent4 2 7 3" xfId="8167" xr:uid="{00000000-0005-0000-0000-0000AE0B0000}"/>
    <cellStyle name="20% - Accent4 2 7 4" xfId="8168" xr:uid="{00000000-0005-0000-0000-0000AF0B0000}"/>
    <cellStyle name="20% - Accent4 2 8" xfId="8169" xr:uid="{00000000-0005-0000-0000-0000B00B0000}"/>
    <cellStyle name="20% - Accent4 2 8 2" xfId="8170" xr:uid="{00000000-0005-0000-0000-0000B10B0000}"/>
    <cellStyle name="20% - Accent4 2 9" xfId="8171" xr:uid="{00000000-0005-0000-0000-0000B20B0000}"/>
    <cellStyle name="20% - Accent4 2 9 2" xfId="8172" xr:uid="{00000000-0005-0000-0000-0000B30B0000}"/>
    <cellStyle name="20% - Accent4 20" xfId="5170" xr:uid="{00000000-0005-0000-0000-0000B40B0000}"/>
    <cellStyle name="20% - Accent4 20 2" xfId="5169" xr:uid="{00000000-0005-0000-0000-0000B50B0000}"/>
    <cellStyle name="20% - Accent4 20 2 2" xfId="5168" xr:uid="{00000000-0005-0000-0000-0000B60B0000}"/>
    <cellStyle name="20% - Accent4 20 2 2 2" xfId="5167" xr:uid="{00000000-0005-0000-0000-0000B70B0000}"/>
    <cellStyle name="20% - Accent4 20 2 2 3" xfId="5166" xr:uid="{00000000-0005-0000-0000-0000B80B0000}"/>
    <cellStyle name="20% - Accent4 20 2 3" xfId="5165" xr:uid="{00000000-0005-0000-0000-0000B90B0000}"/>
    <cellStyle name="20% - Accent4 20 2 4" xfId="5164" xr:uid="{00000000-0005-0000-0000-0000BA0B0000}"/>
    <cellStyle name="20% - Accent4 20 3" xfId="5163" xr:uid="{00000000-0005-0000-0000-0000BB0B0000}"/>
    <cellStyle name="20% - Accent4 20 3 2" xfId="5162" xr:uid="{00000000-0005-0000-0000-0000BC0B0000}"/>
    <cellStyle name="20% - Accent4 20 3 3" xfId="5161" xr:uid="{00000000-0005-0000-0000-0000BD0B0000}"/>
    <cellStyle name="20% - Accent4 20 4" xfId="5160" xr:uid="{00000000-0005-0000-0000-0000BE0B0000}"/>
    <cellStyle name="20% - Accent4 20 4 2" xfId="5159" xr:uid="{00000000-0005-0000-0000-0000BF0B0000}"/>
    <cellStyle name="20% - Accent4 20 4 3" xfId="5158" xr:uid="{00000000-0005-0000-0000-0000C00B0000}"/>
    <cellStyle name="20% - Accent4 20 5" xfId="5157" xr:uid="{00000000-0005-0000-0000-0000C10B0000}"/>
    <cellStyle name="20% - Accent4 20 6" xfId="5156" xr:uid="{00000000-0005-0000-0000-0000C20B0000}"/>
    <cellStyle name="20% - Accent4 21" xfId="5155" xr:uid="{00000000-0005-0000-0000-0000C30B0000}"/>
    <cellStyle name="20% - Accent4 22" xfId="5154" xr:uid="{00000000-0005-0000-0000-0000C40B0000}"/>
    <cellStyle name="20% - Accent4 22 2" xfId="5153" xr:uid="{00000000-0005-0000-0000-0000C50B0000}"/>
    <cellStyle name="20% - Accent4 22 2 2" xfId="5152" xr:uid="{00000000-0005-0000-0000-0000C60B0000}"/>
    <cellStyle name="20% - Accent4 22 2 2 2" xfId="5151" xr:uid="{00000000-0005-0000-0000-0000C70B0000}"/>
    <cellStyle name="20% - Accent4 22 2 2 3" xfId="5150" xr:uid="{00000000-0005-0000-0000-0000C80B0000}"/>
    <cellStyle name="20% - Accent4 22 2 3" xfId="5149" xr:uid="{00000000-0005-0000-0000-0000C90B0000}"/>
    <cellStyle name="20% - Accent4 22 2 4" xfId="5148" xr:uid="{00000000-0005-0000-0000-0000CA0B0000}"/>
    <cellStyle name="20% - Accent4 22 3" xfId="5147" xr:uid="{00000000-0005-0000-0000-0000CB0B0000}"/>
    <cellStyle name="20% - Accent4 22 3 2" xfId="5146" xr:uid="{00000000-0005-0000-0000-0000CC0B0000}"/>
    <cellStyle name="20% - Accent4 22 3 3" xfId="5145" xr:uid="{00000000-0005-0000-0000-0000CD0B0000}"/>
    <cellStyle name="20% - Accent4 22 4" xfId="5144" xr:uid="{00000000-0005-0000-0000-0000CE0B0000}"/>
    <cellStyle name="20% - Accent4 22 4 2" xfId="5143" xr:uid="{00000000-0005-0000-0000-0000CF0B0000}"/>
    <cellStyle name="20% - Accent4 22 4 3" xfId="5142" xr:uid="{00000000-0005-0000-0000-0000D00B0000}"/>
    <cellStyle name="20% - Accent4 22 5" xfId="5141" xr:uid="{00000000-0005-0000-0000-0000D10B0000}"/>
    <cellStyle name="20% - Accent4 22 6" xfId="5140" xr:uid="{00000000-0005-0000-0000-0000D20B0000}"/>
    <cellStyle name="20% - Accent4 23" xfId="5139" xr:uid="{00000000-0005-0000-0000-0000D30B0000}"/>
    <cellStyle name="20% - Accent4 23 2" xfId="5138" xr:uid="{00000000-0005-0000-0000-0000D40B0000}"/>
    <cellStyle name="20% - Accent4 23 2 2" xfId="5137" xr:uid="{00000000-0005-0000-0000-0000D50B0000}"/>
    <cellStyle name="20% - Accent4 23 2 3" xfId="5136" xr:uid="{00000000-0005-0000-0000-0000D60B0000}"/>
    <cellStyle name="20% - Accent4 23 3" xfId="5135" xr:uid="{00000000-0005-0000-0000-0000D70B0000}"/>
    <cellStyle name="20% - Accent4 23 4" xfId="5134" xr:uid="{00000000-0005-0000-0000-0000D80B0000}"/>
    <cellStyle name="20% - Accent4 24" xfId="5133" xr:uid="{00000000-0005-0000-0000-0000D90B0000}"/>
    <cellStyle name="20% - Accent4 24 2" xfId="5132" xr:uid="{00000000-0005-0000-0000-0000DA0B0000}"/>
    <cellStyle name="20% - Accent4 24 3" xfId="5131" xr:uid="{00000000-0005-0000-0000-0000DB0B0000}"/>
    <cellStyle name="20% - Accent4 25" xfId="5130" xr:uid="{00000000-0005-0000-0000-0000DC0B0000}"/>
    <cellStyle name="20% - Accent4 25 2" xfId="5129" xr:uid="{00000000-0005-0000-0000-0000DD0B0000}"/>
    <cellStyle name="20% - Accent4 25 3" xfId="5128" xr:uid="{00000000-0005-0000-0000-0000DE0B0000}"/>
    <cellStyle name="20% - Accent4 26" xfId="5127" xr:uid="{00000000-0005-0000-0000-0000DF0B0000}"/>
    <cellStyle name="20% - Accent4 27" xfId="5126" xr:uid="{00000000-0005-0000-0000-0000E00B0000}"/>
    <cellStyle name="20% - Accent4 28" xfId="5125" xr:uid="{00000000-0005-0000-0000-0000E10B0000}"/>
    <cellStyle name="20% - Accent4 29" xfId="5124" xr:uid="{00000000-0005-0000-0000-0000E20B0000}"/>
    <cellStyle name="20% - Accent4 3" xfId="5123" xr:uid="{00000000-0005-0000-0000-0000E30B0000}"/>
    <cellStyle name="20% - Accent4 3 10" xfId="8173" xr:uid="{00000000-0005-0000-0000-0000E40B0000}"/>
    <cellStyle name="20% - Accent4 3 2" xfId="5122" xr:uid="{00000000-0005-0000-0000-0000E50B0000}"/>
    <cellStyle name="20% - Accent4 3 2 2" xfId="8174" xr:uid="{00000000-0005-0000-0000-0000E60B0000}"/>
    <cellStyle name="20% - Accent4 3 2 2 2" xfId="8175" xr:uid="{00000000-0005-0000-0000-0000E70B0000}"/>
    <cellStyle name="20% - Accent4 3 2 2 2 2" xfId="8176" xr:uid="{00000000-0005-0000-0000-0000E80B0000}"/>
    <cellStyle name="20% - Accent4 3 2 2 3" xfId="8177" xr:uid="{00000000-0005-0000-0000-0000E90B0000}"/>
    <cellStyle name="20% - Accent4 3 2 2 4" xfId="8178" xr:uid="{00000000-0005-0000-0000-0000EA0B0000}"/>
    <cellStyle name="20% - Accent4 3 2 2 5" xfId="8179" xr:uid="{00000000-0005-0000-0000-0000EB0B0000}"/>
    <cellStyle name="20% - Accent4 3 2 3" xfId="8180" xr:uid="{00000000-0005-0000-0000-0000EC0B0000}"/>
    <cellStyle name="20% - Accent4 3 2 3 2" xfId="8181" xr:uid="{00000000-0005-0000-0000-0000ED0B0000}"/>
    <cellStyle name="20% - Accent4 3 2 3 2 2" xfId="8182" xr:uid="{00000000-0005-0000-0000-0000EE0B0000}"/>
    <cellStyle name="20% - Accent4 3 2 3 3" xfId="8183" xr:uid="{00000000-0005-0000-0000-0000EF0B0000}"/>
    <cellStyle name="20% - Accent4 3 2 3 4" xfId="8184" xr:uid="{00000000-0005-0000-0000-0000F00B0000}"/>
    <cellStyle name="20% - Accent4 3 2 4" xfId="8185" xr:uid="{00000000-0005-0000-0000-0000F10B0000}"/>
    <cellStyle name="20% - Accent4 3 2 4 2" xfId="8186" xr:uid="{00000000-0005-0000-0000-0000F20B0000}"/>
    <cellStyle name="20% - Accent4 3 2 5" xfId="8187" xr:uid="{00000000-0005-0000-0000-0000F30B0000}"/>
    <cellStyle name="20% - Accent4 3 2 5 2" xfId="8188" xr:uid="{00000000-0005-0000-0000-0000F40B0000}"/>
    <cellStyle name="20% - Accent4 3 2 6" xfId="8189" xr:uid="{00000000-0005-0000-0000-0000F50B0000}"/>
    <cellStyle name="20% - Accent4 3 2 7" xfId="8190" xr:uid="{00000000-0005-0000-0000-0000F60B0000}"/>
    <cellStyle name="20% - Accent4 3 2 8" xfId="8191" xr:uid="{00000000-0005-0000-0000-0000F70B0000}"/>
    <cellStyle name="20% - Accent4 3 3" xfId="5121" xr:uid="{00000000-0005-0000-0000-0000F80B0000}"/>
    <cellStyle name="20% - Accent4 3 3 2" xfId="5120" xr:uid="{00000000-0005-0000-0000-0000F90B0000}"/>
    <cellStyle name="20% - Accent4 3 3 2 2" xfId="5119" xr:uid="{00000000-0005-0000-0000-0000FA0B0000}"/>
    <cellStyle name="20% - Accent4 3 3 2 2 2" xfId="5118" xr:uid="{00000000-0005-0000-0000-0000FB0B0000}"/>
    <cellStyle name="20% - Accent4 3 3 2 2 3" xfId="5117" xr:uid="{00000000-0005-0000-0000-0000FC0B0000}"/>
    <cellStyle name="20% - Accent4 3 3 2 3" xfId="5116" xr:uid="{00000000-0005-0000-0000-0000FD0B0000}"/>
    <cellStyle name="20% - Accent4 3 3 2 4" xfId="5115" xr:uid="{00000000-0005-0000-0000-0000FE0B0000}"/>
    <cellStyle name="20% - Accent4 3 3 3" xfId="5114" xr:uid="{00000000-0005-0000-0000-0000FF0B0000}"/>
    <cellStyle name="20% - Accent4 3 3 3 2" xfId="5113" xr:uid="{00000000-0005-0000-0000-0000000C0000}"/>
    <cellStyle name="20% - Accent4 3 3 3 3" xfId="5112" xr:uid="{00000000-0005-0000-0000-0000010C0000}"/>
    <cellStyle name="20% - Accent4 3 3 4" xfId="5111" xr:uid="{00000000-0005-0000-0000-0000020C0000}"/>
    <cellStyle name="20% - Accent4 3 3 4 2" xfId="5110" xr:uid="{00000000-0005-0000-0000-0000030C0000}"/>
    <cellStyle name="20% - Accent4 3 3 4 3" xfId="5109" xr:uid="{00000000-0005-0000-0000-0000040C0000}"/>
    <cellStyle name="20% - Accent4 3 3 5" xfId="5108" xr:uid="{00000000-0005-0000-0000-0000050C0000}"/>
    <cellStyle name="20% - Accent4 3 3 6" xfId="5107" xr:uid="{00000000-0005-0000-0000-0000060C0000}"/>
    <cellStyle name="20% - Accent4 3 3 7" xfId="8192" xr:uid="{00000000-0005-0000-0000-0000070C0000}"/>
    <cellStyle name="20% - Accent4 3 4" xfId="8193" xr:uid="{00000000-0005-0000-0000-0000080C0000}"/>
    <cellStyle name="20% - Accent4 3 4 2" xfId="8194" xr:uid="{00000000-0005-0000-0000-0000090C0000}"/>
    <cellStyle name="20% - Accent4 3 4 2 2" xfId="8195" xr:uid="{00000000-0005-0000-0000-00000A0C0000}"/>
    <cellStyle name="20% - Accent4 3 4 3" xfId="8196" xr:uid="{00000000-0005-0000-0000-00000B0C0000}"/>
    <cellStyle name="20% - Accent4 3 4 4" xfId="8197" xr:uid="{00000000-0005-0000-0000-00000C0C0000}"/>
    <cellStyle name="20% - Accent4 3 5" xfId="8198" xr:uid="{00000000-0005-0000-0000-00000D0C0000}"/>
    <cellStyle name="20% - Accent4 3 5 2" xfId="8199" xr:uid="{00000000-0005-0000-0000-00000E0C0000}"/>
    <cellStyle name="20% - Accent4 3 6" xfId="8200" xr:uid="{00000000-0005-0000-0000-00000F0C0000}"/>
    <cellStyle name="20% - Accent4 3 7" xfId="8201" xr:uid="{00000000-0005-0000-0000-0000100C0000}"/>
    <cellStyle name="20% - Accent4 3 7 2" xfId="8202" xr:uid="{00000000-0005-0000-0000-0000110C0000}"/>
    <cellStyle name="20% - Accent4 3 8" xfId="8203" xr:uid="{00000000-0005-0000-0000-0000120C0000}"/>
    <cellStyle name="20% - Accent4 3 9" xfId="8204" xr:uid="{00000000-0005-0000-0000-0000130C0000}"/>
    <cellStyle name="20% - Accent4 3 9 2" xfId="8205" xr:uid="{00000000-0005-0000-0000-0000140C0000}"/>
    <cellStyle name="20% - Accent4 4" xfId="5106" xr:uid="{00000000-0005-0000-0000-0000150C0000}"/>
    <cellStyle name="20% - Accent4 4 2" xfId="5105" xr:uid="{00000000-0005-0000-0000-0000160C0000}"/>
    <cellStyle name="20% - Accent4 4 2 2" xfId="5104" xr:uid="{00000000-0005-0000-0000-0000170C0000}"/>
    <cellStyle name="20% - Accent4 4 2 2 2" xfId="5103" xr:uid="{00000000-0005-0000-0000-0000180C0000}"/>
    <cellStyle name="20% - Accent4 4 2 2 2 2" xfId="5102" xr:uid="{00000000-0005-0000-0000-0000190C0000}"/>
    <cellStyle name="20% - Accent4 4 2 2 2 3" xfId="5101" xr:uid="{00000000-0005-0000-0000-00001A0C0000}"/>
    <cellStyle name="20% - Accent4 4 2 2 3" xfId="5100" xr:uid="{00000000-0005-0000-0000-00001B0C0000}"/>
    <cellStyle name="20% - Accent4 4 2 2 4" xfId="5099" xr:uid="{00000000-0005-0000-0000-00001C0C0000}"/>
    <cellStyle name="20% - Accent4 4 2 3" xfId="5098" xr:uid="{00000000-0005-0000-0000-00001D0C0000}"/>
    <cellStyle name="20% - Accent4 4 2 3 2" xfId="5097" xr:uid="{00000000-0005-0000-0000-00001E0C0000}"/>
    <cellStyle name="20% - Accent4 4 2 3 3" xfId="5096" xr:uid="{00000000-0005-0000-0000-00001F0C0000}"/>
    <cellStyle name="20% - Accent4 4 2 4" xfId="5095" xr:uid="{00000000-0005-0000-0000-0000200C0000}"/>
    <cellStyle name="20% - Accent4 4 2 4 2" xfId="5094" xr:uid="{00000000-0005-0000-0000-0000210C0000}"/>
    <cellStyle name="20% - Accent4 4 2 4 3" xfId="5093" xr:uid="{00000000-0005-0000-0000-0000220C0000}"/>
    <cellStyle name="20% - Accent4 4 2 5" xfId="5092" xr:uid="{00000000-0005-0000-0000-0000230C0000}"/>
    <cellStyle name="20% - Accent4 4 2 6" xfId="5091" xr:uid="{00000000-0005-0000-0000-0000240C0000}"/>
    <cellStyle name="20% - Accent4 4 3" xfId="5090" xr:uid="{00000000-0005-0000-0000-0000250C0000}"/>
    <cellStyle name="20% - Accent4 4 3 2" xfId="5089" xr:uid="{00000000-0005-0000-0000-0000260C0000}"/>
    <cellStyle name="20% - Accent4 4 3 2 2" xfId="5088" xr:uid="{00000000-0005-0000-0000-0000270C0000}"/>
    <cellStyle name="20% - Accent4 4 3 2 3" xfId="5087" xr:uid="{00000000-0005-0000-0000-0000280C0000}"/>
    <cellStyle name="20% - Accent4 4 3 3" xfId="5086" xr:uid="{00000000-0005-0000-0000-0000290C0000}"/>
    <cellStyle name="20% - Accent4 4 3 3 2" xfId="8206" xr:uid="{00000000-0005-0000-0000-00002A0C0000}"/>
    <cellStyle name="20% - Accent4 4 3 4" xfId="5085" xr:uid="{00000000-0005-0000-0000-00002B0C0000}"/>
    <cellStyle name="20% - Accent4 4 4" xfId="5084" xr:uid="{00000000-0005-0000-0000-00002C0C0000}"/>
    <cellStyle name="20% - Accent4 4 4 2" xfId="5083" xr:uid="{00000000-0005-0000-0000-00002D0C0000}"/>
    <cellStyle name="20% - Accent4 4 4 2 2" xfId="8207" xr:uid="{00000000-0005-0000-0000-00002E0C0000}"/>
    <cellStyle name="20% - Accent4 4 4 3" xfId="5082" xr:uid="{00000000-0005-0000-0000-00002F0C0000}"/>
    <cellStyle name="20% - Accent4 4 4 4" xfId="8208" xr:uid="{00000000-0005-0000-0000-0000300C0000}"/>
    <cellStyle name="20% - Accent4 4 5" xfId="5081" xr:uid="{00000000-0005-0000-0000-0000310C0000}"/>
    <cellStyle name="20% - Accent4 4 5 2" xfId="5080" xr:uid="{00000000-0005-0000-0000-0000320C0000}"/>
    <cellStyle name="20% - Accent4 4 5 3" xfId="5079" xr:uid="{00000000-0005-0000-0000-0000330C0000}"/>
    <cellStyle name="20% - Accent4 4 6" xfId="5078" xr:uid="{00000000-0005-0000-0000-0000340C0000}"/>
    <cellStyle name="20% - Accent4 4 6 2" xfId="8209" xr:uid="{00000000-0005-0000-0000-0000350C0000}"/>
    <cellStyle name="20% - Accent4 4 7" xfId="5077" xr:uid="{00000000-0005-0000-0000-0000360C0000}"/>
    <cellStyle name="20% - Accent4 4 7 2" xfId="8210" xr:uid="{00000000-0005-0000-0000-0000370C0000}"/>
    <cellStyle name="20% - Accent4 4 8" xfId="8211" xr:uid="{00000000-0005-0000-0000-0000380C0000}"/>
    <cellStyle name="20% - Accent4 4 9" xfId="8212" xr:uid="{00000000-0005-0000-0000-0000390C0000}"/>
    <cellStyle name="20% - Accent4 5" xfId="5076" xr:uid="{00000000-0005-0000-0000-00003A0C0000}"/>
    <cellStyle name="20% - Accent4 5 10" xfId="8213" xr:uid="{00000000-0005-0000-0000-00003B0C0000}"/>
    <cellStyle name="20% - Accent4 5 11" xfId="8214" xr:uid="{00000000-0005-0000-0000-00003C0C0000}"/>
    <cellStyle name="20% - Accent4 5 2" xfId="5075" xr:uid="{00000000-0005-0000-0000-00003D0C0000}"/>
    <cellStyle name="20% - Accent4 5 2 2" xfId="5074" xr:uid="{00000000-0005-0000-0000-00003E0C0000}"/>
    <cellStyle name="20% - Accent4 5 2 2 2" xfId="5073" xr:uid="{00000000-0005-0000-0000-00003F0C0000}"/>
    <cellStyle name="20% - Accent4 5 2 2 2 2" xfId="8215" xr:uid="{00000000-0005-0000-0000-0000400C0000}"/>
    <cellStyle name="20% - Accent4 5 2 2 2 2 2" xfId="8216" xr:uid="{00000000-0005-0000-0000-0000410C0000}"/>
    <cellStyle name="20% - Accent4 5 2 2 2 3" xfId="8217" xr:uid="{00000000-0005-0000-0000-0000420C0000}"/>
    <cellStyle name="20% - Accent4 5 2 2 2 3 2" xfId="8218" xr:uid="{00000000-0005-0000-0000-0000430C0000}"/>
    <cellStyle name="20% - Accent4 5 2 2 2 4" xfId="8219" xr:uid="{00000000-0005-0000-0000-0000440C0000}"/>
    <cellStyle name="20% - Accent4 5 2 2 2 4 2" xfId="8220" xr:uid="{00000000-0005-0000-0000-0000450C0000}"/>
    <cellStyle name="20% - Accent4 5 2 2 2 5" xfId="8221" xr:uid="{00000000-0005-0000-0000-0000460C0000}"/>
    <cellStyle name="20% - Accent4 5 2 2 3" xfId="5072" xr:uid="{00000000-0005-0000-0000-0000470C0000}"/>
    <cellStyle name="20% - Accent4 5 2 2 3 2" xfId="8222" xr:uid="{00000000-0005-0000-0000-0000480C0000}"/>
    <cellStyle name="20% - Accent4 5 2 2 3 2 2" xfId="8223" xr:uid="{00000000-0005-0000-0000-0000490C0000}"/>
    <cellStyle name="20% - Accent4 5 2 2 3 3" xfId="8224" xr:uid="{00000000-0005-0000-0000-00004A0C0000}"/>
    <cellStyle name="20% - Accent4 5 2 2 3 3 2" xfId="8225" xr:uid="{00000000-0005-0000-0000-00004B0C0000}"/>
    <cellStyle name="20% - Accent4 5 2 2 3 4" xfId="8226" xr:uid="{00000000-0005-0000-0000-00004C0C0000}"/>
    <cellStyle name="20% - Accent4 5 2 2 4" xfId="8227" xr:uid="{00000000-0005-0000-0000-00004D0C0000}"/>
    <cellStyle name="20% - Accent4 5 2 2 4 2" xfId="8228" xr:uid="{00000000-0005-0000-0000-00004E0C0000}"/>
    <cellStyle name="20% - Accent4 5 2 2 4 2 2" xfId="8229" xr:uid="{00000000-0005-0000-0000-00004F0C0000}"/>
    <cellStyle name="20% - Accent4 5 2 2 4 3" xfId="8230" xr:uid="{00000000-0005-0000-0000-0000500C0000}"/>
    <cellStyle name="20% - Accent4 5 2 2 4 3 2" xfId="8231" xr:uid="{00000000-0005-0000-0000-0000510C0000}"/>
    <cellStyle name="20% - Accent4 5 2 2 4 4" xfId="8232" xr:uid="{00000000-0005-0000-0000-0000520C0000}"/>
    <cellStyle name="20% - Accent4 5 2 2 5" xfId="8233" xr:uid="{00000000-0005-0000-0000-0000530C0000}"/>
    <cellStyle name="20% - Accent4 5 2 2 5 2" xfId="8234" xr:uid="{00000000-0005-0000-0000-0000540C0000}"/>
    <cellStyle name="20% - Accent4 5 2 2 5 2 2" xfId="8235" xr:uid="{00000000-0005-0000-0000-0000550C0000}"/>
    <cellStyle name="20% - Accent4 5 2 2 5 3" xfId="8236" xr:uid="{00000000-0005-0000-0000-0000560C0000}"/>
    <cellStyle name="20% - Accent4 5 2 2 5 3 2" xfId="8237" xr:uid="{00000000-0005-0000-0000-0000570C0000}"/>
    <cellStyle name="20% - Accent4 5 2 2 5 4" xfId="8238" xr:uid="{00000000-0005-0000-0000-0000580C0000}"/>
    <cellStyle name="20% - Accent4 5 2 2 6" xfId="8239" xr:uid="{00000000-0005-0000-0000-0000590C0000}"/>
    <cellStyle name="20% - Accent4 5 2 2 7" xfId="8240" xr:uid="{00000000-0005-0000-0000-00005A0C0000}"/>
    <cellStyle name="20% - Accent4 5 2 3" xfId="5071" xr:uid="{00000000-0005-0000-0000-00005B0C0000}"/>
    <cellStyle name="20% - Accent4 5 2 4" xfId="5070" xr:uid="{00000000-0005-0000-0000-00005C0C0000}"/>
    <cellStyle name="20% - Accent4 5 2 5" xfId="8241" xr:uid="{00000000-0005-0000-0000-00005D0C0000}"/>
    <cellStyle name="20% - Accent4 5 2 5 2" xfId="8242" xr:uid="{00000000-0005-0000-0000-00005E0C0000}"/>
    <cellStyle name="20% - Accent4 5 2 6" xfId="8243" xr:uid="{00000000-0005-0000-0000-00005F0C0000}"/>
    <cellStyle name="20% - Accent4 5 3" xfId="5069" xr:uid="{00000000-0005-0000-0000-0000600C0000}"/>
    <cellStyle name="20% - Accent4 5 3 2" xfId="5068" xr:uid="{00000000-0005-0000-0000-0000610C0000}"/>
    <cellStyle name="20% - Accent4 5 3 2 2" xfId="8244" xr:uid="{00000000-0005-0000-0000-0000620C0000}"/>
    <cellStyle name="20% - Accent4 5 3 3" xfId="5067" xr:uid="{00000000-0005-0000-0000-0000630C0000}"/>
    <cellStyle name="20% - Accent4 5 3 4" xfId="8245" xr:uid="{00000000-0005-0000-0000-0000640C0000}"/>
    <cellStyle name="20% - Accent4 5 3 5" xfId="8246" xr:uid="{00000000-0005-0000-0000-0000650C0000}"/>
    <cellStyle name="20% - Accent4 5 3 5 2" xfId="8247" xr:uid="{00000000-0005-0000-0000-0000660C0000}"/>
    <cellStyle name="20% - Accent4 5 3 6" xfId="8248" xr:uid="{00000000-0005-0000-0000-0000670C0000}"/>
    <cellStyle name="20% - Accent4 5 4" xfId="5066" xr:uid="{00000000-0005-0000-0000-0000680C0000}"/>
    <cellStyle name="20% - Accent4 5 4 2" xfId="5065" xr:uid="{00000000-0005-0000-0000-0000690C0000}"/>
    <cellStyle name="20% - Accent4 5 4 3" xfId="5064" xr:uid="{00000000-0005-0000-0000-00006A0C0000}"/>
    <cellStyle name="20% - Accent4 5 5" xfId="5063" xr:uid="{00000000-0005-0000-0000-00006B0C0000}"/>
    <cellStyle name="20% - Accent4 5 5 2" xfId="8249" xr:uid="{00000000-0005-0000-0000-00006C0C0000}"/>
    <cellStyle name="20% - Accent4 5 5 2 2" xfId="8250" xr:uid="{00000000-0005-0000-0000-00006D0C0000}"/>
    <cellStyle name="20% - Accent4 5 5 2 2 2" xfId="8251" xr:uid="{00000000-0005-0000-0000-00006E0C0000}"/>
    <cellStyle name="20% - Accent4 5 5 2 3" xfId="8252" xr:uid="{00000000-0005-0000-0000-00006F0C0000}"/>
    <cellStyle name="20% - Accent4 5 5 2 3 2" xfId="8253" xr:uid="{00000000-0005-0000-0000-0000700C0000}"/>
    <cellStyle name="20% - Accent4 5 5 2 4" xfId="8254" xr:uid="{00000000-0005-0000-0000-0000710C0000}"/>
    <cellStyle name="20% - Accent4 5 5 2 4 2" xfId="8255" xr:uid="{00000000-0005-0000-0000-0000720C0000}"/>
    <cellStyle name="20% - Accent4 5 5 2 5" xfId="8256" xr:uid="{00000000-0005-0000-0000-0000730C0000}"/>
    <cellStyle name="20% - Accent4 5 5 3" xfId="8257" xr:uid="{00000000-0005-0000-0000-0000740C0000}"/>
    <cellStyle name="20% - Accent4 5 5 3 2" xfId="8258" xr:uid="{00000000-0005-0000-0000-0000750C0000}"/>
    <cellStyle name="20% - Accent4 5 5 3 2 2" xfId="8259" xr:uid="{00000000-0005-0000-0000-0000760C0000}"/>
    <cellStyle name="20% - Accent4 5 5 3 3" xfId="8260" xr:uid="{00000000-0005-0000-0000-0000770C0000}"/>
    <cellStyle name="20% - Accent4 5 5 3 3 2" xfId="8261" xr:uid="{00000000-0005-0000-0000-0000780C0000}"/>
    <cellStyle name="20% - Accent4 5 5 3 4" xfId="8262" xr:uid="{00000000-0005-0000-0000-0000790C0000}"/>
    <cellStyle name="20% - Accent4 5 5 4" xfId="8263" xr:uid="{00000000-0005-0000-0000-00007A0C0000}"/>
    <cellStyle name="20% - Accent4 5 5 4 2" xfId="8264" xr:uid="{00000000-0005-0000-0000-00007B0C0000}"/>
    <cellStyle name="20% - Accent4 5 5 4 2 2" xfId="8265" xr:uid="{00000000-0005-0000-0000-00007C0C0000}"/>
    <cellStyle name="20% - Accent4 5 5 4 3" xfId="8266" xr:uid="{00000000-0005-0000-0000-00007D0C0000}"/>
    <cellStyle name="20% - Accent4 5 5 4 3 2" xfId="8267" xr:uid="{00000000-0005-0000-0000-00007E0C0000}"/>
    <cellStyle name="20% - Accent4 5 5 4 4" xfId="8268" xr:uid="{00000000-0005-0000-0000-00007F0C0000}"/>
    <cellStyle name="20% - Accent4 5 5 5" xfId="8269" xr:uid="{00000000-0005-0000-0000-0000800C0000}"/>
    <cellStyle name="20% - Accent4 5 5 5 2" xfId="8270" xr:uid="{00000000-0005-0000-0000-0000810C0000}"/>
    <cellStyle name="20% - Accent4 5 5 5 2 2" xfId="8271" xr:uid="{00000000-0005-0000-0000-0000820C0000}"/>
    <cellStyle name="20% - Accent4 5 5 5 3" xfId="8272" xr:uid="{00000000-0005-0000-0000-0000830C0000}"/>
    <cellStyle name="20% - Accent4 5 5 5 3 2" xfId="8273" xr:uid="{00000000-0005-0000-0000-0000840C0000}"/>
    <cellStyle name="20% - Accent4 5 5 5 4" xfId="8274" xr:uid="{00000000-0005-0000-0000-0000850C0000}"/>
    <cellStyle name="20% - Accent4 5 5 6" xfId="8275" xr:uid="{00000000-0005-0000-0000-0000860C0000}"/>
    <cellStyle name="20% - Accent4 5 6" xfId="5062" xr:uid="{00000000-0005-0000-0000-0000870C0000}"/>
    <cellStyle name="20% - Accent4 5 6 2" xfId="8276" xr:uid="{00000000-0005-0000-0000-0000880C0000}"/>
    <cellStyle name="20% - Accent4 5 6 2 2" xfId="8277" xr:uid="{00000000-0005-0000-0000-0000890C0000}"/>
    <cellStyle name="20% - Accent4 5 6 2 2 2" xfId="8278" xr:uid="{00000000-0005-0000-0000-00008A0C0000}"/>
    <cellStyle name="20% - Accent4 5 6 2 2 2 2" xfId="8279" xr:uid="{00000000-0005-0000-0000-00008B0C0000}"/>
    <cellStyle name="20% - Accent4 5 6 2 2 3" xfId="8280" xr:uid="{00000000-0005-0000-0000-00008C0C0000}"/>
    <cellStyle name="20% - Accent4 5 6 2 2 3 2" xfId="8281" xr:uid="{00000000-0005-0000-0000-00008D0C0000}"/>
    <cellStyle name="20% - Accent4 5 6 2 2 4" xfId="8282" xr:uid="{00000000-0005-0000-0000-00008E0C0000}"/>
    <cellStyle name="20% - Accent4 5 6 2 2 5" xfId="8283" xr:uid="{00000000-0005-0000-0000-00008F0C0000}"/>
    <cellStyle name="20% - Accent4 5 6 2 3" xfId="8284" xr:uid="{00000000-0005-0000-0000-0000900C0000}"/>
    <cellStyle name="20% - Accent4 5 6 2 3 2" xfId="8285" xr:uid="{00000000-0005-0000-0000-0000910C0000}"/>
    <cellStyle name="20% - Accent4 5 6 2 3 2 2" xfId="8286" xr:uid="{00000000-0005-0000-0000-0000920C0000}"/>
    <cellStyle name="20% - Accent4 5 6 2 3 3" xfId="8287" xr:uid="{00000000-0005-0000-0000-0000930C0000}"/>
    <cellStyle name="20% - Accent4 5 6 2 4" xfId="8288" xr:uid="{00000000-0005-0000-0000-0000940C0000}"/>
    <cellStyle name="20% - Accent4 5 6 2 4 2" xfId="8289" xr:uid="{00000000-0005-0000-0000-0000950C0000}"/>
    <cellStyle name="20% - Accent4 5 6 2 5" xfId="8290" xr:uid="{00000000-0005-0000-0000-0000960C0000}"/>
    <cellStyle name="20% - Accent4 5 6 2 5 2" xfId="8291" xr:uid="{00000000-0005-0000-0000-0000970C0000}"/>
    <cellStyle name="20% - Accent4 5 6 2 6" xfId="8292" xr:uid="{00000000-0005-0000-0000-0000980C0000}"/>
    <cellStyle name="20% - Accent4 5 6 3" xfId="8293" xr:uid="{00000000-0005-0000-0000-0000990C0000}"/>
    <cellStyle name="20% - Accent4 5 6 3 2" xfId="8294" xr:uid="{00000000-0005-0000-0000-00009A0C0000}"/>
    <cellStyle name="20% - Accent4 5 6 3 2 2" xfId="8295" xr:uid="{00000000-0005-0000-0000-00009B0C0000}"/>
    <cellStyle name="20% - Accent4 5 6 3 2 2 2" xfId="8296" xr:uid="{00000000-0005-0000-0000-00009C0C0000}"/>
    <cellStyle name="20% - Accent4 5 6 3 2 3" xfId="8297" xr:uid="{00000000-0005-0000-0000-00009D0C0000}"/>
    <cellStyle name="20% - Accent4 5 6 3 2 3 2" xfId="8298" xr:uid="{00000000-0005-0000-0000-00009E0C0000}"/>
    <cellStyle name="20% - Accent4 5 6 3 2 4" xfId="8299" xr:uid="{00000000-0005-0000-0000-00009F0C0000}"/>
    <cellStyle name="20% - Accent4 5 6 3 2 5" xfId="8300" xr:uid="{00000000-0005-0000-0000-0000A00C0000}"/>
    <cellStyle name="20% - Accent4 5 6 3 3" xfId="8301" xr:uid="{00000000-0005-0000-0000-0000A10C0000}"/>
    <cellStyle name="20% - Accent4 5 6 3 3 2" xfId="8302" xr:uid="{00000000-0005-0000-0000-0000A20C0000}"/>
    <cellStyle name="20% - Accent4 5 6 3 3 2 2" xfId="8303" xr:uid="{00000000-0005-0000-0000-0000A30C0000}"/>
    <cellStyle name="20% - Accent4 5 6 3 3 3" xfId="8304" xr:uid="{00000000-0005-0000-0000-0000A40C0000}"/>
    <cellStyle name="20% - Accent4 5 6 3 4" xfId="8305" xr:uid="{00000000-0005-0000-0000-0000A50C0000}"/>
    <cellStyle name="20% - Accent4 5 6 3 4 2" xfId="8306" xr:uid="{00000000-0005-0000-0000-0000A60C0000}"/>
    <cellStyle name="20% - Accent4 5 6 3 5" xfId="8307" xr:uid="{00000000-0005-0000-0000-0000A70C0000}"/>
    <cellStyle name="20% - Accent4 5 6 3 5 2" xfId="8308" xr:uid="{00000000-0005-0000-0000-0000A80C0000}"/>
    <cellStyle name="20% - Accent4 5 6 3 6" xfId="8309" xr:uid="{00000000-0005-0000-0000-0000A90C0000}"/>
    <cellStyle name="20% - Accent4 5 6 4" xfId="8310" xr:uid="{00000000-0005-0000-0000-0000AA0C0000}"/>
    <cellStyle name="20% - Accent4 5 6 4 2" xfId="8311" xr:uid="{00000000-0005-0000-0000-0000AB0C0000}"/>
    <cellStyle name="20% - Accent4 5 6 4 2 2" xfId="8312" xr:uid="{00000000-0005-0000-0000-0000AC0C0000}"/>
    <cellStyle name="20% - Accent4 5 6 4 3" xfId="8313" xr:uid="{00000000-0005-0000-0000-0000AD0C0000}"/>
    <cellStyle name="20% - Accent4 5 6 4 3 2" xfId="8314" xr:uid="{00000000-0005-0000-0000-0000AE0C0000}"/>
    <cellStyle name="20% - Accent4 5 6 4 4" xfId="8315" xr:uid="{00000000-0005-0000-0000-0000AF0C0000}"/>
    <cellStyle name="20% - Accent4 5 6 5" xfId="8316" xr:uid="{00000000-0005-0000-0000-0000B00C0000}"/>
    <cellStyle name="20% - Accent4 5 6 5 2" xfId="8317" xr:uid="{00000000-0005-0000-0000-0000B10C0000}"/>
    <cellStyle name="20% - Accent4 5 6 5 3" xfId="8318" xr:uid="{00000000-0005-0000-0000-0000B20C0000}"/>
    <cellStyle name="20% - Accent4 5 6 6" xfId="8319" xr:uid="{00000000-0005-0000-0000-0000B30C0000}"/>
    <cellStyle name="20% - Accent4 5 6 6 2" xfId="8320" xr:uid="{00000000-0005-0000-0000-0000B40C0000}"/>
    <cellStyle name="20% - Accent4 5 6 6 3" xfId="8321" xr:uid="{00000000-0005-0000-0000-0000B50C0000}"/>
    <cellStyle name="20% - Accent4 5 6 7" xfId="8322" xr:uid="{00000000-0005-0000-0000-0000B60C0000}"/>
    <cellStyle name="20% - Accent4 5 6 7 2" xfId="8323" xr:uid="{00000000-0005-0000-0000-0000B70C0000}"/>
    <cellStyle name="20% - Accent4 5 6 7 3" xfId="8324" xr:uid="{00000000-0005-0000-0000-0000B80C0000}"/>
    <cellStyle name="20% - Accent4 5 6 8" xfId="8325" xr:uid="{00000000-0005-0000-0000-0000B90C0000}"/>
    <cellStyle name="20% - Accent4 5 7" xfId="8326" xr:uid="{00000000-0005-0000-0000-0000BA0C0000}"/>
    <cellStyle name="20% - Accent4 5 7 2" xfId="8327" xr:uid="{00000000-0005-0000-0000-0000BB0C0000}"/>
    <cellStyle name="20% - Accent4 5 7 2 2" xfId="8328" xr:uid="{00000000-0005-0000-0000-0000BC0C0000}"/>
    <cellStyle name="20% - Accent4 5 7 2 2 2" xfId="8329" xr:uid="{00000000-0005-0000-0000-0000BD0C0000}"/>
    <cellStyle name="20% - Accent4 5 7 2 3" xfId="8330" xr:uid="{00000000-0005-0000-0000-0000BE0C0000}"/>
    <cellStyle name="20% - Accent4 5 7 2 3 2" xfId="8331" xr:uid="{00000000-0005-0000-0000-0000BF0C0000}"/>
    <cellStyle name="20% - Accent4 5 7 2 4" xfId="8332" xr:uid="{00000000-0005-0000-0000-0000C00C0000}"/>
    <cellStyle name="20% - Accent4 5 7 2 4 2" xfId="8333" xr:uid="{00000000-0005-0000-0000-0000C10C0000}"/>
    <cellStyle name="20% - Accent4 5 7 2 5" xfId="8334" xr:uid="{00000000-0005-0000-0000-0000C20C0000}"/>
    <cellStyle name="20% - Accent4 5 7 3" xfId="8335" xr:uid="{00000000-0005-0000-0000-0000C30C0000}"/>
    <cellStyle name="20% - Accent4 5 7 3 2" xfId="8336" xr:uid="{00000000-0005-0000-0000-0000C40C0000}"/>
    <cellStyle name="20% - Accent4 5 7 3 2 2" xfId="8337" xr:uid="{00000000-0005-0000-0000-0000C50C0000}"/>
    <cellStyle name="20% - Accent4 5 7 3 3" xfId="8338" xr:uid="{00000000-0005-0000-0000-0000C60C0000}"/>
    <cellStyle name="20% - Accent4 5 7 3 3 2" xfId="8339" xr:uid="{00000000-0005-0000-0000-0000C70C0000}"/>
    <cellStyle name="20% - Accent4 5 7 3 4" xfId="8340" xr:uid="{00000000-0005-0000-0000-0000C80C0000}"/>
    <cellStyle name="20% - Accent4 5 7 4" xfId="8341" xr:uid="{00000000-0005-0000-0000-0000C90C0000}"/>
    <cellStyle name="20% - Accent4 5 7 4 2" xfId="8342" xr:uid="{00000000-0005-0000-0000-0000CA0C0000}"/>
    <cellStyle name="20% - Accent4 5 7 5" xfId="8343" xr:uid="{00000000-0005-0000-0000-0000CB0C0000}"/>
    <cellStyle name="20% - Accent4 5 7 5 2" xfId="8344" xr:uid="{00000000-0005-0000-0000-0000CC0C0000}"/>
    <cellStyle name="20% - Accent4 5 7 6" xfId="8345" xr:uid="{00000000-0005-0000-0000-0000CD0C0000}"/>
    <cellStyle name="20% - Accent4 5 7 7" xfId="8346" xr:uid="{00000000-0005-0000-0000-0000CE0C0000}"/>
    <cellStyle name="20% - Accent4 5 8" xfId="8347" xr:uid="{00000000-0005-0000-0000-0000CF0C0000}"/>
    <cellStyle name="20% - Accent4 5 8 2" xfId="8348" xr:uid="{00000000-0005-0000-0000-0000D00C0000}"/>
    <cellStyle name="20% - Accent4 5 8 2 2" xfId="8349" xr:uid="{00000000-0005-0000-0000-0000D10C0000}"/>
    <cellStyle name="20% - Accent4 5 8 2 2 2" xfId="8350" xr:uid="{00000000-0005-0000-0000-0000D20C0000}"/>
    <cellStyle name="20% - Accent4 5 8 2 3" xfId="8351" xr:uid="{00000000-0005-0000-0000-0000D30C0000}"/>
    <cellStyle name="20% - Accent4 5 8 2 3 2" xfId="8352" xr:uid="{00000000-0005-0000-0000-0000D40C0000}"/>
    <cellStyle name="20% - Accent4 5 8 2 4" xfId="8353" xr:uid="{00000000-0005-0000-0000-0000D50C0000}"/>
    <cellStyle name="20% - Accent4 5 8 3" xfId="8354" xr:uid="{00000000-0005-0000-0000-0000D60C0000}"/>
    <cellStyle name="20% - Accent4 5 8 3 2" xfId="8355" xr:uid="{00000000-0005-0000-0000-0000D70C0000}"/>
    <cellStyle name="20% - Accent4 5 8 4" xfId="8356" xr:uid="{00000000-0005-0000-0000-0000D80C0000}"/>
    <cellStyle name="20% - Accent4 5 9" xfId="8357" xr:uid="{00000000-0005-0000-0000-0000D90C0000}"/>
    <cellStyle name="20% - Accent4 5 9 2" xfId="8358" xr:uid="{00000000-0005-0000-0000-0000DA0C0000}"/>
    <cellStyle name="20% - Accent4 6" xfId="5061" xr:uid="{00000000-0005-0000-0000-0000DB0C0000}"/>
    <cellStyle name="20% - Accent4 6 10" xfId="8359" xr:uid="{00000000-0005-0000-0000-0000DC0C0000}"/>
    <cellStyle name="20% - Accent4 6 2" xfId="5060" xr:uid="{00000000-0005-0000-0000-0000DD0C0000}"/>
    <cellStyle name="20% - Accent4 6 2 2" xfId="5059" xr:uid="{00000000-0005-0000-0000-0000DE0C0000}"/>
    <cellStyle name="20% - Accent4 6 2 2 2" xfId="5058" xr:uid="{00000000-0005-0000-0000-0000DF0C0000}"/>
    <cellStyle name="20% - Accent4 6 2 2 3" xfId="5057" xr:uid="{00000000-0005-0000-0000-0000E00C0000}"/>
    <cellStyle name="20% - Accent4 6 2 3" xfId="5056" xr:uid="{00000000-0005-0000-0000-0000E10C0000}"/>
    <cellStyle name="20% - Accent4 6 2 4" xfId="5055" xr:uid="{00000000-0005-0000-0000-0000E20C0000}"/>
    <cellStyle name="20% - Accent4 6 2 5" xfId="8360" xr:uid="{00000000-0005-0000-0000-0000E30C0000}"/>
    <cellStyle name="20% - Accent4 6 2 5 2" xfId="8361" xr:uid="{00000000-0005-0000-0000-0000E40C0000}"/>
    <cellStyle name="20% - Accent4 6 2 5 2 2" xfId="8362" xr:uid="{00000000-0005-0000-0000-0000E50C0000}"/>
    <cellStyle name="20% - Accent4 6 2 5 3" xfId="8363" xr:uid="{00000000-0005-0000-0000-0000E60C0000}"/>
    <cellStyle name="20% - Accent4 6 2 5 3 2" xfId="8364" xr:uid="{00000000-0005-0000-0000-0000E70C0000}"/>
    <cellStyle name="20% - Accent4 6 2 5 4" xfId="8365" xr:uid="{00000000-0005-0000-0000-0000E80C0000}"/>
    <cellStyle name="20% - Accent4 6 2 5 5" xfId="8366" xr:uid="{00000000-0005-0000-0000-0000E90C0000}"/>
    <cellStyle name="20% - Accent4 6 2 6" xfId="8367" xr:uid="{00000000-0005-0000-0000-0000EA0C0000}"/>
    <cellStyle name="20% - Accent4 6 2 6 2" xfId="8368" xr:uid="{00000000-0005-0000-0000-0000EB0C0000}"/>
    <cellStyle name="20% - Accent4 6 2 7" xfId="8369" xr:uid="{00000000-0005-0000-0000-0000EC0C0000}"/>
    <cellStyle name="20% - Accent4 6 2 7 2" xfId="8370" xr:uid="{00000000-0005-0000-0000-0000ED0C0000}"/>
    <cellStyle name="20% - Accent4 6 2 8" xfId="8371" xr:uid="{00000000-0005-0000-0000-0000EE0C0000}"/>
    <cellStyle name="20% - Accent4 6 2 8 2" xfId="8372" xr:uid="{00000000-0005-0000-0000-0000EF0C0000}"/>
    <cellStyle name="20% - Accent4 6 2 9" xfId="8373" xr:uid="{00000000-0005-0000-0000-0000F00C0000}"/>
    <cellStyle name="20% - Accent4 6 3" xfId="5054" xr:uid="{00000000-0005-0000-0000-0000F10C0000}"/>
    <cellStyle name="20% - Accent4 6 3 2" xfId="5053" xr:uid="{00000000-0005-0000-0000-0000F20C0000}"/>
    <cellStyle name="20% - Accent4 6 3 3" xfId="5052" xr:uid="{00000000-0005-0000-0000-0000F30C0000}"/>
    <cellStyle name="20% - Accent4 6 3 4" xfId="8374" xr:uid="{00000000-0005-0000-0000-0000F40C0000}"/>
    <cellStyle name="20% - Accent4 6 3 4 2" xfId="8375" xr:uid="{00000000-0005-0000-0000-0000F50C0000}"/>
    <cellStyle name="20% - Accent4 6 3 5" xfId="8376" xr:uid="{00000000-0005-0000-0000-0000F60C0000}"/>
    <cellStyle name="20% - Accent4 6 3 5 2" xfId="8377" xr:uid="{00000000-0005-0000-0000-0000F70C0000}"/>
    <cellStyle name="20% - Accent4 6 4" xfId="5051" xr:uid="{00000000-0005-0000-0000-0000F80C0000}"/>
    <cellStyle name="20% - Accent4 6 4 2" xfId="5050" xr:uid="{00000000-0005-0000-0000-0000F90C0000}"/>
    <cellStyle name="20% - Accent4 6 4 2 2" xfId="8378" xr:uid="{00000000-0005-0000-0000-0000FA0C0000}"/>
    <cellStyle name="20% - Accent4 6 4 2 2 2" xfId="8379" xr:uid="{00000000-0005-0000-0000-0000FB0C0000}"/>
    <cellStyle name="20% - Accent4 6 4 2 2 2 2" xfId="8380" xr:uid="{00000000-0005-0000-0000-0000FC0C0000}"/>
    <cellStyle name="20% - Accent4 6 4 2 2 3" xfId="8381" xr:uid="{00000000-0005-0000-0000-0000FD0C0000}"/>
    <cellStyle name="20% - Accent4 6 4 2 2 3 2" xfId="8382" xr:uid="{00000000-0005-0000-0000-0000FE0C0000}"/>
    <cellStyle name="20% - Accent4 6 4 2 2 4" xfId="8383" xr:uid="{00000000-0005-0000-0000-0000FF0C0000}"/>
    <cellStyle name="20% - Accent4 6 4 2 2 5" xfId="8384" xr:uid="{00000000-0005-0000-0000-0000000D0000}"/>
    <cellStyle name="20% - Accent4 6 4 2 3" xfId="8385" xr:uid="{00000000-0005-0000-0000-0000010D0000}"/>
    <cellStyle name="20% - Accent4 6 4 2 3 2" xfId="8386" xr:uid="{00000000-0005-0000-0000-0000020D0000}"/>
    <cellStyle name="20% - Accent4 6 4 2 3 2 2" xfId="8387" xr:uid="{00000000-0005-0000-0000-0000030D0000}"/>
    <cellStyle name="20% - Accent4 6 4 2 3 3" xfId="8388" xr:uid="{00000000-0005-0000-0000-0000040D0000}"/>
    <cellStyle name="20% - Accent4 6 4 2 4" xfId="8389" xr:uid="{00000000-0005-0000-0000-0000050D0000}"/>
    <cellStyle name="20% - Accent4 6 4 2 4 2" xfId="8390" xr:uid="{00000000-0005-0000-0000-0000060D0000}"/>
    <cellStyle name="20% - Accent4 6 4 2 5" xfId="8391" xr:uid="{00000000-0005-0000-0000-0000070D0000}"/>
    <cellStyle name="20% - Accent4 6 4 2 5 2" xfId="8392" xr:uid="{00000000-0005-0000-0000-0000080D0000}"/>
    <cellStyle name="20% - Accent4 6 4 2 6" xfId="8393" xr:uid="{00000000-0005-0000-0000-0000090D0000}"/>
    <cellStyle name="20% - Accent4 6 4 3" xfId="5049" xr:uid="{00000000-0005-0000-0000-00000A0D0000}"/>
    <cellStyle name="20% - Accent4 6 4 3 2" xfId="8394" xr:uid="{00000000-0005-0000-0000-00000B0D0000}"/>
    <cellStyle name="20% - Accent4 6 4 3 2 2" xfId="8395" xr:uid="{00000000-0005-0000-0000-00000C0D0000}"/>
    <cellStyle name="20% - Accent4 6 4 3 3" xfId="8396" xr:uid="{00000000-0005-0000-0000-00000D0D0000}"/>
    <cellStyle name="20% - Accent4 6 4 3 3 2" xfId="8397" xr:uid="{00000000-0005-0000-0000-00000E0D0000}"/>
    <cellStyle name="20% - Accent4 6 4 3 4" xfId="8398" xr:uid="{00000000-0005-0000-0000-00000F0D0000}"/>
    <cellStyle name="20% - Accent4 6 4 4" xfId="8399" xr:uid="{00000000-0005-0000-0000-0000100D0000}"/>
    <cellStyle name="20% - Accent4 6 4 4 2" xfId="8400" xr:uid="{00000000-0005-0000-0000-0000110D0000}"/>
    <cellStyle name="20% - Accent4 6 4 4 3" xfId="8401" xr:uid="{00000000-0005-0000-0000-0000120D0000}"/>
    <cellStyle name="20% - Accent4 6 4 5" xfId="8402" xr:uid="{00000000-0005-0000-0000-0000130D0000}"/>
    <cellStyle name="20% - Accent4 6 4 5 2" xfId="8403" xr:uid="{00000000-0005-0000-0000-0000140D0000}"/>
    <cellStyle name="20% - Accent4 6 4 5 3" xfId="8404" xr:uid="{00000000-0005-0000-0000-0000150D0000}"/>
    <cellStyle name="20% - Accent4 6 4 6" xfId="8405" xr:uid="{00000000-0005-0000-0000-0000160D0000}"/>
    <cellStyle name="20% - Accent4 6 4 6 2" xfId="8406" xr:uid="{00000000-0005-0000-0000-0000170D0000}"/>
    <cellStyle name="20% - Accent4 6 4 6 3" xfId="8407" xr:uid="{00000000-0005-0000-0000-0000180D0000}"/>
    <cellStyle name="20% - Accent4 6 4 7" xfId="8408" xr:uid="{00000000-0005-0000-0000-0000190D0000}"/>
    <cellStyle name="20% - Accent4 6 4 8" xfId="8409" xr:uid="{00000000-0005-0000-0000-00001A0D0000}"/>
    <cellStyle name="20% - Accent4 6 5" xfId="5048" xr:uid="{00000000-0005-0000-0000-00001B0D0000}"/>
    <cellStyle name="20% - Accent4 6 5 2" xfId="8410" xr:uid="{00000000-0005-0000-0000-00001C0D0000}"/>
    <cellStyle name="20% - Accent4 6 5 2 2" xfId="8411" xr:uid="{00000000-0005-0000-0000-00001D0D0000}"/>
    <cellStyle name="20% - Accent4 6 5 2 2 2" xfId="8412" xr:uid="{00000000-0005-0000-0000-00001E0D0000}"/>
    <cellStyle name="20% - Accent4 6 5 2 3" xfId="8413" xr:uid="{00000000-0005-0000-0000-00001F0D0000}"/>
    <cellStyle name="20% - Accent4 6 5 2 3 2" xfId="8414" xr:uid="{00000000-0005-0000-0000-0000200D0000}"/>
    <cellStyle name="20% - Accent4 6 5 2 4" xfId="8415" xr:uid="{00000000-0005-0000-0000-0000210D0000}"/>
    <cellStyle name="20% - Accent4 6 5 3" xfId="8416" xr:uid="{00000000-0005-0000-0000-0000220D0000}"/>
    <cellStyle name="20% - Accent4 6 5 3 2" xfId="8417" xr:uid="{00000000-0005-0000-0000-0000230D0000}"/>
    <cellStyle name="20% - Accent4 6 5 3 3" xfId="8418" xr:uid="{00000000-0005-0000-0000-0000240D0000}"/>
    <cellStyle name="20% - Accent4 6 5 4" xfId="8419" xr:uid="{00000000-0005-0000-0000-0000250D0000}"/>
    <cellStyle name="20% - Accent4 6 5 4 2" xfId="8420" xr:uid="{00000000-0005-0000-0000-0000260D0000}"/>
    <cellStyle name="20% - Accent4 6 5 4 3" xfId="8421" xr:uid="{00000000-0005-0000-0000-0000270D0000}"/>
    <cellStyle name="20% - Accent4 6 5 5" xfId="8422" xr:uid="{00000000-0005-0000-0000-0000280D0000}"/>
    <cellStyle name="20% - Accent4 6 5 5 2" xfId="8423" xr:uid="{00000000-0005-0000-0000-0000290D0000}"/>
    <cellStyle name="20% - Accent4 6 5 5 3" xfId="8424" xr:uid="{00000000-0005-0000-0000-00002A0D0000}"/>
    <cellStyle name="20% - Accent4 6 5 6" xfId="8425" xr:uid="{00000000-0005-0000-0000-00002B0D0000}"/>
    <cellStyle name="20% - Accent4 6 6" xfId="5047" xr:uid="{00000000-0005-0000-0000-00002C0D0000}"/>
    <cellStyle name="20% - Accent4 6 7" xfId="8426" xr:uid="{00000000-0005-0000-0000-00002D0D0000}"/>
    <cellStyle name="20% - Accent4 6 7 2" xfId="8427" xr:uid="{00000000-0005-0000-0000-00002E0D0000}"/>
    <cellStyle name="20% - Accent4 6 7 2 2" xfId="8428" xr:uid="{00000000-0005-0000-0000-00002F0D0000}"/>
    <cellStyle name="20% - Accent4 6 7 3" xfId="8429" xr:uid="{00000000-0005-0000-0000-0000300D0000}"/>
    <cellStyle name="20% - Accent4 6 7 3 2" xfId="8430" xr:uid="{00000000-0005-0000-0000-0000310D0000}"/>
    <cellStyle name="20% - Accent4 6 7 4" xfId="8431" xr:uid="{00000000-0005-0000-0000-0000320D0000}"/>
    <cellStyle name="20% - Accent4 6 7 5" xfId="8432" xr:uid="{00000000-0005-0000-0000-0000330D0000}"/>
    <cellStyle name="20% - Accent4 6 8" xfId="8433" xr:uid="{00000000-0005-0000-0000-0000340D0000}"/>
    <cellStyle name="20% - Accent4 6 8 2" xfId="8434" xr:uid="{00000000-0005-0000-0000-0000350D0000}"/>
    <cellStyle name="20% - Accent4 6 8 2 2" xfId="8435" xr:uid="{00000000-0005-0000-0000-0000360D0000}"/>
    <cellStyle name="20% - Accent4 6 8 3" xfId="8436" xr:uid="{00000000-0005-0000-0000-0000370D0000}"/>
    <cellStyle name="20% - Accent4 6 9" xfId="8437" xr:uid="{00000000-0005-0000-0000-0000380D0000}"/>
    <cellStyle name="20% - Accent4 6 9 2" xfId="8438" xr:uid="{00000000-0005-0000-0000-0000390D0000}"/>
    <cellStyle name="20% - Accent4 7" xfId="5046" xr:uid="{00000000-0005-0000-0000-00003A0D0000}"/>
    <cellStyle name="20% - Accent4 7 2" xfId="5045" xr:uid="{00000000-0005-0000-0000-00003B0D0000}"/>
    <cellStyle name="20% - Accent4 7 2 2" xfId="5044" xr:uid="{00000000-0005-0000-0000-00003C0D0000}"/>
    <cellStyle name="20% - Accent4 7 2 2 2" xfId="5043" xr:uid="{00000000-0005-0000-0000-00003D0D0000}"/>
    <cellStyle name="20% - Accent4 7 2 2 2 2" xfId="8439" xr:uid="{00000000-0005-0000-0000-00003E0D0000}"/>
    <cellStyle name="20% - Accent4 7 2 2 3" xfId="5042" xr:uid="{00000000-0005-0000-0000-00003F0D0000}"/>
    <cellStyle name="20% - Accent4 7 2 2 3 2" xfId="8440" xr:uid="{00000000-0005-0000-0000-0000400D0000}"/>
    <cellStyle name="20% - Accent4 7 2 2 4" xfId="8441" xr:uid="{00000000-0005-0000-0000-0000410D0000}"/>
    <cellStyle name="20% - Accent4 7 2 3" xfId="5041" xr:uid="{00000000-0005-0000-0000-0000420D0000}"/>
    <cellStyle name="20% - Accent4 7 2 3 2" xfId="8442" xr:uid="{00000000-0005-0000-0000-0000430D0000}"/>
    <cellStyle name="20% - Accent4 7 2 3 2 2" xfId="8443" xr:uid="{00000000-0005-0000-0000-0000440D0000}"/>
    <cellStyle name="20% - Accent4 7 2 3 3" xfId="8444" xr:uid="{00000000-0005-0000-0000-0000450D0000}"/>
    <cellStyle name="20% - Accent4 7 2 4" xfId="5040" xr:uid="{00000000-0005-0000-0000-0000460D0000}"/>
    <cellStyle name="20% - Accent4 7 2 4 2" xfId="8445" xr:uid="{00000000-0005-0000-0000-0000470D0000}"/>
    <cellStyle name="20% - Accent4 7 2 4 2 2" xfId="8446" xr:uid="{00000000-0005-0000-0000-0000480D0000}"/>
    <cellStyle name="20% - Accent4 7 2 4 3" xfId="8447" xr:uid="{00000000-0005-0000-0000-0000490D0000}"/>
    <cellStyle name="20% - Accent4 7 2 4 3 2" xfId="8448" xr:uid="{00000000-0005-0000-0000-00004A0D0000}"/>
    <cellStyle name="20% - Accent4 7 2 4 4" xfId="8449" xr:uid="{00000000-0005-0000-0000-00004B0D0000}"/>
    <cellStyle name="20% - Accent4 7 2 5" xfId="8450" xr:uid="{00000000-0005-0000-0000-00004C0D0000}"/>
    <cellStyle name="20% - Accent4 7 2 5 2" xfId="8451" xr:uid="{00000000-0005-0000-0000-00004D0D0000}"/>
    <cellStyle name="20% - Accent4 7 2 5 2 2" xfId="8452" xr:uid="{00000000-0005-0000-0000-00004E0D0000}"/>
    <cellStyle name="20% - Accent4 7 2 6" xfId="8453" xr:uid="{00000000-0005-0000-0000-00004F0D0000}"/>
    <cellStyle name="20% - Accent4 7 3" xfId="5039" xr:uid="{00000000-0005-0000-0000-0000500D0000}"/>
    <cellStyle name="20% - Accent4 7 3 2" xfId="5038" xr:uid="{00000000-0005-0000-0000-0000510D0000}"/>
    <cellStyle name="20% - Accent4 7 3 2 2" xfId="8454" xr:uid="{00000000-0005-0000-0000-0000520D0000}"/>
    <cellStyle name="20% - Accent4 7 3 2 2 2" xfId="8455" xr:uid="{00000000-0005-0000-0000-0000530D0000}"/>
    <cellStyle name="20% - Accent4 7 3 2 3" xfId="8456" xr:uid="{00000000-0005-0000-0000-0000540D0000}"/>
    <cellStyle name="20% - Accent4 7 3 2 3 2" xfId="8457" xr:uid="{00000000-0005-0000-0000-0000550D0000}"/>
    <cellStyle name="20% - Accent4 7 3 2 4" xfId="8458" xr:uid="{00000000-0005-0000-0000-0000560D0000}"/>
    <cellStyle name="20% - Accent4 7 3 3" xfId="5037" xr:uid="{00000000-0005-0000-0000-0000570D0000}"/>
    <cellStyle name="20% - Accent4 7 3 3 2" xfId="8459" xr:uid="{00000000-0005-0000-0000-0000580D0000}"/>
    <cellStyle name="20% - Accent4 7 3 3 2 2" xfId="8460" xr:uid="{00000000-0005-0000-0000-0000590D0000}"/>
    <cellStyle name="20% - Accent4 7 3 3 3" xfId="8461" xr:uid="{00000000-0005-0000-0000-00005A0D0000}"/>
    <cellStyle name="20% - Accent4 7 3 3 3 2" xfId="8462" xr:uid="{00000000-0005-0000-0000-00005B0D0000}"/>
    <cellStyle name="20% - Accent4 7 3 3 4" xfId="8463" xr:uid="{00000000-0005-0000-0000-00005C0D0000}"/>
    <cellStyle name="20% - Accent4 7 3 4" xfId="8464" xr:uid="{00000000-0005-0000-0000-00005D0D0000}"/>
    <cellStyle name="20% - Accent4 7 4" xfId="5036" xr:uid="{00000000-0005-0000-0000-00005E0D0000}"/>
    <cellStyle name="20% - Accent4 7 4 2" xfId="5035" xr:uid="{00000000-0005-0000-0000-00005F0D0000}"/>
    <cellStyle name="20% - Accent4 7 4 2 2" xfId="8465" xr:uid="{00000000-0005-0000-0000-0000600D0000}"/>
    <cellStyle name="20% - Accent4 7 4 3" xfId="5034" xr:uid="{00000000-0005-0000-0000-0000610D0000}"/>
    <cellStyle name="20% - Accent4 7 4 3 2" xfId="8466" xr:uid="{00000000-0005-0000-0000-0000620D0000}"/>
    <cellStyle name="20% - Accent4 7 4 4" xfId="8467" xr:uid="{00000000-0005-0000-0000-0000630D0000}"/>
    <cellStyle name="20% - Accent4 7 4 4 2" xfId="8468" xr:uid="{00000000-0005-0000-0000-0000640D0000}"/>
    <cellStyle name="20% - Accent4 7 4 5" xfId="8469" xr:uid="{00000000-0005-0000-0000-0000650D0000}"/>
    <cellStyle name="20% - Accent4 7 5" xfId="5033" xr:uid="{00000000-0005-0000-0000-0000660D0000}"/>
    <cellStyle name="20% - Accent4 7 5 2" xfId="8470" xr:uid="{00000000-0005-0000-0000-0000670D0000}"/>
    <cellStyle name="20% - Accent4 7 5 2 2" xfId="8471" xr:uid="{00000000-0005-0000-0000-0000680D0000}"/>
    <cellStyle name="20% - Accent4 7 5 2 2 2" xfId="8472" xr:uid="{00000000-0005-0000-0000-0000690D0000}"/>
    <cellStyle name="20% - Accent4 7 5 3" xfId="8473" xr:uid="{00000000-0005-0000-0000-00006A0D0000}"/>
    <cellStyle name="20% - Accent4 7 5 3 2" xfId="8474" xr:uid="{00000000-0005-0000-0000-00006B0D0000}"/>
    <cellStyle name="20% - Accent4 7 5 4" xfId="8475" xr:uid="{00000000-0005-0000-0000-00006C0D0000}"/>
    <cellStyle name="20% - Accent4 7 6" xfId="5032" xr:uid="{00000000-0005-0000-0000-00006D0D0000}"/>
    <cellStyle name="20% - Accent4 7 6 2" xfId="8476" xr:uid="{00000000-0005-0000-0000-00006E0D0000}"/>
    <cellStyle name="20% - Accent4 7 7" xfId="8477" xr:uid="{00000000-0005-0000-0000-00006F0D0000}"/>
    <cellStyle name="20% - Accent4 7 7 2" xfId="8478" xr:uid="{00000000-0005-0000-0000-0000700D0000}"/>
    <cellStyle name="20% - Accent4 7 8" xfId="8479" xr:uid="{00000000-0005-0000-0000-0000710D0000}"/>
    <cellStyle name="20% - Accent4 7 8 2" xfId="8480" xr:uid="{00000000-0005-0000-0000-0000720D0000}"/>
    <cellStyle name="20% - Accent4 7 9" xfId="8481" xr:uid="{00000000-0005-0000-0000-0000730D0000}"/>
    <cellStyle name="20% - Accent4 8" xfId="5031" xr:uid="{00000000-0005-0000-0000-0000740D0000}"/>
    <cellStyle name="20% - Accent4 8 2" xfId="5030" xr:uid="{00000000-0005-0000-0000-0000750D0000}"/>
    <cellStyle name="20% - Accent4 8 2 2" xfId="5029" xr:uid="{00000000-0005-0000-0000-0000760D0000}"/>
    <cellStyle name="20% - Accent4 8 2 2 2" xfId="5028" xr:uid="{00000000-0005-0000-0000-0000770D0000}"/>
    <cellStyle name="20% - Accent4 8 2 2 2 2" xfId="8482" xr:uid="{00000000-0005-0000-0000-0000780D0000}"/>
    <cellStyle name="20% - Accent4 8 2 2 3" xfId="5027" xr:uid="{00000000-0005-0000-0000-0000790D0000}"/>
    <cellStyle name="20% - Accent4 8 2 2 3 2" xfId="8483" xr:uid="{00000000-0005-0000-0000-00007A0D0000}"/>
    <cellStyle name="20% - Accent4 8 2 2 4" xfId="8484" xr:uid="{00000000-0005-0000-0000-00007B0D0000}"/>
    <cellStyle name="20% - Accent4 8 2 3" xfId="5026" xr:uid="{00000000-0005-0000-0000-00007C0D0000}"/>
    <cellStyle name="20% - Accent4 8 2 3 2" xfId="8485" xr:uid="{00000000-0005-0000-0000-00007D0D0000}"/>
    <cellStyle name="20% - Accent4 8 2 3 2 2" xfId="8486" xr:uid="{00000000-0005-0000-0000-00007E0D0000}"/>
    <cellStyle name="20% - Accent4 8 2 3 3" xfId="8487" xr:uid="{00000000-0005-0000-0000-00007F0D0000}"/>
    <cellStyle name="20% - Accent4 8 2 4" xfId="5025" xr:uid="{00000000-0005-0000-0000-0000800D0000}"/>
    <cellStyle name="20% - Accent4 8 2 4 2" xfId="8488" xr:uid="{00000000-0005-0000-0000-0000810D0000}"/>
    <cellStyle name="20% - Accent4 8 2 4 2 2" xfId="8489" xr:uid="{00000000-0005-0000-0000-0000820D0000}"/>
    <cellStyle name="20% - Accent4 8 2 4 3" xfId="8490" xr:uid="{00000000-0005-0000-0000-0000830D0000}"/>
    <cellStyle name="20% - Accent4 8 2 4 3 2" xfId="8491" xr:uid="{00000000-0005-0000-0000-0000840D0000}"/>
    <cellStyle name="20% - Accent4 8 2 4 4" xfId="8492" xr:uid="{00000000-0005-0000-0000-0000850D0000}"/>
    <cellStyle name="20% - Accent4 8 2 5" xfId="8493" xr:uid="{00000000-0005-0000-0000-0000860D0000}"/>
    <cellStyle name="20% - Accent4 8 2 5 2" xfId="8494" xr:uid="{00000000-0005-0000-0000-0000870D0000}"/>
    <cellStyle name="20% - Accent4 8 2 6" xfId="8495" xr:uid="{00000000-0005-0000-0000-0000880D0000}"/>
    <cellStyle name="20% - Accent4 8 3" xfId="5024" xr:uid="{00000000-0005-0000-0000-0000890D0000}"/>
    <cellStyle name="20% - Accent4 8 3 2" xfId="5023" xr:uid="{00000000-0005-0000-0000-00008A0D0000}"/>
    <cellStyle name="20% - Accent4 8 3 2 2" xfId="8496" xr:uid="{00000000-0005-0000-0000-00008B0D0000}"/>
    <cellStyle name="20% - Accent4 8 3 2 2 2" xfId="8497" xr:uid="{00000000-0005-0000-0000-00008C0D0000}"/>
    <cellStyle name="20% - Accent4 8 3 2 3" xfId="8498" xr:uid="{00000000-0005-0000-0000-00008D0D0000}"/>
    <cellStyle name="20% - Accent4 8 3 2 3 2" xfId="8499" xr:uid="{00000000-0005-0000-0000-00008E0D0000}"/>
    <cellStyle name="20% - Accent4 8 3 2 4" xfId="8500" xr:uid="{00000000-0005-0000-0000-00008F0D0000}"/>
    <cellStyle name="20% - Accent4 8 3 3" xfId="5022" xr:uid="{00000000-0005-0000-0000-0000900D0000}"/>
    <cellStyle name="20% - Accent4 8 3 3 2" xfId="8501" xr:uid="{00000000-0005-0000-0000-0000910D0000}"/>
    <cellStyle name="20% - Accent4 8 3 3 2 2" xfId="8502" xr:uid="{00000000-0005-0000-0000-0000920D0000}"/>
    <cellStyle name="20% - Accent4 8 3 3 3" xfId="8503" xr:uid="{00000000-0005-0000-0000-0000930D0000}"/>
    <cellStyle name="20% - Accent4 8 3 3 3 2" xfId="8504" xr:uid="{00000000-0005-0000-0000-0000940D0000}"/>
    <cellStyle name="20% - Accent4 8 3 3 4" xfId="8505" xr:uid="{00000000-0005-0000-0000-0000950D0000}"/>
    <cellStyle name="20% - Accent4 8 3 4" xfId="8506" xr:uid="{00000000-0005-0000-0000-0000960D0000}"/>
    <cellStyle name="20% - Accent4 8 3 4 2" xfId="8507" xr:uid="{00000000-0005-0000-0000-0000970D0000}"/>
    <cellStyle name="20% - Accent4 8 3 5" xfId="8508" xr:uid="{00000000-0005-0000-0000-0000980D0000}"/>
    <cellStyle name="20% - Accent4 8 3 5 2" xfId="8509" xr:uid="{00000000-0005-0000-0000-0000990D0000}"/>
    <cellStyle name="20% - Accent4 8 3 6" xfId="8510" xr:uid="{00000000-0005-0000-0000-00009A0D0000}"/>
    <cellStyle name="20% - Accent4 8 4" xfId="5021" xr:uid="{00000000-0005-0000-0000-00009B0D0000}"/>
    <cellStyle name="20% - Accent4 8 4 2" xfId="5020" xr:uid="{00000000-0005-0000-0000-00009C0D0000}"/>
    <cellStyle name="20% - Accent4 8 4 2 2" xfId="8511" xr:uid="{00000000-0005-0000-0000-00009D0D0000}"/>
    <cellStyle name="20% - Accent4 8 4 3" xfId="5019" xr:uid="{00000000-0005-0000-0000-00009E0D0000}"/>
    <cellStyle name="20% - Accent4 8 5" xfId="5018" xr:uid="{00000000-0005-0000-0000-00009F0D0000}"/>
    <cellStyle name="20% - Accent4 8 5 2" xfId="8512" xr:uid="{00000000-0005-0000-0000-0000A00D0000}"/>
    <cellStyle name="20% - Accent4 8 6" xfId="5017" xr:uid="{00000000-0005-0000-0000-0000A10D0000}"/>
    <cellStyle name="20% - Accent4 8 6 2" xfId="8513" xr:uid="{00000000-0005-0000-0000-0000A20D0000}"/>
    <cellStyle name="20% - Accent4 8 7" xfId="8514" xr:uid="{00000000-0005-0000-0000-0000A30D0000}"/>
    <cellStyle name="20% - Accent4 9" xfId="5016" xr:uid="{00000000-0005-0000-0000-0000A40D0000}"/>
    <cellStyle name="20% - Accent4 9 2" xfId="5015" xr:uid="{00000000-0005-0000-0000-0000A50D0000}"/>
    <cellStyle name="20% - Accent4 9 2 2" xfId="5014" xr:uid="{00000000-0005-0000-0000-0000A60D0000}"/>
    <cellStyle name="20% - Accent4 9 2 2 2" xfId="5013" xr:uid="{00000000-0005-0000-0000-0000A70D0000}"/>
    <cellStyle name="20% - Accent4 9 2 2 3" xfId="5012" xr:uid="{00000000-0005-0000-0000-0000A80D0000}"/>
    <cellStyle name="20% - Accent4 9 2 3" xfId="5011" xr:uid="{00000000-0005-0000-0000-0000A90D0000}"/>
    <cellStyle name="20% - Accent4 9 2 3 2" xfId="8515" xr:uid="{00000000-0005-0000-0000-0000AA0D0000}"/>
    <cellStyle name="20% - Accent4 9 2 4" xfId="5010" xr:uid="{00000000-0005-0000-0000-0000AB0D0000}"/>
    <cellStyle name="20% - Accent4 9 2 4 2" xfId="8516" xr:uid="{00000000-0005-0000-0000-0000AC0D0000}"/>
    <cellStyle name="20% - Accent4 9 2 5" xfId="8517" xr:uid="{00000000-0005-0000-0000-0000AD0D0000}"/>
    <cellStyle name="20% - Accent4 9 3" xfId="5009" xr:uid="{00000000-0005-0000-0000-0000AE0D0000}"/>
    <cellStyle name="20% - Accent4 9 3 2" xfId="5008" xr:uid="{00000000-0005-0000-0000-0000AF0D0000}"/>
    <cellStyle name="20% - Accent4 9 3 2 2" xfId="8518" xr:uid="{00000000-0005-0000-0000-0000B00D0000}"/>
    <cellStyle name="20% - Accent4 9 3 3" xfId="5007" xr:uid="{00000000-0005-0000-0000-0000B10D0000}"/>
    <cellStyle name="20% - Accent4 9 3 3 2" xfId="8519" xr:uid="{00000000-0005-0000-0000-0000B20D0000}"/>
    <cellStyle name="20% - Accent4 9 3 4" xfId="8520" xr:uid="{00000000-0005-0000-0000-0000B30D0000}"/>
    <cellStyle name="20% - Accent4 9 4" xfId="5006" xr:uid="{00000000-0005-0000-0000-0000B40D0000}"/>
    <cellStyle name="20% - Accent4 9 4 2" xfId="5005" xr:uid="{00000000-0005-0000-0000-0000B50D0000}"/>
    <cellStyle name="20% - Accent4 9 4 2 2" xfId="8521" xr:uid="{00000000-0005-0000-0000-0000B60D0000}"/>
    <cellStyle name="20% - Accent4 9 4 3" xfId="5004" xr:uid="{00000000-0005-0000-0000-0000B70D0000}"/>
    <cellStyle name="20% - Accent4 9 5" xfId="5003" xr:uid="{00000000-0005-0000-0000-0000B80D0000}"/>
    <cellStyle name="20% - Accent4 9 5 2" xfId="8522" xr:uid="{00000000-0005-0000-0000-0000B90D0000}"/>
    <cellStyle name="20% - Accent4 9 6" xfId="5002" xr:uid="{00000000-0005-0000-0000-0000BA0D0000}"/>
    <cellStyle name="20% - Accent4 9 7" xfId="8523" xr:uid="{00000000-0005-0000-0000-0000BB0D0000}"/>
    <cellStyle name="20% - Accent5 10" xfId="5001" xr:uid="{00000000-0005-0000-0000-0000BC0D0000}"/>
    <cellStyle name="20% - Accent5 10 2" xfId="5000" xr:uid="{00000000-0005-0000-0000-0000BD0D0000}"/>
    <cellStyle name="20% - Accent5 10 2 2" xfId="4999" xr:uid="{00000000-0005-0000-0000-0000BE0D0000}"/>
    <cellStyle name="20% - Accent5 10 2 2 2" xfId="4998" xr:uid="{00000000-0005-0000-0000-0000BF0D0000}"/>
    <cellStyle name="20% - Accent5 10 2 2 3" xfId="4997" xr:uid="{00000000-0005-0000-0000-0000C00D0000}"/>
    <cellStyle name="20% - Accent5 10 2 3" xfId="4996" xr:uid="{00000000-0005-0000-0000-0000C10D0000}"/>
    <cellStyle name="20% - Accent5 10 2 3 2" xfId="8524" xr:uid="{00000000-0005-0000-0000-0000C20D0000}"/>
    <cellStyle name="20% - Accent5 10 2 4" xfId="4995" xr:uid="{00000000-0005-0000-0000-0000C30D0000}"/>
    <cellStyle name="20% - Accent5 10 2 4 2" xfId="8525" xr:uid="{00000000-0005-0000-0000-0000C40D0000}"/>
    <cellStyle name="20% - Accent5 10 2 5" xfId="8526" xr:uid="{00000000-0005-0000-0000-0000C50D0000}"/>
    <cellStyle name="20% - Accent5 10 3" xfId="4994" xr:uid="{00000000-0005-0000-0000-0000C60D0000}"/>
    <cellStyle name="20% - Accent5 10 3 2" xfId="4993" xr:uid="{00000000-0005-0000-0000-0000C70D0000}"/>
    <cellStyle name="20% - Accent5 10 3 2 2" xfId="8527" xr:uid="{00000000-0005-0000-0000-0000C80D0000}"/>
    <cellStyle name="20% - Accent5 10 3 3" xfId="4992" xr:uid="{00000000-0005-0000-0000-0000C90D0000}"/>
    <cellStyle name="20% - Accent5 10 4" xfId="4991" xr:uid="{00000000-0005-0000-0000-0000CA0D0000}"/>
    <cellStyle name="20% - Accent5 10 4 2" xfId="4990" xr:uid="{00000000-0005-0000-0000-0000CB0D0000}"/>
    <cellStyle name="20% - Accent5 10 4 3" xfId="4989" xr:uid="{00000000-0005-0000-0000-0000CC0D0000}"/>
    <cellStyle name="20% - Accent5 10 5" xfId="4988" xr:uid="{00000000-0005-0000-0000-0000CD0D0000}"/>
    <cellStyle name="20% - Accent5 10 5 2" xfId="8528" xr:uid="{00000000-0005-0000-0000-0000CE0D0000}"/>
    <cellStyle name="20% - Accent5 10 6" xfId="4987" xr:uid="{00000000-0005-0000-0000-0000CF0D0000}"/>
    <cellStyle name="20% - Accent5 10 7" xfId="8529" xr:uid="{00000000-0005-0000-0000-0000D00D0000}"/>
    <cellStyle name="20% - Accent5 11" xfId="4986" xr:uid="{00000000-0005-0000-0000-0000D10D0000}"/>
    <cellStyle name="20% - Accent5 11 2" xfId="4985" xr:uid="{00000000-0005-0000-0000-0000D20D0000}"/>
    <cellStyle name="20% - Accent5 11 2 2" xfId="4984" xr:uid="{00000000-0005-0000-0000-0000D30D0000}"/>
    <cellStyle name="20% - Accent5 11 2 2 2" xfId="4983" xr:uid="{00000000-0005-0000-0000-0000D40D0000}"/>
    <cellStyle name="20% - Accent5 11 2 2 3" xfId="4982" xr:uid="{00000000-0005-0000-0000-0000D50D0000}"/>
    <cellStyle name="20% - Accent5 11 2 3" xfId="4981" xr:uid="{00000000-0005-0000-0000-0000D60D0000}"/>
    <cellStyle name="20% - Accent5 11 2 4" xfId="4980" xr:uid="{00000000-0005-0000-0000-0000D70D0000}"/>
    <cellStyle name="20% - Accent5 11 3" xfId="4979" xr:uid="{00000000-0005-0000-0000-0000D80D0000}"/>
    <cellStyle name="20% - Accent5 11 3 2" xfId="4978" xr:uid="{00000000-0005-0000-0000-0000D90D0000}"/>
    <cellStyle name="20% - Accent5 11 3 3" xfId="4977" xr:uid="{00000000-0005-0000-0000-0000DA0D0000}"/>
    <cellStyle name="20% - Accent5 11 4" xfId="4976" xr:uid="{00000000-0005-0000-0000-0000DB0D0000}"/>
    <cellStyle name="20% - Accent5 11 4 2" xfId="4975" xr:uid="{00000000-0005-0000-0000-0000DC0D0000}"/>
    <cellStyle name="20% - Accent5 11 4 3" xfId="4974" xr:uid="{00000000-0005-0000-0000-0000DD0D0000}"/>
    <cellStyle name="20% - Accent5 11 5" xfId="4973" xr:uid="{00000000-0005-0000-0000-0000DE0D0000}"/>
    <cellStyle name="20% - Accent5 11 6" xfId="4972" xr:uid="{00000000-0005-0000-0000-0000DF0D0000}"/>
    <cellStyle name="20% - Accent5 12" xfId="4971" xr:uid="{00000000-0005-0000-0000-0000E00D0000}"/>
    <cellStyle name="20% - Accent5 12 2" xfId="4970" xr:uid="{00000000-0005-0000-0000-0000E10D0000}"/>
    <cellStyle name="20% - Accent5 12 2 2" xfId="4969" xr:uid="{00000000-0005-0000-0000-0000E20D0000}"/>
    <cellStyle name="20% - Accent5 12 2 2 2" xfId="4968" xr:uid="{00000000-0005-0000-0000-0000E30D0000}"/>
    <cellStyle name="20% - Accent5 12 2 2 3" xfId="4967" xr:uid="{00000000-0005-0000-0000-0000E40D0000}"/>
    <cellStyle name="20% - Accent5 12 2 3" xfId="4966" xr:uid="{00000000-0005-0000-0000-0000E50D0000}"/>
    <cellStyle name="20% - Accent5 12 2 4" xfId="4965" xr:uid="{00000000-0005-0000-0000-0000E60D0000}"/>
    <cellStyle name="20% - Accent5 12 3" xfId="4964" xr:uid="{00000000-0005-0000-0000-0000E70D0000}"/>
    <cellStyle name="20% - Accent5 12 3 2" xfId="4963" xr:uid="{00000000-0005-0000-0000-0000E80D0000}"/>
    <cellStyle name="20% - Accent5 12 3 3" xfId="4962" xr:uid="{00000000-0005-0000-0000-0000E90D0000}"/>
    <cellStyle name="20% - Accent5 12 4" xfId="4961" xr:uid="{00000000-0005-0000-0000-0000EA0D0000}"/>
    <cellStyle name="20% - Accent5 12 4 2" xfId="4960" xr:uid="{00000000-0005-0000-0000-0000EB0D0000}"/>
    <cellStyle name="20% - Accent5 12 4 3" xfId="4959" xr:uid="{00000000-0005-0000-0000-0000EC0D0000}"/>
    <cellStyle name="20% - Accent5 12 5" xfId="4958" xr:uid="{00000000-0005-0000-0000-0000ED0D0000}"/>
    <cellStyle name="20% - Accent5 12 6" xfId="4957" xr:uid="{00000000-0005-0000-0000-0000EE0D0000}"/>
    <cellStyle name="20% - Accent5 13" xfId="4956" xr:uid="{00000000-0005-0000-0000-0000EF0D0000}"/>
    <cellStyle name="20% - Accent5 13 2" xfId="4955" xr:uid="{00000000-0005-0000-0000-0000F00D0000}"/>
    <cellStyle name="20% - Accent5 13 2 2" xfId="4954" xr:uid="{00000000-0005-0000-0000-0000F10D0000}"/>
    <cellStyle name="20% - Accent5 13 2 2 2" xfId="4953" xr:uid="{00000000-0005-0000-0000-0000F20D0000}"/>
    <cellStyle name="20% - Accent5 13 2 2 3" xfId="4952" xr:uid="{00000000-0005-0000-0000-0000F30D0000}"/>
    <cellStyle name="20% - Accent5 13 2 3" xfId="4951" xr:uid="{00000000-0005-0000-0000-0000F40D0000}"/>
    <cellStyle name="20% - Accent5 13 2 4" xfId="4950" xr:uid="{00000000-0005-0000-0000-0000F50D0000}"/>
    <cellStyle name="20% - Accent5 13 3" xfId="4949" xr:uid="{00000000-0005-0000-0000-0000F60D0000}"/>
    <cellStyle name="20% - Accent5 13 3 2" xfId="4948" xr:uid="{00000000-0005-0000-0000-0000F70D0000}"/>
    <cellStyle name="20% - Accent5 13 3 3" xfId="4947" xr:uid="{00000000-0005-0000-0000-0000F80D0000}"/>
    <cellStyle name="20% - Accent5 13 4" xfId="4946" xr:uid="{00000000-0005-0000-0000-0000F90D0000}"/>
    <cellStyle name="20% - Accent5 13 4 2" xfId="4945" xr:uid="{00000000-0005-0000-0000-0000FA0D0000}"/>
    <cellStyle name="20% - Accent5 13 4 3" xfId="4944" xr:uid="{00000000-0005-0000-0000-0000FB0D0000}"/>
    <cellStyle name="20% - Accent5 13 5" xfId="4943" xr:uid="{00000000-0005-0000-0000-0000FC0D0000}"/>
    <cellStyle name="20% - Accent5 13 6" xfId="4942" xr:uid="{00000000-0005-0000-0000-0000FD0D0000}"/>
    <cellStyle name="20% - Accent5 14" xfId="4941" xr:uid="{00000000-0005-0000-0000-0000FE0D0000}"/>
    <cellStyle name="20% - Accent5 14 2" xfId="4940" xr:uid="{00000000-0005-0000-0000-0000FF0D0000}"/>
    <cellStyle name="20% - Accent5 14 2 2" xfId="4939" xr:uid="{00000000-0005-0000-0000-0000000E0000}"/>
    <cellStyle name="20% - Accent5 14 2 2 2" xfId="4938" xr:uid="{00000000-0005-0000-0000-0000010E0000}"/>
    <cellStyle name="20% - Accent5 14 2 2 3" xfId="4937" xr:uid="{00000000-0005-0000-0000-0000020E0000}"/>
    <cellStyle name="20% - Accent5 14 2 3" xfId="4936" xr:uid="{00000000-0005-0000-0000-0000030E0000}"/>
    <cellStyle name="20% - Accent5 14 2 4" xfId="4935" xr:uid="{00000000-0005-0000-0000-0000040E0000}"/>
    <cellStyle name="20% - Accent5 14 3" xfId="4934" xr:uid="{00000000-0005-0000-0000-0000050E0000}"/>
    <cellStyle name="20% - Accent5 14 3 2" xfId="4933" xr:uid="{00000000-0005-0000-0000-0000060E0000}"/>
    <cellStyle name="20% - Accent5 14 3 3" xfId="4932" xr:uid="{00000000-0005-0000-0000-0000070E0000}"/>
    <cellStyle name="20% - Accent5 14 4" xfId="4931" xr:uid="{00000000-0005-0000-0000-0000080E0000}"/>
    <cellStyle name="20% - Accent5 14 4 2" xfId="4930" xr:uid="{00000000-0005-0000-0000-0000090E0000}"/>
    <cellStyle name="20% - Accent5 14 4 3" xfId="4929" xr:uid="{00000000-0005-0000-0000-00000A0E0000}"/>
    <cellStyle name="20% - Accent5 14 5" xfId="4928" xr:uid="{00000000-0005-0000-0000-00000B0E0000}"/>
    <cellStyle name="20% - Accent5 14 6" xfId="4927" xr:uid="{00000000-0005-0000-0000-00000C0E0000}"/>
    <cellStyle name="20% - Accent5 15" xfId="4926" xr:uid="{00000000-0005-0000-0000-00000D0E0000}"/>
    <cellStyle name="20% - Accent5 15 2" xfId="4925" xr:uid="{00000000-0005-0000-0000-00000E0E0000}"/>
    <cellStyle name="20% - Accent5 15 2 2" xfId="4924" xr:uid="{00000000-0005-0000-0000-00000F0E0000}"/>
    <cellStyle name="20% - Accent5 15 2 2 2" xfId="4923" xr:uid="{00000000-0005-0000-0000-0000100E0000}"/>
    <cellStyle name="20% - Accent5 15 2 2 3" xfId="4922" xr:uid="{00000000-0005-0000-0000-0000110E0000}"/>
    <cellStyle name="20% - Accent5 15 2 3" xfId="4921" xr:uid="{00000000-0005-0000-0000-0000120E0000}"/>
    <cellStyle name="20% - Accent5 15 2 4" xfId="4920" xr:uid="{00000000-0005-0000-0000-0000130E0000}"/>
    <cellStyle name="20% - Accent5 15 3" xfId="4919" xr:uid="{00000000-0005-0000-0000-0000140E0000}"/>
    <cellStyle name="20% - Accent5 15 3 2" xfId="4918" xr:uid="{00000000-0005-0000-0000-0000150E0000}"/>
    <cellStyle name="20% - Accent5 15 3 3" xfId="4917" xr:uid="{00000000-0005-0000-0000-0000160E0000}"/>
    <cellStyle name="20% - Accent5 15 4" xfId="4916" xr:uid="{00000000-0005-0000-0000-0000170E0000}"/>
    <cellStyle name="20% - Accent5 15 4 2" xfId="4915" xr:uid="{00000000-0005-0000-0000-0000180E0000}"/>
    <cellStyle name="20% - Accent5 15 4 3" xfId="4914" xr:uid="{00000000-0005-0000-0000-0000190E0000}"/>
    <cellStyle name="20% - Accent5 15 5" xfId="4913" xr:uid="{00000000-0005-0000-0000-00001A0E0000}"/>
    <cellStyle name="20% - Accent5 15 6" xfId="4912" xr:uid="{00000000-0005-0000-0000-00001B0E0000}"/>
    <cellStyle name="20% - Accent5 16" xfId="4911" xr:uid="{00000000-0005-0000-0000-00001C0E0000}"/>
    <cellStyle name="20% - Accent5 16 2" xfId="4910" xr:uid="{00000000-0005-0000-0000-00001D0E0000}"/>
    <cellStyle name="20% - Accent5 16 2 2" xfId="4909" xr:uid="{00000000-0005-0000-0000-00001E0E0000}"/>
    <cellStyle name="20% - Accent5 16 2 2 2" xfId="4908" xr:uid="{00000000-0005-0000-0000-00001F0E0000}"/>
    <cellStyle name="20% - Accent5 16 2 2 3" xfId="4907" xr:uid="{00000000-0005-0000-0000-0000200E0000}"/>
    <cellStyle name="20% - Accent5 16 2 3" xfId="4906" xr:uid="{00000000-0005-0000-0000-0000210E0000}"/>
    <cellStyle name="20% - Accent5 16 2 4" xfId="4905" xr:uid="{00000000-0005-0000-0000-0000220E0000}"/>
    <cellStyle name="20% - Accent5 16 3" xfId="4904" xr:uid="{00000000-0005-0000-0000-0000230E0000}"/>
    <cellStyle name="20% - Accent5 16 3 2" xfId="4903" xr:uid="{00000000-0005-0000-0000-0000240E0000}"/>
    <cellStyle name="20% - Accent5 16 3 3" xfId="4902" xr:uid="{00000000-0005-0000-0000-0000250E0000}"/>
    <cellStyle name="20% - Accent5 16 4" xfId="4901" xr:uid="{00000000-0005-0000-0000-0000260E0000}"/>
    <cellStyle name="20% - Accent5 16 4 2" xfId="4900" xr:uid="{00000000-0005-0000-0000-0000270E0000}"/>
    <cellStyle name="20% - Accent5 16 4 3" xfId="4899" xr:uid="{00000000-0005-0000-0000-0000280E0000}"/>
    <cellStyle name="20% - Accent5 16 5" xfId="4898" xr:uid="{00000000-0005-0000-0000-0000290E0000}"/>
    <cellStyle name="20% - Accent5 16 6" xfId="4897" xr:uid="{00000000-0005-0000-0000-00002A0E0000}"/>
    <cellStyle name="20% - Accent5 17" xfId="4896" xr:uid="{00000000-0005-0000-0000-00002B0E0000}"/>
    <cellStyle name="20% - Accent5 17 2" xfId="4895" xr:uid="{00000000-0005-0000-0000-00002C0E0000}"/>
    <cellStyle name="20% - Accent5 17 2 2" xfId="4894" xr:uid="{00000000-0005-0000-0000-00002D0E0000}"/>
    <cellStyle name="20% - Accent5 17 2 2 2" xfId="4893" xr:uid="{00000000-0005-0000-0000-00002E0E0000}"/>
    <cellStyle name="20% - Accent5 17 2 2 3" xfId="4892" xr:uid="{00000000-0005-0000-0000-00002F0E0000}"/>
    <cellStyle name="20% - Accent5 17 2 3" xfId="4891" xr:uid="{00000000-0005-0000-0000-0000300E0000}"/>
    <cellStyle name="20% - Accent5 17 2 4" xfId="4890" xr:uid="{00000000-0005-0000-0000-0000310E0000}"/>
    <cellStyle name="20% - Accent5 17 3" xfId="4889" xr:uid="{00000000-0005-0000-0000-0000320E0000}"/>
    <cellStyle name="20% - Accent5 17 3 2" xfId="4888" xr:uid="{00000000-0005-0000-0000-0000330E0000}"/>
    <cellStyle name="20% - Accent5 17 3 3" xfId="4887" xr:uid="{00000000-0005-0000-0000-0000340E0000}"/>
    <cellStyle name="20% - Accent5 17 4" xfId="4886" xr:uid="{00000000-0005-0000-0000-0000350E0000}"/>
    <cellStyle name="20% - Accent5 17 4 2" xfId="4885" xr:uid="{00000000-0005-0000-0000-0000360E0000}"/>
    <cellStyle name="20% - Accent5 17 4 3" xfId="4884" xr:uid="{00000000-0005-0000-0000-0000370E0000}"/>
    <cellStyle name="20% - Accent5 17 5" xfId="4883" xr:uid="{00000000-0005-0000-0000-0000380E0000}"/>
    <cellStyle name="20% - Accent5 17 6" xfId="4882" xr:uid="{00000000-0005-0000-0000-0000390E0000}"/>
    <cellStyle name="20% - Accent5 18" xfId="4881" xr:uid="{00000000-0005-0000-0000-00003A0E0000}"/>
    <cellStyle name="20% - Accent5 18 2" xfId="4880" xr:uid="{00000000-0005-0000-0000-00003B0E0000}"/>
    <cellStyle name="20% - Accent5 18 2 2" xfId="4879" xr:uid="{00000000-0005-0000-0000-00003C0E0000}"/>
    <cellStyle name="20% - Accent5 18 2 2 2" xfId="4878" xr:uid="{00000000-0005-0000-0000-00003D0E0000}"/>
    <cellStyle name="20% - Accent5 18 2 2 3" xfId="4877" xr:uid="{00000000-0005-0000-0000-00003E0E0000}"/>
    <cellStyle name="20% - Accent5 18 2 3" xfId="4876" xr:uid="{00000000-0005-0000-0000-00003F0E0000}"/>
    <cellStyle name="20% - Accent5 18 2 4" xfId="4875" xr:uid="{00000000-0005-0000-0000-0000400E0000}"/>
    <cellStyle name="20% - Accent5 18 3" xfId="4874" xr:uid="{00000000-0005-0000-0000-0000410E0000}"/>
    <cellStyle name="20% - Accent5 18 3 2" xfId="4873" xr:uid="{00000000-0005-0000-0000-0000420E0000}"/>
    <cellStyle name="20% - Accent5 18 3 3" xfId="4872" xr:uid="{00000000-0005-0000-0000-0000430E0000}"/>
    <cellStyle name="20% - Accent5 18 4" xfId="4871" xr:uid="{00000000-0005-0000-0000-0000440E0000}"/>
    <cellStyle name="20% - Accent5 18 4 2" xfId="4870" xr:uid="{00000000-0005-0000-0000-0000450E0000}"/>
    <cellStyle name="20% - Accent5 18 4 3" xfId="4869" xr:uid="{00000000-0005-0000-0000-0000460E0000}"/>
    <cellStyle name="20% - Accent5 18 5" xfId="4868" xr:uid="{00000000-0005-0000-0000-0000470E0000}"/>
    <cellStyle name="20% - Accent5 18 6" xfId="4867" xr:uid="{00000000-0005-0000-0000-0000480E0000}"/>
    <cellStyle name="20% - Accent5 19" xfId="4866" xr:uid="{00000000-0005-0000-0000-0000490E0000}"/>
    <cellStyle name="20% - Accent5 19 2" xfId="4865" xr:uid="{00000000-0005-0000-0000-00004A0E0000}"/>
    <cellStyle name="20% - Accent5 19 2 2" xfId="4864" xr:uid="{00000000-0005-0000-0000-00004B0E0000}"/>
    <cellStyle name="20% - Accent5 19 2 2 2" xfId="4863" xr:uid="{00000000-0005-0000-0000-00004C0E0000}"/>
    <cellStyle name="20% - Accent5 19 2 2 3" xfId="4862" xr:uid="{00000000-0005-0000-0000-00004D0E0000}"/>
    <cellStyle name="20% - Accent5 19 2 3" xfId="4861" xr:uid="{00000000-0005-0000-0000-00004E0E0000}"/>
    <cellStyle name="20% - Accent5 19 2 4" xfId="4860" xr:uid="{00000000-0005-0000-0000-00004F0E0000}"/>
    <cellStyle name="20% - Accent5 19 3" xfId="4859" xr:uid="{00000000-0005-0000-0000-0000500E0000}"/>
    <cellStyle name="20% - Accent5 19 3 2" xfId="4858" xr:uid="{00000000-0005-0000-0000-0000510E0000}"/>
    <cellStyle name="20% - Accent5 19 3 3" xfId="4857" xr:uid="{00000000-0005-0000-0000-0000520E0000}"/>
    <cellStyle name="20% - Accent5 19 4" xfId="4856" xr:uid="{00000000-0005-0000-0000-0000530E0000}"/>
    <cellStyle name="20% - Accent5 19 4 2" xfId="4855" xr:uid="{00000000-0005-0000-0000-0000540E0000}"/>
    <cellStyle name="20% - Accent5 19 4 3" xfId="4854" xr:uid="{00000000-0005-0000-0000-0000550E0000}"/>
    <cellStyle name="20% - Accent5 19 5" xfId="4853" xr:uid="{00000000-0005-0000-0000-0000560E0000}"/>
    <cellStyle name="20% - Accent5 19 6" xfId="4852" xr:uid="{00000000-0005-0000-0000-0000570E0000}"/>
    <cellStyle name="20% - Accent5 2" xfId="4851" xr:uid="{00000000-0005-0000-0000-0000580E0000}"/>
    <cellStyle name="20% - Accent5 2 10" xfId="8530" xr:uid="{00000000-0005-0000-0000-0000590E0000}"/>
    <cellStyle name="20% - Accent5 2 10 2" xfId="8531" xr:uid="{00000000-0005-0000-0000-00005A0E0000}"/>
    <cellStyle name="20% - Accent5 2 11" xfId="8532" xr:uid="{00000000-0005-0000-0000-00005B0E0000}"/>
    <cellStyle name="20% - Accent5 2 12" xfId="8533" xr:uid="{00000000-0005-0000-0000-00005C0E0000}"/>
    <cellStyle name="20% - Accent5 2 12 2" xfId="8534" xr:uid="{00000000-0005-0000-0000-00005D0E0000}"/>
    <cellStyle name="20% - Accent5 2 12 2 2" xfId="8535" xr:uid="{00000000-0005-0000-0000-00005E0E0000}"/>
    <cellStyle name="20% - Accent5 2 12 2 2 2" xfId="8536" xr:uid="{00000000-0005-0000-0000-00005F0E0000}"/>
    <cellStyle name="20% - Accent5 2 12 2 3" xfId="8537" xr:uid="{00000000-0005-0000-0000-0000600E0000}"/>
    <cellStyle name="20% - Accent5 2 12 3" xfId="8538" xr:uid="{00000000-0005-0000-0000-0000610E0000}"/>
    <cellStyle name="20% - Accent5 2 12 3 2" xfId="8539" xr:uid="{00000000-0005-0000-0000-0000620E0000}"/>
    <cellStyle name="20% - Accent5 2 12 4" xfId="8540" xr:uid="{00000000-0005-0000-0000-0000630E0000}"/>
    <cellStyle name="20% - Accent5 2 12 4 2" xfId="8541" xr:uid="{00000000-0005-0000-0000-0000640E0000}"/>
    <cellStyle name="20% - Accent5 2 12 4 3" xfId="8542" xr:uid="{00000000-0005-0000-0000-0000650E0000}"/>
    <cellStyle name="20% - Accent5 2 13" xfId="8543" xr:uid="{00000000-0005-0000-0000-0000660E0000}"/>
    <cellStyle name="20% - Accent5 2 13 2" xfId="8544" xr:uid="{00000000-0005-0000-0000-0000670E0000}"/>
    <cellStyle name="20% - Accent5 2 13 3" xfId="8545" xr:uid="{00000000-0005-0000-0000-0000680E0000}"/>
    <cellStyle name="20% - Accent5 2 14" xfId="8546" xr:uid="{00000000-0005-0000-0000-0000690E0000}"/>
    <cellStyle name="20% - Accent5 2 14 2" xfId="8547" xr:uid="{00000000-0005-0000-0000-00006A0E0000}"/>
    <cellStyle name="20% - Accent5 2 15" xfId="8548" xr:uid="{00000000-0005-0000-0000-00006B0E0000}"/>
    <cellStyle name="20% - Accent5 2 15 2" xfId="8549" xr:uid="{00000000-0005-0000-0000-00006C0E0000}"/>
    <cellStyle name="20% - Accent5 2 16" xfId="8550" xr:uid="{00000000-0005-0000-0000-00006D0E0000}"/>
    <cellStyle name="20% - Accent5 2 17" xfId="8551" xr:uid="{00000000-0005-0000-0000-00006E0E0000}"/>
    <cellStyle name="20% - Accent5 2 2" xfId="4850" xr:uid="{00000000-0005-0000-0000-00006F0E0000}"/>
    <cellStyle name="20% - Accent5 2 2 2" xfId="8552" xr:uid="{00000000-0005-0000-0000-0000700E0000}"/>
    <cellStyle name="20% - Accent5 2 2 2 2" xfId="8553" xr:uid="{00000000-0005-0000-0000-0000710E0000}"/>
    <cellStyle name="20% - Accent5 2 2 2 2 2" xfId="8554" xr:uid="{00000000-0005-0000-0000-0000720E0000}"/>
    <cellStyle name="20% - Accent5 2 2 2 2 3" xfId="8555" xr:uid="{00000000-0005-0000-0000-0000730E0000}"/>
    <cellStyle name="20% - Accent5 2 2 2 3" xfId="8556" xr:uid="{00000000-0005-0000-0000-0000740E0000}"/>
    <cellStyle name="20% - Accent5 2 2 2 3 2" xfId="8557" xr:uid="{00000000-0005-0000-0000-0000750E0000}"/>
    <cellStyle name="20% - Accent5 2 2 2 4" xfId="8558" xr:uid="{00000000-0005-0000-0000-0000760E0000}"/>
    <cellStyle name="20% - Accent5 2 2 2 5" xfId="8559" xr:uid="{00000000-0005-0000-0000-0000770E0000}"/>
    <cellStyle name="20% - Accent5 2 2 3" xfId="8560" xr:uid="{00000000-0005-0000-0000-0000780E0000}"/>
    <cellStyle name="20% - Accent5 2 2 3 2" xfId="8561" xr:uid="{00000000-0005-0000-0000-0000790E0000}"/>
    <cellStyle name="20% - Accent5 2 2 3 2 2" xfId="8562" xr:uid="{00000000-0005-0000-0000-00007A0E0000}"/>
    <cellStyle name="20% - Accent5 2 2 3 2 3" xfId="8563" xr:uid="{00000000-0005-0000-0000-00007B0E0000}"/>
    <cellStyle name="20% - Accent5 2 2 3 3" xfId="8564" xr:uid="{00000000-0005-0000-0000-00007C0E0000}"/>
    <cellStyle name="20% - Accent5 2 2 3 3 2" xfId="8565" xr:uid="{00000000-0005-0000-0000-00007D0E0000}"/>
    <cellStyle name="20% - Accent5 2 2 3 4" xfId="8566" xr:uid="{00000000-0005-0000-0000-00007E0E0000}"/>
    <cellStyle name="20% - Accent5 2 2 3 5" xfId="8567" xr:uid="{00000000-0005-0000-0000-00007F0E0000}"/>
    <cellStyle name="20% - Accent5 2 2 4" xfId="8568" xr:uid="{00000000-0005-0000-0000-0000800E0000}"/>
    <cellStyle name="20% - Accent5 2 2 4 2" xfId="8569" xr:uid="{00000000-0005-0000-0000-0000810E0000}"/>
    <cellStyle name="20% - Accent5 2 2 4 2 2" xfId="8570" xr:uid="{00000000-0005-0000-0000-0000820E0000}"/>
    <cellStyle name="20% - Accent5 2 2 4 3" xfId="8571" xr:uid="{00000000-0005-0000-0000-0000830E0000}"/>
    <cellStyle name="20% - Accent5 2 2 4 4" xfId="8572" xr:uid="{00000000-0005-0000-0000-0000840E0000}"/>
    <cellStyle name="20% - Accent5 2 2 5" xfId="8573" xr:uid="{00000000-0005-0000-0000-0000850E0000}"/>
    <cellStyle name="20% - Accent5 2 2 5 2" xfId="8574" xr:uid="{00000000-0005-0000-0000-0000860E0000}"/>
    <cellStyle name="20% - Accent5 2 2 6" xfId="8575" xr:uid="{00000000-0005-0000-0000-0000870E0000}"/>
    <cellStyle name="20% - Accent5 2 2 6 2" xfId="8576" xr:uid="{00000000-0005-0000-0000-0000880E0000}"/>
    <cellStyle name="20% - Accent5 2 2 7" xfId="8577" xr:uid="{00000000-0005-0000-0000-0000890E0000}"/>
    <cellStyle name="20% - Accent5 2 2 8" xfId="8578" xr:uid="{00000000-0005-0000-0000-00008A0E0000}"/>
    <cellStyle name="20% - Accent5 2 3" xfId="4849" xr:uid="{00000000-0005-0000-0000-00008B0E0000}"/>
    <cellStyle name="20% - Accent5 2 3 2" xfId="4848" xr:uid="{00000000-0005-0000-0000-00008C0E0000}"/>
    <cellStyle name="20% - Accent5 2 3 2 2" xfId="4847" xr:uid="{00000000-0005-0000-0000-00008D0E0000}"/>
    <cellStyle name="20% - Accent5 2 3 2 2 2" xfId="4846" xr:uid="{00000000-0005-0000-0000-00008E0E0000}"/>
    <cellStyle name="20% - Accent5 2 3 2 2 3" xfId="4845" xr:uid="{00000000-0005-0000-0000-00008F0E0000}"/>
    <cellStyle name="20% - Accent5 2 3 2 3" xfId="4844" xr:uid="{00000000-0005-0000-0000-0000900E0000}"/>
    <cellStyle name="20% - Accent5 2 3 2 3 2" xfId="8579" xr:uid="{00000000-0005-0000-0000-0000910E0000}"/>
    <cellStyle name="20% - Accent5 2 3 2 4" xfId="4843" xr:uid="{00000000-0005-0000-0000-0000920E0000}"/>
    <cellStyle name="20% - Accent5 2 3 2 5" xfId="8580" xr:uid="{00000000-0005-0000-0000-0000930E0000}"/>
    <cellStyle name="20% - Accent5 2 3 3" xfId="4842" xr:uid="{00000000-0005-0000-0000-0000940E0000}"/>
    <cellStyle name="20% - Accent5 2 3 3 2" xfId="4841" xr:uid="{00000000-0005-0000-0000-0000950E0000}"/>
    <cellStyle name="20% - Accent5 2 3 3 2 2" xfId="8581" xr:uid="{00000000-0005-0000-0000-0000960E0000}"/>
    <cellStyle name="20% - Accent5 2 3 3 3" xfId="4840" xr:uid="{00000000-0005-0000-0000-0000970E0000}"/>
    <cellStyle name="20% - Accent5 2 3 3 4" xfId="8582" xr:uid="{00000000-0005-0000-0000-0000980E0000}"/>
    <cellStyle name="20% - Accent5 2 3 4" xfId="4839" xr:uid="{00000000-0005-0000-0000-0000990E0000}"/>
    <cellStyle name="20% - Accent5 2 3 4 2" xfId="4838" xr:uid="{00000000-0005-0000-0000-00009A0E0000}"/>
    <cellStyle name="20% - Accent5 2 3 4 3" xfId="4837" xr:uid="{00000000-0005-0000-0000-00009B0E0000}"/>
    <cellStyle name="20% - Accent5 2 3 5" xfId="4836" xr:uid="{00000000-0005-0000-0000-00009C0E0000}"/>
    <cellStyle name="20% - Accent5 2 3 5 2" xfId="8583" xr:uid="{00000000-0005-0000-0000-00009D0E0000}"/>
    <cellStyle name="20% - Accent5 2 3 6" xfId="4835" xr:uid="{00000000-0005-0000-0000-00009E0E0000}"/>
    <cellStyle name="20% - Accent5 2 3 7" xfId="8584" xr:uid="{00000000-0005-0000-0000-00009F0E0000}"/>
    <cellStyle name="20% - Accent5 2 4" xfId="8585" xr:uid="{00000000-0005-0000-0000-0000A00E0000}"/>
    <cellStyle name="20% - Accent5 2 4 2" xfId="8586" xr:uid="{00000000-0005-0000-0000-0000A10E0000}"/>
    <cellStyle name="20% - Accent5 2 4 2 2" xfId="8587" xr:uid="{00000000-0005-0000-0000-0000A20E0000}"/>
    <cellStyle name="20% - Accent5 2 4 2 2 2" xfId="8588" xr:uid="{00000000-0005-0000-0000-0000A30E0000}"/>
    <cellStyle name="20% - Accent5 2 4 2 3" xfId="8589" xr:uid="{00000000-0005-0000-0000-0000A40E0000}"/>
    <cellStyle name="20% - Accent5 2 4 2 4" xfId="8590" xr:uid="{00000000-0005-0000-0000-0000A50E0000}"/>
    <cellStyle name="20% - Accent5 2 4 3" xfId="8591" xr:uid="{00000000-0005-0000-0000-0000A60E0000}"/>
    <cellStyle name="20% - Accent5 2 4 3 2" xfId="8592" xr:uid="{00000000-0005-0000-0000-0000A70E0000}"/>
    <cellStyle name="20% - Accent5 2 4 4" xfId="8593" xr:uid="{00000000-0005-0000-0000-0000A80E0000}"/>
    <cellStyle name="20% - Accent5 2 4 4 2" xfId="8594" xr:uid="{00000000-0005-0000-0000-0000A90E0000}"/>
    <cellStyle name="20% - Accent5 2 4 5" xfId="8595" xr:uid="{00000000-0005-0000-0000-0000AA0E0000}"/>
    <cellStyle name="20% - Accent5 2 4 6" xfId="8596" xr:uid="{00000000-0005-0000-0000-0000AB0E0000}"/>
    <cellStyle name="20% - Accent5 2 5" xfId="8597" xr:uid="{00000000-0005-0000-0000-0000AC0E0000}"/>
    <cellStyle name="20% - Accent5 2 5 2" xfId="8598" xr:uid="{00000000-0005-0000-0000-0000AD0E0000}"/>
    <cellStyle name="20% - Accent5 2 5 2 2" xfId="8599" xr:uid="{00000000-0005-0000-0000-0000AE0E0000}"/>
    <cellStyle name="20% - Accent5 2 5 3" xfId="8600" xr:uid="{00000000-0005-0000-0000-0000AF0E0000}"/>
    <cellStyle name="20% - Accent5 2 5 4" xfId="8601" xr:uid="{00000000-0005-0000-0000-0000B00E0000}"/>
    <cellStyle name="20% - Accent5 2 6" xfId="8602" xr:uid="{00000000-0005-0000-0000-0000B10E0000}"/>
    <cellStyle name="20% - Accent5 2 6 10" xfId="8603" xr:uid="{00000000-0005-0000-0000-0000B20E0000}"/>
    <cellStyle name="20% - Accent5 2 6 2" xfId="8604" xr:uid="{00000000-0005-0000-0000-0000B30E0000}"/>
    <cellStyle name="20% - Accent5 2 6 2 2" xfId="8605" xr:uid="{00000000-0005-0000-0000-0000B40E0000}"/>
    <cellStyle name="20% - Accent5 2 6 2 2 2" xfId="8606" xr:uid="{00000000-0005-0000-0000-0000B50E0000}"/>
    <cellStyle name="20% - Accent5 2 6 2 2 2 2" xfId="8607" xr:uid="{00000000-0005-0000-0000-0000B60E0000}"/>
    <cellStyle name="20% - Accent5 2 6 2 2 3" xfId="8608" xr:uid="{00000000-0005-0000-0000-0000B70E0000}"/>
    <cellStyle name="20% - Accent5 2 6 2 2 3 2" xfId="8609" xr:uid="{00000000-0005-0000-0000-0000B80E0000}"/>
    <cellStyle name="20% - Accent5 2 6 2 2 4" xfId="8610" xr:uid="{00000000-0005-0000-0000-0000B90E0000}"/>
    <cellStyle name="20% - Accent5 2 6 2 2 5" xfId="8611" xr:uid="{00000000-0005-0000-0000-0000BA0E0000}"/>
    <cellStyle name="20% - Accent5 2 6 2 3" xfId="8612" xr:uid="{00000000-0005-0000-0000-0000BB0E0000}"/>
    <cellStyle name="20% - Accent5 2 6 2 3 2" xfId="8613" xr:uid="{00000000-0005-0000-0000-0000BC0E0000}"/>
    <cellStyle name="20% - Accent5 2 6 2 3 2 2" xfId="8614" xr:uid="{00000000-0005-0000-0000-0000BD0E0000}"/>
    <cellStyle name="20% - Accent5 2 6 2 3 3" xfId="8615" xr:uid="{00000000-0005-0000-0000-0000BE0E0000}"/>
    <cellStyle name="20% - Accent5 2 6 2 4" xfId="8616" xr:uid="{00000000-0005-0000-0000-0000BF0E0000}"/>
    <cellStyle name="20% - Accent5 2 6 2 4 2" xfId="8617" xr:uid="{00000000-0005-0000-0000-0000C00E0000}"/>
    <cellStyle name="20% - Accent5 2 6 2 5" xfId="8618" xr:uid="{00000000-0005-0000-0000-0000C10E0000}"/>
    <cellStyle name="20% - Accent5 2 6 2 5 2" xfId="8619" xr:uid="{00000000-0005-0000-0000-0000C20E0000}"/>
    <cellStyle name="20% - Accent5 2 6 2 6" xfId="8620" xr:uid="{00000000-0005-0000-0000-0000C30E0000}"/>
    <cellStyle name="20% - Accent5 2 6 3" xfId="8621" xr:uid="{00000000-0005-0000-0000-0000C40E0000}"/>
    <cellStyle name="20% - Accent5 2 6 3 2" xfId="8622" xr:uid="{00000000-0005-0000-0000-0000C50E0000}"/>
    <cellStyle name="20% - Accent5 2 6 3 2 2" xfId="8623" xr:uid="{00000000-0005-0000-0000-0000C60E0000}"/>
    <cellStyle name="20% - Accent5 2 6 3 2 2 2" xfId="8624" xr:uid="{00000000-0005-0000-0000-0000C70E0000}"/>
    <cellStyle name="20% - Accent5 2 6 3 2 3" xfId="8625" xr:uid="{00000000-0005-0000-0000-0000C80E0000}"/>
    <cellStyle name="20% - Accent5 2 6 3 2 3 2" xfId="8626" xr:uid="{00000000-0005-0000-0000-0000C90E0000}"/>
    <cellStyle name="20% - Accent5 2 6 3 2 4" xfId="8627" xr:uid="{00000000-0005-0000-0000-0000CA0E0000}"/>
    <cellStyle name="20% - Accent5 2 6 3 2 5" xfId="8628" xr:uid="{00000000-0005-0000-0000-0000CB0E0000}"/>
    <cellStyle name="20% - Accent5 2 6 3 3" xfId="8629" xr:uid="{00000000-0005-0000-0000-0000CC0E0000}"/>
    <cellStyle name="20% - Accent5 2 6 3 3 2" xfId="8630" xr:uid="{00000000-0005-0000-0000-0000CD0E0000}"/>
    <cellStyle name="20% - Accent5 2 6 3 3 2 2" xfId="8631" xr:uid="{00000000-0005-0000-0000-0000CE0E0000}"/>
    <cellStyle name="20% - Accent5 2 6 3 3 3" xfId="8632" xr:uid="{00000000-0005-0000-0000-0000CF0E0000}"/>
    <cellStyle name="20% - Accent5 2 6 3 4" xfId="8633" xr:uid="{00000000-0005-0000-0000-0000D00E0000}"/>
    <cellStyle name="20% - Accent5 2 6 3 4 2" xfId="8634" xr:uid="{00000000-0005-0000-0000-0000D10E0000}"/>
    <cellStyle name="20% - Accent5 2 6 3 5" xfId="8635" xr:uid="{00000000-0005-0000-0000-0000D20E0000}"/>
    <cellStyle name="20% - Accent5 2 6 3 5 2" xfId="8636" xr:uid="{00000000-0005-0000-0000-0000D30E0000}"/>
    <cellStyle name="20% - Accent5 2 6 3 6" xfId="8637" xr:uid="{00000000-0005-0000-0000-0000D40E0000}"/>
    <cellStyle name="20% - Accent5 2 6 4" xfId="8638" xr:uid="{00000000-0005-0000-0000-0000D50E0000}"/>
    <cellStyle name="20% - Accent5 2 6 4 2" xfId="8639" xr:uid="{00000000-0005-0000-0000-0000D60E0000}"/>
    <cellStyle name="20% - Accent5 2 6 4 2 2" xfId="8640" xr:uid="{00000000-0005-0000-0000-0000D70E0000}"/>
    <cellStyle name="20% - Accent5 2 6 4 2 2 2" xfId="8641" xr:uid="{00000000-0005-0000-0000-0000D80E0000}"/>
    <cellStyle name="20% - Accent5 2 6 4 2 3" xfId="8642" xr:uid="{00000000-0005-0000-0000-0000D90E0000}"/>
    <cellStyle name="20% - Accent5 2 6 4 3" xfId="8643" xr:uid="{00000000-0005-0000-0000-0000DA0E0000}"/>
    <cellStyle name="20% - Accent5 2 6 4 3 2" xfId="8644" xr:uid="{00000000-0005-0000-0000-0000DB0E0000}"/>
    <cellStyle name="20% - Accent5 2 6 4 4" xfId="8645" xr:uid="{00000000-0005-0000-0000-0000DC0E0000}"/>
    <cellStyle name="20% - Accent5 2 6 4 4 2" xfId="8646" xr:uid="{00000000-0005-0000-0000-0000DD0E0000}"/>
    <cellStyle name="20% - Accent5 2 6 4 5" xfId="8647" xr:uid="{00000000-0005-0000-0000-0000DE0E0000}"/>
    <cellStyle name="20% - Accent5 2 6 5" xfId="8648" xr:uid="{00000000-0005-0000-0000-0000DF0E0000}"/>
    <cellStyle name="20% - Accent5 2 6 5 2" xfId="8649" xr:uid="{00000000-0005-0000-0000-0000E00E0000}"/>
    <cellStyle name="20% - Accent5 2 6 5 2 2" xfId="8650" xr:uid="{00000000-0005-0000-0000-0000E10E0000}"/>
    <cellStyle name="20% - Accent5 2 6 5 3" xfId="8651" xr:uid="{00000000-0005-0000-0000-0000E20E0000}"/>
    <cellStyle name="20% - Accent5 2 6 5 3 2" xfId="8652" xr:uid="{00000000-0005-0000-0000-0000E30E0000}"/>
    <cellStyle name="20% - Accent5 2 6 5 4" xfId="8653" xr:uid="{00000000-0005-0000-0000-0000E40E0000}"/>
    <cellStyle name="20% - Accent5 2 6 6" xfId="8654" xr:uid="{00000000-0005-0000-0000-0000E50E0000}"/>
    <cellStyle name="20% - Accent5 2 6 6 2" xfId="8655" xr:uid="{00000000-0005-0000-0000-0000E60E0000}"/>
    <cellStyle name="20% - Accent5 2 6 6 2 2" xfId="8656" xr:uid="{00000000-0005-0000-0000-0000E70E0000}"/>
    <cellStyle name="20% - Accent5 2 6 6 3" xfId="8657" xr:uid="{00000000-0005-0000-0000-0000E80E0000}"/>
    <cellStyle name="20% - Accent5 2 6 7" xfId="8658" xr:uid="{00000000-0005-0000-0000-0000E90E0000}"/>
    <cellStyle name="20% - Accent5 2 6 7 2" xfId="8659" xr:uid="{00000000-0005-0000-0000-0000EA0E0000}"/>
    <cellStyle name="20% - Accent5 2 6 7 3" xfId="8660" xr:uid="{00000000-0005-0000-0000-0000EB0E0000}"/>
    <cellStyle name="20% - Accent5 2 6 8" xfId="8661" xr:uid="{00000000-0005-0000-0000-0000EC0E0000}"/>
    <cellStyle name="20% - Accent5 2 6 8 2" xfId="8662" xr:uid="{00000000-0005-0000-0000-0000ED0E0000}"/>
    <cellStyle name="20% - Accent5 2 6 9" xfId="8663" xr:uid="{00000000-0005-0000-0000-0000EE0E0000}"/>
    <cellStyle name="20% - Accent5 2 7" xfId="8664" xr:uid="{00000000-0005-0000-0000-0000EF0E0000}"/>
    <cellStyle name="20% - Accent5 2 7 2" xfId="8665" xr:uid="{00000000-0005-0000-0000-0000F00E0000}"/>
    <cellStyle name="20% - Accent5 2 7 2 2" xfId="8666" xr:uid="{00000000-0005-0000-0000-0000F10E0000}"/>
    <cellStyle name="20% - Accent5 2 7 3" xfId="8667" xr:uid="{00000000-0005-0000-0000-0000F20E0000}"/>
    <cellStyle name="20% - Accent5 2 7 4" xfId="8668" xr:uid="{00000000-0005-0000-0000-0000F30E0000}"/>
    <cellStyle name="20% - Accent5 2 8" xfId="8669" xr:uid="{00000000-0005-0000-0000-0000F40E0000}"/>
    <cellStyle name="20% - Accent5 2 8 2" xfId="8670" xr:uid="{00000000-0005-0000-0000-0000F50E0000}"/>
    <cellStyle name="20% - Accent5 2 9" xfId="8671" xr:uid="{00000000-0005-0000-0000-0000F60E0000}"/>
    <cellStyle name="20% - Accent5 2 9 2" xfId="8672" xr:uid="{00000000-0005-0000-0000-0000F70E0000}"/>
    <cellStyle name="20% - Accent5 20" xfId="4834" xr:uid="{00000000-0005-0000-0000-0000F80E0000}"/>
    <cellStyle name="20% - Accent5 20 2" xfId="4833" xr:uid="{00000000-0005-0000-0000-0000F90E0000}"/>
    <cellStyle name="20% - Accent5 20 2 2" xfId="4832" xr:uid="{00000000-0005-0000-0000-0000FA0E0000}"/>
    <cellStyle name="20% - Accent5 20 2 2 2" xfId="4831" xr:uid="{00000000-0005-0000-0000-0000FB0E0000}"/>
    <cellStyle name="20% - Accent5 20 2 2 3" xfId="4830" xr:uid="{00000000-0005-0000-0000-0000FC0E0000}"/>
    <cellStyle name="20% - Accent5 20 2 3" xfId="4829" xr:uid="{00000000-0005-0000-0000-0000FD0E0000}"/>
    <cellStyle name="20% - Accent5 20 2 4" xfId="4828" xr:uid="{00000000-0005-0000-0000-0000FE0E0000}"/>
    <cellStyle name="20% - Accent5 20 3" xfId="4827" xr:uid="{00000000-0005-0000-0000-0000FF0E0000}"/>
    <cellStyle name="20% - Accent5 20 3 2" xfId="4826" xr:uid="{00000000-0005-0000-0000-0000000F0000}"/>
    <cellStyle name="20% - Accent5 20 3 3" xfId="4825" xr:uid="{00000000-0005-0000-0000-0000010F0000}"/>
    <cellStyle name="20% - Accent5 20 4" xfId="4824" xr:uid="{00000000-0005-0000-0000-0000020F0000}"/>
    <cellStyle name="20% - Accent5 20 4 2" xfId="4823" xr:uid="{00000000-0005-0000-0000-0000030F0000}"/>
    <cellStyle name="20% - Accent5 20 4 3" xfId="4822" xr:uid="{00000000-0005-0000-0000-0000040F0000}"/>
    <cellStyle name="20% - Accent5 20 5" xfId="4821" xr:uid="{00000000-0005-0000-0000-0000050F0000}"/>
    <cellStyle name="20% - Accent5 20 6" xfId="4820" xr:uid="{00000000-0005-0000-0000-0000060F0000}"/>
    <cellStyle name="20% - Accent5 21" xfId="4819" xr:uid="{00000000-0005-0000-0000-0000070F0000}"/>
    <cellStyle name="20% - Accent5 22" xfId="4818" xr:uid="{00000000-0005-0000-0000-0000080F0000}"/>
    <cellStyle name="20% - Accent5 22 2" xfId="4817" xr:uid="{00000000-0005-0000-0000-0000090F0000}"/>
    <cellStyle name="20% - Accent5 22 2 2" xfId="4816" xr:uid="{00000000-0005-0000-0000-00000A0F0000}"/>
    <cellStyle name="20% - Accent5 22 2 2 2" xfId="4815" xr:uid="{00000000-0005-0000-0000-00000B0F0000}"/>
    <cellStyle name="20% - Accent5 22 2 2 3" xfId="4814" xr:uid="{00000000-0005-0000-0000-00000C0F0000}"/>
    <cellStyle name="20% - Accent5 22 2 3" xfId="4813" xr:uid="{00000000-0005-0000-0000-00000D0F0000}"/>
    <cellStyle name="20% - Accent5 22 2 4" xfId="4812" xr:uid="{00000000-0005-0000-0000-00000E0F0000}"/>
    <cellStyle name="20% - Accent5 22 3" xfId="4811" xr:uid="{00000000-0005-0000-0000-00000F0F0000}"/>
    <cellStyle name="20% - Accent5 22 3 2" xfId="4810" xr:uid="{00000000-0005-0000-0000-0000100F0000}"/>
    <cellStyle name="20% - Accent5 22 3 3" xfId="4809" xr:uid="{00000000-0005-0000-0000-0000110F0000}"/>
    <cellStyle name="20% - Accent5 22 4" xfId="4808" xr:uid="{00000000-0005-0000-0000-0000120F0000}"/>
    <cellStyle name="20% - Accent5 22 4 2" xfId="4807" xr:uid="{00000000-0005-0000-0000-0000130F0000}"/>
    <cellStyle name="20% - Accent5 22 4 3" xfId="4806" xr:uid="{00000000-0005-0000-0000-0000140F0000}"/>
    <cellStyle name="20% - Accent5 22 5" xfId="4805" xr:uid="{00000000-0005-0000-0000-0000150F0000}"/>
    <cellStyle name="20% - Accent5 22 6" xfId="4804" xr:uid="{00000000-0005-0000-0000-0000160F0000}"/>
    <cellStyle name="20% - Accent5 23" xfId="4803" xr:uid="{00000000-0005-0000-0000-0000170F0000}"/>
    <cellStyle name="20% - Accent5 23 2" xfId="4802" xr:uid="{00000000-0005-0000-0000-0000180F0000}"/>
    <cellStyle name="20% - Accent5 23 2 2" xfId="4801" xr:uid="{00000000-0005-0000-0000-0000190F0000}"/>
    <cellStyle name="20% - Accent5 23 2 3" xfId="4800" xr:uid="{00000000-0005-0000-0000-00001A0F0000}"/>
    <cellStyle name="20% - Accent5 23 3" xfId="4799" xr:uid="{00000000-0005-0000-0000-00001B0F0000}"/>
    <cellStyle name="20% - Accent5 23 4" xfId="4798" xr:uid="{00000000-0005-0000-0000-00001C0F0000}"/>
    <cellStyle name="20% - Accent5 24" xfId="4797" xr:uid="{00000000-0005-0000-0000-00001D0F0000}"/>
    <cellStyle name="20% - Accent5 24 2" xfId="4796" xr:uid="{00000000-0005-0000-0000-00001E0F0000}"/>
    <cellStyle name="20% - Accent5 24 3" xfId="4795" xr:uid="{00000000-0005-0000-0000-00001F0F0000}"/>
    <cellStyle name="20% - Accent5 25" xfId="4794" xr:uid="{00000000-0005-0000-0000-0000200F0000}"/>
    <cellStyle name="20% - Accent5 25 2" xfId="4793" xr:uid="{00000000-0005-0000-0000-0000210F0000}"/>
    <cellStyle name="20% - Accent5 25 3" xfId="4792" xr:uid="{00000000-0005-0000-0000-0000220F0000}"/>
    <cellStyle name="20% - Accent5 26" xfId="4791" xr:uid="{00000000-0005-0000-0000-0000230F0000}"/>
    <cellStyle name="20% - Accent5 27" xfId="4790" xr:uid="{00000000-0005-0000-0000-0000240F0000}"/>
    <cellStyle name="20% - Accent5 28" xfId="4789" xr:uid="{00000000-0005-0000-0000-0000250F0000}"/>
    <cellStyle name="20% - Accent5 3" xfId="4788" xr:uid="{00000000-0005-0000-0000-0000260F0000}"/>
    <cellStyle name="20% - Accent5 3 2" xfId="4787" xr:uid="{00000000-0005-0000-0000-0000270F0000}"/>
    <cellStyle name="20% - Accent5 3 2 2" xfId="8673" xr:uid="{00000000-0005-0000-0000-0000280F0000}"/>
    <cellStyle name="20% - Accent5 3 2 2 2" xfId="8674" xr:uid="{00000000-0005-0000-0000-0000290F0000}"/>
    <cellStyle name="20% - Accent5 3 2 2 2 2" xfId="8675" xr:uid="{00000000-0005-0000-0000-00002A0F0000}"/>
    <cellStyle name="20% - Accent5 3 2 2 3" xfId="8676" xr:uid="{00000000-0005-0000-0000-00002B0F0000}"/>
    <cellStyle name="20% - Accent5 3 2 2 4" xfId="8677" xr:uid="{00000000-0005-0000-0000-00002C0F0000}"/>
    <cellStyle name="20% - Accent5 3 2 2 5" xfId="8678" xr:uid="{00000000-0005-0000-0000-00002D0F0000}"/>
    <cellStyle name="20% - Accent5 3 2 3" xfId="8679" xr:uid="{00000000-0005-0000-0000-00002E0F0000}"/>
    <cellStyle name="20% - Accent5 3 2 3 2" xfId="8680" xr:uid="{00000000-0005-0000-0000-00002F0F0000}"/>
    <cellStyle name="20% - Accent5 3 2 3 2 2" xfId="8681" xr:uid="{00000000-0005-0000-0000-0000300F0000}"/>
    <cellStyle name="20% - Accent5 3 2 3 3" xfId="8682" xr:uid="{00000000-0005-0000-0000-0000310F0000}"/>
    <cellStyle name="20% - Accent5 3 2 3 4" xfId="8683" xr:uid="{00000000-0005-0000-0000-0000320F0000}"/>
    <cellStyle name="20% - Accent5 3 2 4" xfId="8684" xr:uid="{00000000-0005-0000-0000-0000330F0000}"/>
    <cellStyle name="20% - Accent5 3 2 4 2" xfId="8685" xr:uid="{00000000-0005-0000-0000-0000340F0000}"/>
    <cellStyle name="20% - Accent5 3 2 5" xfId="8686" xr:uid="{00000000-0005-0000-0000-0000350F0000}"/>
    <cellStyle name="20% - Accent5 3 2 5 2" xfId="8687" xr:uid="{00000000-0005-0000-0000-0000360F0000}"/>
    <cellStyle name="20% - Accent5 3 2 6" xfId="8688" xr:uid="{00000000-0005-0000-0000-0000370F0000}"/>
    <cellStyle name="20% - Accent5 3 2 7" xfId="8689" xr:uid="{00000000-0005-0000-0000-0000380F0000}"/>
    <cellStyle name="20% - Accent5 3 2 8" xfId="8690" xr:uid="{00000000-0005-0000-0000-0000390F0000}"/>
    <cellStyle name="20% - Accent5 3 3" xfId="4786" xr:uid="{00000000-0005-0000-0000-00003A0F0000}"/>
    <cellStyle name="20% - Accent5 3 3 2" xfId="4785" xr:uid="{00000000-0005-0000-0000-00003B0F0000}"/>
    <cellStyle name="20% - Accent5 3 3 2 2" xfId="4784" xr:uid="{00000000-0005-0000-0000-00003C0F0000}"/>
    <cellStyle name="20% - Accent5 3 3 2 2 2" xfId="4783" xr:uid="{00000000-0005-0000-0000-00003D0F0000}"/>
    <cellStyle name="20% - Accent5 3 3 2 2 3" xfId="4782" xr:uid="{00000000-0005-0000-0000-00003E0F0000}"/>
    <cellStyle name="20% - Accent5 3 3 2 3" xfId="4781" xr:uid="{00000000-0005-0000-0000-00003F0F0000}"/>
    <cellStyle name="20% - Accent5 3 3 2 4" xfId="4780" xr:uid="{00000000-0005-0000-0000-0000400F0000}"/>
    <cellStyle name="20% - Accent5 3 3 3" xfId="4779" xr:uid="{00000000-0005-0000-0000-0000410F0000}"/>
    <cellStyle name="20% - Accent5 3 3 3 2" xfId="4778" xr:uid="{00000000-0005-0000-0000-0000420F0000}"/>
    <cellStyle name="20% - Accent5 3 3 3 3" xfId="4777" xr:uid="{00000000-0005-0000-0000-0000430F0000}"/>
    <cellStyle name="20% - Accent5 3 3 4" xfId="4776" xr:uid="{00000000-0005-0000-0000-0000440F0000}"/>
    <cellStyle name="20% - Accent5 3 3 4 2" xfId="4775" xr:uid="{00000000-0005-0000-0000-0000450F0000}"/>
    <cellStyle name="20% - Accent5 3 3 4 3" xfId="4774" xr:uid="{00000000-0005-0000-0000-0000460F0000}"/>
    <cellStyle name="20% - Accent5 3 3 5" xfId="4773" xr:uid="{00000000-0005-0000-0000-0000470F0000}"/>
    <cellStyle name="20% - Accent5 3 3 6" xfId="4772" xr:uid="{00000000-0005-0000-0000-0000480F0000}"/>
    <cellStyle name="20% - Accent5 3 3 7" xfId="8691" xr:uid="{00000000-0005-0000-0000-0000490F0000}"/>
    <cellStyle name="20% - Accent5 3 4" xfId="8692" xr:uid="{00000000-0005-0000-0000-00004A0F0000}"/>
    <cellStyle name="20% - Accent5 3 4 2" xfId="8693" xr:uid="{00000000-0005-0000-0000-00004B0F0000}"/>
    <cellStyle name="20% - Accent5 3 4 2 2" xfId="8694" xr:uid="{00000000-0005-0000-0000-00004C0F0000}"/>
    <cellStyle name="20% - Accent5 3 4 3" xfId="8695" xr:uid="{00000000-0005-0000-0000-00004D0F0000}"/>
    <cellStyle name="20% - Accent5 3 4 4" xfId="8696" xr:uid="{00000000-0005-0000-0000-00004E0F0000}"/>
    <cellStyle name="20% - Accent5 3 5" xfId="8697" xr:uid="{00000000-0005-0000-0000-00004F0F0000}"/>
    <cellStyle name="20% - Accent5 3 5 2" xfId="8698" xr:uid="{00000000-0005-0000-0000-0000500F0000}"/>
    <cellStyle name="20% - Accent5 3 6" xfId="8699" xr:uid="{00000000-0005-0000-0000-0000510F0000}"/>
    <cellStyle name="20% - Accent5 3 6 2" xfId="8700" xr:uid="{00000000-0005-0000-0000-0000520F0000}"/>
    <cellStyle name="20% - Accent5 3 7" xfId="8701" xr:uid="{00000000-0005-0000-0000-0000530F0000}"/>
    <cellStyle name="20% - Accent5 3 7 2" xfId="8702" xr:uid="{00000000-0005-0000-0000-0000540F0000}"/>
    <cellStyle name="20% - Accent5 3 8" xfId="8703" xr:uid="{00000000-0005-0000-0000-0000550F0000}"/>
    <cellStyle name="20% - Accent5 3 9" xfId="8704" xr:uid="{00000000-0005-0000-0000-0000560F0000}"/>
    <cellStyle name="20% - Accent5 4" xfId="4771" xr:uid="{00000000-0005-0000-0000-0000570F0000}"/>
    <cellStyle name="20% - Accent5 4 2" xfId="4770" xr:uid="{00000000-0005-0000-0000-0000580F0000}"/>
    <cellStyle name="20% - Accent5 4 2 2" xfId="4769" xr:uid="{00000000-0005-0000-0000-0000590F0000}"/>
    <cellStyle name="20% - Accent5 4 2 2 2" xfId="4768" xr:uid="{00000000-0005-0000-0000-00005A0F0000}"/>
    <cellStyle name="20% - Accent5 4 2 2 2 2" xfId="4767" xr:uid="{00000000-0005-0000-0000-00005B0F0000}"/>
    <cellStyle name="20% - Accent5 4 2 2 2 3" xfId="4766" xr:uid="{00000000-0005-0000-0000-00005C0F0000}"/>
    <cellStyle name="20% - Accent5 4 2 2 3" xfId="4765" xr:uid="{00000000-0005-0000-0000-00005D0F0000}"/>
    <cellStyle name="20% - Accent5 4 2 2 4" xfId="4764" xr:uid="{00000000-0005-0000-0000-00005E0F0000}"/>
    <cellStyle name="20% - Accent5 4 2 3" xfId="4763" xr:uid="{00000000-0005-0000-0000-00005F0F0000}"/>
    <cellStyle name="20% - Accent5 4 2 3 2" xfId="4762" xr:uid="{00000000-0005-0000-0000-0000600F0000}"/>
    <cellStyle name="20% - Accent5 4 2 3 3" xfId="4761" xr:uid="{00000000-0005-0000-0000-0000610F0000}"/>
    <cellStyle name="20% - Accent5 4 2 4" xfId="4760" xr:uid="{00000000-0005-0000-0000-0000620F0000}"/>
    <cellStyle name="20% - Accent5 4 2 4 2" xfId="4759" xr:uid="{00000000-0005-0000-0000-0000630F0000}"/>
    <cellStyle name="20% - Accent5 4 2 4 3" xfId="4758" xr:uid="{00000000-0005-0000-0000-0000640F0000}"/>
    <cellStyle name="20% - Accent5 4 2 5" xfId="4757" xr:uid="{00000000-0005-0000-0000-0000650F0000}"/>
    <cellStyle name="20% - Accent5 4 2 6" xfId="4756" xr:uid="{00000000-0005-0000-0000-0000660F0000}"/>
    <cellStyle name="20% - Accent5 4 3" xfId="4755" xr:uid="{00000000-0005-0000-0000-0000670F0000}"/>
    <cellStyle name="20% - Accent5 4 3 2" xfId="4754" xr:uid="{00000000-0005-0000-0000-0000680F0000}"/>
    <cellStyle name="20% - Accent5 4 3 2 2" xfId="4753" xr:uid="{00000000-0005-0000-0000-0000690F0000}"/>
    <cellStyle name="20% - Accent5 4 3 2 3" xfId="4752" xr:uid="{00000000-0005-0000-0000-00006A0F0000}"/>
    <cellStyle name="20% - Accent5 4 3 3" xfId="4751" xr:uid="{00000000-0005-0000-0000-00006B0F0000}"/>
    <cellStyle name="20% - Accent5 4 3 3 2" xfId="8705" xr:uid="{00000000-0005-0000-0000-00006C0F0000}"/>
    <cellStyle name="20% - Accent5 4 3 4" xfId="4750" xr:uid="{00000000-0005-0000-0000-00006D0F0000}"/>
    <cellStyle name="20% - Accent5 4 4" xfId="4749" xr:uid="{00000000-0005-0000-0000-00006E0F0000}"/>
    <cellStyle name="20% - Accent5 4 4 2" xfId="4748" xr:uid="{00000000-0005-0000-0000-00006F0F0000}"/>
    <cellStyle name="20% - Accent5 4 4 2 2" xfId="8706" xr:uid="{00000000-0005-0000-0000-0000700F0000}"/>
    <cellStyle name="20% - Accent5 4 4 3" xfId="4747" xr:uid="{00000000-0005-0000-0000-0000710F0000}"/>
    <cellStyle name="20% - Accent5 4 4 4" xfId="8707" xr:uid="{00000000-0005-0000-0000-0000720F0000}"/>
    <cellStyle name="20% - Accent5 4 5" xfId="4746" xr:uid="{00000000-0005-0000-0000-0000730F0000}"/>
    <cellStyle name="20% - Accent5 4 5 2" xfId="4745" xr:uid="{00000000-0005-0000-0000-0000740F0000}"/>
    <cellStyle name="20% - Accent5 4 5 3" xfId="4744" xr:uid="{00000000-0005-0000-0000-0000750F0000}"/>
    <cellStyle name="20% - Accent5 4 6" xfId="4743" xr:uid="{00000000-0005-0000-0000-0000760F0000}"/>
    <cellStyle name="20% - Accent5 4 6 2" xfId="8708" xr:uid="{00000000-0005-0000-0000-0000770F0000}"/>
    <cellStyle name="20% - Accent5 4 7" xfId="4742" xr:uid="{00000000-0005-0000-0000-0000780F0000}"/>
    <cellStyle name="20% - Accent5 4 7 2" xfId="8709" xr:uid="{00000000-0005-0000-0000-0000790F0000}"/>
    <cellStyle name="20% - Accent5 4 8" xfId="8710" xr:uid="{00000000-0005-0000-0000-00007A0F0000}"/>
    <cellStyle name="20% - Accent5 4 9" xfId="8711" xr:uid="{00000000-0005-0000-0000-00007B0F0000}"/>
    <cellStyle name="20% - Accent5 5" xfId="4741" xr:uid="{00000000-0005-0000-0000-00007C0F0000}"/>
    <cellStyle name="20% - Accent5 5 2" xfId="4740" xr:uid="{00000000-0005-0000-0000-00007D0F0000}"/>
    <cellStyle name="20% - Accent5 5 2 2" xfId="4739" xr:uid="{00000000-0005-0000-0000-00007E0F0000}"/>
    <cellStyle name="20% - Accent5 5 2 2 2" xfId="4738" xr:uid="{00000000-0005-0000-0000-00007F0F0000}"/>
    <cellStyle name="20% - Accent5 5 2 2 2 2" xfId="8712" xr:uid="{00000000-0005-0000-0000-0000800F0000}"/>
    <cellStyle name="20% - Accent5 5 2 2 2 2 2" xfId="8713" xr:uid="{00000000-0005-0000-0000-0000810F0000}"/>
    <cellStyle name="20% - Accent5 5 2 2 2 3" xfId="8714" xr:uid="{00000000-0005-0000-0000-0000820F0000}"/>
    <cellStyle name="20% - Accent5 5 2 2 2 3 2" xfId="8715" xr:uid="{00000000-0005-0000-0000-0000830F0000}"/>
    <cellStyle name="20% - Accent5 5 2 2 2 4" xfId="8716" xr:uid="{00000000-0005-0000-0000-0000840F0000}"/>
    <cellStyle name="20% - Accent5 5 2 2 2 4 2" xfId="8717" xr:uid="{00000000-0005-0000-0000-0000850F0000}"/>
    <cellStyle name="20% - Accent5 5 2 2 2 5" xfId="8718" xr:uid="{00000000-0005-0000-0000-0000860F0000}"/>
    <cellStyle name="20% - Accent5 5 2 2 3" xfId="4737" xr:uid="{00000000-0005-0000-0000-0000870F0000}"/>
    <cellStyle name="20% - Accent5 5 2 2 3 2" xfId="8719" xr:uid="{00000000-0005-0000-0000-0000880F0000}"/>
    <cellStyle name="20% - Accent5 5 2 2 3 2 2" xfId="8720" xr:uid="{00000000-0005-0000-0000-0000890F0000}"/>
    <cellStyle name="20% - Accent5 5 2 2 3 3" xfId="8721" xr:uid="{00000000-0005-0000-0000-00008A0F0000}"/>
    <cellStyle name="20% - Accent5 5 2 2 3 3 2" xfId="8722" xr:uid="{00000000-0005-0000-0000-00008B0F0000}"/>
    <cellStyle name="20% - Accent5 5 2 2 3 4" xfId="8723" xr:uid="{00000000-0005-0000-0000-00008C0F0000}"/>
    <cellStyle name="20% - Accent5 5 2 2 4" xfId="8724" xr:uid="{00000000-0005-0000-0000-00008D0F0000}"/>
    <cellStyle name="20% - Accent5 5 2 2 4 2" xfId="8725" xr:uid="{00000000-0005-0000-0000-00008E0F0000}"/>
    <cellStyle name="20% - Accent5 5 2 2 4 2 2" xfId="8726" xr:uid="{00000000-0005-0000-0000-00008F0F0000}"/>
    <cellStyle name="20% - Accent5 5 2 2 4 3" xfId="8727" xr:uid="{00000000-0005-0000-0000-0000900F0000}"/>
    <cellStyle name="20% - Accent5 5 2 2 4 3 2" xfId="8728" xr:uid="{00000000-0005-0000-0000-0000910F0000}"/>
    <cellStyle name="20% - Accent5 5 2 2 4 4" xfId="8729" xr:uid="{00000000-0005-0000-0000-0000920F0000}"/>
    <cellStyle name="20% - Accent5 5 2 2 5" xfId="8730" xr:uid="{00000000-0005-0000-0000-0000930F0000}"/>
    <cellStyle name="20% - Accent5 5 2 2 5 2" xfId="8731" xr:uid="{00000000-0005-0000-0000-0000940F0000}"/>
    <cellStyle name="20% - Accent5 5 2 2 5 2 2" xfId="8732" xr:uid="{00000000-0005-0000-0000-0000950F0000}"/>
    <cellStyle name="20% - Accent5 5 2 2 5 3" xfId="8733" xr:uid="{00000000-0005-0000-0000-0000960F0000}"/>
    <cellStyle name="20% - Accent5 5 2 2 5 3 2" xfId="8734" xr:uid="{00000000-0005-0000-0000-0000970F0000}"/>
    <cellStyle name="20% - Accent5 5 2 2 5 4" xfId="8735" xr:uid="{00000000-0005-0000-0000-0000980F0000}"/>
    <cellStyle name="20% - Accent5 5 2 2 6" xfId="8736" xr:uid="{00000000-0005-0000-0000-0000990F0000}"/>
    <cellStyle name="20% - Accent5 5 2 2 7" xfId="8737" xr:uid="{00000000-0005-0000-0000-00009A0F0000}"/>
    <cellStyle name="20% - Accent5 5 2 3" xfId="4736" xr:uid="{00000000-0005-0000-0000-00009B0F0000}"/>
    <cellStyle name="20% - Accent5 5 2 4" xfId="4735" xr:uid="{00000000-0005-0000-0000-00009C0F0000}"/>
    <cellStyle name="20% - Accent5 5 2 5" xfId="8738" xr:uid="{00000000-0005-0000-0000-00009D0F0000}"/>
    <cellStyle name="20% - Accent5 5 2 5 2" xfId="8739" xr:uid="{00000000-0005-0000-0000-00009E0F0000}"/>
    <cellStyle name="20% - Accent5 5 2 6" xfId="8740" xr:uid="{00000000-0005-0000-0000-00009F0F0000}"/>
    <cellStyle name="20% - Accent5 5 3" xfId="4734" xr:uid="{00000000-0005-0000-0000-0000A00F0000}"/>
    <cellStyle name="20% - Accent5 5 3 2" xfId="4733" xr:uid="{00000000-0005-0000-0000-0000A10F0000}"/>
    <cellStyle name="20% - Accent5 5 3 3" xfId="4732" xr:uid="{00000000-0005-0000-0000-0000A20F0000}"/>
    <cellStyle name="20% - Accent5 5 3 4" xfId="8741" xr:uid="{00000000-0005-0000-0000-0000A30F0000}"/>
    <cellStyle name="20% - Accent5 5 3 4 2" xfId="8742" xr:uid="{00000000-0005-0000-0000-0000A40F0000}"/>
    <cellStyle name="20% - Accent5 5 3 5" xfId="8743" xr:uid="{00000000-0005-0000-0000-0000A50F0000}"/>
    <cellStyle name="20% - Accent5 5 4" xfId="4731" xr:uid="{00000000-0005-0000-0000-0000A60F0000}"/>
    <cellStyle name="20% - Accent5 5 4 2" xfId="4730" xr:uid="{00000000-0005-0000-0000-0000A70F0000}"/>
    <cellStyle name="20% - Accent5 5 4 2 2" xfId="8744" xr:uid="{00000000-0005-0000-0000-0000A80F0000}"/>
    <cellStyle name="20% - Accent5 5 4 2 2 2" xfId="8745" xr:uid="{00000000-0005-0000-0000-0000A90F0000}"/>
    <cellStyle name="20% - Accent5 5 4 2 3" xfId="8746" xr:uid="{00000000-0005-0000-0000-0000AA0F0000}"/>
    <cellStyle name="20% - Accent5 5 4 2 3 2" xfId="8747" xr:uid="{00000000-0005-0000-0000-0000AB0F0000}"/>
    <cellStyle name="20% - Accent5 5 4 2 4" xfId="8748" xr:uid="{00000000-0005-0000-0000-0000AC0F0000}"/>
    <cellStyle name="20% - Accent5 5 4 2 4 2" xfId="8749" xr:uid="{00000000-0005-0000-0000-0000AD0F0000}"/>
    <cellStyle name="20% - Accent5 5 4 2 5" xfId="8750" xr:uid="{00000000-0005-0000-0000-0000AE0F0000}"/>
    <cellStyle name="20% - Accent5 5 4 3" xfId="4729" xr:uid="{00000000-0005-0000-0000-0000AF0F0000}"/>
    <cellStyle name="20% - Accent5 5 4 3 2" xfId="8751" xr:uid="{00000000-0005-0000-0000-0000B00F0000}"/>
    <cellStyle name="20% - Accent5 5 4 3 2 2" xfId="8752" xr:uid="{00000000-0005-0000-0000-0000B10F0000}"/>
    <cellStyle name="20% - Accent5 5 4 3 3" xfId="8753" xr:uid="{00000000-0005-0000-0000-0000B20F0000}"/>
    <cellStyle name="20% - Accent5 5 4 3 3 2" xfId="8754" xr:uid="{00000000-0005-0000-0000-0000B30F0000}"/>
    <cellStyle name="20% - Accent5 5 4 3 4" xfId="8755" xr:uid="{00000000-0005-0000-0000-0000B40F0000}"/>
    <cellStyle name="20% - Accent5 5 4 4" xfId="8756" xr:uid="{00000000-0005-0000-0000-0000B50F0000}"/>
    <cellStyle name="20% - Accent5 5 4 4 2" xfId="8757" xr:uid="{00000000-0005-0000-0000-0000B60F0000}"/>
    <cellStyle name="20% - Accent5 5 4 4 2 2" xfId="8758" xr:uid="{00000000-0005-0000-0000-0000B70F0000}"/>
    <cellStyle name="20% - Accent5 5 4 4 3" xfId="8759" xr:uid="{00000000-0005-0000-0000-0000B80F0000}"/>
    <cellStyle name="20% - Accent5 5 4 4 3 2" xfId="8760" xr:uid="{00000000-0005-0000-0000-0000B90F0000}"/>
    <cellStyle name="20% - Accent5 5 4 4 4" xfId="8761" xr:uid="{00000000-0005-0000-0000-0000BA0F0000}"/>
    <cellStyle name="20% - Accent5 5 4 5" xfId="8762" xr:uid="{00000000-0005-0000-0000-0000BB0F0000}"/>
    <cellStyle name="20% - Accent5 5 4 5 2" xfId="8763" xr:uid="{00000000-0005-0000-0000-0000BC0F0000}"/>
    <cellStyle name="20% - Accent5 5 4 5 2 2" xfId="8764" xr:uid="{00000000-0005-0000-0000-0000BD0F0000}"/>
    <cellStyle name="20% - Accent5 5 4 5 3" xfId="8765" xr:uid="{00000000-0005-0000-0000-0000BE0F0000}"/>
    <cellStyle name="20% - Accent5 5 4 5 3 2" xfId="8766" xr:uid="{00000000-0005-0000-0000-0000BF0F0000}"/>
    <cellStyle name="20% - Accent5 5 4 5 4" xfId="8767" xr:uid="{00000000-0005-0000-0000-0000C00F0000}"/>
    <cellStyle name="20% - Accent5 5 4 6" xfId="8768" xr:uid="{00000000-0005-0000-0000-0000C10F0000}"/>
    <cellStyle name="20% - Accent5 5 5" xfId="4728" xr:uid="{00000000-0005-0000-0000-0000C20F0000}"/>
    <cellStyle name="20% - Accent5 5 5 2" xfId="8769" xr:uid="{00000000-0005-0000-0000-0000C30F0000}"/>
    <cellStyle name="20% - Accent5 5 5 2 2" xfId="8770" xr:uid="{00000000-0005-0000-0000-0000C40F0000}"/>
    <cellStyle name="20% - Accent5 5 5 2 2 2" xfId="8771" xr:uid="{00000000-0005-0000-0000-0000C50F0000}"/>
    <cellStyle name="20% - Accent5 5 5 2 2 2 2" xfId="8772" xr:uid="{00000000-0005-0000-0000-0000C60F0000}"/>
    <cellStyle name="20% - Accent5 5 5 2 2 3" xfId="8773" xr:uid="{00000000-0005-0000-0000-0000C70F0000}"/>
    <cellStyle name="20% - Accent5 5 5 2 2 3 2" xfId="8774" xr:uid="{00000000-0005-0000-0000-0000C80F0000}"/>
    <cellStyle name="20% - Accent5 5 5 2 2 4" xfId="8775" xr:uid="{00000000-0005-0000-0000-0000C90F0000}"/>
    <cellStyle name="20% - Accent5 5 5 2 2 5" xfId="8776" xr:uid="{00000000-0005-0000-0000-0000CA0F0000}"/>
    <cellStyle name="20% - Accent5 5 5 2 3" xfId="8777" xr:uid="{00000000-0005-0000-0000-0000CB0F0000}"/>
    <cellStyle name="20% - Accent5 5 5 2 3 2" xfId="8778" xr:uid="{00000000-0005-0000-0000-0000CC0F0000}"/>
    <cellStyle name="20% - Accent5 5 5 2 3 2 2" xfId="8779" xr:uid="{00000000-0005-0000-0000-0000CD0F0000}"/>
    <cellStyle name="20% - Accent5 5 5 2 3 3" xfId="8780" xr:uid="{00000000-0005-0000-0000-0000CE0F0000}"/>
    <cellStyle name="20% - Accent5 5 5 2 4" xfId="8781" xr:uid="{00000000-0005-0000-0000-0000CF0F0000}"/>
    <cellStyle name="20% - Accent5 5 5 2 4 2" xfId="8782" xr:uid="{00000000-0005-0000-0000-0000D00F0000}"/>
    <cellStyle name="20% - Accent5 5 5 2 5" xfId="8783" xr:uid="{00000000-0005-0000-0000-0000D10F0000}"/>
    <cellStyle name="20% - Accent5 5 5 2 5 2" xfId="8784" xr:uid="{00000000-0005-0000-0000-0000D20F0000}"/>
    <cellStyle name="20% - Accent5 5 5 2 6" xfId="8785" xr:uid="{00000000-0005-0000-0000-0000D30F0000}"/>
    <cellStyle name="20% - Accent5 5 5 3" xfId="8786" xr:uid="{00000000-0005-0000-0000-0000D40F0000}"/>
    <cellStyle name="20% - Accent5 5 5 3 2" xfId="8787" xr:uid="{00000000-0005-0000-0000-0000D50F0000}"/>
    <cellStyle name="20% - Accent5 5 5 3 2 2" xfId="8788" xr:uid="{00000000-0005-0000-0000-0000D60F0000}"/>
    <cellStyle name="20% - Accent5 5 5 3 2 2 2" xfId="8789" xr:uid="{00000000-0005-0000-0000-0000D70F0000}"/>
    <cellStyle name="20% - Accent5 5 5 3 2 3" xfId="8790" xr:uid="{00000000-0005-0000-0000-0000D80F0000}"/>
    <cellStyle name="20% - Accent5 5 5 3 2 3 2" xfId="8791" xr:uid="{00000000-0005-0000-0000-0000D90F0000}"/>
    <cellStyle name="20% - Accent5 5 5 3 2 4" xfId="8792" xr:uid="{00000000-0005-0000-0000-0000DA0F0000}"/>
    <cellStyle name="20% - Accent5 5 5 3 2 5" xfId="8793" xr:uid="{00000000-0005-0000-0000-0000DB0F0000}"/>
    <cellStyle name="20% - Accent5 5 5 3 3" xfId="8794" xr:uid="{00000000-0005-0000-0000-0000DC0F0000}"/>
    <cellStyle name="20% - Accent5 5 5 3 3 2" xfId="8795" xr:uid="{00000000-0005-0000-0000-0000DD0F0000}"/>
    <cellStyle name="20% - Accent5 5 5 3 3 2 2" xfId="8796" xr:uid="{00000000-0005-0000-0000-0000DE0F0000}"/>
    <cellStyle name="20% - Accent5 5 5 3 3 3" xfId="8797" xr:uid="{00000000-0005-0000-0000-0000DF0F0000}"/>
    <cellStyle name="20% - Accent5 5 5 3 4" xfId="8798" xr:uid="{00000000-0005-0000-0000-0000E00F0000}"/>
    <cellStyle name="20% - Accent5 5 5 3 4 2" xfId="8799" xr:uid="{00000000-0005-0000-0000-0000E10F0000}"/>
    <cellStyle name="20% - Accent5 5 5 3 5" xfId="8800" xr:uid="{00000000-0005-0000-0000-0000E20F0000}"/>
    <cellStyle name="20% - Accent5 5 5 3 5 2" xfId="8801" xr:uid="{00000000-0005-0000-0000-0000E30F0000}"/>
    <cellStyle name="20% - Accent5 5 5 3 6" xfId="8802" xr:uid="{00000000-0005-0000-0000-0000E40F0000}"/>
    <cellStyle name="20% - Accent5 5 5 4" xfId="8803" xr:uid="{00000000-0005-0000-0000-0000E50F0000}"/>
    <cellStyle name="20% - Accent5 5 5 4 2" xfId="8804" xr:uid="{00000000-0005-0000-0000-0000E60F0000}"/>
    <cellStyle name="20% - Accent5 5 5 4 2 2" xfId="8805" xr:uid="{00000000-0005-0000-0000-0000E70F0000}"/>
    <cellStyle name="20% - Accent5 5 5 4 3" xfId="8806" xr:uid="{00000000-0005-0000-0000-0000E80F0000}"/>
    <cellStyle name="20% - Accent5 5 5 4 3 2" xfId="8807" xr:uid="{00000000-0005-0000-0000-0000E90F0000}"/>
    <cellStyle name="20% - Accent5 5 5 4 4" xfId="8808" xr:uid="{00000000-0005-0000-0000-0000EA0F0000}"/>
    <cellStyle name="20% - Accent5 5 5 5" xfId="8809" xr:uid="{00000000-0005-0000-0000-0000EB0F0000}"/>
    <cellStyle name="20% - Accent5 5 5 5 2" xfId="8810" xr:uid="{00000000-0005-0000-0000-0000EC0F0000}"/>
    <cellStyle name="20% - Accent5 5 5 5 3" xfId="8811" xr:uid="{00000000-0005-0000-0000-0000ED0F0000}"/>
    <cellStyle name="20% - Accent5 5 5 6" xfId="8812" xr:uid="{00000000-0005-0000-0000-0000EE0F0000}"/>
    <cellStyle name="20% - Accent5 5 5 6 2" xfId="8813" xr:uid="{00000000-0005-0000-0000-0000EF0F0000}"/>
    <cellStyle name="20% - Accent5 5 5 6 3" xfId="8814" xr:uid="{00000000-0005-0000-0000-0000F00F0000}"/>
    <cellStyle name="20% - Accent5 5 5 7" xfId="8815" xr:uid="{00000000-0005-0000-0000-0000F10F0000}"/>
    <cellStyle name="20% - Accent5 5 5 7 2" xfId="8816" xr:uid="{00000000-0005-0000-0000-0000F20F0000}"/>
    <cellStyle name="20% - Accent5 5 5 7 3" xfId="8817" xr:uid="{00000000-0005-0000-0000-0000F30F0000}"/>
    <cellStyle name="20% - Accent5 5 5 8" xfId="8818" xr:uid="{00000000-0005-0000-0000-0000F40F0000}"/>
    <cellStyle name="20% - Accent5 5 6" xfId="4727" xr:uid="{00000000-0005-0000-0000-0000F50F0000}"/>
    <cellStyle name="20% - Accent5 5 6 2" xfId="8819" xr:uid="{00000000-0005-0000-0000-0000F60F0000}"/>
    <cellStyle name="20% - Accent5 5 6 2 2" xfId="8820" xr:uid="{00000000-0005-0000-0000-0000F70F0000}"/>
    <cellStyle name="20% - Accent5 5 6 2 2 2" xfId="8821" xr:uid="{00000000-0005-0000-0000-0000F80F0000}"/>
    <cellStyle name="20% - Accent5 5 6 2 3" xfId="8822" xr:uid="{00000000-0005-0000-0000-0000F90F0000}"/>
    <cellStyle name="20% - Accent5 5 6 2 3 2" xfId="8823" xr:uid="{00000000-0005-0000-0000-0000FA0F0000}"/>
    <cellStyle name="20% - Accent5 5 6 2 4" xfId="8824" xr:uid="{00000000-0005-0000-0000-0000FB0F0000}"/>
    <cellStyle name="20% - Accent5 5 6 2 4 2" xfId="8825" xr:uid="{00000000-0005-0000-0000-0000FC0F0000}"/>
    <cellStyle name="20% - Accent5 5 6 2 5" xfId="8826" xr:uid="{00000000-0005-0000-0000-0000FD0F0000}"/>
    <cellStyle name="20% - Accent5 5 6 3" xfId="8827" xr:uid="{00000000-0005-0000-0000-0000FE0F0000}"/>
    <cellStyle name="20% - Accent5 5 6 3 2" xfId="8828" xr:uid="{00000000-0005-0000-0000-0000FF0F0000}"/>
    <cellStyle name="20% - Accent5 5 6 3 2 2" xfId="8829" xr:uid="{00000000-0005-0000-0000-000000100000}"/>
    <cellStyle name="20% - Accent5 5 6 3 3" xfId="8830" xr:uid="{00000000-0005-0000-0000-000001100000}"/>
    <cellStyle name="20% - Accent5 5 6 3 3 2" xfId="8831" xr:uid="{00000000-0005-0000-0000-000002100000}"/>
    <cellStyle name="20% - Accent5 5 6 3 4" xfId="8832" xr:uid="{00000000-0005-0000-0000-000003100000}"/>
    <cellStyle name="20% - Accent5 5 6 4" xfId="8833" xr:uid="{00000000-0005-0000-0000-000004100000}"/>
    <cellStyle name="20% - Accent5 5 6 4 2" xfId="8834" xr:uid="{00000000-0005-0000-0000-000005100000}"/>
    <cellStyle name="20% - Accent5 5 6 5" xfId="8835" xr:uid="{00000000-0005-0000-0000-000006100000}"/>
    <cellStyle name="20% - Accent5 5 6 5 2" xfId="8836" xr:uid="{00000000-0005-0000-0000-000007100000}"/>
    <cellStyle name="20% - Accent5 5 6 6" xfId="8837" xr:uid="{00000000-0005-0000-0000-000008100000}"/>
    <cellStyle name="20% - Accent5 5 6 7" xfId="8838" xr:uid="{00000000-0005-0000-0000-000009100000}"/>
    <cellStyle name="20% - Accent5 5 7" xfId="8839" xr:uid="{00000000-0005-0000-0000-00000A100000}"/>
    <cellStyle name="20% - Accent5 5 7 2" xfId="8840" xr:uid="{00000000-0005-0000-0000-00000B100000}"/>
    <cellStyle name="20% - Accent5 5 7 2 2" xfId="8841" xr:uid="{00000000-0005-0000-0000-00000C100000}"/>
    <cellStyle name="20% - Accent5 5 7 2 2 2" xfId="8842" xr:uid="{00000000-0005-0000-0000-00000D100000}"/>
    <cellStyle name="20% - Accent5 5 7 2 3" xfId="8843" xr:uid="{00000000-0005-0000-0000-00000E100000}"/>
    <cellStyle name="20% - Accent5 5 7 2 3 2" xfId="8844" xr:uid="{00000000-0005-0000-0000-00000F100000}"/>
    <cellStyle name="20% - Accent5 5 7 2 4" xfId="8845" xr:uid="{00000000-0005-0000-0000-000010100000}"/>
    <cellStyle name="20% - Accent5 5 7 3" xfId="8846" xr:uid="{00000000-0005-0000-0000-000011100000}"/>
    <cellStyle name="20% - Accent5 5 7 3 2" xfId="8847" xr:uid="{00000000-0005-0000-0000-000012100000}"/>
    <cellStyle name="20% - Accent5 5 7 4" xfId="8848" xr:uid="{00000000-0005-0000-0000-000013100000}"/>
    <cellStyle name="20% - Accent5 5 8" xfId="8849" xr:uid="{00000000-0005-0000-0000-000014100000}"/>
    <cellStyle name="20% - Accent5 5 8 2" xfId="8850" xr:uid="{00000000-0005-0000-0000-000015100000}"/>
    <cellStyle name="20% - Accent5 5 9" xfId="8851" xr:uid="{00000000-0005-0000-0000-000016100000}"/>
    <cellStyle name="20% - Accent5 6" xfId="4726" xr:uid="{00000000-0005-0000-0000-000017100000}"/>
    <cellStyle name="20% - Accent5 6 10" xfId="8852" xr:uid="{00000000-0005-0000-0000-000018100000}"/>
    <cellStyle name="20% - Accent5 6 2" xfId="4725" xr:uid="{00000000-0005-0000-0000-000019100000}"/>
    <cellStyle name="20% - Accent5 6 2 2" xfId="4724" xr:uid="{00000000-0005-0000-0000-00001A100000}"/>
    <cellStyle name="20% - Accent5 6 2 2 2" xfId="4723" xr:uid="{00000000-0005-0000-0000-00001B100000}"/>
    <cellStyle name="20% - Accent5 6 2 2 3" xfId="4722" xr:uid="{00000000-0005-0000-0000-00001C100000}"/>
    <cellStyle name="20% - Accent5 6 2 3" xfId="4721" xr:uid="{00000000-0005-0000-0000-00001D100000}"/>
    <cellStyle name="20% - Accent5 6 2 4" xfId="4720" xr:uid="{00000000-0005-0000-0000-00001E100000}"/>
    <cellStyle name="20% - Accent5 6 2 5" xfId="8853" xr:uid="{00000000-0005-0000-0000-00001F100000}"/>
    <cellStyle name="20% - Accent5 6 2 5 2" xfId="8854" xr:uid="{00000000-0005-0000-0000-000020100000}"/>
    <cellStyle name="20% - Accent5 6 2 5 2 2" xfId="8855" xr:uid="{00000000-0005-0000-0000-000021100000}"/>
    <cellStyle name="20% - Accent5 6 2 5 3" xfId="8856" xr:uid="{00000000-0005-0000-0000-000022100000}"/>
    <cellStyle name="20% - Accent5 6 2 5 3 2" xfId="8857" xr:uid="{00000000-0005-0000-0000-000023100000}"/>
    <cellStyle name="20% - Accent5 6 2 5 4" xfId="8858" xr:uid="{00000000-0005-0000-0000-000024100000}"/>
    <cellStyle name="20% - Accent5 6 2 5 5" xfId="8859" xr:uid="{00000000-0005-0000-0000-000025100000}"/>
    <cellStyle name="20% - Accent5 6 2 6" xfId="8860" xr:uid="{00000000-0005-0000-0000-000026100000}"/>
    <cellStyle name="20% - Accent5 6 2 6 2" xfId="8861" xr:uid="{00000000-0005-0000-0000-000027100000}"/>
    <cellStyle name="20% - Accent5 6 2 7" xfId="8862" xr:uid="{00000000-0005-0000-0000-000028100000}"/>
    <cellStyle name="20% - Accent5 6 2 7 2" xfId="8863" xr:uid="{00000000-0005-0000-0000-000029100000}"/>
    <cellStyle name="20% - Accent5 6 2 8" xfId="8864" xr:uid="{00000000-0005-0000-0000-00002A100000}"/>
    <cellStyle name="20% - Accent5 6 2 8 2" xfId="8865" xr:uid="{00000000-0005-0000-0000-00002B100000}"/>
    <cellStyle name="20% - Accent5 6 2 9" xfId="8866" xr:uid="{00000000-0005-0000-0000-00002C100000}"/>
    <cellStyle name="20% - Accent5 6 3" xfId="4719" xr:uid="{00000000-0005-0000-0000-00002D100000}"/>
    <cellStyle name="20% - Accent5 6 3 2" xfId="4718" xr:uid="{00000000-0005-0000-0000-00002E100000}"/>
    <cellStyle name="20% - Accent5 6 3 3" xfId="4717" xr:uid="{00000000-0005-0000-0000-00002F100000}"/>
    <cellStyle name="20% - Accent5 6 3 4" xfId="8867" xr:uid="{00000000-0005-0000-0000-000030100000}"/>
    <cellStyle name="20% - Accent5 6 3 4 2" xfId="8868" xr:uid="{00000000-0005-0000-0000-000031100000}"/>
    <cellStyle name="20% - Accent5 6 3 5" xfId="8869" xr:uid="{00000000-0005-0000-0000-000032100000}"/>
    <cellStyle name="20% - Accent5 6 3 5 2" xfId="8870" xr:uid="{00000000-0005-0000-0000-000033100000}"/>
    <cellStyle name="20% - Accent5 6 4" xfId="4716" xr:uid="{00000000-0005-0000-0000-000034100000}"/>
    <cellStyle name="20% - Accent5 6 4 2" xfId="4715" xr:uid="{00000000-0005-0000-0000-000035100000}"/>
    <cellStyle name="20% - Accent5 6 4 2 2" xfId="8871" xr:uid="{00000000-0005-0000-0000-000036100000}"/>
    <cellStyle name="20% - Accent5 6 4 2 2 2" xfId="8872" xr:uid="{00000000-0005-0000-0000-000037100000}"/>
    <cellStyle name="20% - Accent5 6 4 2 2 2 2" xfId="8873" xr:uid="{00000000-0005-0000-0000-000038100000}"/>
    <cellStyle name="20% - Accent5 6 4 2 2 3" xfId="8874" xr:uid="{00000000-0005-0000-0000-000039100000}"/>
    <cellStyle name="20% - Accent5 6 4 2 2 3 2" xfId="8875" xr:uid="{00000000-0005-0000-0000-00003A100000}"/>
    <cellStyle name="20% - Accent5 6 4 2 2 4" xfId="8876" xr:uid="{00000000-0005-0000-0000-00003B100000}"/>
    <cellStyle name="20% - Accent5 6 4 2 2 5" xfId="8877" xr:uid="{00000000-0005-0000-0000-00003C100000}"/>
    <cellStyle name="20% - Accent5 6 4 2 3" xfId="8878" xr:uid="{00000000-0005-0000-0000-00003D100000}"/>
    <cellStyle name="20% - Accent5 6 4 2 3 2" xfId="8879" xr:uid="{00000000-0005-0000-0000-00003E100000}"/>
    <cellStyle name="20% - Accent5 6 4 2 3 2 2" xfId="8880" xr:uid="{00000000-0005-0000-0000-00003F100000}"/>
    <cellStyle name="20% - Accent5 6 4 2 3 3" xfId="8881" xr:uid="{00000000-0005-0000-0000-000040100000}"/>
    <cellStyle name="20% - Accent5 6 4 2 4" xfId="8882" xr:uid="{00000000-0005-0000-0000-000041100000}"/>
    <cellStyle name="20% - Accent5 6 4 2 4 2" xfId="8883" xr:uid="{00000000-0005-0000-0000-000042100000}"/>
    <cellStyle name="20% - Accent5 6 4 2 5" xfId="8884" xr:uid="{00000000-0005-0000-0000-000043100000}"/>
    <cellStyle name="20% - Accent5 6 4 2 5 2" xfId="8885" xr:uid="{00000000-0005-0000-0000-000044100000}"/>
    <cellStyle name="20% - Accent5 6 4 2 6" xfId="8886" xr:uid="{00000000-0005-0000-0000-000045100000}"/>
    <cellStyle name="20% - Accent5 6 4 3" xfId="4714" xr:uid="{00000000-0005-0000-0000-000046100000}"/>
    <cellStyle name="20% - Accent5 6 4 3 2" xfId="8887" xr:uid="{00000000-0005-0000-0000-000047100000}"/>
    <cellStyle name="20% - Accent5 6 4 3 2 2" xfId="8888" xr:uid="{00000000-0005-0000-0000-000048100000}"/>
    <cellStyle name="20% - Accent5 6 4 3 3" xfId="8889" xr:uid="{00000000-0005-0000-0000-000049100000}"/>
    <cellStyle name="20% - Accent5 6 4 3 3 2" xfId="8890" xr:uid="{00000000-0005-0000-0000-00004A100000}"/>
    <cellStyle name="20% - Accent5 6 4 3 4" xfId="8891" xr:uid="{00000000-0005-0000-0000-00004B100000}"/>
    <cellStyle name="20% - Accent5 6 4 4" xfId="8892" xr:uid="{00000000-0005-0000-0000-00004C100000}"/>
    <cellStyle name="20% - Accent5 6 4 4 2" xfId="8893" xr:uid="{00000000-0005-0000-0000-00004D100000}"/>
    <cellStyle name="20% - Accent5 6 4 4 3" xfId="8894" xr:uid="{00000000-0005-0000-0000-00004E100000}"/>
    <cellStyle name="20% - Accent5 6 4 5" xfId="8895" xr:uid="{00000000-0005-0000-0000-00004F100000}"/>
    <cellStyle name="20% - Accent5 6 4 5 2" xfId="8896" xr:uid="{00000000-0005-0000-0000-000050100000}"/>
    <cellStyle name="20% - Accent5 6 4 5 3" xfId="8897" xr:uid="{00000000-0005-0000-0000-000051100000}"/>
    <cellStyle name="20% - Accent5 6 4 6" xfId="8898" xr:uid="{00000000-0005-0000-0000-000052100000}"/>
    <cellStyle name="20% - Accent5 6 4 6 2" xfId="8899" xr:uid="{00000000-0005-0000-0000-000053100000}"/>
    <cellStyle name="20% - Accent5 6 4 6 3" xfId="8900" xr:uid="{00000000-0005-0000-0000-000054100000}"/>
    <cellStyle name="20% - Accent5 6 4 7" xfId="8901" xr:uid="{00000000-0005-0000-0000-000055100000}"/>
    <cellStyle name="20% - Accent5 6 4 8" xfId="8902" xr:uid="{00000000-0005-0000-0000-000056100000}"/>
    <cellStyle name="20% - Accent5 6 5" xfId="4713" xr:uid="{00000000-0005-0000-0000-000057100000}"/>
    <cellStyle name="20% - Accent5 6 5 2" xfId="8903" xr:uid="{00000000-0005-0000-0000-000058100000}"/>
    <cellStyle name="20% - Accent5 6 5 2 2" xfId="8904" xr:uid="{00000000-0005-0000-0000-000059100000}"/>
    <cellStyle name="20% - Accent5 6 5 2 2 2" xfId="8905" xr:uid="{00000000-0005-0000-0000-00005A100000}"/>
    <cellStyle name="20% - Accent5 6 5 2 3" xfId="8906" xr:uid="{00000000-0005-0000-0000-00005B100000}"/>
    <cellStyle name="20% - Accent5 6 5 2 3 2" xfId="8907" xr:uid="{00000000-0005-0000-0000-00005C100000}"/>
    <cellStyle name="20% - Accent5 6 5 2 4" xfId="8908" xr:uid="{00000000-0005-0000-0000-00005D100000}"/>
    <cellStyle name="20% - Accent5 6 5 3" xfId="8909" xr:uid="{00000000-0005-0000-0000-00005E100000}"/>
    <cellStyle name="20% - Accent5 6 5 3 2" xfId="8910" xr:uid="{00000000-0005-0000-0000-00005F100000}"/>
    <cellStyle name="20% - Accent5 6 5 3 3" xfId="8911" xr:uid="{00000000-0005-0000-0000-000060100000}"/>
    <cellStyle name="20% - Accent5 6 5 4" xfId="8912" xr:uid="{00000000-0005-0000-0000-000061100000}"/>
    <cellStyle name="20% - Accent5 6 5 4 2" xfId="8913" xr:uid="{00000000-0005-0000-0000-000062100000}"/>
    <cellStyle name="20% - Accent5 6 5 4 3" xfId="8914" xr:uid="{00000000-0005-0000-0000-000063100000}"/>
    <cellStyle name="20% - Accent5 6 5 5" xfId="8915" xr:uid="{00000000-0005-0000-0000-000064100000}"/>
    <cellStyle name="20% - Accent5 6 5 5 2" xfId="8916" xr:uid="{00000000-0005-0000-0000-000065100000}"/>
    <cellStyle name="20% - Accent5 6 5 5 3" xfId="8917" xr:uid="{00000000-0005-0000-0000-000066100000}"/>
    <cellStyle name="20% - Accent5 6 5 6" xfId="8918" xr:uid="{00000000-0005-0000-0000-000067100000}"/>
    <cellStyle name="20% - Accent5 6 6" xfId="4712" xr:uid="{00000000-0005-0000-0000-000068100000}"/>
    <cellStyle name="20% - Accent5 6 7" xfId="8919" xr:uid="{00000000-0005-0000-0000-000069100000}"/>
    <cellStyle name="20% - Accent5 6 7 2" xfId="8920" xr:uid="{00000000-0005-0000-0000-00006A100000}"/>
    <cellStyle name="20% - Accent5 6 7 2 2" xfId="8921" xr:uid="{00000000-0005-0000-0000-00006B100000}"/>
    <cellStyle name="20% - Accent5 6 7 3" xfId="8922" xr:uid="{00000000-0005-0000-0000-00006C100000}"/>
    <cellStyle name="20% - Accent5 6 7 3 2" xfId="8923" xr:uid="{00000000-0005-0000-0000-00006D100000}"/>
    <cellStyle name="20% - Accent5 6 7 4" xfId="8924" xr:uid="{00000000-0005-0000-0000-00006E100000}"/>
    <cellStyle name="20% - Accent5 6 7 5" xfId="8925" xr:uid="{00000000-0005-0000-0000-00006F100000}"/>
    <cellStyle name="20% - Accent5 6 8" xfId="8926" xr:uid="{00000000-0005-0000-0000-000070100000}"/>
    <cellStyle name="20% - Accent5 6 8 2" xfId="8927" xr:uid="{00000000-0005-0000-0000-000071100000}"/>
    <cellStyle name="20% - Accent5 6 8 2 2" xfId="8928" xr:uid="{00000000-0005-0000-0000-000072100000}"/>
    <cellStyle name="20% - Accent5 6 8 3" xfId="8929" xr:uid="{00000000-0005-0000-0000-000073100000}"/>
    <cellStyle name="20% - Accent5 6 9" xfId="8930" xr:uid="{00000000-0005-0000-0000-000074100000}"/>
    <cellStyle name="20% - Accent5 6 9 2" xfId="8931" xr:uid="{00000000-0005-0000-0000-000075100000}"/>
    <cellStyle name="20% - Accent5 7" xfId="4711" xr:uid="{00000000-0005-0000-0000-000076100000}"/>
    <cellStyle name="20% - Accent5 7 2" xfId="4710" xr:uid="{00000000-0005-0000-0000-000077100000}"/>
    <cellStyle name="20% - Accent5 7 2 2" xfId="4709" xr:uid="{00000000-0005-0000-0000-000078100000}"/>
    <cellStyle name="20% - Accent5 7 2 2 2" xfId="4708" xr:uid="{00000000-0005-0000-0000-000079100000}"/>
    <cellStyle name="20% - Accent5 7 2 2 2 2" xfId="8932" xr:uid="{00000000-0005-0000-0000-00007A100000}"/>
    <cellStyle name="20% - Accent5 7 2 2 3" xfId="4707" xr:uid="{00000000-0005-0000-0000-00007B100000}"/>
    <cellStyle name="20% - Accent5 7 2 2 3 2" xfId="8933" xr:uid="{00000000-0005-0000-0000-00007C100000}"/>
    <cellStyle name="20% - Accent5 7 2 2 4" xfId="8934" xr:uid="{00000000-0005-0000-0000-00007D100000}"/>
    <cellStyle name="20% - Accent5 7 2 3" xfId="4706" xr:uid="{00000000-0005-0000-0000-00007E100000}"/>
    <cellStyle name="20% - Accent5 7 2 3 2" xfId="8935" xr:uid="{00000000-0005-0000-0000-00007F100000}"/>
    <cellStyle name="20% - Accent5 7 2 3 2 2" xfId="8936" xr:uid="{00000000-0005-0000-0000-000080100000}"/>
    <cellStyle name="20% - Accent5 7 2 3 3" xfId="8937" xr:uid="{00000000-0005-0000-0000-000081100000}"/>
    <cellStyle name="20% - Accent5 7 2 4" xfId="4705" xr:uid="{00000000-0005-0000-0000-000082100000}"/>
    <cellStyle name="20% - Accent5 7 2 4 2" xfId="8938" xr:uid="{00000000-0005-0000-0000-000083100000}"/>
    <cellStyle name="20% - Accent5 7 2 4 2 2" xfId="8939" xr:uid="{00000000-0005-0000-0000-000084100000}"/>
    <cellStyle name="20% - Accent5 7 2 4 3" xfId="8940" xr:uid="{00000000-0005-0000-0000-000085100000}"/>
    <cellStyle name="20% - Accent5 7 2 4 3 2" xfId="8941" xr:uid="{00000000-0005-0000-0000-000086100000}"/>
    <cellStyle name="20% - Accent5 7 2 4 4" xfId="8942" xr:uid="{00000000-0005-0000-0000-000087100000}"/>
    <cellStyle name="20% - Accent5 7 2 5" xfId="8943" xr:uid="{00000000-0005-0000-0000-000088100000}"/>
    <cellStyle name="20% - Accent5 7 2 5 2" xfId="8944" xr:uid="{00000000-0005-0000-0000-000089100000}"/>
    <cellStyle name="20% - Accent5 7 2 5 2 2" xfId="8945" xr:uid="{00000000-0005-0000-0000-00008A100000}"/>
    <cellStyle name="20% - Accent5 7 2 6" xfId="8946" xr:uid="{00000000-0005-0000-0000-00008B100000}"/>
    <cellStyle name="20% - Accent5 7 3" xfId="4704" xr:uid="{00000000-0005-0000-0000-00008C100000}"/>
    <cellStyle name="20% - Accent5 7 3 2" xfId="4703" xr:uid="{00000000-0005-0000-0000-00008D100000}"/>
    <cellStyle name="20% - Accent5 7 3 2 2" xfId="8947" xr:uid="{00000000-0005-0000-0000-00008E100000}"/>
    <cellStyle name="20% - Accent5 7 3 2 2 2" xfId="8948" xr:uid="{00000000-0005-0000-0000-00008F100000}"/>
    <cellStyle name="20% - Accent5 7 3 2 3" xfId="8949" xr:uid="{00000000-0005-0000-0000-000090100000}"/>
    <cellStyle name="20% - Accent5 7 3 2 3 2" xfId="8950" xr:uid="{00000000-0005-0000-0000-000091100000}"/>
    <cellStyle name="20% - Accent5 7 3 2 4" xfId="8951" xr:uid="{00000000-0005-0000-0000-000092100000}"/>
    <cellStyle name="20% - Accent5 7 3 3" xfId="4702" xr:uid="{00000000-0005-0000-0000-000093100000}"/>
    <cellStyle name="20% - Accent5 7 3 3 2" xfId="8952" xr:uid="{00000000-0005-0000-0000-000094100000}"/>
    <cellStyle name="20% - Accent5 7 3 3 2 2" xfId="8953" xr:uid="{00000000-0005-0000-0000-000095100000}"/>
    <cellStyle name="20% - Accent5 7 3 3 3" xfId="8954" xr:uid="{00000000-0005-0000-0000-000096100000}"/>
    <cellStyle name="20% - Accent5 7 3 3 3 2" xfId="8955" xr:uid="{00000000-0005-0000-0000-000097100000}"/>
    <cellStyle name="20% - Accent5 7 3 3 4" xfId="8956" xr:uid="{00000000-0005-0000-0000-000098100000}"/>
    <cellStyle name="20% - Accent5 7 3 4" xfId="8957" xr:uid="{00000000-0005-0000-0000-000099100000}"/>
    <cellStyle name="20% - Accent5 7 4" xfId="4701" xr:uid="{00000000-0005-0000-0000-00009A100000}"/>
    <cellStyle name="20% - Accent5 7 4 2" xfId="4700" xr:uid="{00000000-0005-0000-0000-00009B100000}"/>
    <cellStyle name="20% - Accent5 7 4 2 2" xfId="8958" xr:uid="{00000000-0005-0000-0000-00009C100000}"/>
    <cellStyle name="20% - Accent5 7 4 3" xfId="4699" xr:uid="{00000000-0005-0000-0000-00009D100000}"/>
    <cellStyle name="20% - Accent5 7 4 3 2" xfId="8959" xr:uid="{00000000-0005-0000-0000-00009E100000}"/>
    <cellStyle name="20% - Accent5 7 4 4" xfId="8960" xr:uid="{00000000-0005-0000-0000-00009F100000}"/>
    <cellStyle name="20% - Accent5 7 4 4 2" xfId="8961" xr:uid="{00000000-0005-0000-0000-0000A0100000}"/>
    <cellStyle name="20% - Accent5 7 4 5" xfId="8962" xr:uid="{00000000-0005-0000-0000-0000A1100000}"/>
    <cellStyle name="20% - Accent5 7 5" xfId="4698" xr:uid="{00000000-0005-0000-0000-0000A2100000}"/>
    <cellStyle name="20% - Accent5 7 5 2" xfId="8963" xr:uid="{00000000-0005-0000-0000-0000A3100000}"/>
    <cellStyle name="20% - Accent5 7 5 2 2" xfId="8964" xr:uid="{00000000-0005-0000-0000-0000A4100000}"/>
    <cellStyle name="20% - Accent5 7 5 2 2 2" xfId="8965" xr:uid="{00000000-0005-0000-0000-0000A5100000}"/>
    <cellStyle name="20% - Accent5 7 5 3" xfId="8966" xr:uid="{00000000-0005-0000-0000-0000A6100000}"/>
    <cellStyle name="20% - Accent5 7 5 3 2" xfId="8967" xr:uid="{00000000-0005-0000-0000-0000A7100000}"/>
    <cellStyle name="20% - Accent5 7 5 4" xfId="8968" xr:uid="{00000000-0005-0000-0000-0000A8100000}"/>
    <cellStyle name="20% - Accent5 7 6" xfId="4697" xr:uid="{00000000-0005-0000-0000-0000A9100000}"/>
    <cellStyle name="20% - Accent5 7 6 2" xfId="8969" xr:uid="{00000000-0005-0000-0000-0000AA100000}"/>
    <cellStyle name="20% - Accent5 7 7" xfId="8970" xr:uid="{00000000-0005-0000-0000-0000AB100000}"/>
    <cellStyle name="20% - Accent5 7 7 2" xfId="8971" xr:uid="{00000000-0005-0000-0000-0000AC100000}"/>
    <cellStyle name="20% - Accent5 7 8" xfId="8972" xr:uid="{00000000-0005-0000-0000-0000AD100000}"/>
    <cellStyle name="20% - Accent5 7 8 2" xfId="8973" xr:uid="{00000000-0005-0000-0000-0000AE100000}"/>
    <cellStyle name="20% - Accent5 7 9" xfId="8974" xr:uid="{00000000-0005-0000-0000-0000AF100000}"/>
    <cellStyle name="20% - Accent5 8" xfId="4696" xr:uid="{00000000-0005-0000-0000-0000B0100000}"/>
    <cellStyle name="20% - Accent5 8 2" xfId="4695" xr:uid="{00000000-0005-0000-0000-0000B1100000}"/>
    <cellStyle name="20% - Accent5 8 2 2" xfId="4694" xr:uid="{00000000-0005-0000-0000-0000B2100000}"/>
    <cellStyle name="20% - Accent5 8 2 2 2" xfId="4693" xr:uid="{00000000-0005-0000-0000-0000B3100000}"/>
    <cellStyle name="20% - Accent5 8 2 2 2 2" xfId="8975" xr:uid="{00000000-0005-0000-0000-0000B4100000}"/>
    <cellStyle name="20% - Accent5 8 2 2 3" xfId="4692" xr:uid="{00000000-0005-0000-0000-0000B5100000}"/>
    <cellStyle name="20% - Accent5 8 2 2 3 2" xfId="8976" xr:uid="{00000000-0005-0000-0000-0000B6100000}"/>
    <cellStyle name="20% - Accent5 8 2 2 4" xfId="8977" xr:uid="{00000000-0005-0000-0000-0000B7100000}"/>
    <cellStyle name="20% - Accent5 8 2 3" xfId="4691" xr:uid="{00000000-0005-0000-0000-0000B8100000}"/>
    <cellStyle name="20% - Accent5 8 2 3 2" xfId="8978" xr:uid="{00000000-0005-0000-0000-0000B9100000}"/>
    <cellStyle name="20% - Accent5 8 2 3 2 2" xfId="8979" xr:uid="{00000000-0005-0000-0000-0000BA100000}"/>
    <cellStyle name="20% - Accent5 8 2 3 3" xfId="8980" xr:uid="{00000000-0005-0000-0000-0000BB100000}"/>
    <cellStyle name="20% - Accent5 8 2 4" xfId="4690" xr:uid="{00000000-0005-0000-0000-0000BC100000}"/>
    <cellStyle name="20% - Accent5 8 2 4 2" xfId="8981" xr:uid="{00000000-0005-0000-0000-0000BD100000}"/>
    <cellStyle name="20% - Accent5 8 2 4 2 2" xfId="8982" xr:uid="{00000000-0005-0000-0000-0000BE100000}"/>
    <cellStyle name="20% - Accent5 8 2 4 3" xfId="8983" xr:uid="{00000000-0005-0000-0000-0000BF100000}"/>
    <cellStyle name="20% - Accent5 8 2 4 3 2" xfId="8984" xr:uid="{00000000-0005-0000-0000-0000C0100000}"/>
    <cellStyle name="20% - Accent5 8 2 4 4" xfId="8985" xr:uid="{00000000-0005-0000-0000-0000C1100000}"/>
    <cellStyle name="20% - Accent5 8 2 5" xfId="8986" xr:uid="{00000000-0005-0000-0000-0000C2100000}"/>
    <cellStyle name="20% - Accent5 8 2 5 2" xfId="8987" xr:uid="{00000000-0005-0000-0000-0000C3100000}"/>
    <cellStyle name="20% - Accent5 8 2 6" xfId="8988" xr:uid="{00000000-0005-0000-0000-0000C4100000}"/>
    <cellStyle name="20% - Accent5 8 3" xfId="4689" xr:uid="{00000000-0005-0000-0000-0000C5100000}"/>
    <cellStyle name="20% - Accent5 8 3 2" xfId="4688" xr:uid="{00000000-0005-0000-0000-0000C6100000}"/>
    <cellStyle name="20% - Accent5 8 3 2 2" xfId="8989" xr:uid="{00000000-0005-0000-0000-0000C7100000}"/>
    <cellStyle name="20% - Accent5 8 3 2 2 2" xfId="8990" xr:uid="{00000000-0005-0000-0000-0000C8100000}"/>
    <cellStyle name="20% - Accent5 8 3 2 3" xfId="8991" xr:uid="{00000000-0005-0000-0000-0000C9100000}"/>
    <cellStyle name="20% - Accent5 8 3 2 3 2" xfId="8992" xr:uid="{00000000-0005-0000-0000-0000CA100000}"/>
    <cellStyle name="20% - Accent5 8 3 2 4" xfId="8993" xr:uid="{00000000-0005-0000-0000-0000CB100000}"/>
    <cellStyle name="20% - Accent5 8 3 3" xfId="4687" xr:uid="{00000000-0005-0000-0000-0000CC100000}"/>
    <cellStyle name="20% - Accent5 8 3 3 2" xfId="8994" xr:uid="{00000000-0005-0000-0000-0000CD100000}"/>
    <cellStyle name="20% - Accent5 8 3 3 2 2" xfId="8995" xr:uid="{00000000-0005-0000-0000-0000CE100000}"/>
    <cellStyle name="20% - Accent5 8 3 3 3" xfId="8996" xr:uid="{00000000-0005-0000-0000-0000CF100000}"/>
    <cellStyle name="20% - Accent5 8 3 3 3 2" xfId="8997" xr:uid="{00000000-0005-0000-0000-0000D0100000}"/>
    <cellStyle name="20% - Accent5 8 3 3 4" xfId="8998" xr:uid="{00000000-0005-0000-0000-0000D1100000}"/>
    <cellStyle name="20% - Accent5 8 3 4" xfId="8999" xr:uid="{00000000-0005-0000-0000-0000D2100000}"/>
    <cellStyle name="20% - Accent5 8 3 4 2" xfId="9000" xr:uid="{00000000-0005-0000-0000-0000D3100000}"/>
    <cellStyle name="20% - Accent5 8 3 5" xfId="9001" xr:uid="{00000000-0005-0000-0000-0000D4100000}"/>
    <cellStyle name="20% - Accent5 8 3 5 2" xfId="9002" xr:uid="{00000000-0005-0000-0000-0000D5100000}"/>
    <cellStyle name="20% - Accent5 8 3 6" xfId="9003" xr:uid="{00000000-0005-0000-0000-0000D6100000}"/>
    <cellStyle name="20% - Accent5 8 4" xfId="4686" xr:uid="{00000000-0005-0000-0000-0000D7100000}"/>
    <cellStyle name="20% - Accent5 8 4 2" xfId="4685" xr:uid="{00000000-0005-0000-0000-0000D8100000}"/>
    <cellStyle name="20% - Accent5 8 4 2 2" xfId="9004" xr:uid="{00000000-0005-0000-0000-0000D9100000}"/>
    <cellStyle name="20% - Accent5 8 4 3" xfId="4684" xr:uid="{00000000-0005-0000-0000-0000DA100000}"/>
    <cellStyle name="20% - Accent5 8 5" xfId="4683" xr:uid="{00000000-0005-0000-0000-0000DB100000}"/>
    <cellStyle name="20% - Accent5 8 5 2" xfId="9005" xr:uid="{00000000-0005-0000-0000-0000DC100000}"/>
    <cellStyle name="20% - Accent5 8 6" xfId="4682" xr:uid="{00000000-0005-0000-0000-0000DD100000}"/>
    <cellStyle name="20% - Accent5 8 6 2" xfId="9006" xr:uid="{00000000-0005-0000-0000-0000DE100000}"/>
    <cellStyle name="20% - Accent5 8 7" xfId="9007" xr:uid="{00000000-0005-0000-0000-0000DF100000}"/>
    <cellStyle name="20% - Accent5 9" xfId="4681" xr:uid="{00000000-0005-0000-0000-0000E0100000}"/>
    <cellStyle name="20% - Accent5 9 2" xfId="4680" xr:uid="{00000000-0005-0000-0000-0000E1100000}"/>
    <cellStyle name="20% - Accent5 9 2 2" xfId="4679" xr:uid="{00000000-0005-0000-0000-0000E2100000}"/>
    <cellStyle name="20% - Accent5 9 2 2 2" xfId="4678" xr:uid="{00000000-0005-0000-0000-0000E3100000}"/>
    <cellStyle name="20% - Accent5 9 2 2 3" xfId="4677" xr:uid="{00000000-0005-0000-0000-0000E4100000}"/>
    <cellStyle name="20% - Accent5 9 2 3" xfId="4676" xr:uid="{00000000-0005-0000-0000-0000E5100000}"/>
    <cellStyle name="20% - Accent5 9 2 3 2" xfId="9008" xr:uid="{00000000-0005-0000-0000-0000E6100000}"/>
    <cellStyle name="20% - Accent5 9 2 4" xfId="4675" xr:uid="{00000000-0005-0000-0000-0000E7100000}"/>
    <cellStyle name="20% - Accent5 9 2 4 2" xfId="9009" xr:uid="{00000000-0005-0000-0000-0000E8100000}"/>
    <cellStyle name="20% - Accent5 9 2 5" xfId="9010" xr:uid="{00000000-0005-0000-0000-0000E9100000}"/>
    <cellStyle name="20% - Accent5 9 3" xfId="4674" xr:uid="{00000000-0005-0000-0000-0000EA100000}"/>
    <cellStyle name="20% - Accent5 9 3 2" xfId="4673" xr:uid="{00000000-0005-0000-0000-0000EB100000}"/>
    <cellStyle name="20% - Accent5 9 3 2 2" xfId="9011" xr:uid="{00000000-0005-0000-0000-0000EC100000}"/>
    <cellStyle name="20% - Accent5 9 3 3" xfId="4672" xr:uid="{00000000-0005-0000-0000-0000ED100000}"/>
    <cellStyle name="20% - Accent5 9 3 3 2" xfId="9012" xr:uid="{00000000-0005-0000-0000-0000EE100000}"/>
    <cellStyle name="20% - Accent5 9 3 4" xfId="9013" xr:uid="{00000000-0005-0000-0000-0000EF100000}"/>
    <cellStyle name="20% - Accent5 9 4" xfId="4671" xr:uid="{00000000-0005-0000-0000-0000F0100000}"/>
    <cellStyle name="20% - Accent5 9 4 2" xfId="4670" xr:uid="{00000000-0005-0000-0000-0000F1100000}"/>
    <cellStyle name="20% - Accent5 9 4 2 2" xfId="9014" xr:uid="{00000000-0005-0000-0000-0000F2100000}"/>
    <cellStyle name="20% - Accent5 9 4 3" xfId="4669" xr:uid="{00000000-0005-0000-0000-0000F3100000}"/>
    <cellStyle name="20% - Accent5 9 5" xfId="4668" xr:uid="{00000000-0005-0000-0000-0000F4100000}"/>
    <cellStyle name="20% - Accent5 9 5 2" xfId="9015" xr:uid="{00000000-0005-0000-0000-0000F5100000}"/>
    <cellStyle name="20% - Accent5 9 6" xfId="4667" xr:uid="{00000000-0005-0000-0000-0000F6100000}"/>
    <cellStyle name="20% - Accent5 9 7" xfId="9016" xr:uid="{00000000-0005-0000-0000-0000F7100000}"/>
    <cellStyle name="20% - Accent6 10" xfId="4666" xr:uid="{00000000-0005-0000-0000-0000F8100000}"/>
    <cellStyle name="20% - Accent6 10 2" xfId="4665" xr:uid="{00000000-0005-0000-0000-0000F9100000}"/>
    <cellStyle name="20% - Accent6 10 2 2" xfId="4664" xr:uid="{00000000-0005-0000-0000-0000FA100000}"/>
    <cellStyle name="20% - Accent6 10 2 2 2" xfId="4663" xr:uid="{00000000-0005-0000-0000-0000FB100000}"/>
    <cellStyle name="20% - Accent6 10 2 2 3" xfId="4662" xr:uid="{00000000-0005-0000-0000-0000FC100000}"/>
    <cellStyle name="20% - Accent6 10 2 3" xfId="4661" xr:uid="{00000000-0005-0000-0000-0000FD100000}"/>
    <cellStyle name="20% - Accent6 10 2 3 2" xfId="9017" xr:uid="{00000000-0005-0000-0000-0000FE100000}"/>
    <cellStyle name="20% - Accent6 10 2 4" xfId="4660" xr:uid="{00000000-0005-0000-0000-0000FF100000}"/>
    <cellStyle name="20% - Accent6 10 2 4 2" xfId="9018" xr:uid="{00000000-0005-0000-0000-000000110000}"/>
    <cellStyle name="20% - Accent6 10 2 5" xfId="9019" xr:uid="{00000000-0005-0000-0000-000001110000}"/>
    <cellStyle name="20% - Accent6 10 3" xfId="4659" xr:uid="{00000000-0005-0000-0000-000002110000}"/>
    <cellStyle name="20% - Accent6 10 3 2" xfId="4658" xr:uid="{00000000-0005-0000-0000-000003110000}"/>
    <cellStyle name="20% - Accent6 10 3 2 2" xfId="9020" xr:uid="{00000000-0005-0000-0000-000004110000}"/>
    <cellStyle name="20% - Accent6 10 3 3" xfId="4657" xr:uid="{00000000-0005-0000-0000-000005110000}"/>
    <cellStyle name="20% - Accent6 10 4" xfId="4656" xr:uid="{00000000-0005-0000-0000-000006110000}"/>
    <cellStyle name="20% - Accent6 10 4 2" xfId="4655" xr:uid="{00000000-0005-0000-0000-000007110000}"/>
    <cellStyle name="20% - Accent6 10 4 3" xfId="4654" xr:uid="{00000000-0005-0000-0000-000008110000}"/>
    <cellStyle name="20% - Accent6 10 5" xfId="4653" xr:uid="{00000000-0005-0000-0000-000009110000}"/>
    <cellStyle name="20% - Accent6 10 5 2" xfId="9021" xr:uid="{00000000-0005-0000-0000-00000A110000}"/>
    <cellStyle name="20% - Accent6 10 6" xfId="4652" xr:uid="{00000000-0005-0000-0000-00000B110000}"/>
    <cellStyle name="20% - Accent6 10 7" xfId="9022" xr:uid="{00000000-0005-0000-0000-00000C110000}"/>
    <cellStyle name="20% - Accent6 11" xfId="4651" xr:uid="{00000000-0005-0000-0000-00000D110000}"/>
    <cellStyle name="20% - Accent6 11 2" xfId="4650" xr:uid="{00000000-0005-0000-0000-00000E110000}"/>
    <cellStyle name="20% - Accent6 11 2 2" xfId="4649" xr:uid="{00000000-0005-0000-0000-00000F110000}"/>
    <cellStyle name="20% - Accent6 11 2 2 2" xfId="4648" xr:uid="{00000000-0005-0000-0000-000010110000}"/>
    <cellStyle name="20% - Accent6 11 2 2 3" xfId="4647" xr:uid="{00000000-0005-0000-0000-000011110000}"/>
    <cellStyle name="20% - Accent6 11 2 3" xfId="4646" xr:uid="{00000000-0005-0000-0000-000012110000}"/>
    <cellStyle name="20% - Accent6 11 2 4" xfId="4645" xr:uid="{00000000-0005-0000-0000-000013110000}"/>
    <cellStyle name="20% - Accent6 11 3" xfId="4644" xr:uid="{00000000-0005-0000-0000-000014110000}"/>
    <cellStyle name="20% - Accent6 11 3 2" xfId="4643" xr:uid="{00000000-0005-0000-0000-000015110000}"/>
    <cellStyle name="20% - Accent6 11 3 3" xfId="4642" xr:uid="{00000000-0005-0000-0000-000016110000}"/>
    <cellStyle name="20% - Accent6 11 4" xfId="4641" xr:uid="{00000000-0005-0000-0000-000017110000}"/>
    <cellStyle name="20% - Accent6 11 4 2" xfId="4640" xr:uid="{00000000-0005-0000-0000-000018110000}"/>
    <cellStyle name="20% - Accent6 11 4 3" xfId="4639" xr:uid="{00000000-0005-0000-0000-000019110000}"/>
    <cellStyle name="20% - Accent6 11 5" xfId="4638" xr:uid="{00000000-0005-0000-0000-00001A110000}"/>
    <cellStyle name="20% - Accent6 11 6" xfId="4637" xr:uid="{00000000-0005-0000-0000-00001B110000}"/>
    <cellStyle name="20% - Accent6 12" xfId="4636" xr:uid="{00000000-0005-0000-0000-00001C110000}"/>
    <cellStyle name="20% - Accent6 12 2" xfId="4635" xr:uid="{00000000-0005-0000-0000-00001D110000}"/>
    <cellStyle name="20% - Accent6 12 2 2" xfId="4634" xr:uid="{00000000-0005-0000-0000-00001E110000}"/>
    <cellStyle name="20% - Accent6 12 2 2 2" xfId="4633" xr:uid="{00000000-0005-0000-0000-00001F110000}"/>
    <cellStyle name="20% - Accent6 12 2 2 3" xfId="4632" xr:uid="{00000000-0005-0000-0000-000020110000}"/>
    <cellStyle name="20% - Accent6 12 2 3" xfId="4631" xr:uid="{00000000-0005-0000-0000-000021110000}"/>
    <cellStyle name="20% - Accent6 12 2 4" xfId="4630" xr:uid="{00000000-0005-0000-0000-000022110000}"/>
    <cellStyle name="20% - Accent6 12 3" xfId="4629" xr:uid="{00000000-0005-0000-0000-000023110000}"/>
    <cellStyle name="20% - Accent6 12 3 2" xfId="4628" xr:uid="{00000000-0005-0000-0000-000024110000}"/>
    <cellStyle name="20% - Accent6 12 3 3" xfId="4627" xr:uid="{00000000-0005-0000-0000-000025110000}"/>
    <cellStyle name="20% - Accent6 12 4" xfId="4626" xr:uid="{00000000-0005-0000-0000-000026110000}"/>
    <cellStyle name="20% - Accent6 12 4 2" xfId="4625" xr:uid="{00000000-0005-0000-0000-000027110000}"/>
    <cellStyle name="20% - Accent6 12 4 3" xfId="4624" xr:uid="{00000000-0005-0000-0000-000028110000}"/>
    <cellStyle name="20% - Accent6 12 5" xfId="4623" xr:uid="{00000000-0005-0000-0000-000029110000}"/>
    <cellStyle name="20% - Accent6 12 6" xfId="4622" xr:uid="{00000000-0005-0000-0000-00002A110000}"/>
    <cellStyle name="20% - Accent6 13" xfId="4621" xr:uid="{00000000-0005-0000-0000-00002B110000}"/>
    <cellStyle name="20% - Accent6 13 2" xfId="4620" xr:uid="{00000000-0005-0000-0000-00002C110000}"/>
    <cellStyle name="20% - Accent6 13 2 2" xfId="4619" xr:uid="{00000000-0005-0000-0000-00002D110000}"/>
    <cellStyle name="20% - Accent6 13 2 2 2" xfId="4618" xr:uid="{00000000-0005-0000-0000-00002E110000}"/>
    <cellStyle name="20% - Accent6 13 2 2 3" xfId="4617" xr:uid="{00000000-0005-0000-0000-00002F110000}"/>
    <cellStyle name="20% - Accent6 13 2 3" xfId="4616" xr:uid="{00000000-0005-0000-0000-000030110000}"/>
    <cellStyle name="20% - Accent6 13 2 4" xfId="4615" xr:uid="{00000000-0005-0000-0000-000031110000}"/>
    <cellStyle name="20% - Accent6 13 3" xfId="4614" xr:uid="{00000000-0005-0000-0000-000032110000}"/>
    <cellStyle name="20% - Accent6 13 3 2" xfId="4613" xr:uid="{00000000-0005-0000-0000-000033110000}"/>
    <cellStyle name="20% - Accent6 13 3 3" xfId="4612" xr:uid="{00000000-0005-0000-0000-000034110000}"/>
    <cellStyle name="20% - Accent6 13 4" xfId="4611" xr:uid="{00000000-0005-0000-0000-000035110000}"/>
    <cellStyle name="20% - Accent6 13 4 2" xfId="4610" xr:uid="{00000000-0005-0000-0000-000036110000}"/>
    <cellStyle name="20% - Accent6 13 4 3" xfId="4609" xr:uid="{00000000-0005-0000-0000-000037110000}"/>
    <cellStyle name="20% - Accent6 13 5" xfId="4608" xr:uid="{00000000-0005-0000-0000-000038110000}"/>
    <cellStyle name="20% - Accent6 13 6" xfId="4607" xr:uid="{00000000-0005-0000-0000-000039110000}"/>
    <cellStyle name="20% - Accent6 14" xfId="4606" xr:uid="{00000000-0005-0000-0000-00003A110000}"/>
    <cellStyle name="20% - Accent6 14 2" xfId="4605" xr:uid="{00000000-0005-0000-0000-00003B110000}"/>
    <cellStyle name="20% - Accent6 14 2 2" xfId="4604" xr:uid="{00000000-0005-0000-0000-00003C110000}"/>
    <cellStyle name="20% - Accent6 14 2 2 2" xfId="4603" xr:uid="{00000000-0005-0000-0000-00003D110000}"/>
    <cellStyle name="20% - Accent6 14 2 2 3" xfId="4602" xr:uid="{00000000-0005-0000-0000-00003E110000}"/>
    <cellStyle name="20% - Accent6 14 2 3" xfId="4601" xr:uid="{00000000-0005-0000-0000-00003F110000}"/>
    <cellStyle name="20% - Accent6 14 2 4" xfId="4600" xr:uid="{00000000-0005-0000-0000-000040110000}"/>
    <cellStyle name="20% - Accent6 14 3" xfId="4599" xr:uid="{00000000-0005-0000-0000-000041110000}"/>
    <cellStyle name="20% - Accent6 14 3 2" xfId="4598" xr:uid="{00000000-0005-0000-0000-000042110000}"/>
    <cellStyle name="20% - Accent6 14 3 3" xfId="4597" xr:uid="{00000000-0005-0000-0000-000043110000}"/>
    <cellStyle name="20% - Accent6 14 4" xfId="4596" xr:uid="{00000000-0005-0000-0000-000044110000}"/>
    <cellStyle name="20% - Accent6 14 4 2" xfId="4595" xr:uid="{00000000-0005-0000-0000-000045110000}"/>
    <cellStyle name="20% - Accent6 14 4 3" xfId="4594" xr:uid="{00000000-0005-0000-0000-000046110000}"/>
    <cellStyle name="20% - Accent6 14 5" xfId="4593" xr:uid="{00000000-0005-0000-0000-000047110000}"/>
    <cellStyle name="20% - Accent6 14 6" xfId="4592" xr:uid="{00000000-0005-0000-0000-000048110000}"/>
    <cellStyle name="20% - Accent6 15" xfId="4591" xr:uid="{00000000-0005-0000-0000-000049110000}"/>
    <cellStyle name="20% - Accent6 15 2" xfId="4590" xr:uid="{00000000-0005-0000-0000-00004A110000}"/>
    <cellStyle name="20% - Accent6 15 2 2" xfId="4589" xr:uid="{00000000-0005-0000-0000-00004B110000}"/>
    <cellStyle name="20% - Accent6 15 2 2 2" xfId="4588" xr:uid="{00000000-0005-0000-0000-00004C110000}"/>
    <cellStyle name="20% - Accent6 15 2 2 3" xfId="4587" xr:uid="{00000000-0005-0000-0000-00004D110000}"/>
    <cellStyle name="20% - Accent6 15 2 3" xfId="4586" xr:uid="{00000000-0005-0000-0000-00004E110000}"/>
    <cellStyle name="20% - Accent6 15 2 4" xfId="4585" xr:uid="{00000000-0005-0000-0000-00004F110000}"/>
    <cellStyle name="20% - Accent6 15 3" xfId="4584" xr:uid="{00000000-0005-0000-0000-000050110000}"/>
    <cellStyle name="20% - Accent6 15 3 2" xfId="4583" xr:uid="{00000000-0005-0000-0000-000051110000}"/>
    <cellStyle name="20% - Accent6 15 3 3" xfId="4582" xr:uid="{00000000-0005-0000-0000-000052110000}"/>
    <cellStyle name="20% - Accent6 15 4" xfId="4581" xr:uid="{00000000-0005-0000-0000-000053110000}"/>
    <cellStyle name="20% - Accent6 15 4 2" xfId="4580" xr:uid="{00000000-0005-0000-0000-000054110000}"/>
    <cellStyle name="20% - Accent6 15 4 3" xfId="4579" xr:uid="{00000000-0005-0000-0000-000055110000}"/>
    <cellStyle name="20% - Accent6 15 5" xfId="4578" xr:uid="{00000000-0005-0000-0000-000056110000}"/>
    <cellStyle name="20% - Accent6 15 6" xfId="4577" xr:uid="{00000000-0005-0000-0000-000057110000}"/>
    <cellStyle name="20% - Accent6 16" xfId="4576" xr:uid="{00000000-0005-0000-0000-000058110000}"/>
    <cellStyle name="20% - Accent6 16 2" xfId="4575" xr:uid="{00000000-0005-0000-0000-000059110000}"/>
    <cellStyle name="20% - Accent6 16 2 2" xfId="4574" xr:uid="{00000000-0005-0000-0000-00005A110000}"/>
    <cellStyle name="20% - Accent6 16 2 2 2" xfId="4573" xr:uid="{00000000-0005-0000-0000-00005B110000}"/>
    <cellStyle name="20% - Accent6 16 2 2 3" xfId="4572" xr:uid="{00000000-0005-0000-0000-00005C110000}"/>
    <cellStyle name="20% - Accent6 16 2 3" xfId="4571" xr:uid="{00000000-0005-0000-0000-00005D110000}"/>
    <cellStyle name="20% - Accent6 16 2 4" xfId="4570" xr:uid="{00000000-0005-0000-0000-00005E110000}"/>
    <cellStyle name="20% - Accent6 16 3" xfId="4569" xr:uid="{00000000-0005-0000-0000-00005F110000}"/>
    <cellStyle name="20% - Accent6 16 3 2" xfId="4568" xr:uid="{00000000-0005-0000-0000-000060110000}"/>
    <cellStyle name="20% - Accent6 16 3 3" xfId="4567" xr:uid="{00000000-0005-0000-0000-000061110000}"/>
    <cellStyle name="20% - Accent6 16 4" xfId="4566" xr:uid="{00000000-0005-0000-0000-000062110000}"/>
    <cellStyle name="20% - Accent6 16 4 2" xfId="4565" xr:uid="{00000000-0005-0000-0000-000063110000}"/>
    <cellStyle name="20% - Accent6 16 4 3" xfId="4564" xr:uid="{00000000-0005-0000-0000-000064110000}"/>
    <cellStyle name="20% - Accent6 16 5" xfId="4563" xr:uid="{00000000-0005-0000-0000-000065110000}"/>
    <cellStyle name="20% - Accent6 16 6" xfId="4562" xr:uid="{00000000-0005-0000-0000-000066110000}"/>
    <cellStyle name="20% - Accent6 17" xfId="4561" xr:uid="{00000000-0005-0000-0000-000067110000}"/>
    <cellStyle name="20% - Accent6 17 2" xfId="4560" xr:uid="{00000000-0005-0000-0000-000068110000}"/>
    <cellStyle name="20% - Accent6 17 2 2" xfId="4559" xr:uid="{00000000-0005-0000-0000-000069110000}"/>
    <cellStyle name="20% - Accent6 17 2 2 2" xfId="4558" xr:uid="{00000000-0005-0000-0000-00006A110000}"/>
    <cellStyle name="20% - Accent6 17 2 2 3" xfId="4557" xr:uid="{00000000-0005-0000-0000-00006B110000}"/>
    <cellStyle name="20% - Accent6 17 2 3" xfId="4556" xr:uid="{00000000-0005-0000-0000-00006C110000}"/>
    <cellStyle name="20% - Accent6 17 2 4" xfId="4555" xr:uid="{00000000-0005-0000-0000-00006D110000}"/>
    <cellStyle name="20% - Accent6 17 3" xfId="4554" xr:uid="{00000000-0005-0000-0000-00006E110000}"/>
    <cellStyle name="20% - Accent6 17 3 2" xfId="4553" xr:uid="{00000000-0005-0000-0000-00006F110000}"/>
    <cellStyle name="20% - Accent6 17 3 3" xfId="4552" xr:uid="{00000000-0005-0000-0000-000070110000}"/>
    <cellStyle name="20% - Accent6 17 4" xfId="4551" xr:uid="{00000000-0005-0000-0000-000071110000}"/>
    <cellStyle name="20% - Accent6 17 4 2" xfId="4550" xr:uid="{00000000-0005-0000-0000-000072110000}"/>
    <cellStyle name="20% - Accent6 17 4 3" xfId="4549" xr:uid="{00000000-0005-0000-0000-000073110000}"/>
    <cellStyle name="20% - Accent6 17 5" xfId="4548" xr:uid="{00000000-0005-0000-0000-000074110000}"/>
    <cellStyle name="20% - Accent6 17 6" xfId="4547" xr:uid="{00000000-0005-0000-0000-000075110000}"/>
    <cellStyle name="20% - Accent6 18" xfId="4546" xr:uid="{00000000-0005-0000-0000-000076110000}"/>
    <cellStyle name="20% - Accent6 18 2" xfId="4545" xr:uid="{00000000-0005-0000-0000-000077110000}"/>
    <cellStyle name="20% - Accent6 18 2 2" xfId="4544" xr:uid="{00000000-0005-0000-0000-000078110000}"/>
    <cellStyle name="20% - Accent6 18 2 2 2" xfId="4543" xr:uid="{00000000-0005-0000-0000-000079110000}"/>
    <cellStyle name="20% - Accent6 18 2 2 3" xfId="4542" xr:uid="{00000000-0005-0000-0000-00007A110000}"/>
    <cellStyle name="20% - Accent6 18 2 3" xfId="4541" xr:uid="{00000000-0005-0000-0000-00007B110000}"/>
    <cellStyle name="20% - Accent6 18 2 4" xfId="4540" xr:uid="{00000000-0005-0000-0000-00007C110000}"/>
    <cellStyle name="20% - Accent6 18 3" xfId="4539" xr:uid="{00000000-0005-0000-0000-00007D110000}"/>
    <cellStyle name="20% - Accent6 18 3 2" xfId="4538" xr:uid="{00000000-0005-0000-0000-00007E110000}"/>
    <cellStyle name="20% - Accent6 18 3 3" xfId="4537" xr:uid="{00000000-0005-0000-0000-00007F110000}"/>
    <cellStyle name="20% - Accent6 18 4" xfId="4536" xr:uid="{00000000-0005-0000-0000-000080110000}"/>
    <cellStyle name="20% - Accent6 18 4 2" xfId="4535" xr:uid="{00000000-0005-0000-0000-000081110000}"/>
    <cellStyle name="20% - Accent6 18 4 3" xfId="4534" xr:uid="{00000000-0005-0000-0000-000082110000}"/>
    <cellStyle name="20% - Accent6 18 5" xfId="4533" xr:uid="{00000000-0005-0000-0000-000083110000}"/>
    <cellStyle name="20% - Accent6 18 6" xfId="4532" xr:uid="{00000000-0005-0000-0000-000084110000}"/>
    <cellStyle name="20% - Accent6 19" xfId="4531" xr:uid="{00000000-0005-0000-0000-000085110000}"/>
    <cellStyle name="20% - Accent6 19 2" xfId="4530" xr:uid="{00000000-0005-0000-0000-000086110000}"/>
    <cellStyle name="20% - Accent6 19 2 2" xfId="4529" xr:uid="{00000000-0005-0000-0000-000087110000}"/>
    <cellStyle name="20% - Accent6 19 2 2 2" xfId="4528" xr:uid="{00000000-0005-0000-0000-000088110000}"/>
    <cellStyle name="20% - Accent6 19 2 2 3" xfId="4527" xr:uid="{00000000-0005-0000-0000-000089110000}"/>
    <cellStyle name="20% - Accent6 19 2 3" xfId="4526" xr:uid="{00000000-0005-0000-0000-00008A110000}"/>
    <cellStyle name="20% - Accent6 19 2 4" xfId="4525" xr:uid="{00000000-0005-0000-0000-00008B110000}"/>
    <cellStyle name="20% - Accent6 19 3" xfId="4524" xr:uid="{00000000-0005-0000-0000-00008C110000}"/>
    <cellStyle name="20% - Accent6 19 3 2" xfId="4523" xr:uid="{00000000-0005-0000-0000-00008D110000}"/>
    <cellStyle name="20% - Accent6 19 3 3" xfId="4522" xr:uid="{00000000-0005-0000-0000-00008E110000}"/>
    <cellStyle name="20% - Accent6 19 4" xfId="4521" xr:uid="{00000000-0005-0000-0000-00008F110000}"/>
    <cellStyle name="20% - Accent6 19 4 2" xfId="4520" xr:uid="{00000000-0005-0000-0000-000090110000}"/>
    <cellStyle name="20% - Accent6 19 4 3" xfId="4519" xr:uid="{00000000-0005-0000-0000-000091110000}"/>
    <cellStyle name="20% - Accent6 19 5" xfId="4518" xr:uid="{00000000-0005-0000-0000-000092110000}"/>
    <cellStyle name="20% - Accent6 19 6" xfId="4517" xr:uid="{00000000-0005-0000-0000-000093110000}"/>
    <cellStyle name="20% - Accent6 2" xfId="4516" xr:uid="{00000000-0005-0000-0000-000094110000}"/>
    <cellStyle name="20% - Accent6 2 10" xfId="9023" xr:uid="{00000000-0005-0000-0000-000095110000}"/>
    <cellStyle name="20% - Accent6 2 10 2" xfId="9024" xr:uid="{00000000-0005-0000-0000-000096110000}"/>
    <cellStyle name="20% - Accent6 2 11" xfId="9025" xr:uid="{00000000-0005-0000-0000-000097110000}"/>
    <cellStyle name="20% - Accent6 2 12" xfId="9026" xr:uid="{00000000-0005-0000-0000-000098110000}"/>
    <cellStyle name="20% - Accent6 2 12 2" xfId="9027" xr:uid="{00000000-0005-0000-0000-000099110000}"/>
    <cellStyle name="20% - Accent6 2 12 2 2" xfId="9028" xr:uid="{00000000-0005-0000-0000-00009A110000}"/>
    <cellStyle name="20% - Accent6 2 12 3" xfId="9029" xr:uid="{00000000-0005-0000-0000-00009B110000}"/>
    <cellStyle name="20% - Accent6 2 12 4" xfId="9030" xr:uid="{00000000-0005-0000-0000-00009C110000}"/>
    <cellStyle name="20% - Accent6 2 12 4 2" xfId="9031" xr:uid="{00000000-0005-0000-0000-00009D110000}"/>
    <cellStyle name="20% - Accent6 2 12 5" xfId="9032" xr:uid="{00000000-0005-0000-0000-00009E110000}"/>
    <cellStyle name="20% - Accent6 2 13" xfId="9033" xr:uid="{00000000-0005-0000-0000-00009F110000}"/>
    <cellStyle name="20% - Accent6 2 13 2" xfId="9034" xr:uid="{00000000-0005-0000-0000-0000A0110000}"/>
    <cellStyle name="20% - Accent6 2 13 2 2" xfId="9035" xr:uid="{00000000-0005-0000-0000-0000A1110000}"/>
    <cellStyle name="20% - Accent6 2 13 3" xfId="9036" xr:uid="{00000000-0005-0000-0000-0000A2110000}"/>
    <cellStyle name="20% - Accent6 2 14" xfId="9037" xr:uid="{00000000-0005-0000-0000-0000A3110000}"/>
    <cellStyle name="20% - Accent6 2 15" xfId="9038" xr:uid="{00000000-0005-0000-0000-0000A4110000}"/>
    <cellStyle name="20% - Accent6 2 2" xfId="4515" xr:uid="{00000000-0005-0000-0000-0000A5110000}"/>
    <cellStyle name="20% - Accent6 2 2 10" xfId="9039" xr:uid="{00000000-0005-0000-0000-0000A6110000}"/>
    <cellStyle name="20% - Accent6 2 2 10 2" xfId="9040" xr:uid="{00000000-0005-0000-0000-0000A7110000}"/>
    <cellStyle name="20% - Accent6 2 2 11" xfId="9041" xr:uid="{00000000-0005-0000-0000-0000A8110000}"/>
    <cellStyle name="20% - Accent6 2 2 2" xfId="9042" xr:uid="{00000000-0005-0000-0000-0000A9110000}"/>
    <cellStyle name="20% - Accent6 2 2 2 2" xfId="9043" xr:uid="{00000000-0005-0000-0000-0000AA110000}"/>
    <cellStyle name="20% - Accent6 2 2 2 2 2" xfId="9044" xr:uid="{00000000-0005-0000-0000-0000AB110000}"/>
    <cellStyle name="20% - Accent6 2 2 2 2 3" xfId="9045" xr:uid="{00000000-0005-0000-0000-0000AC110000}"/>
    <cellStyle name="20% - Accent6 2 2 2 3" xfId="9046" xr:uid="{00000000-0005-0000-0000-0000AD110000}"/>
    <cellStyle name="20% - Accent6 2 2 2 3 2" xfId="9047" xr:uid="{00000000-0005-0000-0000-0000AE110000}"/>
    <cellStyle name="20% - Accent6 2 2 2 4" xfId="9048" xr:uid="{00000000-0005-0000-0000-0000AF110000}"/>
    <cellStyle name="20% - Accent6 2 2 2 5" xfId="9049" xr:uid="{00000000-0005-0000-0000-0000B0110000}"/>
    <cellStyle name="20% - Accent6 2 2 3" xfId="9050" xr:uid="{00000000-0005-0000-0000-0000B1110000}"/>
    <cellStyle name="20% - Accent6 2 2 3 2" xfId="9051" xr:uid="{00000000-0005-0000-0000-0000B2110000}"/>
    <cellStyle name="20% - Accent6 2 2 3 2 2" xfId="9052" xr:uid="{00000000-0005-0000-0000-0000B3110000}"/>
    <cellStyle name="20% - Accent6 2 2 3 2 3" xfId="9053" xr:uid="{00000000-0005-0000-0000-0000B4110000}"/>
    <cellStyle name="20% - Accent6 2 2 3 3" xfId="9054" xr:uid="{00000000-0005-0000-0000-0000B5110000}"/>
    <cellStyle name="20% - Accent6 2 2 3 3 2" xfId="9055" xr:uid="{00000000-0005-0000-0000-0000B6110000}"/>
    <cellStyle name="20% - Accent6 2 2 3 4" xfId="9056" xr:uid="{00000000-0005-0000-0000-0000B7110000}"/>
    <cellStyle name="20% - Accent6 2 2 3 5" xfId="9057" xr:uid="{00000000-0005-0000-0000-0000B8110000}"/>
    <cellStyle name="20% - Accent6 2 2 4" xfId="9058" xr:uid="{00000000-0005-0000-0000-0000B9110000}"/>
    <cellStyle name="20% - Accent6 2 2 4 2" xfId="9059" xr:uid="{00000000-0005-0000-0000-0000BA110000}"/>
    <cellStyle name="20% - Accent6 2 2 4 2 2" xfId="9060" xr:uid="{00000000-0005-0000-0000-0000BB110000}"/>
    <cellStyle name="20% - Accent6 2 2 4 3" xfId="9061" xr:uid="{00000000-0005-0000-0000-0000BC110000}"/>
    <cellStyle name="20% - Accent6 2 2 4 4" xfId="9062" xr:uid="{00000000-0005-0000-0000-0000BD110000}"/>
    <cellStyle name="20% - Accent6 2 2 5" xfId="9063" xr:uid="{00000000-0005-0000-0000-0000BE110000}"/>
    <cellStyle name="20% - Accent6 2 2 5 2" xfId="9064" xr:uid="{00000000-0005-0000-0000-0000BF110000}"/>
    <cellStyle name="20% - Accent6 2 2 6" xfId="9065" xr:uid="{00000000-0005-0000-0000-0000C0110000}"/>
    <cellStyle name="20% - Accent6 2 2 6 2" xfId="9066" xr:uid="{00000000-0005-0000-0000-0000C1110000}"/>
    <cellStyle name="20% - Accent6 2 2 7" xfId="9067" xr:uid="{00000000-0005-0000-0000-0000C2110000}"/>
    <cellStyle name="20% - Accent6 2 2 8" xfId="9068" xr:uid="{00000000-0005-0000-0000-0000C3110000}"/>
    <cellStyle name="20% - Accent6 2 2 9" xfId="9069" xr:uid="{00000000-0005-0000-0000-0000C4110000}"/>
    <cellStyle name="20% - Accent6 2 2 9 2" xfId="9070" xr:uid="{00000000-0005-0000-0000-0000C5110000}"/>
    <cellStyle name="20% - Accent6 2 3" xfId="4514" xr:uid="{00000000-0005-0000-0000-0000C6110000}"/>
    <cellStyle name="20% - Accent6 2 3 2" xfId="4513" xr:uid="{00000000-0005-0000-0000-0000C7110000}"/>
    <cellStyle name="20% - Accent6 2 3 2 2" xfId="4512" xr:uid="{00000000-0005-0000-0000-0000C8110000}"/>
    <cellStyle name="20% - Accent6 2 3 2 2 2" xfId="4511" xr:uid="{00000000-0005-0000-0000-0000C9110000}"/>
    <cellStyle name="20% - Accent6 2 3 2 2 3" xfId="4510" xr:uid="{00000000-0005-0000-0000-0000CA110000}"/>
    <cellStyle name="20% - Accent6 2 3 2 3" xfId="4509" xr:uid="{00000000-0005-0000-0000-0000CB110000}"/>
    <cellStyle name="20% - Accent6 2 3 2 3 2" xfId="9071" xr:uid="{00000000-0005-0000-0000-0000CC110000}"/>
    <cellStyle name="20% - Accent6 2 3 2 4" xfId="4508" xr:uid="{00000000-0005-0000-0000-0000CD110000}"/>
    <cellStyle name="20% - Accent6 2 3 2 5" xfId="9072" xr:uid="{00000000-0005-0000-0000-0000CE110000}"/>
    <cellStyle name="20% - Accent6 2 3 3" xfId="4507" xr:uid="{00000000-0005-0000-0000-0000CF110000}"/>
    <cellStyle name="20% - Accent6 2 3 3 2" xfId="4506" xr:uid="{00000000-0005-0000-0000-0000D0110000}"/>
    <cellStyle name="20% - Accent6 2 3 3 2 2" xfId="9073" xr:uid="{00000000-0005-0000-0000-0000D1110000}"/>
    <cellStyle name="20% - Accent6 2 3 3 3" xfId="4505" xr:uid="{00000000-0005-0000-0000-0000D2110000}"/>
    <cellStyle name="20% - Accent6 2 3 3 4" xfId="9074" xr:uid="{00000000-0005-0000-0000-0000D3110000}"/>
    <cellStyle name="20% - Accent6 2 3 4" xfId="4504" xr:uid="{00000000-0005-0000-0000-0000D4110000}"/>
    <cellStyle name="20% - Accent6 2 3 4 2" xfId="4503" xr:uid="{00000000-0005-0000-0000-0000D5110000}"/>
    <cellStyle name="20% - Accent6 2 3 4 3" xfId="4502" xr:uid="{00000000-0005-0000-0000-0000D6110000}"/>
    <cellStyle name="20% - Accent6 2 3 5" xfId="4501" xr:uid="{00000000-0005-0000-0000-0000D7110000}"/>
    <cellStyle name="20% - Accent6 2 3 5 2" xfId="9075" xr:uid="{00000000-0005-0000-0000-0000D8110000}"/>
    <cellStyle name="20% - Accent6 2 3 6" xfId="4500" xr:uid="{00000000-0005-0000-0000-0000D9110000}"/>
    <cellStyle name="20% - Accent6 2 3 7" xfId="9076" xr:uid="{00000000-0005-0000-0000-0000DA110000}"/>
    <cellStyle name="20% - Accent6 2 3 8" xfId="9077" xr:uid="{00000000-0005-0000-0000-0000DB110000}"/>
    <cellStyle name="20% - Accent6 2 4" xfId="9078" xr:uid="{00000000-0005-0000-0000-0000DC110000}"/>
    <cellStyle name="20% - Accent6 2 4 2" xfId="9079" xr:uid="{00000000-0005-0000-0000-0000DD110000}"/>
    <cellStyle name="20% - Accent6 2 4 2 2" xfId="9080" xr:uid="{00000000-0005-0000-0000-0000DE110000}"/>
    <cellStyle name="20% - Accent6 2 4 2 2 2" xfId="9081" xr:uid="{00000000-0005-0000-0000-0000DF110000}"/>
    <cellStyle name="20% - Accent6 2 4 2 3" xfId="9082" xr:uid="{00000000-0005-0000-0000-0000E0110000}"/>
    <cellStyle name="20% - Accent6 2 4 2 4" xfId="9083" xr:uid="{00000000-0005-0000-0000-0000E1110000}"/>
    <cellStyle name="20% - Accent6 2 4 3" xfId="9084" xr:uid="{00000000-0005-0000-0000-0000E2110000}"/>
    <cellStyle name="20% - Accent6 2 4 3 2" xfId="9085" xr:uid="{00000000-0005-0000-0000-0000E3110000}"/>
    <cellStyle name="20% - Accent6 2 4 4" xfId="9086" xr:uid="{00000000-0005-0000-0000-0000E4110000}"/>
    <cellStyle name="20% - Accent6 2 4 4 2" xfId="9087" xr:uid="{00000000-0005-0000-0000-0000E5110000}"/>
    <cellStyle name="20% - Accent6 2 4 5" xfId="9088" xr:uid="{00000000-0005-0000-0000-0000E6110000}"/>
    <cellStyle name="20% - Accent6 2 4 6" xfId="9089" xr:uid="{00000000-0005-0000-0000-0000E7110000}"/>
    <cellStyle name="20% - Accent6 2 5" xfId="9090" xr:uid="{00000000-0005-0000-0000-0000E8110000}"/>
    <cellStyle name="20% - Accent6 2 5 2" xfId="9091" xr:uid="{00000000-0005-0000-0000-0000E9110000}"/>
    <cellStyle name="20% - Accent6 2 5 2 2" xfId="9092" xr:uid="{00000000-0005-0000-0000-0000EA110000}"/>
    <cellStyle name="20% - Accent6 2 5 3" xfId="9093" xr:uid="{00000000-0005-0000-0000-0000EB110000}"/>
    <cellStyle name="20% - Accent6 2 5 4" xfId="9094" xr:uid="{00000000-0005-0000-0000-0000EC110000}"/>
    <cellStyle name="20% - Accent6 2 6" xfId="9095" xr:uid="{00000000-0005-0000-0000-0000ED110000}"/>
    <cellStyle name="20% - Accent6 2 6 10" xfId="9096" xr:uid="{00000000-0005-0000-0000-0000EE110000}"/>
    <cellStyle name="20% - Accent6 2 6 2" xfId="9097" xr:uid="{00000000-0005-0000-0000-0000EF110000}"/>
    <cellStyle name="20% - Accent6 2 6 2 2" xfId="9098" xr:uid="{00000000-0005-0000-0000-0000F0110000}"/>
    <cellStyle name="20% - Accent6 2 6 2 2 2" xfId="9099" xr:uid="{00000000-0005-0000-0000-0000F1110000}"/>
    <cellStyle name="20% - Accent6 2 6 2 2 2 2" xfId="9100" xr:uid="{00000000-0005-0000-0000-0000F2110000}"/>
    <cellStyle name="20% - Accent6 2 6 2 2 3" xfId="9101" xr:uid="{00000000-0005-0000-0000-0000F3110000}"/>
    <cellStyle name="20% - Accent6 2 6 2 2 3 2" xfId="9102" xr:uid="{00000000-0005-0000-0000-0000F4110000}"/>
    <cellStyle name="20% - Accent6 2 6 2 2 4" xfId="9103" xr:uid="{00000000-0005-0000-0000-0000F5110000}"/>
    <cellStyle name="20% - Accent6 2 6 2 2 5" xfId="9104" xr:uid="{00000000-0005-0000-0000-0000F6110000}"/>
    <cellStyle name="20% - Accent6 2 6 2 3" xfId="9105" xr:uid="{00000000-0005-0000-0000-0000F7110000}"/>
    <cellStyle name="20% - Accent6 2 6 2 3 2" xfId="9106" xr:uid="{00000000-0005-0000-0000-0000F8110000}"/>
    <cellStyle name="20% - Accent6 2 6 2 3 2 2" xfId="9107" xr:uid="{00000000-0005-0000-0000-0000F9110000}"/>
    <cellStyle name="20% - Accent6 2 6 2 3 3" xfId="9108" xr:uid="{00000000-0005-0000-0000-0000FA110000}"/>
    <cellStyle name="20% - Accent6 2 6 2 4" xfId="9109" xr:uid="{00000000-0005-0000-0000-0000FB110000}"/>
    <cellStyle name="20% - Accent6 2 6 2 4 2" xfId="9110" xr:uid="{00000000-0005-0000-0000-0000FC110000}"/>
    <cellStyle name="20% - Accent6 2 6 2 5" xfId="9111" xr:uid="{00000000-0005-0000-0000-0000FD110000}"/>
    <cellStyle name="20% - Accent6 2 6 2 5 2" xfId="9112" xr:uid="{00000000-0005-0000-0000-0000FE110000}"/>
    <cellStyle name="20% - Accent6 2 6 2 6" xfId="9113" xr:uid="{00000000-0005-0000-0000-0000FF110000}"/>
    <cellStyle name="20% - Accent6 2 6 3" xfId="9114" xr:uid="{00000000-0005-0000-0000-000000120000}"/>
    <cellStyle name="20% - Accent6 2 6 3 2" xfId="9115" xr:uid="{00000000-0005-0000-0000-000001120000}"/>
    <cellStyle name="20% - Accent6 2 6 3 2 2" xfId="9116" xr:uid="{00000000-0005-0000-0000-000002120000}"/>
    <cellStyle name="20% - Accent6 2 6 3 2 2 2" xfId="9117" xr:uid="{00000000-0005-0000-0000-000003120000}"/>
    <cellStyle name="20% - Accent6 2 6 3 2 3" xfId="9118" xr:uid="{00000000-0005-0000-0000-000004120000}"/>
    <cellStyle name="20% - Accent6 2 6 3 2 3 2" xfId="9119" xr:uid="{00000000-0005-0000-0000-000005120000}"/>
    <cellStyle name="20% - Accent6 2 6 3 2 4" xfId="9120" xr:uid="{00000000-0005-0000-0000-000006120000}"/>
    <cellStyle name="20% - Accent6 2 6 3 2 5" xfId="9121" xr:uid="{00000000-0005-0000-0000-000007120000}"/>
    <cellStyle name="20% - Accent6 2 6 3 3" xfId="9122" xr:uid="{00000000-0005-0000-0000-000008120000}"/>
    <cellStyle name="20% - Accent6 2 6 3 3 2" xfId="9123" xr:uid="{00000000-0005-0000-0000-000009120000}"/>
    <cellStyle name="20% - Accent6 2 6 3 3 2 2" xfId="9124" xr:uid="{00000000-0005-0000-0000-00000A120000}"/>
    <cellStyle name="20% - Accent6 2 6 3 3 3" xfId="9125" xr:uid="{00000000-0005-0000-0000-00000B120000}"/>
    <cellStyle name="20% - Accent6 2 6 3 4" xfId="9126" xr:uid="{00000000-0005-0000-0000-00000C120000}"/>
    <cellStyle name="20% - Accent6 2 6 3 4 2" xfId="9127" xr:uid="{00000000-0005-0000-0000-00000D120000}"/>
    <cellStyle name="20% - Accent6 2 6 3 5" xfId="9128" xr:uid="{00000000-0005-0000-0000-00000E120000}"/>
    <cellStyle name="20% - Accent6 2 6 3 5 2" xfId="9129" xr:uid="{00000000-0005-0000-0000-00000F120000}"/>
    <cellStyle name="20% - Accent6 2 6 3 6" xfId="9130" xr:uid="{00000000-0005-0000-0000-000010120000}"/>
    <cellStyle name="20% - Accent6 2 6 4" xfId="9131" xr:uid="{00000000-0005-0000-0000-000011120000}"/>
    <cellStyle name="20% - Accent6 2 6 4 2" xfId="9132" xr:uid="{00000000-0005-0000-0000-000012120000}"/>
    <cellStyle name="20% - Accent6 2 6 4 2 2" xfId="9133" xr:uid="{00000000-0005-0000-0000-000013120000}"/>
    <cellStyle name="20% - Accent6 2 6 4 2 2 2" xfId="9134" xr:uid="{00000000-0005-0000-0000-000014120000}"/>
    <cellStyle name="20% - Accent6 2 6 4 2 3" xfId="9135" xr:uid="{00000000-0005-0000-0000-000015120000}"/>
    <cellStyle name="20% - Accent6 2 6 4 3" xfId="9136" xr:uid="{00000000-0005-0000-0000-000016120000}"/>
    <cellStyle name="20% - Accent6 2 6 4 3 2" xfId="9137" xr:uid="{00000000-0005-0000-0000-000017120000}"/>
    <cellStyle name="20% - Accent6 2 6 4 4" xfId="9138" xr:uid="{00000000-0005-0000-0000-000018120000}"/>
    <cellStyle name="20% - Accent6 2 6 4 4 2" xfId="9139" xr:uid="{00000000-0005-0000-0000-000019120000}"/>
    <cellStyle name="20% - Accent6 2 6 4 5" xfId="9140" xr:uid="{00000000-0005-0000-0000-00001A120000}"/>
    <cellStyle name="20% - Accent6 2 6 5" xfId="9141" xr:uid="{00000000-0005-0000-0000-00001B120000}"/>
    <cellStyle name="20% - Accent6 2 6 5 2" xfId="9142" xr:uid="{00000000-0005-0000-0000-00001C120000}"/>
    <cellStyle name="20% - Accent6 2 6 5 2 2" xfId="9143" xr:uid="{00000000-0005-0000-0000-00001D120000}"/>
    <cellStyle name="20% - Accent6 2 6 5 3" xfId="9144" xr:uid="{00000000-0005-0000-0000-00001E120000}"/>
    <cellStyle name="20% - Accent6 2 6 5 3 2" xfId="9145" xr:uid="{00000000-0005-0000-0000-00001F120000}"/>
    <cellStyle name="20% - Accent6 2 6 5 4" xfId="9146" xr:uid="{00000000-0005-0000-0000-000020120000}"/>
    <cellStyle name="20% - Accent6 2 6 6" xfId="9147" xr:uid="{00000000-0005-0000-0000-000021120000}"/>
    <cellStyle name="20% - Accent6 2 6 6 2" xfId="9148" xr:uid="{00000000-0005-0000-0000-000022120000}"/>
    <cellStyle name="20% - Accent6 2 6 6 2 2" xfId="9149" xr:uid="{00000000-0005-0000-0000-000023120000}"/>
    <cellStyle name="20% - Accent6 2 6 6 3" xfId="9150" xr:uid="{00000000-0005-0000-0000-000024120000}"/>
    <cellStyle name="20% - Accent6 2 6 7" xfId="9151" xr:uid="{00000000-0005-0000-0000-000025120000}"/>
    <cellStyle name="20% - Accent6 2 6 7 2" xfId="9152" xr:uid="{00000000-0005-0000-0000-000026120000}"/>
    <cellStyle name="20% - Accent6 2 6 7 3" xfId="9153" xr:uid="{00000000-0005-0000-0000-000027120000}"/>
    <cellStyle name="20% - Accent6 2 6 8" xfId="9154" xr:uid="{00000000-0005-0000-0000-000028120000}"/>
    <cellStyle name="20% - Accent6 2 6 8 2" xfId="9155" xr:uid="{00000000-0005-0000-0000-000029120000}"/>
    <cellStyle name="20% - Accent6 2 6 9" xfId="9156" xr:uid="{00000000-0005-0000-0000-00002A120000}"/>
    <cellStyle name="20% - Accent6 2 7" xfId="9157" xr:uid="{00000000-0005-0000-0000-00002B120000}"/>
    <cellStyle name="20% - Accent6 2 7 2" xfId="9158" xr:uid="{00000000-0005-0000-0000-00002C120000}"/>
    <cellStyle name="20% - Accent6 2 7 2 2" xfId="9159" xr:uid="{00000000-0005-0000-0000-00002D120000}"/>
    <cellStyle name="20% - Accent6 2 7 3" xfId="9160" xr:uid="{00000000-0005-0000-0000-00002E120000}"/>
    <cellStyle name="20% - Accent6 2 7 4" xfId="9161" xr:uid="{00000000-0005-0000-0000-00002F120000}"/>
    <cellStyle name="20% - Accent6 2 8" xfId="9162" xr:uid="{00000000-0005-0000-0000-000030120000}"/>
    <cellStyle name="20% - Accent6 2 8 2" xfId="9163" xr:uid="{00000000-0005-0000-0000-000031120000}"/>
    <cellStyle name="20% - Accent6 2 9" xfId="9164" xr:uid="{00000000-0005-0000-0000-000032120000}"/>
    <cellStyle name="20% - Accent6 2 9 2" xfId="9165" xr:uid="{00000000-0005-0000-0000-000033120000}"/>
    <cellStyle name="20% - Accent6 20" xfId="4499" xr:uid="{00000000-0005-0000-0000-000034120000}"/>
    <cellStyle name="20% - Accent6 20 2" xfId="4498" xr:uid="{00000000-0005-0000-0000-000035120000}"/>
    <cellStyle name="20% - Accent6 20 2 2" xfId="4497" xr:uid="{00000000-0005-0000-0000-000036120000}"/>
    <cellStyle name="20% - Accent6 20 2 2 2" xfId="4496" xr:uid="{00000000-0005-0000-0000-000037120000}"/>
    <cellStyle name="20% - Accent6 20 2 2 3" xfId="4495" xr:uid="{00000000-0005-0000-0000-000038120000}"/>
    <cellStyle name="20% - Accent6 20 2 3" xfId="4494" xr:uid="{00000000-0005-0000-0000-000039120000}"/>
    <cellStyle name="20% - Accent6 20 2 4" xfId="4493" xr:uid="{00000000-0005-0000-0000-00003A120000}"/>
    <cellStyle name="20% - Accent6 20 3" xfId="4492" xr:uid="{00000000-0005-0000-0000-00003B120000}"/>
    <cellStyle name="20% - Accent6 20 3 2" xfId="4491" xr:uid="{00000000-0005-0000-0000-00003C120000}"/>
    <cellStyle name="20% - Accent6 20 3 3" xfId="4490" xr:uid="{00000000-0005-0000-0000-00003D120000}"/>
    <cellStyle name="20% - Accent6 20 4" xfId="4489" xr:uid="{00000000-0005-0000-0000-00003E120000}"/>
    <cellStyle name="20% - Accent6 20 4 2" xfId="4488" xr:uid="{00000000-0005-0000-0000-00003F120000}"/>
    <cellStyle name="20% - Accent6 20 4 3" xfId="4487" xr:uid="{00000000-0005-0000-0000-000040120000}"/>
    <cellStyle name="20% - Accent6 20 5" xfId="4486" xr:uid="{00000000-0005-0000-0000-000041120000}"/>
    <cellStyle name="20% - Accent6 20 6" xfId="4485" xr:uid="{00000000-0005-0000-0000-000042120000}"/>
    <cellStyle name="20% - Accent6 21" xfId="4484" xr:uid="{00000000-0005-0000-0000-000043120000}"/>
    <cellStyle name="20% - Accent6 22" xfId="4483" xr:uid="{00000000-0005-0000-0000-000044120000}"/>
    <cellStyle name="20% - Accent6 22 2" xfId="4482" xr:uid="{00000000-0005-0000-0000-000045120000}"/>
    <cellStyle name="20% - Accent6 22 2 2" xfId="4481" xr:uid="{00000000-0005-0000-0000-000046120000}"/>
    <cellStyle name="20% - Accent6 22 2 2 2" xfId="4480" xr:uid="{00000000-0005-0000-0000-000047120000}"/>
    <cellStyle name="20% - Accent6 22 2 2 3" xfId="4479" xr:uid="{00000000-0005-0000-0000-000048120000}"/>
    <cellStyle name="20% - Accent6 22 2 3" xfId="4478" xr:uid="{00000000-0005-0000-0000-000049120000}"/>
    <cellStyle name="20% - Accent6 22 2 4" xfId="4477" xr:uid="{00000000-0005-0000-0000-00004A120000}"/>
    <cellStyle name="20% - Accent6 22 3" xfId="4476" xr:uid="{00000000-0005-0000-0000-00004B120000}"/>
    <cellStyle name="20% - Accent6 22 3 2" xfId="4475" xr:uid="{00000000-0005-0000-0000-00004C120000}"/>
    <cellStyle name="20% - Accent6 22 3 3" xfId="4474" xr:uid="{00000000-0005-0000-0000-00004D120000}"/>
    <cellStyle name="20% - Accent6 22 4" xfId="4473" xr:uid="{00000000-0005-0000-0000-00004E120000}"/>
    <cellStyle name="20% - Accent6 22 4 2" xfId="4472" xr:uid="{00000000-0005-0000-0000-00004F120000}"/>
    <cellStyle name="20% - Accent6 22 4 3" xfId="4471" xr:uid="{00000000-0005-0000-0000-000050120000}"/>
    <cellStyle name="20% - Accent6 22 5" xfId="4470" xr:uid="{00000000-0005-0000-0000-000051120000}"/>
    <cellStyle name="20% - Accent6 22 6" xfId="4469" xr:uid="{00000000-0005-0000-0000-000052120000}"/>
    <cellStyle name="20% - Accent6 23" xfId="4468" xr:uid="{00000000-0005-0000-0000-000053120000}"/>
    <cellStyle name="20% - Accent6 23 2" xfId="4467" xr:uid="{00000000-0005-0000-0000-000054120000}"/>
    <cellStyle name="20% - Accent6 23 2 2" xfId="4466" xr:uid="{00000000-0005-0000-0000-000055120000}"/>
    <cellStyle name="20% - Accent6 23 2 3" xfId="4465" xr:uid="{00000000-0005-0000-0000-000056120000}"/>
    <cellStyle name="20% - Accent6 23 3" xfId="4464" xr:uid="{00000000-0005-0000-0000-000057120000}"/>
    <cellStyle name="20% - Accent6 23 4" xfId="4463" xr:uid="{00000000-0005-0000-0000-000058120000}"/>
    <cellStyle name="20% - Accent6 24" xfId="4462" xr:uid="{00000000-0005-0000-0000-000059120000}"/>
    <cellStyle name="20% - Accent6 24 2" xfId="4461" xr:uid="{00000000-0005-0000-0000-00005A120000}"/>
    <cellStyle name="20% - Accent6 24 3" xfId="4460" xr:uid="{00000000-0005-0000-0000-00005B120000}"/>
    <cellStyle name="20% - Accent6 25" xfId="4459" xr:uid="{00000000-0005-0000-0000-00005C120000}"/>
    <cellStyle name="20% - Accent6 25 2" xfId="4458" xr:uid="{00000000-0005-0000-0000-00005D120000}"/>
    <cellStyle name="20% - Accent6 25 3" xfId="4457" xr:uid="{00000000-0005-0000-0000-00005E120000}"/>
    <cellStyle name="20% - Accent6 26" xfId="4456" xr:uid="{00000000-0005-0000-0000-00005F120000}"/>
    <cellStyle name="20% - Accent6 27" xfId="4455" xr:uid="{00000000-0005-0000-0000-000060120000}"/>
    <cellStyle name="20% - Accent6 28" xfId="4454" xr:uid="{00000000-0005-0000-0000-000061120000}"/>
    <cellStyle name="20% - Accent6 29" xfId="4453" xr:uid="{00000000-0005-0000-0000-000062120000}"/>
    <cellStyle name="20% - Accent6 3" xfId="4452" xr:uid="{00000000-0005-0000-0000-000063120000}"/>
    <cellStyle name="20% - Accent6 3 10" xfId="9166" xr:uid="{00000000-0005-0000-0000-000064120000}"/>
    <cellStyle name="20% - Accent6 3 2" xfId="4451" xr:uid="{00000000-0005-0000-0000-000065120000}"/>
    <cellStyle name="20% - Accent6 3 2 2" xfId="9167" xr:uid="{00000000-0005-0000-0000-000066120000}"/>
    <cellStyle name="20% - Accent6 3 2 2 2" xfId="9168" xr:uid="{00000000-0005-0000-0000-000067120000}"/>
    <cellStyle name="20% - Accent6 3 2 2 2 2" xfId="9169" xr:uid="{00000000-0005-0000-0000-000068120000}"/>
    <cellStyle name="20% - Accent6 3 2 2 3" xfId="9170" xr:uid="{00000000-0005-0000-0000-000069120000}"/>
    <cellStyle name="20% - Accent6 3 2 2 4" xfId="9171" xr:uid="{00000000-0005-0000-0000-00006A120000}"/>
    <cellStyle name="20% - Accent6 3 2 2 5" xfId="9172" xr:uid="{00000000-0005-0000-0000-00006B120000}"/>
    <cellStyle name="20% - Accent6 3 2 3" xfId="9173" xr:uid="{00000000-0005-0000-0000-00006C120000}"/>
    <cellStyle name="20% - Accent6 3 2 3 2" xfId="9174" xr:uid="{00000000-0005-0000-0000-00006D120000}"/>
    <cellStyle name="20% - Accent6 3 2 3 2 2" xfId="9175" xr:uid="{00000000-0005-0000-0000-00006E120000}"/>
    <cellStyle name="20% - Accent6 3 2 3 3" xfId="9176" xr:uid="{00000000-0005-0000-0000-00006F120000}"/>
    <cellStyle name="20% - Accent6 3 2 3 4" xfId="9177" xr:uid="{00000000-0005-0000-0000-000070120000}"/>
    <cellStyle name="20% - Accent6 3 2 4" xfId="9178" xr:uid="{00000000-0005-0000-0000-000071120000}"/>
    <cellStyle name="20% - Accent6 3 2 4 2" xfId="9179" xr:uid="{00000000-0005-0000-0000-000072120000}"/>
    <cellStyle name="20% - Accent6 3 2 5" xfId="9180" xr:uid="{00000000-0005-0000-0000-000073120000}"/>
    <cellStyle name="20% - Accent6 3 2 5 2" xfId="9181" xr:uid="{00000000-0005-0000-0000-000074120000}"/>
    <cellStyle name="20% - Accent6 3 2 6" xfId="9182" xr:uid="{00000000-0005-0000-0000-000075120000}"/>
    <cellStyle name="20% - Accent6 3 2 7" xfId="9183" xr:uid="{00000000-0005-0000-0000-000076120000}"/>
    <cellStyle name="20% - Accent6 3 2 8" xfId="9184" xr:uid="{00000000-0005-0000-0000-000077120000}"/>
    <cellStyle name="20% - Accent6 3 3" xfId="4450" xr:uid="{00000000-0005-0000-0000-000078120000}"/>
    <cellStyle name="20% - Accent6 3 3 2" xfId="4449" xr:uid="{00000000-0005-0000-0000-000079120000}"/>
    <cellStyle name="20% - Accent6 3 3 2 2" xfId="4448" xr:uid="{00000000-0005-0000-0000-00007A120000}"/>
    <cellStyle name="20% - Accent6 3 3 2 2 2" xfId="4447" xr:uid="{00000000-0005-0000-0000-00007B120000}"/>
    <cellStyle name="20% - Accent6 3 3 2 2 3" xfId="4446" xr:uid="{00000000-0005-0000-0000-00007C120000}"/>
    <cellStyle name="20% - Accent6 3 3 2 3" xfId="4445" xr:uid="{00000000-0005-0000-0000-00007D120000}"/>
    <cellStyle name="20% - Accent6 3 3 2 4" xfId="4444" xr:uid="{00000000-0005-0000-0000-00007E120000}"/>
    <cellStyle name="20% - Accent6 3 3 3" xfId="4443" xr:uid="{00000000-0005-0000-0000-00007F120000}"/>
    <cellStyle name="20% - Accent6 3 3 3 2" xfId="4442" xr:uid="{00000000-0005-0000-0000-000080120000}"/>
    <cellStyle name="20% - Accent6 3 3 3 3" xfId="4441" xr:uid="{00000000-0005-0000-0000-000081120000}"/>
    <cellStyle name="20% - Accent6 3 3 4" xfId="4440" xr:uid="{00000000-0005-0000-0000-000082120000}"/>
    <cellStyle name="20% - Accent6 3 3 4 2" xfId="4439" xr:uid="{00000000-0005-0000-0000-000083120000}"/>
    <cellStyle name="20% - Accent6 3 3 4 3" xfId="4438" xr:uid="{00000000-0005-0000-0000-000084120000}"/>
    <cellStyle name="20% - Accent6 3 3 5" xfId="4437" xr:uid="{00000000-0005-0000-0000-000085120000}"/>
    <cellStyle name="20% - Accent6 3 3 6" xfId="4436" xr:uid="{00000000-0005-0000-0000-000086120000}"/>
    <cellStyle name="20% - Accent6 3 3 7" xfId="9185" xr:uid="{00000000-0005-0000-0000-000087120000}"/>
    <cellStyle name="20% - Accent6 3 4" xfId="9186" xr:uid="{00000000-0005-0000-0000-000088120000}"/>
    <cellStyle name="20% - Accent6 3 4 2" xfId="9187" xr:uid="{00000000-0005-0000-0000-000089120000}"/>
    <cellStyle name="20% - Accent6 3 4 2 2" xfId="9188" xr:uid="{00000000-0005-0000-0000-00008A120000}"/>
    <cellStyle name="20% - Accent6 3 4 3" xfId="9189" xr:uid="{00000000-0005-0000-0000-00008B120000}"/>
    <cellStyle name="20% - Accent6 3 4 4" xfId="9190" xr:uid="{00000000-0005-0000-0000-00008C120000}"/>
    <cellStyle name="20% - Accent6 3 5" xfId="9191" xr:uid="{00000000-0005-0000-0000-00008D120000}"/>
    <cellStyle name="20% - Accent6 3 5 2" xfId="9192" xr:uid="{00000000-0005-0000-0000-00008E120000}"/>
    <cellStyle name="20% - Accent6 3 6" xfId="9193" xr:uid="{00000000-0005-0000-0000-00008F120000}"/>
    <cellStyle name="20% - Accent6 3 7" xfId="9194" xr:uid="{00000000-0005-0000-0000-000090120000}"/>
    <cellStyle name="20% - Accent6 3 7 2" xfId="9195" xr:uid="{00000000-0005-0000-0000-000091120000}"/>
    <cellStyle name="20% - Accent6 3 8" xfId="9196" xr:uid="{00000000-0005-0000-0000-000092120000}"/>
    <cellStyle name="20% - Accent6 3 9" xfId="9197" xr:uid="{00000000-0005-0000-0000-000093120000}"/>
    <cellStyle name="20% - Accent6 3 9 2" xfId="9198" xr:uid="{00000000-0005-0000-0000-000094120000}"/>
    <cellStyle name="20% - Accent6 4" xfId="4435" xr:uid="{00000000-0005-0000-0000-000095120000}"/>
    <cellStyle name="20% - Accent6 4 2" xfId="4434" xr:uid="{00000000-0005-0000-0000-000096120000}"/>
    <cellStyle name="20% - Accent6 4 2 2" xfId="4433" xr:uid="{00000000-0005-0000-0000-000097120000}"/>
    <cellStyle name="20% - Accent6 4 2 2 2" xfId="4432" xr:uid="{00000000-0005-0000-0000-000098120000}"/>
    <cellStyle name="20% - Accent6 4 2 2 2 2" xfId="4431" xr:uid="{00000000-0005-0000-0000-000099120000}"/>
    <cellStyle name="20% - Accent6 4 2 2 2 3" xfId="4430" xr:uid="{00000000-0005-0000-0000-00009A120000}"/>
    <cellStyle name="20% - Accent6 4 2 2 3" xfId="4429" xr:uid="{00000000-0005-0000-0000-00009B120000}"/>
    <cellStyle name="20% - Accent6 4 2 2 4" xfId="4428" xr:uid="{00000000-0005-0000-0000-00009C120000}"/>
    <cellStyle name="20% - Accent6 4 2 3" xfId="4427" xr:uid="{00000000-0005-0000-0000-00009D120000}"/>
    <cellStyle name="20% - Accent6 4 2 3 2" xfId="4426" xr:uid="{00000000-0005-0000-0000-00009E120000}"/>
    <cellStyle name="20% - Accent6 4 2 3 3" xfId="4425" xr:uid="{00000000-0005-0000-0000-00009F120000}"/>
    <cellStyle name="20% - Accent6 4 2 4" xfId="4424" xr:uid="{00000000-0005-0000-0000-0000A0120000}"/>
    <cellStyle name="20% - Accent6 4 2 4 2" xfId="4423" xr:uid="{00000000-0005-0000-0000-0000A1120000}"/>
    <cellStyle name="20% - Accent6 4 2 4 3" xfId="4422" xr:uid="{00000000-0005-0000-0000-0000A2120000}"/>
    <cellStyle name="20% - Accent6 4 2 5" xfId="4421" xr:uid="{00000000-0005-0000-0000-0000A3120000}"/>
    <cellStyle name="20% - Accent6 4 2 6" xfId="4420" xr:uid="{00000000-0005-0000-0000-0000A4120000}"/>
    <cellStyle name="20% - Accent6 4 3" xfId="4419" xr:uid="{00000000-0005-0000-0000-0000A5120000}"/>
    <cellStyle name="20% - Accent6 4 3 2" xfId="4418" xr:uid="{00000000-0005-0000-0000-0000A6120000}"/>
    <cellStyle name="20% - Accent6 4 3 2 2" xfId="4417" xr:uid="{00000000-0005-0000-0000-0000A7120000}"/>
    <cellStyle name="20% - Accent6 4 3 2 3" xfId="4416" xr:uid="{00000000-0005-0000-0000-0000A8120000}"/>
    <cellStyle name="20% - Accent6 4 3 3" xfId="4415" xr:uid="{00000000-0005-0000-0000-0000A9120000}"/>
    <cellStyle name="20% - Accent6 4 3 3 2" xfId="9199" xr:uid="{00000000-0005-0000-0000-0000AA120000}"/>
    <cellStyle name="20% - Accent6 4 3 4" xfId="4414" xr:uid="{00000000-0005-0000-0000-0000AB120000}"/>
    <cellStyle name="20% - Accent6 4 4" xfId="4413" xr:uid="{00000000-0005-0000-0000-0000AC120000}"/>
    <cellStyle name="20% - Accent6 4 4 2" xfId="4412" xr:uid="{00000000-0005-0000-0000-0000AD120000}"/>
    <cellStyle name="20% - Accent6 4 4 2 2" xfId="9200" xr:uid="{00000000-0005-0000-0000-0000AE120000}"/>
    <cellStyle name="20% - Accent6 4 4 3" xfId="4411" xr:uid="{00000000-0005-0000-0000-0000AF120000}"/>
    <cellStyle name="20% - Accent6 4 4 4" xfId="9201" xr:uid="{00000000-0005-0000-0000-0000B0120000}"/>
    <cellStyle name="20% - Accent6 4 5" xfId="4410" xr:uid="{00000000-0005-0000-0000-0000B1120000}"/>
    <cellStyle name="20% - Accent6 4 5 2" xfId="4409" xr:uid="{00000000-0005-0000-0000-0000B2120000}"/>
    <cellStyle name="20% - Accent6 4 5 3" xfId="4408" xr:uid="{00000000-0005-0000-0000-0000B3120000}"/>
    <cellStyle name="20% - Accent6 4 6" xfId="4407" xr:uid="{00000000-0005-0000-0000-0000B4120000}"/>
    <cellStyle name="20% - Accent6 4 6 2" xfId="9202" xr:uid="{00000000-0005-0000-0000-0000B5120000}"/>
    <cellStyle name="20% - Accent6 4 7" xfId="4406" xr:uid="{00000000-0005-0000-0000-0000B6120000}"/>
    <cellStyle name="20% - Accent6 4 7 2" xfId="9203" xr:uid="{00000000-0005-0000-0000-0000B7120000}"/>
    <cellStyle name="20% - Accent6 4 8" xfId="9204" xr:uid="{00000000-0005-0000-0000-0000B8120000}"/>
    <cellStyle name="20% - Accent6 4 9" xfId="9205" xr:uid="{00000000-0005-0000-0000-0000B9120000}"/>
    <cellStyle name="20% - Accent6 5" xfId="4405" xr:uid="{00000000-0005-0000-0000-0000BA120000}"/>
    <cellStyle name="20% - Accent6 5 10" xfId="9206" xr:uid="{00000000-0005-0000-0000-0000BB120000}"/>
    <cellStyle name="20% - Accent6 5 11" xfId="9207" xr:uid="{00000000-0005-0000-0000-0000BC120000}"/>
    <cellStyle name="20% - Accent6 5 2" xfId="4404" xr:uid="{00000000-0005-0000-0000-0000BD120000}"/>
    <cellStyle name="20% - Accent6 5 2 2" xfId="4403" xr:uid="{00000000-0005-0000-0000-0000BE120000}"/>
    <cellStyle name="20% - Accent6 5 2 2 2" xfId="4402" xr:uid="{00000000-0005-0000-0000-0000BF120000}"/>
    <cellStyle name="20% - Accent6 5 2 2 2 2" xfId="9208" xr:uid="{00000000-0005-0000-0000-0000C0120000}"/>
    <cellStyle name="20% - Accent6 5 2 2 2 2 2" xfId="9209" xr:uid="{00000000-0005-0000-0000-0000C1120000}"/>
    <cellStyle name="20% - Accent6 5 2 2 2 3" xfId="9210" xr:uid="{00000000-0005-0000-0000-0000C2120000}"/>
    <cellStyle name="20% - Accent6 5 2 2 2 3 2" xfId="9211" xr:uid="{00000000-0005-0000-0000-0000C3120000}"/>
    <cellStyle name="20% - Accent6 5 2 2 2 4" xfId="9212" xr:uid="{00000000-0005-0000-0000-0000C4120000}"/>
    <cellStyle name="20% - Accent6 5 2 2 2 4 2" xfId="9213" xr:uid="{00000000-0005-0000-0000-0000C5120000}"/>
    <cellStyle name="20% - Accent6 5 2 2 2 5" xfId="9214" xr:uid="{00000000-0005-0000-0000-0000C6120000}"/>
    <cellStyle name="20% - Accent6 5 2 2 3" xfId="4401" xr:uid="{00000000-0005-0000-0000-0000C7120000}"/>
    <cellStyle name="20% - Accent6 5 2 2 3 2" xfId="9215" xr:uid="{00000000-0005-0000-0000-0000C8120000}"/>
    <cellStyle name="20% - Accent6 5 2 2 3 2 2" xfId="9216" xr:uid="{00000000-0005-0000-0000-0000C9120000}"/>
    <cellStyle name="20% - Accent6 5 2 2 3 3" xfId="9217" xr:uid="{00000000-0005-0000-0000-0000CA120000}"/>
    <cellStyle name="20% - Accent6 5 2 2 3 3 2" xfId="9218" xr:uid="{00000000-0005-0000-0000-0000CB120000}"/>
    <cellStyle name="20% - Accent6 5 2 2 3 4" xfId="9219" xr:uid="{00000000-0005-0000-0000-0000CC120000}"/>
    <cellStyle name="20% - Accent6 5 2 2 4" xfId="9220" xr:uid="{00000000-0005-0000-0000-0000CD120000}"/>
    <cellStyle name="20% - Accent6 5 2 2 4 2" xfId="9221" xr:uid="{00000000-0005-0000-0000-0000CE120000}"/>
    <cellStyle name="20% - Accent6 5 2 2 4 2 2" xfId="9222" xr:uid="{00000000-0005-0000-0000-0000CF120000}"/>
    <cellStyle name="20% - Accent6 5 2 2 4 3" xfId="9223" xr:uid="{00000000-0005-0000-0000-0000D0120000}"/>
    <cellStyle name="20% - Accent6 5 2 2 4 3 2" xfId="9224" xr:uid="{00000000-0005-0000-0000-0000D1120000}"/>
    <cellStyle name="20% - Accent6 5 2 2 4 4" xfId="9225" xr:uid="{00000000-0005-0000-0000-0000D2120000}"/>
    <cellStyle name="20% - Accent6 5 2 2 5" xfId="9226" xr:uid="{00000000-0005-0000-0000-0000D3120000}"/>
    <cellStyle name="20% - Accent6 5 2 2 5 2" xfId="9227" xr:uid="{00000000-0005-0000-0000-0000D4120000}"/>
    <cellStyle name="20% - Accent6 5 2 2 5 2 2" xfId="9228" xr:uid="{00000000-0005-0000-0000-0000D5120000}"/>
    <cellStyle name="20% - Accent6 5 2 2 5 3" xfId="9229" xr:uid="{00000000-0005-0000-0000-0000D6120000}"/>
    <cellStyle name="20% - Accent6 5 2 2 5 3 2" xfId="9230" xr:uid="{00000000-0005-0000-0000-0000D7120000}"/>
    <cellStyle name="20% - Accent6 5 2 2 5 4" xfId="9231" xr:uid="{00000000-0005-0000-0000-0000D8120000}"/>
    <cellStyle name="20% - Accent6 5 2 2 6" xfId="9232" xr:uid="{00000000-0005-0000-0000-0000D9120000}"/>
    <cellStyle name="20% - Accent6 5 2 2 7" xfId="9233" xr:uid="{00000000-0005-0000-0000-0000DA120000}"/>
    <cellStyle name="20% - Accent6 5 2 3" xfId="4400" xr:uid="{00000000-0005-0000-0000-0000DB120000}"/>
    <cellStyle name="20% - Accent6 5 2 4" xfId="4399" xr:uid="{00000000-0005-0000-0000-0000DC120000}"/>
    <cellStyle name="20% - Accent6 5 2 5" xfId="9234" xr:uid="{00000000-0005-0000-0000-0000DD120000}"/>
    <cellStyle name="20% - Accent6 5 2 5 2" xfId="9235" xr:uid="{00000000-0005-0000-0000-0000DE120000}"/>
    <cellStyle name="20% - Accent6 5 2 6" xfId="9236" xr:uid="{00000000-0005-0000-0000-0000DF120000}"/>
    <cellStyle name="20% - Accent6 5 3" xfId="4398" xr:uid="{00000000-0005-0000-0000-0000E0120000}"/>
    <cellStyle name="20% - Accent6 5 3 2" xfId="4397" xr:uid="{00000000-0005-0000-0000-0000E1120000}"/>
    <cellStyle name="20% - Accent6 5 3 2 2" xfId="9237" xr:uid="{00000000-0005-0000-0000-0000E2120000}"/>
    <cellStyle name="20% - Accent6 5 3 3" xfId="4396" xr:uid="{00000000-0005-0000-0000-0000E3120000}"/>
    <cellStyle name="20% - Accent6 5 3 4" xfId="9238" xr:uid="{00000000-0005-0000-0000-0000E4120000}"/>
    <cellStyle name="20% - Accent6 5 3 5" xfId="9239" xr:uid="{00000000-0005-0000-0000-0000E5120000}"/>
    <cellStyle name="20% - Accent6 5 3 5 2" xfId="9240" xr:uid="{00000000-0005-0000-0000-0000E6120000}"/>
    <cellStyle name="20% - Accent6 5 3 6" xfId="9241" xr:uid="{00000000-0005-0000-0000-0000E7120000}"/>
    <cellStyle name="20% - Accent6 5 4" xfId="4395" xr:uid="{00000000-0005-0000-0000-0000E8120000}"/>
    <cellStyle name="20% - Accent6 5 4 2" xfId="4394" xr:uid="{00000000-0005-0000-0000-0000E9120000}"/>
    <cellStyle name="20% - Accent6 5 4 3" xfId="4393" xr:uid="{00000000-0005-0000-0000-0000EA120000}"/>
    <cellStyle name="20% - Accent6 5 5" xfId="4392" xr:uid="{00000000-0005-0000-0000-0000EB120000}"/>
    <cellStyle name="20% - Accent6 5 5 2" xfId="9242" xr:uid="{00000000-0005-0000-0000-0000EC120000}"/>
    <cellStyle name="20% - Accent6 5 5 2 2" xfId="9243" xr:uid="{00000000-0005-0000-0000-0000ED120000}"/>
    <cellStyle name="20% - Accent6 5 5 2 2 2" xfId="9244" xr:uid="{00000000-0005-0000-0000-0000EE120000}"/>
    <cellStyle name="20% - Accent6 5 5 2 3" xfId="9245" xr:uid="{00000000-0005-0000-0000-0000EF120000}"/>
    <cellStyle name="20% - Accent6 5 5 2 3 2" xfId="9246" xr:uid="{00000000-0005-0000-0000-0000F0120000}"/>
    <cellStyle name="20% - Accent6 5 5 2 4" xfId="9247" xr:uid="{00000000-0005-0000-0000-0000F1120000}"/>
    <cellStyle name="20% - Accent6 5 5 2 4 2" xfId="9248" xr:uid="{00000000-0005-0000-0000-0000F2120000}"/>
    <cellStyle name="20% - Accent6 5 5 2 5" xfId="9249" xr:uid="{00000000-0005-0000-0000-0000F3120000}"/>
    <cellStyle name="20% - Accent6 5 5 3" xfId="9250" xr:uid="{00000000-0005-0000-0000-0000F4120000}"/>
    <cellStyle name="20% - Accent6 5 5 3 2" xfId="9251" xr:uid="{00000000-0005-0000-0000-0000F5120000}"/>
    <cellStyle name="20% - Accent6 5 5 3 2 2" xfId="9252" xr:uid="{00000000-0005-0000-0000-0000F6120000}"/>
    <cellStyle name="20% - Accent6 5 5 3 3" xfId="9253" xr:uid="{00000000-0005-0000-0000-0000F7120000}"/>
    <cellStyle name="20% - Accent6 5 5 3 3 2" xfId="9254" xr:uid="{00000000-0005-0000-0000-0000F8120000}"/>
    <cellStyle name="20% - Accent6 5 5 3 4" xfId="9255" xr:uid="{00000000-0005-0000-0000-0000F9120000}"/>
    <cellStyle name="20% - Accent6 5 5 4" xfId="9256" xr:uid="{00000000-0005-0000-0000-0000FA120000}"/>
    <cellStyle name="20% - Accent6 5 5 4 2" xfId="9257" xr:uid="{00000000-0005-0000-0000-0000FB120000}"/>
    <cellStyle name="20% - Accent6 5 5 4 2 2" xfId="9258" xr:uid="{00000000-0005-0000-0000-0000FC120000}"/>
    <cellStyle name="20% - Accent6 5 5 4 3" xfId="9259" xr:uid="{00000000-0005-0000-0000-0000FD120000}"/>
    <cellStyle name="20% - Accent6 5 5 4 3 2" xfId="9260" xr:uid="{00000000-0005-0000-0000-0000FE120000}"/>
    <cellStyle name="20% - Accent6 5 5 4 4" xfId="9261" xr:uid="{00000000-0005-0000-0000-0000FF120000}"/>
    <cellStyle name="20% - Accent6 5 5 5" xfId="9262" xr:uid="{00000000-0005-0000-0000-000000130000}"/>
    <cellStyle name="20% - Accent6 5 5 5 2" xfId="9263" xr:uid="{00000000-0005-0000-0000-000001130000}"/>
    <cellStyle name="20% - Accent6 5 5 5 2 2" xfId="9264" xr:uid="{00000000-0005-0000-0000-000002130000}"/>
    <cellStyle name="20% - Accent6 5 5 5 3" xfId="9265" xr:uid="{00000000-0005-0000-0000-000003130000}"/>
    <cellStyle name="20% - Accent6 5 5 5 3 2" xfId="9266" xr:uid="{00000000-0005-0000-0000-000004130000}"/>
    <cellStyle name="20% - Accent6 5 5 5 4" xfId="9267" xr:uid="{00000000-0005-0000-0000-000005130000}"/>
    <cellStyle name="20% - Accent6 5 5 6" xfId="9268" xr:uid="{00000000-0005-0000-0000-000006130000}"/>
    <cellStyle name="20% - Accent6 5 6" xfId="4391" xr:uid="{00000000-0005-0000-0000-000007130000}"/>
    <cellStyle name="20% - Accent6 5 6 2" xfId="9269" xr:uid="{00000000-0005-0000-0000-000008130000}"/>
    <cellStyle name="20% - Accent6 5 6 2 2" xfId="9270" xr:uid="{00000000-0005-0000-0000-000009130000}"/>
    <cellStyle name="20% - Accent6 5 6 2 2 2" xfId="9271" xr:uid="{00000000-0005-0000-0000-00000A130000}"/>
    <cellStyle name="20% - Accent6 5 6 2 2 2 2" xfId="9272" xr:uid="{00000000-0005-0000-0000-00000B130000}"/>
    <cellStyle name="20% - Accent6 5 6 2 2 3" xfId="9273" xr:uid="{00000000-0005-0000-0000-00000C130000}"/>
    <cellStyle name="20% - Accent6 5 6 2 2 3 2" xfId="9274" xr:uid="{00000000-0005-0000-0000-00000D130000}"/>
    <cellStyle name="20% - Accent6 5 6 2 2 4" xfId="9275" xr:uid="{00000000-0005-0000-0000-00000E130000}"/>
    <cellStyle name="20% - Accent6 5 6 2 2 5" xfId="9276" xr:uid="{00000000-0005-0000-0000-00000F130000}"/>
    <cellStyle name="20% - Accent6 5 6 2 3" xfId="9277" xr:uid="{00000000-0005-0000-0000-000010130000}"/>
    <cellStyle name="20% - Accent6 5 6 2 3 2" xfId="9278" xr:uid="{00000000-0005-0000-0000-000011130000}"/>
    <cellStyle name="20% - Accent6 5 6 2 3 2 2" xfId="9279" xr:uid="{00000000-0005-0000-0000-000012130000}"/>
    <cellStyle name="20% - Accent6 5 6 2 3 3" xfId="9280" xr:uid="{00000000-0005-0000-0000-000013130000}"/>
    <cellStyle name="20% - Accent6 5 6 2 4" xfId="9281" xr:uid="{00000000-0005-0000-0000-000014130000}"/>
    <cellStyle name="20% - Accent6 5 6 2 4 2" xfId="9282" xr:uid="{00000000-0005-0000-0000-000015130000}"/>
    <cellStyle name="20% - Accent6 5 6 2 5" xfId="9283" xr:uid="{00000000-0005-0000-0000-000016130000}"/>
    <cellStyle name="20% - Accent6 5 6 2 5 2" xfId="9284" xr:uid="{00000000-0005-0000-0000-000017130000}"/>
    <cellStyle name="20% - Accent6 5 6 2 6" xfId="9285" xr:uid="{00000000-0005-0000-0000-000018130000}"/>
    <cellStyle name="20% - Accent6 5 6 3" xfId="9286" xr:uid="{00000000-0005-0000-0000-000019130000}"/>
    <cellStyle name="20% - Accent6 5 6 3 2" xfId="9287" xr:uid="{00000000-0005-0000-0000-00001A130000}"/>
    <cellStyle name="20% - Accent6 5 6 3 2 2" xfId="9288" xr:uid="{00000000-0005-0000-0000-00001B130000}"/>
    <cellStyle name="20% - Accent6 5 6 3 2 2 2" xfId="9289" xr:uid="{00000000-0005-0000-0000-00001C130000}"/>
    <cellStyle name="20% - Accent6 5 6 3 2 3" xfId="9290" xr:uid="{00000000-0005-0000-0000-00001D130000}"/>
    <cellStyle name="20% - Accent6 5 6 3 2 3 2" xfId="9291" xr:uid="{00000000-0005-0000-0000-00001E130000}"/>
    <cellStyle name="20% - Accent6 5 6 3 2 4" xfId="9292" xr:uid="{00000000-0005-0000-0000-00001F130000}"/>
    <cellStyle name="20% - Accent6 5 6 3 2 5" xfId="9293" xr:uid="{00000000-0005-0000-0000-000020130000}"/>
    <cellStyle name="20% - Accent6 5 6 3 3" xfId="9294" xr:uid="{00000000-0005-0000-0000-000021130000}"/>
    <cellStyle name="20% - Accent6 5 6 3 3 2" xfId="9295" xr:uid="{00000000-0005-0000-0000-000022130000}"/>
    <cellStyle name="20% - Accent6 5 6 3 3 2 2" xfId="9296" xr:uid="{00000000-0005-0000-0000-000023130000}"/>
    <cellStyle name="20% - Accent6 5 6 3 3 3" xfId="9297" xr:uid="{00000000-0005-0000-0000-000024130000}"/>
    <cellStyle name="20% - Accent6 5 6 3 4" xfId="9298" xr:uid="{00000000-0005-0000-0000-000025130000}"/>
    <cellStyle name="20% - Accent6 5 6 3 4 2" xfId="9299" xr:uid="{00000000-0005-0000-0000-000026130000}"/>
    <cellStyle name="20% - Accent6 5 6 3 5" xfId="9300" xr:uid="{00000000-0005-0000-0000-000027130000}"/>
    <cellStyle name="20% - Accent6 5 6 3 5 2" xfId="9301" xr:uid="{00000000-0005-0000-0000-000028130000}"/>
    <cellStyle name="20% - Accent6 5 6 3 6" xfId="9302" xr:uid="{00000000-0005-0000-0000-000029130000}"/>
    <cellStyle name="20% - Accent6 5 6 4" xfId="9303" xr:uid="{00000000-0005-0000-0000-00002A130000}"/>
    <cellStyle name="20% - Accent6 5 6 4 2" xfId="9304" xr:uid="{00000000-0005-0000-0000-00002B130000}"/>
    <cellStyle name="20% - Accent6 5 6 4 2 2" xfId="9305" xr:uid="{00000000-0005-0000-0000-00002C130000}"/>
    <cellStyle name="20% - Accent6 5 6 4 3" xfId="9306" xr:uid="{00000000-0005-0000-0000-00002D130000}"/>
    <cellStyle name="20% - Accent6 5 6 4 3 2" xfId="9307" xr:uid="{00000000-0005-0000-0000-00002E130000}"/>
    <cellStyle name="20% - Accent6 5 6 4 4" xfId="9308" xr:uid="{00000000-0005-0000-0000-00002F130000}"/>
    <cellStyle name="20% - Accent6 5 6 5" xfId="9309" xr:uid="{00000000-0005-0000-0000-000030130000}"/>
    <cellStyle name="20% - Accent6 5 6 5 2" xfId="9310" xr:uid="{00000000-0005-0000-0000-000031130000}"/>
    <cellStyle name="20% - Accent6 5 6 5 3" xfId="9311" xr:uid="{00000000-0005-0000-0000-000032130000}"/>
    <cellStyle name="20% - Accent6 5 6 6" xfId="9312" xr:uid="{00000000-0005-0000-0000-000033130000}"/>
    <cellStyle name="20% - Accent6 5 6 6 2" xfId="9313" xr:uid="{00000000-0005-0000-0000-000034130000}"/>
    <cellStyle name="20% - Accent6 5 6 6 3" xfId="9314" xr:uid="{00000000-0005-0000-0000-000035130000}"/>
    <cellStyle name="20% - Accent6 5 6 7" xfId="9315" xr:uid="{00000000-0005-0000-0000-000036130000}"/>
    <cellStyle name="20% - Accent6 5 6 7 2" xfId="9316" xr:uid="{00000000-0005-0000-0000-000037130000}"/>
    <cellStyle name="20% - Accent6 5 6 7 3" xfId="9317" xr:uid="{00000000-0005-0000-0000-000038130000}"/>
    <cellStyle name="20% - Accent6 5 6 8" xfId="9318" xr:uid="{00000000-0005-0000-0000-000039130000}"/>
    <cellStyle name="20% - Accent6 5 7" xfId="9319" xr:uid="{00000000-0005-0000-0000-00003A130000}"/>
    <cellStyle name="20% - Accent6 5 7 2" xfId="9320" xr:uid="{00000000-0005-0000-0000-00003B130000}"/>
    <cellStyle name="20% - Accent6 5 7 2 2" xfId="9321" xr:uid="{00000000-0005-0000-0000-00003C130000}"/>
    <cellStyle name="20% - Accent6 5 7 2 2 2" xfId="9322" xr:uid="{00000000-0005-0000-0000-00003D130000}"/>
    <cellStyle name="20% - Accent6 5 7 2 3" xfId="9323" xr:uid="{00000000-0005-0000-0000-00003E130000}"/>
    <cellStyle name="20% - Accent6 5 7 2 3 2" xfId="9324" xr:uid="{00000000-0005-0000-0000-00003F130000}"/>
    <cellStyle name="20% - Accent6 5 7 2 4" xfId="9325" xr:uid="{00000000-0005-0000-0000-000040130000}"/>
    <cellStyle name="20% - Accent6 5 7 2 4 2" xfId="9326" xr:uid="{00000000-0005-0000-0000-000041130000}"/>
    <cellStyle name="20% - Accent6 5 7 2 5" xfId="9327" xr:uid="{00000000-0005-0000-0000-000042130000}"/>
    <cellStyle name="20% - Accent6 5 7 3" xfId="9328" xr:uid="{00000000-0005-0000-0000-000043130000}"/>
    <cellStyle name="20% - Accent6 5 7 3 2" xfId="9329" xr:uid="{00000000-0005-0000-0000-000044130000}"/>
    <cellStyle name="20% - Accent6 5 7 3 2 2" xfId="9330" xr:uid="{00000000-0005-0000-0000-000045130000}"/>
    <cellStyle name="20% - Accent6 5 7 3 3" xfId="9331" xr:uid="{00000000-0005-0000-0000-000046130000}"/>
    <cellStyle name="20% - Accent6 5 7 3 3 2" xfId="9332" xr:uid="{00000000-0005-0000-0000-000047130000}"/>
    <cellStyle name="20% - Accent6 5 7 3 4" xfId="9333" xr:uid="{00000000-0005-0000-0000-000048130000}"/>
    <cellStyle name="20% - Accent6 5 7 4" xfId="9334" xr:uid="{00000000-0005-0000-0000-000049130000}"/>
    <cellStyle name="20% - Accent6 5 7 4 2" xfId="9335" xr:uid="{00000000-0005-0000-0000-00004A130000}"/>
    <cellStyle name="20% - Accent6 5 7 5" xfId="9336" xr:uid="{00000000-0005-0000-0000-00004B130000}"/>
    <cellStyle name="20% - Accent6 5 7 5 2" xfId="9337" xr:uid="{00000000-0005-0000-0000-00004C130000}"/>
    <cellStyle name="20% - Accent6 5 7 6" xfId="9338" xr:uid="{00000000-0005-0000-0000-00004D130000}"/>
    <cellStyle name="20% - Accent6 5 7 7" xfId="9339" xr:uid="{00000000-0005-0000-0000-00004E130000}"/>
    <cellStyle name="20% - Accent6 5 8" xfId="9340" xr:uid="{00000000-0005-0000-0000-00004F130000}"/>
    <cellStyle name="20% - Accent6 5 8 2" xfId="9341" xr:uid="{00000000-0005-0000-0000-000050130000}"/>
    <cellStyle name="20% - Accent6 5 8 2 2" xfId="9342" xr:uid="{00000000-0005-0000-0000-000051130000}"/>
    <cellStyle name="20% - Accent6 5 8 2 2 2" xfId="9343" xr:uid="{00000000-0005-0000-0000-000052130000}"/>
    <cellStyle name="20% - Accent6 5 8 2 3" xfId="9344" xr:uid="{00000000-0005-0000-0000-000053130000}"/>
    <cellStyle name="20% - Accent6 5 8 2 3 2" xfId="9345" xr:uid="{00000000-0005-0000-0000-000054130000}"/>
    <cellStyle name="20% - Accent6 5 8 2 4" xfId="9346" xr:uid="{00000000-0005-0000-0000-000055130000}"/>
    <cellStyle name="20% - Accent6 5 8 3" xfId="9347" xr:uid="{00000000-0005-0000-0000-000056130000}"/>
    <cellStyle name="20% - Accent6 5 8 3 2" xfId="9348" xr:uid="{00000000-0005-0000-0000-000057130000}"/>
    <cellStyle name="20% - Accent6 5 8 4" xfId="9349" xr:uid="{00000000-0005-0000-0000-000058130000}"/>
    <cellStyle name="20% - Accent6 5 9" xfId="9350" xr:uid="{00000000-0005-0000-0000-000059130000}"/>
    <cellStyle name="20% - Accent6 5 9 2" xfId="9351" xr:uid="{00000000-0005-0000-0000-00005A130000}"/>
    <cellStyle name="20% - Accent6 6" xfId="4390" xr:uid="{00000000-0005-0000-0000-00005B130000}"/>
    <cellStyle name="20% - Accent6 6 10" xfId="9352" xr:uid="{00000000-0005-0000-0000-00005C130000}"/>
    <cellStyle name="20% - Accent6 6 2" xfId="4389" xr:uid="{00000000-0005-0000-0000-00005D130000}"/>
    <cellStyle name="20% - Accent6 6 2 2" xfId="4388" xr:uid="{00000000-0005-0000-0000-00005E130000}"/>
    <cellStyle name="20% - Accent6 6 2 2 2" xfId="4387" xr:uid="{00000000-0005-0000-0000-00005F130000}"/>
    <cellStyle name="20% - Accent6 6 2 2 3" xfId="4386" xr:uid="{00000000-0005-0000-0000-000060130000}"/>
    <cellStyle name="20% - Accent6 6 2 3" xfId="4385" xr:uid="{00000000-0005-0000-0000-000061130000}"/>
    <cellStyle name="20% - Accent6 6 2 4" xfId="4384" xr:uid="{00000000-0005-0000-0000-000062130000}"/>
    <cellStyle name="20% - Accent6 6 2 5" xfId="9353" xr:uid="{00000000-0005-0000-0000-000063130000}"/>
    <cellStyle name="20% - Accent6 6 2 5 2" xfId="9354" xr:uid="{00000000-0005-0000-0000-000064130000}"/>
    <cellStyle name="20% - Accent6 6 2 5 2 2" xfId="9355" xr:uid="{00000000-0005-0000-0000-000065130000}"/>
    <cellStyle name="20% - Accent6 6 2 5 3" xfId="9356" xr:uid="{00000000-0005-0000-0000-000066130000}"/>
    <cellStyle name="20% - Accent6 6 2 5 3 2" xfId="9357" xr:uid="{00000000-0005-0000-0000-000067130000}"/>
    <cellStyle name="20% - Accent6 6 2 5 4" xfId="9358" xr:uid="{00000000-0005-0000-0000-000068130000}"/>
    <cellStyle name="20% - Accent6 6 2 5 5" xfId="9359" xr:uid="{00000000-0005-0000-0000-000069130000}"/>
    <cellStyle name="20% - Accent6 6 2 6" xfId="9360" xr:uid="{00000000-0005-0000-0000-00006A130000}"/>
    <cellStyle name="20% - Accent6 6 2 6 2" xfId="9361" xr:uid="{00000000-0005-0000-0000-00006B130000}"/>
    <cellStyle name="20% - Accent6 6 2 7" xfId="9362" xr:uid="{00000000-0005-0000-0000-00006C130000}"/>
    <cellStyle name="20% - Accent6 6 2 7 2" xfId="9363" xr:uid="{00000000-0005-0000-0000-00006D130000}"/>
    <cellStyle name="20% - Accent6 6 2 8" xfId="9364" xr:uid="{00000000-0005-0000-0000-00006E130000}"/>
    <cellStyle name="20% - Accent6 6 2 8 2" xfId="9365" xr:uid="{00000000-0005-0000-0000-00006F130000}"/>
    <cellStyle name="20% - Accent6 6 2 9" xfId="9366" xr:uid="{00000000-0005-0000-0000-000070130000}"/>
    <cellStyle name="20% - Accent6 6 3" xfId="4383" xr:uid="{00000000-0005-0000-0000-000071130000}"/>
    <cellStyle name="20% - Accent6 6 3 2" xfId="4382" xr:uid="{00000000-0005-0000-0000-000072130000}"/>
    <cellStyle name="20% - Accent6 6 3 3" xfId="4381" xr:uid="{00000000-0005-0000-0000-000073130000}"/>
    <cellStyle name="20% - Accent6 6 3 4" xfId="9367" xr:uid="{00000000-0005-0000-0000-000074130000}"/>
    <cellStyle name="20% - Accent6 6 3 4 2" xfId="9368" xr:uid="{00000000-0005-0000-0000-000075130000}"/>
    <cellStyle name="20% - Accent6 6 3 5" xfId="9369" xr:uid="{00000000-0005-0000-0000-000076130000}"/>
    <cellStyle name="20% - Accent6 6 3 5 2" xfId="9370" xr:uid="{00000000-0005-0000-0000-000077130000}"/>
    <cellStyle name="20% - Accent6 6 4" xfId="4380" xr:uid="{00000000-0005-0000-0000-000078130000}"/>
    <cellStyle name="20% - Accent6 6 4 2" xfId="4379" xr:uid="{00000000-0005-0000-0000-000079130000}"/>
    <cellStyle name="20% - Accent6 6 4 2 2" xfId="9371" xr:uid="{00000000-0005-0000-0000-00007A130000}"/>
    <cellStyle name="20% - Accent6 6 4 2 2 2" xfId="9372" xr:uid="{00000000-0005-0000-0000-00007B130000}"/>
    <cellStyle name="20% - Accent6 6 4 2 2 2 2" xfId="9373" xr:uid="{00000000-0005-0000-0000-00007C130000}"/>
    <cellStyle name="20% - Accent6 6 4 2 2 3" xfId="9374" xr:uid="{00000000-0005-0000-0000-00007D130000}"/>
    <cellStyle name="20% - Accent6 6 4 2 2 3 2" xfId="9375" xr:uid="{00000000-0005-0000-0000-00007E130000}"/>
    <cellStyle name="20% - Accent6 6 4 2 2 4" xfId="9376" xr:uid="{00000000-0005-0000-0000-00007F130000}"/>
    <cellStyle name="20% - Accent6 6 4 2 2 5" xfId="9377" xr:uid="{00000000-0005-0000-0000-000080130000}"/>
    <cellStyle name="20% - Accent6 6 4 2 3" xfId="9378" xr:uid="{00000000-0005-0000-0000-000081130000}"/>
    <cellStyle name="20% - Accent6 6 4 2 3 2" xfId="9379" xr:uid="{00000000-0005-0000-0000-000082130000}"/>
    <cellStyle name="20% - Accent6 6 4 2 3 2 2" xfId="9380" xr:uid="{00000000-0005-0000-0000-000083130000}"/>
    <cellStyle name="20% - Accent6 6 4 2 3 3" xfId="9381" xr:uid="{00000000-0005-0000-0000-000084130000}"/>
    <cellStyle name="20% - Accent6 6 4 2 4" xfId="9382" xr:uid="{00000000-0005-0000-0000-000085130000}"/>
    <cellStyle name="20% - Accent6 6 4 2 4 2" xfId="9383" xr:uid="{00000000-0005-0000-0000-000086130000}"/>
    <cellStyle name="20% - Accent6 6 4 2 5" xfId="9384" xr:uid="{00000000-0005-0000-0000-000087130000}"/>
    <cellStyle name="20% - Accent6 6 4 2 5 2" xfId="9385" xr:uid="{00000000-0005-0000-0000-000088130000}"/>
    <cellStyle name="20% - Accent6 6 4 2 6" xfId="9386" xr:uid="{00000000-0005-0000-0000-000089130000}"/>
    <cellStyle name="20% - Accent6 6 4 3" xfId="4378" xr:uid="{00000000-0005-0000-0000-00008A130000}"/>
    <cellStyle name="20% - Accent6 6 4 3 2" xfId="9387" xr:uid="{00000000-0005-0000-0000-00008B130000}"/>
    <cellStyle name="20% - Accent6 6 4 3 2 2" xfId="9388" xr:uid="{00000000-0005-0000-0000-00008C130000}"/>
    <cellStyle name="20% - Accent6 6 4 3 3" xfId="9389" xr:uid="{00000000-0005-0000-0000-00008D130000}"/>
    <cellStyle name="20% - Accent6 6 4 3 3 2" xfId="9390" xr:uid="{00000000-0005-0000-0000-00008E130000}"/>
    <cellStyle name="20% - Accent6 6 4 3 4" xfId="9391" xr:uid="{00000000-0005-0000-0000-00008F130000}"/>
    <cellStyle name="20% - Accent6 6 4 4" xfId="9392" xr:uid="{00000000-0005-0000-0000-000090130000}"/>
    <cellStyle name="20% - Accent6 6 4 4 2" xfId="9393" xr:uid="{00000000-0005-0000-0000-000091130000}"/>
    <cellStyle name="20% - Accent6 6 4 4 3" xfId="9394" xr:uid="{00000000-0005-0000-0000-000092130000}"/>
    <cellStyle name="20% - Accent6 6 4 5" xfId="9395" xr:uid="{00000000-0005-0000-0000-000093130000}"/>
    <cellStyle name="20% - Accent6 6 4 5 2" xfId="9396" xr:uid="{00000000-0005-0000-0000-000094130000}"/>
    <cellStyle name="20% - Accent6 6 4 5 3" xfId="9397" xr:uid="{00000000-0005-0000-0000-000095130000}"/>
    <cellStyle name="20% - Accent6 6 4 6" xfId="9398" xr:uid="{00000000-0005-0000-0000-000096130000}"/>
    <cellStyle name="20% - Accent6 6 4 6 2" xfId="9399" xr:uid="{00000000-0005-0000-0000-000097130000}"/>
    <cellStyle name="20% - Accent6 6 4 6 3" xfId="9400" xr:uid="{00000000-0005-0000-0000-000098130000}"/>
    <cellStyle name="20% - Accent6 6 4 7" xfId="9401" xr:uid="{00000000-0005-0000-0000-000099130000}"/>
    <cellStyle name="20% - Accent6 6 4 8" xfId="9402" xr:uid="{00000000-0005-0000-0000-00009A130000}"/>
    <cellStyle name="20% - Accent6 6 5" xfId="4377" xr:uid="{00000000-0005-0000-0000-00009B130000}"/>
    <cellStyle name="20% - Accent6 6 5 2" xfId="9403" xr:uid="{00000000-0005-0000-0000-00009C130000}"/>
    <cellStyle name="20% - Accent6 6 5 2 2" xfId="9404" xr:uid="{00000000-0005-0000-0000-00009D130000}"/>
    <cellStyle name="20% - Accent6 6 5 2 2 2" xfId="9405" xr:uid="{00000000-0005-0000-0000-00009E130000}"/>
    <cellStyle name="20% - Accent6 6 5 2 3" xfId="9406" xr:uid="{00000000-0005-0000-0000-00009F130000}"/>
    <cellStyle name="20% - Accent6 6 5 2 3 2" xfId="9407" xr:uid="{00000000-0005-0000-0000-0000A0130000}"/>
    <cellStyle name="20% - Accent6 6 5 2 4" xfId="9408" xr:uid="{00000000-0005-0000-0000-0000A1130000}"/>
    <cellStyle name="20% - Accent6 6 5 3" xfId="9409" xr:uid="{00000000-0005-0000-0000-0000A2130000}"/>
    <cellStyle name="20% - Accent6 6 5 3 2" xfId="9410" xr:uid="{00000000-0005-0000-0000-0000A3130000}"/>
    <cellStyle name="20% - Accent6 6 5 3 3" xfId="9411" xr:uid="{00000000-0005-0000-0000-0000A4130000}"/>
    <cellStyle name="20% - Accent6 6 5 4" xfId="9412" xr:uid="{00000000-0005-0000-0000-0000A5130000}"/>
    <cellStyle name="20% - Accent6 6 5 4 2" xfId="9413" xr:uid="{00000000-0005-0000-0000-0000A6130000}"/>
    <cellStyle name="20% - Accent6 6 5 4 3" xfId="9414" xr:uid="{00000000-0005-0000-0000-0000A7130000}"/>
    <cellStyle name="20% - Accent6 6 5 5" xfId="9415" xr:uid="{00000000-0005-0000-0000-0000A8130000}"/>
    <cellStyle name="20% - Accent6 6 5 5 2" xfId="9416" xr:uid="{00000000-0005-0000-0000-0000A9130000}"/>
    <cellStyle name="20% - Accent6 6 5 5 3" xfId="9417" xr:uid="{00000000-0005-0000-0000-0000AA130000}"/>
    <cellStyle name="20% - Accent6 6 5 6" xfId="9418" xr:uid="{00000000-0005-0000-0000-0000AB130000}"/>
    <cellStyle name="20% - Accent6 6 6" xfId="4376" xr:uid="{00000000-0005-0000-0000-0000AC130000}"/>
    <cellStyle name="20% - Accent6 6 7" xfId="9419" xr:uid="{00000000-0005-0000-0000-0000AD130000}"/>
    <cellStyle name="20% - Accent6 6 7 2" xfId="9420" xr:uid="{00000000-0005-0000-0000-0000AE130000}"/>
    <cellStyle name="20% - Accent6 6 7 2 2" xfId="9421" xr:uid="{00000000-0005-0000-0000-0000AF130000}"/>
    <cellStyle name="20% - Accent6 6 7 3" xfId="9422" xr:uid="{00000000-0005-0000-0000-0000B0130000}"/>
    <cellStyle name="20% - Accent6 6 7 3 2" xfId="9423" xr:uid="{00000000-0005-0000-0000-0000B1130000}"/>
    <cellStyle name="20% - Accent6 6 7 4" xfId="9424" xr:uid="{00000000-0005-0000-0000-0000B2130000}"/>
    <cellStyle name="20% - Accent6 6 7 5" xfId="9425" xr:uid="{00000000-0005-0000-0000-0000B3130000}"/>
    <cellStyle name="20% - Accent6 6 8" xfId="9426" xr:uid="{00000000-0005-0000-0000-0000B4130000}"/>
    <cellStyle name="20% - Accent6 6 8 2" xfId="9427" xr:uid="{00000000-0005-0000-0000-0000B5130000}"/>
    <cellStyle name="20% - Accent6 6 8 2 2" xfId="9428" xr:uid="{00000000-0005-0000-0000-0000B6130000}"/>
    <cellStyle name="20% - Accent6 6 8 3" xfId="9429" xr:uid="{00000000-0005-0000-0000-0000B7130000}"/>
    <cellStyle name="20% - Accent6 6 9" xfId="9430" xr:uid="{00000000-0005-0000-0000-0000B8130000}"/>
    <cellStyle name="20% - Accent6 6 9 2" xfId="9431" xr:uid="{00000000-0005-0000-0000-0000B9130000}"/>
    <cellStyle name="20% - Accent6 7" xfId="4375" xr:uid="{00000000-0005-0000-0000-0000BA130000}"/>
    <cellStyle name="20% - Accent6 7 2" xfId="4374" xr:uid="{00000000-0005-0000-0000-0000BB130000}"/>
    <cellStyle name="20% - Accent6 7 2 2" xfId="4373" xr:uid="{00000000-0005-0000-0000-0000BC130000}"/>
    <cellStyle name="20% - Accent6 7 2 2 2" xfId="4372" xr:uid="{00000000-0005-0000-0000-0000BD130000}"/>
    <cellStyle name="20% - Accent6 7 2 2 2 2" xfId="9432" xr:uid="{00000000-0005-0000-0000-0000BE130000}"/>
    <cellStyle name="20% - Accent6 7 2 2 3" xfId="4371" xr:uid="{00000000-0005-0000-0000-0000BF130000}"/>
    <cellStyle name="20% - Accent6 7 2 2 3 2" xfId="9433" xr:uid="{00000000-0005-0000-0000-0000C0130000}"/>
    <cellStyle name="20% - Accent6 7 2 2 4" xfId="9434" xr:uid="{00000000-0005-0000-0000-0000C1130000}"/>
    <cellStyle name="20% - Accent6 7 2 3" xfId="4370" xr:uid="{00000000-0005-0000-0000-0000C2130000}"/>
    <cellStyle name="20% - Accent6 7 2 3 2" xfId="9435" xr:uid="{00000000-0005-0000-0000-0000C3130000}"/>
    <cellStyle name="20% - Accent6 7 2 3 2 2" xfId="9436" xr:uid="{00000000-0005-0000-0000-0000C4130000}"/>
    <cellStyle name="20% - Accent6 7 2 3 3" xfId="9437" xr:uid="{00000000-0005-0000-0000-0000C5130000}"/>
    <cellStyle name="20% - Accent6 7 2 4" xfId="4369" xr:uid="{00000000-0005-0000-0000-0000C6130000}"/>
    <cellStyle name="20% - Accent6 7 2 4 2" xfId="9438" xr:uid="{00000000-0005-0000-0000-0000C7130000}"/>
    <cellStyle name="20% - Accent6 7 2 4 2 2" xfId="9439" xr:uid="{00000000-0005-0000-0000-0000C8130000}"/>
    <cellStyle name="20% - Accent6 7 2 4 3" xfId="9440" xr:uid="{00000000-0005-0000-0000-0000C9130000}"/>
    <cellStyle name="20% - Accent6 7 2 4 3 2" xfId="9441" xr:uid="{00000000-0005-0000-0000-0000CA130000}"/>
    <cellStyle name="20% - Accent6 7 2 4 4" xfId="9442" xr:uid="{00000000-0005-0000-0000-0000CB130000}"/>
    <cellStyle name="20% - Accent6 7 2 5" xfId="9443" xr:uid="{00000000-0005-0000-0000-0000CC130000}"/>
    <cellStyle name="20% - Accent6 7 2 5 2" xfId="9444" xr:uid="{00000000-0005-0000-0000-0000CD130000}"/>
    <cellStyle name="20% - Accent6 7 2 5 2 2" xfId="9445" xr:uid="{00000000-0005-0000-0000-0000CE130000}"/>
    <cellStyle name="20% - Accent6 7 2 6" xfId="9446" xr:uid="{00000000-0005-0000-0000-0000CF130000}"/>
    <cellStyle name="20% - Accent6 7 3" xfId="4368" xr:uid="{00000000-0005-0000-0000-0000D0130000}"/>
    <cellStyle name="20% - Accent6 7 3 2" xfId="4367" xr:uid="{00000000-0005-0000-0000-0000D1130000}"/>
    <cellStyle name="20% - Accent6 7 3 2 2" xfId="9447" xr:uid="{00000000-0005-0000-0000-0000D2130000}"/>
    <cellStyle name="20% - Accent6 7 3 2 2 2" xfId="9448" xr:uid="{00000000-0005-0000-0000-0000D3130000}"/>
    <cellStyle name="20% - Accent6 7 3 2 3" xfId="9449" xr:uid="{00000000-0005-0000-0000-0000D4130000}"/>
    <cellStyle name="20% - Accent6 7 3 2 3 2" xfId="9450" xr:uid="{00000000-0005-0000-0000-0000D5130000}"/>
    <cellStyle name="20% - Accent6 7 3 2 4" xfId="9451" xr:uid="{00000000-0005-0000-0000-0000D6130000}"/>
    <cellStyle name="20% - Accent6 7 3 3" xfId="4366" xr:uid="{00000000-0005-0000-0000-0000D7130000}"/>
    <cellStyle name="20% - Accent6 7 3 3 2" xfId="9452" xr:uid="{00000000-0005-0000-0000-0000D8130000}"/>
    <cellStyle name="20% - Accent6 7 3 3 2 2" xfId="9453" xr:uid="{00000000-0005-0000-0000-0000D9130000}"/>
    <cellStyle name="20% - Accent6 7 3 3 3" xfId="9454" xr:uid="{00000000-0005-0000-0000-0000DA130000}"/>
    <cellStyle name="20% - Accent6 7 3 3 3 2" xfId="9455" xr:uid="{00000000-0005-0000-0000-0000DB130000}"/>
    <cellStyle name="20% - Accent6 7 3 3 4" xfId="9456" xr:uid="{00000000-0005-0000-0000-0000DC130000}"/>
    <cellStyle name="20% - Accent6 7 3 4" xfId="9457" xr:uid="{00000000-0005-0000-0000-0000DD130000}"/>
    <cellStyle name="20% - Accent6 7 4" xfId="4365" xr:uid="{00000000-0005-0000-0000-0000DE130000}"/>
    <cellStyle name="20% - Accent6 7 4 2" xfId="4364" xr:uid="{00000000-0005-0000-0000-0000DF130000}"/>
    <cellStyle name="20% - Accent6 7 4 2 2" xfId="9458" xr:uid="{00000000-0005-0000-0000-0000E0130000}"/>
    <cellStyle name="20% - Accent6 7 4 3" xfId="4363" xr:uid="{00000000-0005-0000-0000-0000E1130000}"/>
    <cellStyle name="20% - Accent6 7 4 3 2" xfId="9459" xr:uid="{00000000-0005-0000-0000-0000E2130000}"/>
    <cellStyle name="20% - Accent6 7 4 4" xfId="9460" xr:uid="{00000000-0005-0000-0000-0000E3130000}"/>
    <cellStyle name="20% - Accent6 7 4 4 2" xfId="9461" xr:uid="{00000000-0005-0000-0000-0000E4130000}"/>
    <cellStyle name="20% - Accent6 7 4 5" xfId="9462" xr:uid="{00000000-0005-0000-0000-0000E5130000}"/>
    <cellStyle name="20% - Accent6 7 5" xfId="4362" xr:uid="{00000000-0005-0000-0000-0000E6130000}"/>
    <cellStyle name="20% - Accent6 7 5 2" xfId="9463" xr:uid="{00000000-0005-0000-0000-0000E7130000}"/>
    <cellStyle name="20% - Accent6 7 5 2 2" xfId="9464" xr:uid="{00000000-0005-0000-0000-0000E8130000}"/>
    <cellStyle name="20% - Accent6 7 5 2 2 2" xfId="9465" xr:uid="{00000000-0005-0000-0000-0000E9130000}"/>
    <cellStyle name="20% - Accent6 7 5 3" xfId="9466" xr:uid="{00000000-0005-0000-0000-0000EA130000}"/>
    <cellStyle name="20% - Accent6 7 5 3 2" xfId="9467" xr:uid="{00000000-0005-0000-0000-0000EB130000}"/>
    <cellStyle name="20% - Accent6 7 5 4" xfId="9468" xr:uid="{00000000-0005-0000-0000-0000EC130000}"/>
    <cellStyle name="20% - Accent6 7 6" xfId="4361" xr:uid="{00000000-0005-0000-0000-0000ED130000}"/>
    <cellStyle name="20% - Accent6 7 6 2" xfId="9469" xr:uid="{00000000-0005-0000-0000-0000EE130000}"/>
    <cellStyle name="20% - Accent6 7 7" xfId="9470" xr:uid="{00000000-0005-0000-0000-0000EF130000}"/>
    <cellStyle name="20% - Accent6 7 7 2" xfId="9471" xr:uid="{00000000-0005-0000-0000-0000F0130000}"/>
    <cellStyle name="20% - Accent6 7 8" xfId="9472" xr:uid="{00000000-0005-0000-0000-0000F1130000}"/>
    <cellStyle name="20% - Accent6 7 8 2" xfId="9473" xr:uid="{00000000-0005-0000-0000-0000F2130000}"/>
    <cellStyle name="20% - Accent6 7 9" xfId="9474" xr:uid="{00000000-0005-0000-0000-0000F3130000}"/>
    <cellStyle name="20% - Accent6 8" xfId="4360" xr:uid="{00000000-0005-0000-0000-0000F4130000}"/>
    <cellStyle name="20% - Accent6 8 2" xfId="4359" xr:uid="{00000000-0005-0000-0000-0000F5130000}"/>
    <cellStyle name="20% - Accent6 8 2 2" xfId="4358" xr:uid="{00000000-0005-0000-0000-0000F6130000}"/>
    <cellStyle name="20% - Accent6 8 2 2 2" xfId="4357" xr:uid="{00000000-0005-0000-0000-0000F7130000}"/>
    <cellStyle name="20% - Accent6 8 2 2 2 2" xfId="9475" xr:uid="{00000000-0005-0000-0000-0000F8130000}"/>
    <cellStyle name="20% - Accent6 8 2 2 3" xfId="4356" xr:uid="{00000000-0005-0000-0000-0000F9130000}"/>
    <cellStyle name="20% - Accent6 8 2 2 3 2" xfId="9476" xr:uid="{00000000-0005-0000-0000-0000FA130000}"/>
    <cellStyle name="20% - Accent6 8 2 2 4" xfId="9477" xr:uid="{00000000-0005-0000-0000-0000FB130000}"/>
    <cellStyle name="20% - Accent6 8 2 3" xfId="4355" xr:uid="{00000000-0005-0000-0000-0000FC130000}"/>
    <cellStyle name="20% - Accent6 8 2 3 2" xfId="9478" xr:uid="{00000000-0005-0000-0000-0000FD130000}"/>
    <cellStyle name="20% - Accent6 8 2 3 2 2" xfId="9479" xr:uid="{00000000-0005-0000-0000-0000FE130000}"/>
    <cellStyle name="20% - Accent6 8 2 3 3" xfId="9480" xr:uid="{00000000-0005-0000-0000-0000FF130000}"/>
    <cellStyle name="20% - Accent6 8 2 4" xfId="4354" xr:uid="{00000000-0005-0000-0000-000000140000}"/>
    <cellStyle name="20% - Accent6 8 2 4 2" xfId="9481" xr:uid="{00000000-0005-0000-0000-000001140000}"/>
    <cellStyle name="20% - Accent6 8 2 4 2 2" xfId="9482" xr:uid="{00000000-0005-0000-0000-000002140000}"/>
    <cellStyle name="20% - Accent6 8 2 4 3" xfId="9483" xr:uid="{00000000-0005-0000-0000-000003140000}"/>
    <cellStyle name="20% - Accent6 8 2 4 3 2" xfId="9484" xr:uid="{00000000-0005-0000-0000-000004140000}"/>
    <cellStyle name="20% - Accent6 8 2 4 4" xfId="9485" xr:uid="{00000000-0005-0000-0000-000005140000}"/>
    <cellStyle name="20% - Accent6 8 2 5" xfId="9486" xr:uid="{00000000-0005-0000-0000-000006140000}"/>
    <cellStyle name="20% - Accent6 8 2 5 2" xfId="9487" xr:uid="{00000000-0005-0000-0000-000007140000}"/>
    <cellStyle name="20% - Accent6 8 2 6" xfId="9488" xr:uid="{00000000-0005-0000-0000-000008140000}"/>
    <cellStyle name="20% - Accent6 8 3" xfId="4353" xr:uid="{00000000-0005-0000-0000-000009140000}"/>
    <cellStyle name="20% - Accent6 8 3 2" xfId="4352" xr:uid="{00000000-0005-0000-0000-00000A140000}"/>
    <cellStyle name="20% - Accent6 8 3 2 2" xfId="9489" xr:uid="{00000000-0005-0000-0000-00000B140000}"/>
    <cellStyle name="20% - Accent6 8 3 2 2 2" xfId="9490" xr:uid="{00000000-0005-0000-0000-00000C140000}"/>
    <cellStyle name="20% - Accent6 8 3 2 3" xfId="9491" xr:uid="{00000000-0005-0000-0000-00000D140000}"/>
    <cellStyle name="20% - Accent6 8 3 2 3 2" xfId="9492" xr:uid="{00000000-0005-0000-0000-00000E140000}"/>
    <cellStyle name="20% - Accent6 8 3 2 4" xfId="9493" xr:uid="{00000000-0005-0000-0000-00000F140000}"/>
    <cellStyle name="20% - Accent6 8 3 3" xfId="4351" xr:uid="{00000000-0005-0000-0000-000010140000}"/>
    <cellStyle name="20% - Accent6 8 3 3 2" xfId="9494" xr:uid="{00000000-0005-0000-0000-000011140000}"/>
    <cellStyle name="20% - Accent6 8 3 3 2 2" xfId="9495" xr:uid="{00000000-0005-0000-0000-000012140000}"/>
    <cellStyle name="20% - Accent6 8 3 3 3" xfId="9496" xr:uid="{00000000-0005-0000-0000-000013140000}"/>
    <cellStyle name="20% - Accent6 8 3 3 3 2" xfId="9497" xr:uid="{00000000-0005-0000-0000-000014140000}"/>
    <cellStyle name="20% - Accent6 8 3 3 4" xfId="9498" xr:uid="{00000000-0005-0000-0000-000015140000}"/>
    <cellStyle name="20% - Accent6 8 3 4" xfId="9499" xr:uid="{00000000-0005-0000-0000-000016140000}"/>
    <cellStyle name="20% - Accent6 8 3 4 2" xfId="9500" xr:uid="{00000000-0005-0000-0000-000017140000}"/>
    <cellStyle name="20% - Accent6 8 3 5" xfId="9501" xr:uid="{00000000-0005-0000-0000-000018140000}"/>
    <cellStyle name="20% - Accent6 8 3 5 2" xfId="9502" xr:uid="{00000000-0005-0000-0000-000019140000}"/>
    <cellStyle name="20% - Accent6 8 3 6" xfId="9503" xr:uid="{00000000-0005-0000-0000-00001A140000}"/>
    <cellStyle name="20% - Accent6 8 4" xfId="4350" xr:uid="{00000000-0005-0000-0000-00001B140000}"/>
    <cellStyle name="20% - Accent6 8 4 2" xfId="4349" xr:uid="{00000000-0005-0000-0000-00001C140000}"/>
    <cellStyle name="20% - Accent6 8 4 2 2" xfId="9504" xr:uid="{00000000-0005-0000-0000-00001D140000}"/>
    <cellStyle name="20% - Accent6 8 4 3" xfId="4348" xr:uid="{00000000-0005-0000-0000-00001E140000}"/>
    <cellStyle name="20% - Accent6 8 5" xfId="4347" xr:uid="{00000000-0005-0000-0000-00001F140000}"/>
    <cellStyle name="20% - Accent6 8 5 2" xfId="9505" xr:uid="{00000000-0005-0000-0000-000020140000}"/>
    <cellStyle name="20% - Accent6 8 6" xfId="4346" xr:uid="{00000000-0005-0000-0000-000021140000}"/>
    <cellStyle name="20% - Accent6 8 6 2" xfId="9506" xr:uid="{00000000-0005-0000-0000-000022140000}"/>
    <cellStyle name="20% - Accent6 8 7" xfId="9507" xr:uid="{00000000-0005-0000-0000-000023140000}"/>
    <cellStyle name="20% - Accent6 9" xfId="4345" xr:uid="{00000000-0005-0000-0000-000024140000}"/>
    <cellStyle name="20% - Accent6 9 2" xfId="4344" xr:uid="{00000000-0005-0000-0000-000025140000}"/>
    <cellStyle name="20% - Accent6 9 2 2" xfId="4343" xr:uid="{00000000-0005-0000-0000-000026140000}"/>
    <cellStyle name="20% - Accent6 9 2 2 2" xfId="4342" xr:uid="{00000000-0005-0000-0000-000027140000}"/>
    <cellStyle name="20% - Accent6 9 2 2 3" xfId="4341" xr:uid="{00000000-0005-0000-0000-000028140000}"/>
    <cellStyle name="20% - Accent6 9 2 3" xfId="4340" xr:uid="{00000000-0005-0000-0000-000029140000}"/>
    <cellStyle name="20% - Accent6 9 2 3 2" xfId="9508" xr:uid="{00000000-0005-0000-0000-00002A140000}"/>
    <cellStyle name="20% - Accent6 9 2 4" xfId="4339" xr:uid="{00000000-0005-0000-0000-00002B140000}"/>
    <cellStyle name="20% - Accent6 9 2 4 2" xfId="9509" xr:uid="{00000000-0005-0000-0000-00002C140000}"/>
    <cellStyle name="20% - Accent6 9 2 5" xfId="9510" xr:uid="{00000000-0005-0000-0000-00002D140000}"/>
    <cellStyle name="20% - Accent6 9 3" xfId="4338" xr:uid="{00000000-0005-0000-0000-00002E140000}"/>
    <cellStyle name="20% - Accent6 9 3 2" xfId="4337" xr:uid="{00000000-0005-0000-0000-00002F140000}"/>
    <cellStyle name="20% - Accent6 9 3 2 2" xfId="9511" xr:uid="{00000000-0005-0000-0000-000030140000}"/>
    <cellStyle name="20% - Accent6 9 3 3" xfId="4336" xr:uid="{00000000-0005-0000-0000-000031140000}"/>
    <cellStyle name="20% - Accent6 9 3 3 2" xfId="9512" xr:uid="{00000000-0005-0000-0000-000032140000}"/>
    <cellStyle name="20% - Accent6 9 3 4" xfId="9513" xr:uid="{00000000-0005-0000-0000-000033140000}"/>
    <cellStyle name="20% - Accent6 9 4" xfId="4335" xr:uid="{00000000-0005-0000-0000-000034140000}"/>
    <cellStyle name="20% - Accent6 9 4 2" xfId="4334" xr:uid="{00000000-0005-0000-0000-000035140000}"/>
    <cellStyle name="20% - Accent6 9 4 2 2" xfId="9514" xr:uid="{00000000-0005-0000-0000-000036140000}"/>
    <cellStyle name="20% - Accent6 9 4 3" xfId="4333" xr:uid="{00000000-0005-0000-0000-000037140000}"/>
    <cellStyle name="20% - Accent6 9 5" xfId="4332" xr:uid="{00000000-0005-0000-0000-000038140000}"/>
    <cellStyle name="20% - Accent6 9 5 2" xfId="9515" xr:uid="{00000000-0005-0000-0000-000039140000}"/>
    <cellStyle name="20% - Accent6 9 6" xfId="4331" xr:uid="{00000000-0005-0000-0000-00003A140000}"/>
    <cellStyle name="20% - Accent6 9 7" xfId="9516" xr:uid="{00000000-0005-0000-0000-00003B140000}"/>
    <cellStyle name="40% - Accent1 10" xfId="4330" xr:uid="{00000000-0005-0000-0000-00003C140000}"/>
    <cellStyle name="40% - Accent1 10 2" xfId="4329" xr:uid="{00000000-0005-0000-0000-00003D140000}"/>
    <cellStyle name="40% - Accent1 10 2 2" xfId="4328" xr:uid="{00000000-0005-0000-0000-00003E140000}"/>
    <cellStyle name="40% - Accent1 10 2 2 2" xfId="4327" xr:uid="{00000000-0005-0000-0000-00003F140000}"/>
    <cellStyle name="40% - Accent1 10 2 2 3" xfId="4326" xr:uid="{00000000-0005-0000-0000-000040140000}"/>
    <cellStyle name="40% - Accent1 10 2 3" xfId="4325" xr:uid="{00000000-0005-0000-0000-000041140000}"/>
    <cellStyle name="40% - Accent1 10 2 3 2" xfId="9517" xr:uid="{00000000-0005-0000-0000-000042140000}"/>
    <cellStyle name="40% - Accent1 10 2 4" xfId="4324" xr:uid="{00000000-0005-0000-0000-000043140000}"/>
    <cellStyle name="40% - Accent1 10 2 4 2" xfId="9518" xr:uid="{00000000-0005-0000-0000-000044140000}"/>
    <cellStyle name="40% - Accent1 10 2 5" xfId="9519" xr:uid="{00000000-0005-0000-0000-000045140000}"/>
    <cellStyle name="40% - Accent1 10 3" xfId="4323" xr:uid="{00000000-0005-0000-0000-000046140000}"/>
    <cellStyle name="40% - Accent1 10 3 2" xfId="4322" xr:uid="{00000000-0005-0000-0000-000047140000}"/>
    <cellStyle name="40% - Accent1 10 3 2 2" xfId="9520" xr:uid="{00000000-0005-0000-0000-000048140000}"/>
    <cellStyle name="40% - Accent1 10 3 3" xfId="4321" xr:uid="{00000000-0005-0000-0000-000049140000}"/>
    <cellStyle name="40% - Accent1 10 4" xfId="4320" xr:uid="{00000000-0005-0000-0000-00004A140000}"/>
    <cellStyle name="40% - Accent1 10 4 2" xfId="4319" xr:uid="{00000000-0005-0000-0000-00004B140000}"/>
    <cellStyle name="40% - Accent1 10 4 3" xfId="4318" xr:uid="{00000000-0005-0000-0000-00004C140000}"/>
    <cellStyle name="40% - Accent1 10 5" xfId="4317" xr:uid="{00000000-0005-0000-0000-00004D140000}"/>
    <cellStyle name="40% - Accent1 10 5 2" xfId="9521" xr:uid="{00000000-0005-0000-0000-00004E140000}"/>
    <cellStyle name="40% - Accent1 10 6" xfId="4316" xr:uid="{00000000-0005-0000-0000-00004F140000}"/>
    <cellStyle name="40% - Accent1 10 7" xfId="9522" xr:uid="{00000000-0005-0000-0000-000050140000}"/>
    <cellStyle name="40% - Accent1 11" xfId="4315" xr:uid="{00000000-0005-0000-0000-000051140000}"/>
    <cellStyle name="40% - Accent1 11 2" xfId="4314" xr:uid="{00000000-0005-0000-0000-000052140000}"/>
    <cellStyle name="40% - Accent1 11 2 2" xfId="4313" xr:uid="{00000000-0005-0000-0000-000053140000}"/>
    <cellStyle name="40% - Accent1 11 2 2 2" xfId="4312" xr:uid="{00000000-0005-0000-0000-000054140000}"/>
    <cellStyle name="40% - Accent1 11 2 2 3" xfId="4311" xr:uid="{00000000-0005-0000-0000-000055140000}"/>
    <cellStyle name="40% - Accent1 11 2 3" xfId="4310" xr:uid="{00000000-0005-0000-0000-000056140000}"/>
    <cellStyle name="40% - Accent1 11 2 4" xfId="4309" xr:uid="{00000000-0005-0000-0000-000057140000}"/>
    <cellStyle name="40% - Accent1 11 3" xfId="4308" xr:uid="{00000000-0005-0000-0000-000058140000}"/>
    <cellStyle name="40% - Accent1 11 3 2" xfId="4307" xr:uid="{00000000-0005-0000-0000-000059140000}"/>
    <cellStyle name="40% - Accent1 11 3 3" xfId="4306" xr:uid="{00000000-0005-0000-0000-00005A140000}"/>
    <cellStyle name="40% - Accent1 11 4" xfId="4305" xr:uid="{00000000-0005-0000-0000-00005B140000}"/>
    <cellStyle name="40% - Accent1 11 4 2" xfId="4304" xr:uid="{00000000-0005-0000-0000-00005C140000}"/>
    <cellStyle name="40% - Accent1 11 4 3" xfId="4303" xr:uid="{00000000-0005-0000-0000-00005D140000}"/>
    <cellStyle name="40% - Accent1 11 5" xfId="4302" xr:uid="{00000000-0005-0000-0000-00005E140000}"/>
    <cellStyle name="40% - Accent1 11 6" xfId="4301" xr:uid="{00000000-0005-0000-0000-00005F140000}"/>
    <cellStyle name="40% - Accent1 12" xfId="4300" xr:uid="{00000000-0005-0000-0000-000060140000}"/>
    <cellStyle name="40% - Accent1 12 2" xfId="4299" xr:uid="{00000000-0005-0000-0000-000061140000}"/>
    <cellStyle name="40% - Accent1 12 2 2" xfId="4298" xr:uid="{00000000-0005-0000-0000-000062140000}"/>
    <cellStyle name="40% - Accent1 12 2 2 2" xfId="4297" xr:uid="{00000000-0005-0000-0000-000063140000}"/>
    <cellStyle name="40% - Accent1 12 2 2 3" xfId="4296" xr:uid="{00000000-0005-0000-0000-000064140000}"/>
    <cellStyle name="40% - Accent1 12 2 3" xfId="4295" xr:uid="{00000000-0005-0000-0000-000065140000}"/>
    <cellStyle name="40% - Accent1 12 2 4" xfId="4294" xr:uid="{00000000-0005-0000-0000-000066140000}"/>
    <cellStyle name="40% - Accent1 12 3" xfId="4293" xr:uid="{00000000-0005-0000-0000-000067140000}"/>
    <cellStyle name="40% - Accent1 12 3 2" xfId="4292" xr:uid="{00000000-0005-0000-0000-000068140000}"/>
    <cellStyle name="40% - Accent1 12 3 3" xfId="4291" xr:uid="{00000000-0005-0000-0000-000069140000}"/>
    <cellStyle name="40% - Accent1 12 4" xfId="4290" xr:uid="{00000000-0005-0000-0000-00006A140000}"/>
    <cellStyle name="40% - Accent1 12 4 2" xfId="4289" xr:uid="{00000000-0005-0000-0000-00006B140000}"/>
    <cellStyle name="40% - Accent1 12 4 3" xfId="4288" xr:uid="{00000000-0005-0000-0000-00006C140000}"/>
    <cellStyle name="40% - Accent1 12 5" xfId="4287" xr:uid="{00000000-0005-0000-0000-00006D140000}"/>
    <cellStyle name="40% - Accent1 12 6" xfId="4286" xr:uid="{00000000-0005-0000-0000-00006E140000}"/>
    <cellStyle name="40% - Accent1 13" xfId="4285" xr:uid="{00000000-0005-0000-0000-00006F140000}"/>
    <cellStyle name="40% - Accent1 13 2" xfId="4284" xr:uid="{00000000-0005-0000-0000-000070140000}"/>
    <cellStyle name="40% - Accent1 13 2 2" xfId="4283" xr:uid="{00000000-0005-0000-0000-000071140000}"/>
    <cellStyle name="40% - Accent1 13 2 2 2" xfId="4282" xr:uid="{00000000-0005-0000-0000-000072140000}"/>
    <cellStyle name="40% - Accent1 13 2 2 3" xfId="4281" xr:uid="{00000000-0005-0000-0000-000073140000}"/>
    <cellStyle name="40% - Accent1 13 2 3" xfId="4280" xr:uid="{00000000-0005-0000-0000-000074140000}"/>
    <cellStyle name="40% - Accent1 13 2 4" xfId="4279" xr:uid="{00000000-0005-0000-0000-000075140000}"/>
    <cellStyle name="40% - Accent1 13 3" xfId="4278" xr:uid="{00000000-0005-0000-0000-000076140000}"/>
    <cellStyle name="40% - Accent1 13 3 2" xfId="4277" xr:uid="{00000000-0005-0000-0000-000077140000}"/>
    <cellStyle name="40% - Accent1 13 3 3" xfId="4276" xr:uid="{00000000-0005-0000-0000-000078140000}"/>
    <cellStyle name="40% - Accent1 13 4" xfId="4275" xr:uid="{00000000-0005-0000-0000-000079140000}"/>
    <cellStyle name="40% - Accent1 13 4 2" xfId="4274" xr:uid="{00000000-0005-0000-0000-00007A140000}"/>
    <cellStyle name="40% - Accent1 13 4 3" xfId="4273" xr:uid="{00000000-0005-0000-0000-00007B140000}"/>
    <cellStyle name="40% - Accent1 13 5" xfId="4272" xr:uid="{00000000-0005-0000-0000-00007C140000}"/>
    <cellStyle name="40% - Accent1 13 6" xfId="4271" xr:uid="{00000000-0005-0000-0000-00007D140000}"/>
    <cellStyle name="40% - Accent1 14" xfId="4270" xr:uid="{00000000-0005-0000-0000-00007E140000}"/>
    <cellStyle name="40% - Accent1 14 2" xfId="4269" xr:uid="{00000000-0005-0000-0000-00007F140000}"/>
    <cellStyle name="40% - Accent1 14 2 2" xfId="4268" xr:uid="{00000000-0005-0000-0000-000080140000}"/>
    <cellStyle name="40% - Accent1 14 2 2 2" xfId="4267" xr:uid="{00000000-0005-0000-0000-000081140000}"/>
    <cellStyle name="40% - Accent1 14 2 2 3" xfId="4266" xr:uid="{00000000-0005-0000-0000-000082140000}"/>
    <cellStyle name="40% - Accent1 14 2 3" xfId="4265" xr:uid="{00000000-0005-0000-0000-000083140000}"/>
    <cellStyle name="40% - Accent1 14 2 4" xfId="4264" xr:uid="{00000000-0005-0000-0000-000084140000}"/>
    <cellStyle name="40% - Accent1 14 3" xfId="4263" xr:uid="{00000000-0005-0000-0000-000085140000}"/>
    <cellStyle name="40% - Accent1 14 3 2" xfId="4262" xr:uid="{00000000-0005-0000-0000-000086140000}"/>
    <cellStyle name="40% - Accent1 14 3 3" xfId="4261" xr:uid="{00000000-0005-0000-0000-000087140000}"/>
    <cellStyle name="40% - Accent1 14 4" xfId="4260" xr:uid="{00000000-0005-0000-0000-000088140000}"/>
    <cellStyle name="40% - Accent1 14 4 2" xfId="4259" xr:uid="{00000000-0005-0000-0000-000089140000}"/>
    <cellStyle name="40% - Accent1 14 4 3" xfId="4258" xr:uid="{00000000-0005-0000-0000-00008A140000}"/>
    <cellStyle name="40% - Accent1 14 5" xfId="4257" xr:uid="{00000000-0005-0000-0000-00008B140000}"/>
    <cellStyle name="40% - Accent1 14 6" xfId="4256" xr:uid="{00000000-0005-0000-0000-00008C140000}"/>
    <cellStyle name="40% - Accent1 15" xfId="4255" xr:uid="{00000000-0005-0000-0000-00008D140000}"/>
    <cellStyle name="40% - Accent1 15 2" xfId="4254" xr:uid="{00000000-0005-0000-0000-00008E140000}"/>
    <cellStyle name="40% - Accent1 15 2 2" xfId="4253" xr:uid="{00000000-0005-0000-0000-00008F140000}"/>
    <cellStyle name="40% - Accent1 15 2 2 2" xfId="4252" xr:uid="{00000000-0005-0000-0000-000090140000}"/>
    <cellStyle name="40% - Accent1 15 2 2 3" xfId="4251" xr:uid="{00000000-0005-0000-0000-000091140000}"/>
    <cellStyle name="40% - Accent1 15 2 3" xfId="4250" xr:uid="{00000000-0005-0000-0000-000092140000}"/>
    <cellStyle name="40% - Accent1 15 2 4" xfId="4249" xr:uid="{00000000-0005-0000-0000-000093140000}"/>
    <cellStyle name="40% - Accent1 15 3" xfId="4248" xr:uid="{00000000-0005-0000-0000-000094140000}"/>
    <cellStyle name="40% - Accent1 15 3 2" xfId="4247" xr:uid="{00000000-0005-0000-0000-000095140000}"/>
    <cellStyle name="40% - Accent1 15 3 3" xfId="4246" xr:uid="{00000000-0005-0000-0000-000096140000}"/>
    <cellStyle name="40% - Accent1 15 4" xfId="4245" xr:uid="{00000000-0005-0000-0000-000097140000}"/>
    <cellStyle name="40% - Accent1 15 4 2" xfId="4244" xr:uid="{00000000-0005-0000-0000-000098140000}"/>
    <cellStyle name="40% - Accent1 15 4 3" xfId="4243" xr:uid="{00000000-0005-0000-0000-000099140000}"/>
    <cellStyle name="40% - Accent1 15 5" xfId="4242" xr:uid="{00000000-0005-0000-0000-00009A140000}"/>
    <cellStyle name="40% - Accent1 15 6" xfId="4241" xr:uid="{00000000-0005-0000-0000-00009B140000}"/>
    <cellStyle name="40% - Accent1 16" xfId="4240" xr:uid="{00000000-0005-0000-0000-00009C140000}"/>
    <cellStyle name="40% - Accent1 16 2" xfId="4239" xr:uid="{00000000-0005-0000-0000-00009D140000}"/>
    <cellStyle name="40% - Accent1 16 2 2" xfId="4238" xr:uid="{00000000-0005-0000-0000-00009E140000}"/>
    <cellStyle name="40% - Accent1 16 2 2 2" xfId="4237" xr:uid="{00000000-0005-0000-0000-00009F140000}"/>
    <cellStyle name="40% - Accent1 16 2 2 3" xfId="4236" xr:uid="{00000000-0005-0000-0000-0000A0140000}"/>
    <cellStyle name="40% - Accent1 16 2 3" xfId="4235" xr:uid="{00000000-0005-0000-0000-0000A1140000}"/>
    <cellStyle name="40% - Accent1 16 2 4" xfId="4234" xr:uid="{00000000-0005-0000-0000-0000A2140000}"/>
    <cellStyle name="40% - Accent1 16 3" xfId="4233" xr:uid="{00000000-0005-0000-0000-0000A3140000}"/>
    <cellStyle name="40% - Accent1 16 3 2" xfId="4232" xr:uid="{00000000-0005-0000-0000-0000A4140000}"/>
    <cellStyle name="40% - Accent1 16 3 3" xfId="4231" xr:uid="{00000000-0005-0000-0000-0000A5140000}"/>
    <cellStyle name="40% - Accent1 16 4" xfId="4230" xr:uid="{00000000-0005-0000-0000-0000A6140000}"/>
    <cellStyle name="40% - Accent1 16 4 2" xfId="4229" xr:uid="{00000000-0005-0000-0000-0000A7140000}"/>
    <cellStyle name="40% - Accent1 16 4 3" xfId="4228" xr:uid="{00000000-0005-0000-0000-0000A8140000}"/>
    <cellStyle name="40% - Accent1 16 5" xfId="4227" xr:uid="{00000000-0005-0000-0000-0000A9140000}"/>
    <cellStyle name="40% - Accent1 16 6" xfId="4226" xr:uid="{00000000-0005-0000-0000-0000AA140000}"/>
    <cellStyle name="40% - Accent1 17" xfId="4225" xr:uid="{00000000-0005-0000-0000-0000AB140000}"/>
    <cellStyle name="40% - Accent1 17 2" xfId="4224" xr:uid="{00000000-0005-0000-0000-0000AC140000}"/>
    <cellStyle name="40% - Accent1 17 2 2" xfId="4223" xr:uid="{00000000-0005-0000-0000-0000AD140000}"/>
    <cellStyle name="40% - Accent1 17 2 2 2" xfId="4222" xr:uid="{00000000-0005-0000-0000-0000AE140000}"/>
    <cellStyle name="40% - Accent1 17 2 2 3" xfId="4221" xr:uid="{00000000-0005-0000-0000-0000AF140000}"/>
    <cellStyle name="40% - Accent1 17 2 3" xfId="4220" xr:uid="{00000000-0005-0000-0000-0000B0140000}"/>
    <cellStyle name="40% - Accent1 17 2 4" xfId="4219" xr:uid="{00000000-0005-0000-0000-0000B1140000}"/>
    <cellStyle name="40% - Accent1 17 3" xfId="4218" xr:uid="{00000000-0005-0000-0000-0000B2140000}"/>
    <cellStyle name="40% - Accent1 17 3 2" xfId="4217" xr:uid="{00000000-0005-0000-0000-0000B3140000}"/>
    <cellStyle name="40% - Accent1 17 3 3" xfId="4216" xr:uid="{00000000-0005-0000-0000-0000B4140000}"/>
    <cellStyle name="40% - Accent1 17 4" xfId="4215" xr:uid="{00000000-0005-0000-0000-0000B5140000}"/>
    <cellStyle name="40% - Accent1 17 4 2" xfId="4214" xr:uid="{00000000-0005-0000-0000-0000B6140000}"/>
    <cellStyle name="40% - Accent1 17 4 3" xfId="4213" xr:uid="{00000000-0005-0000-0000-0000B7140000}"/>
    <cellStyle name="40% - Accent1 17 5" xfId="4212" xr:uid="{00000000-0005-0000-0000-0000B8140000}"/>
    <cellStyle name="40% - Accent1 17 6" xfId="4211" xr:uid="{00000000-0005-0000-0000-0000B9140000}"/>
    <cellStyle name="40% - Accent1 18" xfId="4210" xr:uid="{00000000-0005-0000-0000-0000BA140000}"/>
    <cellStyle name="40% - Accent1 18 2" xfId="4209" xr:uid="{00000000-0005-0000-0000-0000BB140000}"/>
    <cellStyle name="40% - Accent1 18 2 2" xfId="4208" xr:uid="{00000000-0005-0000-0000-0000BC140000}"/>
    <cellStyle name="40% - Accent1 18 2 2 2" xfId="4207" xr:uid="{00000000-0005-0000-0000-0000BD140000}"/>
    <cellStyle name="40% - Accent1 18 2 2 3" xfId="4206" xr:uid="{00000000-0005-0000-0000-0000BE140000}"/>
    <cellStyle name="40% - Accent1 18 2 3" xfId="4205" xr:uid="{00000000-0005-0000-0000-0000BF140000}"/>
    <cellStyle name="40% - Accent1 18 2 4" xfId="4204" xr:uid="{00000000-0005-0000-0000-0000C0140000}"/>
    <cellStyle name="40% - Accent1 18 3" xfId="4203" xr:uid="{00000000-0005-0000-0000-0000C1140000}"/>
    <cellStyle name="40% - Accent1 18 3 2" xfId="4202" xr:uid="{00000000-0005-0000-0000-0000C2140000}"/>
    <cellStyle name="40% - Accent1 18 3 3" xfId="4201" xr:uid="{00000000-0005-0000-0000-0000C3140000}"/>
    <cellStyle name="40% - Accent1 18 4" xfId="4200" xr:uid="{00000000-0005-0000-0000-0000C4140000}"/>
    <cellStyle name="40% - Accent1 18 4 2" xfId="4199" xr:uid="{00000000-0005-0000-0000-0000C5140000}"/>
    <cellStyle name="40% - Accent1 18 4 3" xfId="4198" xr:uid="{00000000-0005-0000-0000-0000C6140000}"/>
    <cellStyle name="40% - Accent1 18 5" xfId="4197" xr:uid="{00000000-0005-0000-0000-0000C7140000}"/>
    <cellStyle name="40% - Accent1 18 6" xfId="4196" xr:uid="{00000000-0005-0000-0000-0000C8140000}"/>
    <cellStyle name="40% - Accent1 19" xfId="4195" xr:uid="{00000000-0005-0000-0000-0000C9140000}"/>
    <cellStyle name="40% - Accent1 19 2" xfId="4194" xr:uid="{00000000-0005-0000-0000-0000CA140000}"/>
    <cellStyle name="40% - Accent1 19 2 2" xfId="4193" xr:uid="{00000000-0005-0000-0000-0000CB140000}"/>
    <cellStyle name="40% - Accent1 19 2 2 2" xfId="4192" xr:uid="{00000000-0005-0000-0000-0000CC140000}"/>
    <cellStyle name="40% - Accent1 19 2 2 3" xfId="4191" xr:uid="{00000000-0005-0000-0000-0000CD140000}"/>
    <cellStyle name="40% - Accent1 19 2 3" xfId="4190" xr:uid="{00000000-0005-0000-0000-0000CE140000}"/>
    <cellStyle name="40% - Accent1 19 2 4" xfId="4189" xr:uid="{00000000-0005-0000-0000-0000CF140000}"/>
    <cellStyle name="40% - Accent1 19 3" xfId="4188" xr:uid="{00000000-0005-0000-0000-0000D0140000}"/>
    <cellStyle name="40% - Accent1 19 3 2" xfId="4187" xr:uid="{00000000-0005-0000-0000-0000D1140000}"/>
    <cellStyle name="40% - Accent1 19 3 3" xfId="4186" xr:uid="{00000000-0005-0000-0000-0000D2140000}"/>
    <cellStyle name="40% - Accent1 19 4" xfId="4185" xr:uid="{00000000-0005-0000-0000-0000D3140000}"/>
    <cellStyle name="40% - Accent1 19 4 2" xfId="4184" xr:uid="{00000000-0005-0000-0000-0000D4140000}"/>
    <cellStyle name="40% - Accent1 19 4 3" xfId="4183" xr:uid="{00000000-0005-0000-0000-0000D5140000}"/>
    <cellStyle name="40% - Accent1 19 5" xfId="4182" xr:uid="{00000000-0005-0000-0000-0000D6140000}"/>
    <cellStyle name="40% - Accent1 19 6" xfId="4181" xr:uid="{00000000-0005-0000-0000-0000D7140000}"/>
    <cellStyle name="40% - Accent1 2" xfId="4180" xr:uid="{00000000-0005-0000-0000-0000D8140000}"/>
    <cellStyle name="40% - Accent1 2 10" xfId="9523" xr:uid="{00000000-0005-0000-0000-0000D9140000}"/>
    <cellStyle name="40% - Accent1 2 10 2" xfId="9524" xr:uid="{00000000-0005-0000-0000-0000DA140000}"/>
    <cellStyle name="40% - Accent1 2 11" xfId="9525" xr:uid="{00000000-0005-0000-0000-0000DB140000}"/>
    <cellStyle name="40% - Accent1 2 12" xfId="9526" xr:uid="{00000000-0005-0000-0000-0000DC140000}"/>
    <cellStyle name="40% - Accent1 2 12 2" xfId="9527" xr:uid="{00000000-0005-0000-0000-0000DD140000}"/>
    <cellStyle name="40% - Accent1 2 12 2 2" xfId="9528" xr:uid="{00000000-0005-0000-0000-0000DE140000}"/>
    <cellStyle name="40% - Accent1 2 12 3" xfId="9529" xr:uid="{00000000-0005-0000-0000-0000DF140000}"/>
    <cellStyle name="40% - Accent1 2 12 4" xfId="9530" xr:uid="{00000000-0005-0000-0000-0000E0140000}"/>
    <cellStyle name="40% - Accent1 2 12 4 2" xfId="9531" xr:uid="{00000000-0005-0000-0000-0000E1140000}"/>
    <cellStyle name="40% - Accent1 2 12 5" xfId="9532" xr:uid="{00000000-0005-0000-0000-0000E2140000}"/>
    <cellStyle name="40% - Accent1 2 13" xfId="9533" xr:uid="{00000000-0005-0000-0000-0000E3140000}"/>
    <cellStyle name="40% - Accent1 2 13 2" xfId="9534" xr:uid="{00000000-0005-0000-0000-0000E4140000}"/>
    <cellStyle name="40% - Accent1 2 13 2 2" xfId="9535" xr:uid="{00000000-0005-0000-0000-0000E5140000}"/>
    <cellStyle name="40% - Accent1 2 13 3" xfId="9536" xr:uid="{00000000-0005-0000-0000-0000E6140000}"/>
    <cellStyle name="40% - Accent1 2 14" xfId="9537" xr:uid="{00000000-0005-0000-0000-0000E7140000}"/>
    <cellStyle name="40% - Accent1 2 15" xfId="9538" xr:uid="{00000000-0005-0000-0000-0000E8140000}"/>
    <cellStyle name="40% - Accent1 2 2" xfId="4179" xr:uid="{00000000-0005-0000-0000-0000E9140000}"/>
    <cellStyle name="40% - Accent1 2 2 10" xfId="9539" xr:uid="{00000000-0005-0000-0000-0000EA140000}"/>
    <cellStyle name="40% - Accent1 2 2 10 2" xfId="9540" xr:uid="{00000000-0005-0000-0000-0000EB140000}"/>
    <cellStyle name="40% - Accent1 2 2 11" xfId="9541" xr:uid="{00000000-0005-0000-0000-0000EC140000}"/>
    <cellStyle name="40% - Accent1 2 2 2" xfId="9542" xr:uid="{00000000-0005-0000-0000-0000ED140000}"/>
    <cellStyle name="40% - Accent1 2 2 2 2" xfId="9543" xr:uid="{00000000-0005-0000-0000-0000EE140000}"/>
    <cellStyle name="40% - Accent1 2 2 2 2 2" xfId="9544" xr:uid="{00000000-0005-0000-0000-0000EF140000}"/>
    <cellStyle name="40% - Accent1 2 2 2 2 3" xfId="9545" xr:uid="{00000000-0005-0000-0000-0000F0140000}"/>
    <cellStyle name="40% - Accent1 2 2 2 3" xfId="9546" xr:uid="{00000000-0005-0000-0000-0000F1140000}"/>
    <cellStyle name="40% - Accent1 2 2 2 3 2" xfId="9547" xr:uid="{00000000-0005-0000-0000-0000F2140000}"/>
    <cellStyle name="40% - Accent1 2 2 2 4" xfId="9548" xr:uid="{00000000-0005-0000-0000-0000F3140000}"/>
    <cellStyle name="40% - Accent1 2 2 2 5" xfId="9549" xr:uid="{00000000-0005-0000-0000-0000F4140000}"/>
    <cellStyle name="40% - Accent1 2 2 3" xfId="9550" xr:uid="{00000000-0005-0000-0000-0000F5140000}"/>
    <cellStyle name="40% - Accent1 2 2 3 2" xfId="9551" xr:uid="{00000000-0005-0000-0000-0000F6140000}"/>
    <cellStyle name="40% - Accent1 2 2 3 2 2" xfId="9552" xr:uid="{00000000-0005-0000-0000-0000F7140000}"/>
    <cellStyle name="40% - Accent1 2 2 3 2 3" xfId="9553" xr:uid="{00000000-0005-0000-0000-0000F8140000}"/>
    <cellStyle name="40% - Accent1 2 2 3 3" xfId="9554" xr:uid="{00000000-0005-0000-0000-0000F9140000}"/>
    <cellStyle name="40% - Accent1 2 2 3 3 2" xfId="9555" xr:uid="{00000000-0005-0000-0000-0000FA140000}"/>
    <cellStyle name="40% - Accent1 2 2 3 4" xfId="9556" xr:uid="{00000000-0005-0000-0000-0000FB140000}"/>
    <cellStyle name="40% - Accent1 2 2 3 5" xfId="9557" xr:uid="{00000000-0005-0000-0000-0000FC140000}"/>
    <cellStyle name="40% - Accent1 2 2 4" xfId="9558" xr:uid="{00000000-0005-0000-0000-0000FD140000}"/>
    <cellStyle name="40% - Accent1 2 2 4 2" xfId="9559" xr:uid="{00000000-0005-0000-0000-0000FE140000}"/>
    <cellStyle name="40% - Accent1 2 2 4 2 2" xfId="9560" xr:uid="{00000000-0005-0000-0000-0000FF140000}"/>
    <cellStyle name="40% - Accent1 2 2 4 3" xfId="9561" xr:uid="{00000000-0005-0000-0000-000000150000}"/>
    <cellStyle name="40% - Accent1 2 2 4 4" xfId="9562" xr:uid="{00000000-0005-0000-0000-000001150000}"/>
    <cellStyle name="40% - Accent1 2 2 5" xfId="9563" xr:uid="{00000000-0005-0000-0000-000002150000}"/>
    <cellStyle name="40% - Accent1 2 2 5 2" xfId="9564" xr:uid="{00000000-0005-0000-0000-000003150000}"/>
    <cellStyle name="40% - Accent1 2 2 6" xfId="9565" xr:uid="{00000000-0005-0000-0000-000004150000}"/>
    <cellStyle name="40% - Accent1 2 2 6 2" xfId="9566" xr:uid="{00000000-0005-0000-0000-000005150000}"/>
    <cellStyle name="40% - Accent1 2 2 7" xfId="9567" xr:uid="{00000000-0005-0000-0000-000006150000}"/>
    <cellStyle name="40% - Accent1 2 2 8" xfId="9568" xr:uid="{00000000-0005-0000-0000-000007150000}"/>
    <cellStyle name="40% - Accent1 2 2 9" xfId="9569" xr:uid="{00000000-0005-0000-0000-000008150000}"/>
    <cellStyle name="40% - Accent1 2 2 9 2" xfId="9570" xr:uid="{00000000-0005-0000-0000-000009150000}"/>
    <cellStyle name="40% - Accent1 2 3" xfId="4178" xr:uid="{00000000-0005-0000-0000-00000A150000}"/>
    <cellStyle name="40% - Accent1 2 3 2" xfId="4177" xr:uid="{00000000-0005-0000-0000-00000B150000}"/>
    <cellStyle name="40% - Accent1 2 3 2 2" xfId="4176" xr:uid="{00000000-0005-0000-0000-00000C150000}"/>
    <cellStyle name="40% - Accent1 2 3 2 2 2" xfId="4175" xr:uid="{00000000-0005-0000-0000-00000D150000}"/>
    <cellStyle name="40% - Accent1 2 3 2 2 3" xfId="4174" xr:uid="{00000000-0005-0000-0000-00000E150000}"/>
    <cellStyle name="40% - Accent1 2 3 2 3" xfId="4173" xr:uid="{00000000-0005-0000-0000-00000F150000}"/>
    <cellStyle name="40% - Accent1 2 3 2 3 2" xfId="9571" xr:uid="{00000000-0005-0000-0000-000010150000}"/>
    <cellStyle name="40% - Accent1 2 3 2 4" xfId="4172" xr:uid="{00000000-0005-0000-0000-000011150000}"/>
    <cellStyle name="40% - Accent1 2 3 2 5" xfId="9572" xr:uid="{00000000-0005-0000-0000-000012150000}"/>
    <cellStyle name="40% - Accent1 2 3 3" xfId="4171" xr:uid="{00000000-0005-0000-0000-000013150000}"/>
    <cellStyle name="40% - Accent1 2 3 3 2" xfId="4170" xr:uid="{00000000-0005-0000-0000-000014150000}"/>
    <cellStyle name="40% - Accent1 2 3 3 2 2" xfId="9573" xr:uid="{00000000-0005-0000-0000-000015150000}"/>
    <cellStyle name="40% - Accent1 2 3 3 3" xfId="4169" xr:uid="{00000000-0005-0000-0000-000016150000}"/>
    <cellStyle name="40% - Accent1 2 3 3 4" xfId="9574" xr:uid="{00000000-0005-0000-0000-000017150000}"/>
    <cellStyle name="40% - Accent1 2 3 4" xfId="4168" xr:uid="{00000000-0005-0000-0000-000018150000}"/>
    <cellStyle name="40% - Accent1 2 3 4 2" xfId="4167" xr:uid="{00000000-0005-0000-0000-000019150000}"/>
    <cellStyle name="40% - Accent1 2 3 4 3" xfId="4166" xr:uid="{00000000-0005-0000-0000-00001A150000}"/>
    <cellStyle name="40% - Accent1 2 3 5" xfId="4165" xr:uid="{00000000-0005-0000-0000-00001B150000}"/>
    <cellStyle name="40% - Accent1 2 3 5 2" xfId="9575" xr:uid="{00000000-0005-0000-0000-00001C150000}"/>
    <cellStyle name="40% - Accent1 2 3 6" xfId="4164" xr:uid="{00000000-0005-0000-0000-00001D150000}"/>
    <cellStyle name="40% - Accent1 2 3 7" xfId="9576" xr:uid="{00000000-0005-0000-0000-00001E150000}"/>
    <cellStyle name="40% - Accent1 2 3 8" xfId="9577" xr:uid="{00000000-0005-0000-0000-00001F150000}"/>
    <cellStyle name="40% - Accent1 2 4" xfId="9578" xr:uid="{00000000-0005-0000-0000-000020150000}"/>
    <cellStyle name="40% - Accent1 2 4 2" xfId="9579" xr:uid="{00000000-0005-0000-0000-000021150000}"/>
    <cellStyle name="40% - Accent1 2 4 2 2" xfId="9580" xr:uid="{00000000-0005-0000-0000-000022150000}"/>
    <cellStyle name="40% - Accent1 2 4 2 2 2" xfId="9581" xr:uid="{00000000-0005-0000-0000-000023150000}"/>
    <cellStyle name="40% - Accent1 2 4 2 3" xfId="9582" xr:uid="{00000000-0005-0000-0000-000024150000}"/>
    <cellStyle name="40% - Accent1 2 4 2 4" xfId="9583" xr:uid="{00000000-0005-0000-0000-000025150000}"/>
    <cellStyle name="40% - Accent1 2 4 3" xfId="9584" xr:uid="{00000000-0005-0000-0000-000026150000}"/>
    <cellStyle name="40% - Accent1 2 4 3 2" xfId="9585" xr:uid="{00000000-0005-0000-0000-000027150000}"/>
    <cellStyle name="40% - Accent1 2 4 4" xfId="9586" xr:uid="{00000000-0005-0000-0000-000028150000}"/>
    <cellStyle name="40% - Accent1 2 4 4 2" xfId="9587" xr:uid="{00000000-0005-0000-0000-000029150000}"/>
    <cellStyle name="40% - Accent1 2 4 5" xfId="9588" xr:uid="{00000000-0005-0000-0000-00002A150000}"/>
    <cellStyle name="40% - Accent1 2 4 6" xfId="9589" xr:uid="{00000000-0005-0000-0000-00002B150000}"/>
    <cellStyle name="40% - Accent1 2 5" xfId="9590" xr:uid="{00000000-0005-0000-0000-00002C150000}"/>
    <cellStyle name="40% - Accent1 2 5 2" xfId="9591" xr:uid="{00000000-0005-0000-0000-00002D150000}"/>
    <cellStyle name="40% - Accent1 2 5 2 2" xfId="9592" xr:uid="{00000000-0005-0000-0000-00002E150000}"/>
    <cellStyle name="40% - Accent1 2 5 3" xfId="9593" xr:uid="{00000000-0005-0000-0000-00002F150000}"/>
    <cellStyle name="40% - Accent1 2 5 4" xfId="9594" xr:uid="{00000000-0005-0000-0000-000030150000}"/>
    <cellStyle name="40% - Accent1 2 6" xfId="9595" xr:uid="{00000000-0005-0000-0000-000031150000}"/>
    <cellStyle name="40% - Accent1 2 6 10" xfId="9596" xr:uid="{00000000-0005-0000-0000-000032150000}"/>
    <cellStyle name="40% - Accent1 2 6 2" xfId="9597" xr:uid="{00000000-0005-0000-0000-000033150000}"/>
    <cellStyle name="40% - Accent1 2 6 2 2" xfId="9598" xr:uid="{00000000-0005-0000-0000-000034150000}"/>
    <cellStyle name="40% - Accent1 2 6 2 2 2" xfId="9599" xr:uid="{00000000-0005-0000-0000-000035150000}"/>
    <cellStyle name="40% - Accent1 2 6 2 2 2 2" xfId="9600" xr:uid="{00000000-0005-0000-0000-000036150000}"/>
    <cellStyle name="40% - Accent1 2 6 2 2 3" xfId="9601" xr:uid="{00000000-0005-0000-0000-000037150000}"/>
    <cellStyle name="40% - Accent1 2 6 2 2 3 2" xfId="9602" xr:uid="{00000000-0005-0000-0000-000038150000}"/>
    <cellStyle name="40% - Accent1 2 6 2 2 4" xfId="9603" xr:uid="{00000000-0005-0000-0000-000039150000}"/>
    <cellStyle name="40% - Accent1 2 6 2 2 5" xfId="9604" xr:uid="{00000000-0005-0000-0000-00003A150000}"/>
    <cellStyle name="40% - Accent1 2 6 2 3" xfId="9605" xr:uid="{00000000-0005-0000-0000-00003B150000}"/>
    <cellStyle name="40% - Accent1 2 6 2 3 2" xfId="9606" xr:uid="{00000000-0005-0000-0000-00003C150000}"/>
    <cellStyle name="40% - Accent1 2 6 2 3 2 2" xfId="9607" xr:uid="{00000000-0005-0000-0000-00003D150000}"/>
    <cellStyle name="40% - Accent1 2 6 2 3 3" xfId="9608" xr:uid="{00000000-0005-0000-0000-00003E150000}"/>
    <cellStyle name="40% - Accent1 2 6 2 4" xfId="9609" xr:uid="{00000000-0005-0000-0000-00003F150000}"/>
    <cellStyle name="40% - Accent1 2 6 2 4 2" xfId="9610" xr:uid="{00000000-0005-0000-0000-000040150000}"/>
    <cellStyle name="40% - Accent1 2 6 2 5" xfId="9611" xr:uid="{00000000-0005-0000-0000-000041150000}"/>
    <cellStyle name="40% - Accent1 2 6 2 5 2" xfId="9612" xr:uid="{00000000-0005-0000-0000-000042150000}"/>
    <cellStyle name="40% - Accent1 2 6 2 6" xfId="9613" xr:uid="{00000000-0005-0000-0000-000043150000}"/>
    <cellStyle name="40% - Accent1 2 6 3" xfId="9614" xr:uid="{00000000-0005-0000-0000-000044150000}"/>
    <cellStyle name="40% - Accent1 2 6 3 2" xfId="9615" xr:uid="{00000000-0005-0000-0000-000045150000}"/>
    <cellStyle name="40% - Accent1 2 6 3 2 2" xfId="9616" xr:uid="{00000000-0005-0000-0000-000046150000}"/>
    <cellStyle name="40% - Accent1 2 6 3 2 2 2" xfId="9617" xr:uid="{00000000-0005-0000-0000-000047150000}"/>
    <cellStyle name="40% - Accent1 2 6 3 2 3" xfId="9618" xr:uid="{00000000-0005-0000-0000-000048150000}"/>
    <cellStyle name="40% - Accent1 2 6 3 2 3 2" xfId="9619" xr:uid="{00000000-0005-0000-0000-000049150000}"/>
    <cellStyle name="40% - Accent1 2 6 3 2 4" xfId="9620" xr:uid="{00000000-0005-0000-0000-00004A150000}"/>
    <cellStyle name="40% - Accent1 2 6 3 2 5" xfId="9621" xr:uid="{00000000-0005-0000-0000-00004B150000}"/>
    <cellStyle name="40% - Accent1 2 6 3 3" xfId="9622" xr:uid="{00000000-0005-0000-0000-00004C150000}"/>
    <cellStyle name="40% - Accent1 2 6 3 3 2" xfId="9623" xr:uid="{00000000-0005-0000-0000-00004D150000}"/>
    <cellStyle name="40% - Accent1 2 6 3 3 2 2" xfId="9624" xr:uid="{00000000-0005-0000-0000-00004E150000}"/>
    <cellStyle name="40% - Accent1 2 6 3 3 3" xfId="9625" xr:uid="{00000000-0005-0000-0000-00004F150000}"/>
    <cellStyle name="40% - Accent1 2 6 3 4" xfId="9626" xr:uid="{00000000-0005-0000-0000-000050150000}"/>
    <cellStyle name="40% - Accent1 2 6 3 4 2" xfId="9627" xr:uid="{00000000-0005-0000-0000-000051150000}"/>
    <cellStyle name="40% - Accent1 2 6 3 5" xfId="9628" xr:uid="{00000000-0005-0000-0000-000052150000}"/>
    <cellStyle name="40% - Accent1 2 6 3 5 2" xfId="9629" xr:uid="{00000000-0005-0000-0000-000053150000}"/>
    <cellStyle name="40% - Accent1 2 6 3 6" xfId="9630" xr:uid="{00000000-0005-0000-0000-000054150000}"/>
    <cellStyle name="40% - Accent1 2 6 4" xfId="9631" xr:uid="{00000000-0005-0000-0000-000055150000}"/>
    <cellStyle name="40% - Accent1 2 6 4 2" xfId="9632" xr:uid="{00000000-0005-0000-0000-000056150000}"/>
    <cellStyle name="40% - Accent1 2 6 4 2 2" xfId="9633" xr:uid="{00000000-0005-0000-0000-000057150000}"/>
    <cellStyle name="40% - Accent1 2 6 4 2 2 2" xfId="9634" xr:uid="{00000000-0005-0000-0000-000058150000}"/>
    <cellStyle name="40% - Accent1 2 6 4 2 3" xfId="9635" xr:uid="{00000000-0005-0000-0000-000059150000}"/>
    <cellStyle name="40% - Accent1 2 6 4 3" xfId="9636" xr:uid="{00000000-0005-0000-0000-00005A150000}"/>
    <cellStyle name="40% - Accent1 2 6 4 3 2" xfId="9637" xr:uid="{00000000-0005-0000-0000-00005B150000}"/>
    <cellStyle name="40% - Accent1 2 6 4 4" xfId="9638" xr:uid="{00000000-0005-0000-0000-00005C150000}"/>
    <cellStyle name="40% - Accent1 2 6 4 4 2" xfId="9639" xr:uid="{00000000-0005-0000-0000-00005D150000}"/>
    <cellStyle name="40% - Accent1 2 6 4 5" xfId="9640" xr:uid="{00000000-0005-0000-0000-00005E150000}"/>
    <cellStyle name="40% - Accent1 2 6 5" xfId="9641" xr:uid="{00000000-0005-0000-0000-00005F150000}"/>
    <cellStyle name="40% - Accent1 2 6 5 2" xfId="9642" xr:uid="{00000000-0005-0000-0000-000060150000}"/>
    <cellStyle name="40% - Accent1 2 6 5 2 2" xfId="9643" xr:uid="{00000000-0005-0000-0000-000061150000}"/>
    <cellStyle name="40% - Accent1 2 6 5 3" xfId="9644" xr:uid="{00000000-0005-0000-0000-000062150000}"/>
    <cellStyle name="40% - Accent1 2 6 5 3 2" xfId="9645" xr:uid="{00000000-0005-0000-0000-000063150000}"/>
    <cellStyle name="40% - Accent1 2 6 5 4" xfId="9646" xr:uid="{00000000-0005-0000-0000-000064150000}"/>
    <cellStyle name="40% - Accent1 2 6 6" xfId="9647" xr:uid="{00000000-0005-0000-0000-000065150000}"/>
    <cellStyle name="40% - Accent1 2 6 6 2" xfId="9648" xr:uid="{00000000-0005-0000-0000-000066150000}"/>
    <cellStyle name="40% - Accent1 2 6 6 2 2" xfId="9649" xr:uid="{00000000-0005-0000-0000-000067150000}"/>
    <cellStyle name="40% - Accent1 2 6 6 3" xfId="9650" xr:uid="{00000000-0005-0000-0000-000068150000}"/>
    <cellStyle name="40% - Accent1 2 6 7" xfId="9651" xr:uid="{00000000-0005-0000-0000-000069150000}"/>
    <cellStyle name="40% - Accent1 2 6 7 2" xfId="9652" xr:uid="{00000000-0005-0000-0000-00006A150000}"/>
    <cellStyle name="40% - Accent1 2 6 7 3" xfId="9653" xr:uid="{00000000-0005-0000-0000-00006B150000}"/>
    <cellStyle name="40% - Accent1 2 6 8" xfId="9654" xr:uid="{00000000-0005-0000-0000-00006C150000}"/>
    <cellStyle name="40% - Accent1 2 6 8 2" xfId="9655" xr:uid="{00000000-0005-0000-0000-00006D150000}"/>
    <cellStyle name="40% - Accent1 2 6 9" xfId="9656" xr:uid="{00000000-0005-0000-0000-00006E150000}"/>
    <cellStyle name="40% - Accent1 2 7" xfId="9657" xr:uid="{00000000-0005-0000-0000-00006F150000}"/>
    <cellStyle name="40% - Accent1 2 7 2" xfId="9658" xr:uid="{00000000-0005-0000-0000-000070150000}"/>
    <cellStyle name="40% - Accent1 2 7 2 2" xfId="9659" xr:uid="{00000000-0005-0000-0000-000071150000}"/>
    <cellStyle name="40% - Accent1 2 7 3" xfId="9660" xr:uid="{00000000-0005-0000-0000-000072150000}"/>
    <cellStyle name="40% - Accent1 2 7 4" xfId="9661" xr:uid="{00000000-0005-0000-0000-000073150000}"/>
    <cellStyle name="40% - Accent1 2 8" xfId="9662" xr:uid="{00000000-0005-0000-0000-000074150000}"/>
    <cellStyle name="40% - Accent1 2 8 2" xfId="9663" xr:uid="{00000000-0005-0000-0000-000075150000}"/>
    <cellStyle name="40% - Accent1 2 9" xfId="9664" xr:uid="{00000000-0005-0000-0000-000076150000}"/>
    <cellStyle name="40% - Accent1 2 9 2" xfId="9665" xr:uid="{00000000-0005-0000-0000-000077150000}"/>
    <cellStyle name="40% - Accent1 20" xfId="4163" xr:uid="{00000000-0005-0000-0000-000078150000}"/>
    <cellStyle name="40% - Accent1 20 2" xfId="4162" xr:uid="{00000000-0005-0000-0000-000079150000}"/>
    <cellStyle name="40% - Accent1 20 2 2" xfId="4161" xr:uid="{00000000-0005-0000-0000-00007A150000}"/>
    <cellStyle name="40% - Accent1 20 2 2 2" xfId="4160" xr:uid="{00000000-0005-0000-0000-00007B150000}"/>
    <cellStyle name="40% - Accent1 20 2 2 3" xfId="4159" xr:uid="{00000000-0005-0000-0000-00007C150000}"/>
    <cellStyle name="40% - Accent1 20 2 3" xfId="4158" xr:uid="{00000000-0005-0000-0000-00007D150000}"/>
    <cellStyle name="40% - Accent1 20 2 4" xfId="4157" xr:uid="{00000000-0005-0000-0000-00007E150000}"/>
    <cellStyle name="40% - Accent1 20 3" xfId="4156" xr:uid="{00000000-0005-0000-0000-00007F150000}"/>
    <cellStyle name="40% - Accent1 20 3 2" xfId="4155" xr:uid="{00000000-0005-0000-0000-000080150000}"/>
    <cellStyle name="40% - Accent1 20 3 3" xfId="4154" xr:uid="{00000000-0005-0000-0000-000081150000}"/>
    <cellStyle name="40% - Accent1 20 4" xfId="4153" xr:uid="{00000000-0005-0000-0000-000082150000}"/>
    <cellStyle name="40% - Accent1 20 4 2" xfId="4152" xr:uid="{00000000-0005-0000-0000-000083150000}"/>
    <cellStyle name="40% - Accent1 20 4 3" xfId="4151" xr:uid="{00000000-0005-0000-0000-000084150000}"/>
    <cellStyle name="40% - Accent1 20 5" xfId="4150" xr:uid="{00000000-0005-0000-0000-000085150000}"/>
    <cellStyle name="40% - Accent1 20 6" xfId="4149" xr:uid="{00000000-0005-0000-0000-000086150000}"/>
    <cellStyle name="40% - Accent1 21" xfId="4148" xr:uid="{00000000-0005-0000-0000-000087150000}"/>
    <cellStyle name="40% - Accent1 22" xfId="4147" xr:uid="{00000000-0005-0000-0000-000088150000}"/>
    <cellStyle name="40% - Accent1 22 2" xfId="4146" xr:uid="{00000000-0005-0000-0000-000089150000}"/>
    <cellStyle name="40% - Accent1 22 2 2" xfId="4145" xr:uid="{00000000-0005-0000-0000-00008A150000}"/>
    <cellStyle name="40% - Accent1 22 2 2 2" xfId="4144" xr:uid="{00000000-0005-0000-0000-00008B150000}"/>
    <cellStyle name="40% - Accent1 22 2 2 3" xfId="4143" xr:uid="{00000000-0005-0000-0000-00008C150000}"/>
    <cellStyle name="40% - Accent1 22 2 3" xfId="4142" xr:uid="{00000000-0005-0000-0000-00008D150000}"/>
    <cellStyle name="40% - Accent1 22 2 4" xfId="4141" xr:uid="{00000000-0005-0000-0000-00008E150000}"/>
    <cellStyle name="40% - Accent1 22 3" xfId="4140" xr:uid="{00000000-0005-0000-0000-00008F150000}"/>
    <cellStyle name="40% - Accent1 22 3 2" xfId="4139" xr:uid="{00000000-0005-0000-0000-000090150000}"/>
    <cellStyle name="40% - Accent1 22 3 3" xfId="4138" xr:uid="{00000000-0005-0000-0000-000091150000}"/>
    <cellStyle name="40% - Accent1 22 4" xfId="4137" xr:uid="{00000000-0005-0000-0000-000092150000}"/>
    <cellStyle name="40% - Accent1 22 4 2" xfId="4136" xr:uid="{00000000-0005-0000-0000-000093150000}"/>
    <cellStyle name="40% - Accent1 22 4 3" xfId="4135" xr:uid="{00000000-0005-0000-0000-000094150000}"/>
    <cellStyle name="40% - Accent1 22 5" xfId="4134" xr:uid="{00000000-0005-0000-0000-000095150000}"/>
    <cellStyle name="40% - Accent1 22 6" xfId="4133" xr:uid="{00000000-0005-0000-0000-000096150000}"/>
    <cellStyle name="40% - Accent1 23" xfId="4132" xr:uid="{00000000-0005-0000-0000-000097150000}"/>
    <cellStyle name="40% - Accent1 23 2" xfId="4131" xr:uid="{00000000-0005-0000-0000-000098150000}"/>
    <cellStyle name="40% - Accent1 23 2 2" xfId="4130" xr:uid="{00000000-0005-0000-0000-000099150000}"/>
    <cellStyle name="40% - Accent1 23 2 3" xfId="4129" xr:uid="{00000000-0005-0000-0000-00009A150000}"/>
    <cellStyle name="40% - Accent1 23 3" xfId="4128" xr:uid="{00000000-0005-0000-0000-00009B150000}"/>
    <cellStyle name="40% - Accent1 23 4" xfId="4127" xr:uid="{00000000-0005-0000-0000-00009C150000}"/>
    <cellStyle name="40% - Accent1 24" xfId="4126" xr:uid="{00000000-0005-0000-0000-00009D150000}"/>
    <cellStyle name="40% - Accent1 24 2" xfId="4125" xr:uid="{00000000-0005-0000-0000-00009E150000}"/>
    <cellStyle name="40% - Accent1 24 3" xfId="4124" xr:uid="{00000000-0005-0000-0000-00009F150000}"/>
    <cellStyle name="40% - Accent1 25" xfId="4123" xr:uid="{00000000-0005-0000-0000-0000A0150000}"/>
    <cellStyle name="40% - Accent1 25 2" xfId="4122" xr:uid="{00000000-0005-0000-0000-0000A1150000}"/>
    <cellStyle name="40% - Accent1 25 3" xfId="4121" xr:uid="{00000000-0005-0000-0000-0000A2150000}"/>
    <cellStyle name="40% - Accent1 26" xfId="4120" xr:uid="{00000000-0005-0000-0000-0000A3150000}"/>
    <cellStyle name="40% - Accent1 27" xfId="4119" xr:uid="{00000000-0005-0000-0000-0000A4150000}"/>
    <cellStyle name="40% - Accent1 28" xfId="4118" xr:uid="{00000000-0005-0000-0000-0000A5150000}"/>
    <cellStyle name="40% - Accent1 29" xfId="4117" xr:uid="{00000000-0005-0000-0000-0000A6150000}"/>
    <cellStyle name="40% - Accent1 3" xfId="4116" xr:uid="{00000000-0005-0000-0000-0000A7150000}"/>
    <cellStyle name="40% - Accent1 3 10" xfId="9666" xr:uid="{00000000-0005-0000-0000-0000A8150000}"/>
    <cellStyle name="40% - Accent1 3 2" xfId="4115" xr:uid="{00000000-0005-0000-0000-0000A9150000}"/>
    <cellStyle name="40% - Accent1 3 2 2" xfId="9667" xr:uid="{00000000-0005-0000-0000-0000AA150000}"/>
    <cellStyle name="40% - Accent1 3 2 2 2" xfId="9668" xr:uid="{00000000-0005-0000-0000-0000AB150000}"/>
    <cellStyle name="40% - Accent1 3 2 2 2 2" xfId="9669" xr:uid="{00000000-0005-0000-0000-0000AC150000}"/>
    <cellStyle name="40% - Accent1 3 2 2 3" xfId="9670" xr:uid="{00000000-0005-0000-0000-0000AD150000}"/>
    <cellStyle name="40% - Accent1 3 2 2 4" xfId="9671" xr:uid="{00000000-0005-0000-0000-0000AE150000}"/>
    <cellStyle name="40% - Accent1 3 2 2 5" xfId="9672" xr:uid="{00000000-0005-0000-0000-0000AF150000}"/>
    <cellStyle name="40% - Accent1 3 2 3" xfId="9673" xr:uid="{00000000-0005-0000-0000-0000B0150000}"/>
    <cellStyle name="40% - Accent1 3 2 3 2" xfId="9674" xr:uid="{00000000-0005-0000-0000-0000B1150000}"/>
    <cellStyle name="40% - Accent1 3 2 3 2 2" xfId="9675" xr:uid="{00000000-0005-0000-0000-0000B2150000}"/>
    <cellStyle name="40% - Accent1 3 2 3 3" xfId="9676" xr:uid="{00000000-0005-0000-0000-0000B3150000}"/>
    <cellStyle name="40% - Accent1 3 2 3 4" xfId="9677" xr:uid="{00000000-0005-0000-0000-0000B4150000}"/>
    <cellStyle name="40% - Accent1 3 2 4" xfId="9678" xr:uid="{00000000-0005-0000-0000-0000B5150000}"/>
    <cellStyle name="40% - Accent1 3 2 4 2" xfId="9679" xr:uid="{00000000-0005-0000-0000-0000B6150000}"/>
    <cellStyle name="40% - Accent1 3 2 5" xfId="9680" xr:uid="{00000000-0005-0000-0000-0000B7150000}"/>
    <cellStyle name="40% - Accent1 3 2 5 2" xfId="9681" xr:uid="{00000000-0005-0000-0000-0000B8150000}"/>
    <cellStyle name="40% - Accent1 3 2 6" xfId="9682" xr:uid="{00000000-0005-0000-0000-0000B9150000}"/>
    <cellStyle name="40% - Accent1 3 2 7" xfId="9683" xr:uid="{00000000-0005-0000-0000-0000BA150000}"/>
    <cellStyle name="40% - Accent1 3 2 8" xfId="9684" xr:uid="{00000000-0005-0000-0000-0000BB150000}"/>
    <cellStyle name="40% - Accent1 3 3" xfId="4114" xr:uid="{00000000-0005-0000-0000-0000BC150000}"/>
    <cellStyle name="40% - Accent1 3 3 2" xfId="4113" xr:uid="{00000000-0005-0000-0000-0000BD150000}"/>
    <cellStyle name="40% - Accent1 3 3 2 2" xfId="4112" xr:uid="{00000000-0005-0000-0000-0000BE150000}"/>
    <cellStyle name="40% - Accent1 3 3 2 2 2" xfId="4111" xr:uid="{00000000-0005-0000-0000-0000BF150000}"/>
    <cellStyle name="40% - Accent1 3 3 2 2 3" xfId="4110" xr:uid="{00000000-0005-0000-0000-0000C0150000}"/>
    <cellStyle name="40% - Accent1 3 3 2 3" xfId="4109" xr:uid="{00000000-0005-0000-0000-0000C1150000}"/>
    <cellStyle name="40% - Accent1 3 3 2 4" xfId="4108" xr:uid="{00000000-0005-0000-0000-0000C2150000}"/>
    <cellStyle name="40% - Accent1 3 3 3" xfId="4107" xr:uid="{00000000-0005-0000-0000-0000C3150000}"/>
    <cellStyle name="40% - Accent1 3 3 3 2" xfId="4106" xr:uid="{00000000-0005-0000-0000-0000C4150000}"/>
    <cellStyle name="40% - Accent1 3 3 3 3" xfId="4105" xr:uid="{00000000-0005-0000-0000-0000C5150000}"/>
    <cellStyle name="40% - Accent1 3 3 4" xfId="4104" xr:uid="{00000000-0005-0000-0000-0000C6150000}"/>
    <cellStyle name="40% - Accent1 3 3 4 2" xfId="4103" xr:uid="{00000000-0005-0000-0000-0000C7150000}"/>
    <cellStyle name="40% - Accent1 3 3 4 3" xfId="4102" xr:uid="{00000000-0005-0000-0000-0000C8150000}"/>
    <cellStyle name="40% - Accent1 3 3 5" xfId="4101" xr:uid="{00000000-0005-0000-0000-0000C9150000}"/>
    <cellStyle name="40% - Accent1 3 3 6" xfId="4100" xr:uid="{00000000-0005-0000-0000-0000CA150000}"/>
    <cellStyle name="40% - Accent1 3 3 7" xfId="9685" xr:uid="{00000000-0005-0000-0000-0000CB150000}"/>
    <cellStyle name="40% - Accent1 3 4" xfId="9686" xr:uid="{00000000-0005-0000-0000-0000CC150000}"/>
    <cellStyle name="40% - Accent1 3 4 2" xfId="9687" xr:uid="{00000000-0005-0000-0000-0000CD150000}"/>
    <cellStyle name="40% - Accent1 3 4 2 2" xfId="9688" xr:uid="{00000000-0005-0000-0000-0000CE150000}"/>
    <cellStyle name="40% - Accent1 3 4 3" xfId="9689" xr:uid="{00000000-0005-0000-0000-0000CF150000}"/>
    <cellStyle name="40% - Accent1 3 4 4" xfId="9690" xr:uid="{00000000-0005-0000-0000-0000D0150000}"/>
    <cellStyle name="40% - Accent1 3 5" xfId="9691" xr:uid="{00000000-0005-0000-0000-0000D1150000}"/>
    <cellStyle name="40% - Accent1 3 5 2" xfId="9692" xr:uid="{00000000-0005-0000-0000-0000D2150000}"/>
    <cellStyle name="40% - Accent1 3 6" xfId="9693" xr:uid="{00000000-0005-0000-0000-0000D3150000}"/>
    <cellStyle name="40% - Accent1 3 7" xfId="9694" xr:uid="{00000000-0005-0000-0000-0000D4150000}"/>
    <cellStyle name="40% - Accent1 3 7 2" xfId="9695" xr:uid="{00000000-0005-0000-0000-0000D5150000}"/>
    <cellStyle name="40% - Accent1 3 8" xfId="9696" xr:uid="{00000000-0005-0000-0000-0000D6150000}"/>
    <cellStyle name="40% - Accent1 3 9" xfId="9697" xr:uid="{00000000-0005-0000-0000-0000D7150000}"/>
    <cellStyle name="40% - Accent1 3 9 2" xfId="9698" xr:uid="{00000000-0005-0000-0000-0000D8150000}"/>
    <cellStyle name="40% - Accent1 4" xfId="4099" xr:uid="{00000000-0005-0000-0000-0000D9150000}"/>
    <cellStyle name="40% - Accent1 4 2" xfId="4098" xr:uid="{00000000-0005-0000-0000-0000DA150000}"/>
    <cellStyle name="40% - Accent1 4 2 2" xfId="4097" xr:uid="{00000000-0005-0000-0000-0000DB150000}"/>
    <cellStyle name="40% - Accent1 4 2 2 2" xfId="4096" xr:uid="{00000000-0005-0000-0000-0000DC150000}"/>
    <cellStyle name="40% - Accent1 4 2 2 2 2" xfId="4095" xr:uid="{00000000-0005-0000-0000-0000DD150000}"/>
    <cellStyle name="40% - Accent1 4 2 2 2 3" xfId="4094" xr:uid="{00000000-0005-0000-0000-0000DE150000}"/>
    <cellStyle name="40% - Accent1 4 2 2 3" xfId="4093" xr:uid="{00000000-0005-0000-0000-0000DF150000}"/>
    <cellStyle name="40% - Accent1 4 2 2 4" xfId="4092" xr:uid="{00000000-0005-0000-0000-0000E0150000}"/>
    <cellStyle name="40% - Accent1 4 2 3" xfId="4091" xr:uid="{00000000-0005-0000-0000-0000E1150000}"/>
    <cellStyle name="40% - Accent1 4 2 3 2" xfId="4090" xr:uid="{00000000-0005-0000-0000-0000E2150000}"/>
    <cellStyle name="40% - Accent1 4 2 3 3" xfId="4089" xr:uid="{00000000-0005-0000-0000-0000E3150000}"/>
    <cellStyle name="40% - Accent1 4 2 4" xfId="4088" xr:uid="{00000000-0005-0000-0000-0000E4150000}"/>
    <cellStyle name="40% - Accent1 4 2 4 2" xfId="4087" xr:uid="{00000000-0005-0000-0000-0000E5150000}"/>
    <cellStyle name="40% - Accent1 4 2 4 3" xfId="4086" xr:uid="{00000000-0005-0000-0000-0000E6150000}"/>
    <cellStyle name="40% - Accent1 4 2 5" xfId="4085" xr:uid="{00000000-0005-0000-0000-0000E7150000}"/>
    <cellStyle name="40% - Accent1 4 2 6" xfId="4084" xr:uid="{00000000-0005-0000-0000-0000E8150000}"/>
    <cellStyle name="40% - Accent1 4 3" xfId="4083" xr:uid="{00000000-0005-0000-0000-0000E9150000}"/>
    <cellStyle name="40% - Accent1 4 3 2" xfId="4082" xr:uid="{00000000-0005-0000-0000-0000EA150000}"/>
    <cellStyle name="40% - Accent1 4 3 2 2" xfId="4081" xr:uid="{00000000-0005-0000-0000-0000EB150000}"/>
    <cellStyle name="40% - Accent1 4 3 2 3" xfId="4080" xr:uid="{00000000-0005-0000-0000-0000EC150000}"/>
    <cellStyle name="40% - Accent1 4 3 3" xfId="4079" xr:uid="{00000000-0005-0000-0000-0000ED150000}"/>
    <cellStyle name="40% - Accent1 4 3 3 2" xfId="9699" xr:uid="{00000000-0005-0000-0000-0000EE150000}"/>
    <cellStyle name="40% - Accent1 4 3 4" xfId="4078" xr:uid="{00000000-0005-0000-0000-0000EF150000}"/>
    <cellStyle name="40% - Accent1 4 4" xfId="4077" xr:uid="{00000000-0005-0000-0000-0000F0150000}"/>
    <cellStyle name="40% - Accent1 4 4 2" xfId="4076" xr:uid="{00000000-0005-0000-0000-0000F1150000}"/>
    <cellStyle name="40% - Accent1 4 4 2 2" xfId="9700" xr:uid="{00000000-0005-0000-0000-0000F2150000}"/>
    <cellStyle name="40% - Accent1 4 4 3" xfId="4075" xr:uid="{00000000-0005-0000-0000-0000F3150000}"/>
    <cellStyle name="40% - Accent1 4 4 4" xfId="9701" xr:uid="{00000000-0005-0000-0000-0000F4150000}"/>
    <cellStyle name="40% - Accent1 4 5" xfId="4074" xr:uid="{00000000-0005-0000-0000-0000F5150000}"/>
    <cellStyle name="40% - Accent1 4 5 2" xfId="4073" xr:uid="{00000000-0005-0000-0000-0000F6150000}"/>
    <cellStyle name="40% - Accent1 4 5 3" xfId="4072" xr:uid="{00000000-0005-0000-0000-0000F7150000}"/>
    <cellStyle name="40% - Accent1 4 6" xfId="4071" xr:uid="{00000000-0005-0000-0000-0000F8150000}"/>
    <cellStyle name="40% - Accent1 4 6 2" xfId="9702" xr:uid="{00000000-0005-0000-0000-0000F9150000}"/>
    <cellStyle name="40% - Accent1 4 7" xfId="4070" xr:uid="{00000000-0005-0000-0000-0000FA150000}"/>
    <cellStyle name="40% - Accent1 4 7 2" xfId="9703" xr:uid="{00000000-0005-0000-0000-0000FB150000}"/>
    <cellStyle name="40% - Accent1 4 8" xfId="9704" xr:uid="{00000000-0005-0000-0000-0000FC150000}"/>
    <cellStyle name="40% - Accent1 4 9" xfId="9705" xr:uid="{00000000-0005-0000-0000-0000FD150000}"/>
    <cellStyle name="40% - Accent1 5" xfId="4069" xr:uid="{00000000-0005-0000-0000-0000FE150000}"/>
    <cellStyle name="40% - Accent1 5 10" xfId="9706" xr:uid="{00000000-0005-0000-0000-0000FF150000}"/>
    <cellStyle name="40% - Accent1 5 11" xfId="9707" xr:uid="{00000000-0005-0000-0000-000000160000}"/>
    <cellStyle name="40% - Accent1 5 2" xfId="4068" xr:uid="{00000000-0005-0000-0000-000001160000}"/>
    <cellStyle name="40% - Accent1 5 2 2" xfId="4067" xr:uid="{00000000-0005-0000-0000-000002160000}"/>
    <cellStyle name="40% - Accent1 5 2 2 2" xfId="4066" xr:uid="{00000000-0005-0000-0000-000003160000}"/>
    <cellStyle name="40% - Accent1 5 2 2 2 2" xfId="9708" xr:uid="{00000000-0005-0000-0000-000004160000}"/>
    <cellStyle name="40% - Accent1 5 2 2 2 2 2" xfId="9709" xr:uid="{00000000-0005-0000-0000-000005160000}"/>
    <cellStyle name="40% - Accent1 5 2 2 2 3" xfId="9710" xr:uid="{00000000-0005-0000-0000-000006160000}"/>
    <cellStyle name="40% - Accent1 5 2 2 2 3 2" xfId="9711" xr:uid="{00000000-0005-0000-0000-000007160000}"/>
    <cellStyle name="40% - Accent1 5 2 2 2 4" xfId="9712" xr:uid="{00000000-0005-0000-0000-000008160000}"/>
    <cellStyle name="40% - Accent1 5 2 2 2 4 2" xfId="9713" xr:uid="{00000000-0005-0000-0000-000009160000}"/>
    <cellStyle name="40% - Accent1 5 2 2 2 5" xfId="9714" xr:uid="{00000000-0005-0000-0000-00000A160000}"/>
    <cellStyle name="40% - Accent1 5 2 2 3" xfId="4065" xr:uid="{00000000-0005-0000-0000-00000B160000}"/>
    <cellStyle name="40% - Accent1 5 2 2 3 2" xfId="9715" xr:uid="{00000000-0005-0000-0000-00000C160000}"/>
    <cellStyle name="40% - Accent1 5 2 2 3 2 2" xfId="9716" xr:uid="{00000000-0005-0000-0000-00000D160000}"/>
    <cellStyle name="40% - Accent1 5 2 2 3 3" xfId="9717" xr:uid="{00000000-0005-0000-0000-00000E160000}"/>
    <cellStyle name="40% - Accent1 5 2 2 3 3 2" xfId="9718" xr:uid="{00000000-0005-0000-0000-00000F160000}"/>
    <cellStyle name="40% - Accent1 5 2 2 3 4" xfId="9719" xr:uid="{00000000-0005-0000-0000-000010160000}"/>
    <cellStyle name="40% - Accent1 5 2 2 4" xfId="9720" xr:uid="{00000000-0005-0000-0000-000011160000}"/>
    <cellStyle name="40% - Accent1 5 2 2 4 2" xfId="9721" xr:uid="{00000000-0005-0000-0000-000012160000}"/>
    <cellStyle name="40% - Accent1 5 2 2 4 2 2" xfId="9722" xr:uid="{00000000-0005-0000-0000-000013160000}"/>
    <cellStyle name="40% - Accent1 5 2 2 4 3" xfId="9723" xr:uid="{00000000-0005-0000-0000-000014160000}"/>
    <cellStyle name="40% - Accent1 5 2 2 4 3 2" xfId="9724" xr:uid="{00000000-0005-0000-0000-000015160000}"/>
    <cellStyle name="40% - Accent1 5 2 2 4 4" xfId="9725" xr:uid="{00000000-0005-0000-0000-000016160000}"/>
    <cellStyle name="40% - Accent1 5 2 2 5" xfId="9726" xr:uid="{00000000-0005-0000-0000-000017160000}"/>
    <cellStyle name="40% - Accent1 5 2 2 5 2" xfId="9727" xr:uid="{00000000-0005-0000-0000-000018160000}"/>
    <cellStyle name="40% - Accent1 5 2 2 5 2 2" xfId="9728" xr:uid="{00000000-0005-0000-0000-000019160000}"/>
    <cellStyle name="40% - Accent1 5 2 2 5 3" xfId="9729" xr:uid="{00000000-0005-0000-0000-00001A160000}"/>
    <cellStyle name="40% - Accent1 5 2 2 5 3 2" xfId="9730" xr:uid="{00000000-0005-0000-0000-00001B160000}"/>
    <cellStyle name="40% - Accent1 5 2 2 5 4" xfId="9731" xr:uid="{00000000-0005-0000-0000-00001C160000}"/>
    <cellStyle name="40% - Accent1 5 2 2 6" xfId="9732" xr:uid="{00000000-0005-0000-0000-00001D160000}"/>
    <cellStyle name="40% - Accent1 5 2 2 7" xfId="9733" xr:uid="{00000000-0005-0000-0000-00001E160000}"/>
    <cellStyle name="40% - Accent1 5 2 3" xfId="4064" xr:uid="{00000000-0005-0000-0000-00001F160000}"/>
    <cellStyle name="40% - Accent1 5 2 4" xfId="4063" xr:uid="{00000000-0005-0000-0000-000020160000}"/>
    <cellStyle name="40% - Accent1 5 2 5" xfId="9734" xr:uid="{00000000-0005-0000-0000-000021160000}"/>
    <cellStyle name="40% - Accent1 5 2 5 2" xfId="9735" xr:uid="{00000000-0005-0000-0000-000022160000}"/>
    <cellStyle name="40% - Accent1 5 2 6" xfId="9736" xr:uid="{00000000-0005-0000-0000-000023160000}"/>
    <cellStyle name="40% - Accent1 5 3" xfId="4062" xr:uid="{00000000-0005-0000-0000-000024160000}"/>
    <cellStyle name="40% - Accent1 5 3 2" xfId="4061" xr:uid="{00000000-0005-0000-0000-000025160000}"/>
    <cellStyle name="40% - Accent1 5 3 2 2" xfId="9737" xr:uid="{00000000-0005-0000-0000-000026160000}"/>
    <cellStyle name="40% - Accent1 5 3 3" xfId="4060" xr:uid="{00000000-0005-0000-0000-000027160000}"/>
    <cellStyle name="40% - Accent1 5 3 4" xfId="9738" xr:uid="{00000000-0005-0000-0000-000028160000}"/>
    <cellStyle name="40% - Accent1 5 3 5" xfId="9739" xr:uid="{00000000-0005-0000-0000-000029160000}"/>
    <cellStyle name="40% - Accent1 5 3 5 2" xfId="9740" xr:uid="{00000000-0005-0000-0000-00002A160000}"/>
    <cellStyle name="40% - Accent1 5 3 6" xfId="9741" xr:uid="{00000000-0005-0000-0000-00002B160000}"/>
    <cellStyle name="40% - Accent1 5 4" xfId="4059" xr:uid="{00000000-0005-0000-0000-00002C160000}"/>
    <cellStyle name="40% - Accent1 5 4 2" xfId="4058" xr:uid="{00000000-0005-0000-0000-00002D160000}"/>
    <cellStyle name="40% - Accent1 5 4 3" xfId="4057" xr:uid="{00000000-0005-0000-0000-00002E160000}"/>
    <cellStyle name="40% - Accent1 5 5" xfId="4056" xr:uid="{00000000-0005-0000-0000-00002F160000}"/>
    <cellStyle name="40% - Accent1 5 5 2" xfId="9742" xr:uid="{00000000-0005-0000-0000-000030160000}"/>
    <cellStyle name="40% - Accent1 5 5 2 2" xfId="9743" xr:uid="{00000000-0005-0000-0000-000031160000}"/>
    <cellStyle name="40% - Accent1 5 5 2 2 2" xfId="9744" xr:uid="{00000000-0005-0000-0000-000032160000}"/>
    <cellStyle name="40% - Accent1 5 5 2 3" xfId="9745" xr:uid="{00000000-0005-0000-0000-000033160000}"/>
    <cellStyle name="40% - Accent1 5 5 2 3 2" xfId="9746" xr:uid="{00000000-0005-0000-0000-000034160000}"/>
    <cellStyle name="40% - Accent1 5 5 2 4" xfId="9747" xr:uid="{00000000-0005-0000-0000-000035160000}"/>
    <cellStyle name="40% - Accent1 5 5 2 4 2" xfId="9748" xr:uid="{00000000-0005-0000-0000-000036160000}"/>
    <cellStyle name="40% - Accent1 5 5 2 5" xfId="9749" xr:uid="{00000000-0005-0000-0000-000037160000}"/>
    <cellStyle name="40% - Accent1 5 5 3" xfId="9750" xr:uid="{00000000-0005-0000-0000-000038160000}"/>
    <cellStyle name="40% - Accent1 5 5 3 2" xfId="9751" xr:uid="{00000000-0005-0000-0000-000039160000}"/>
    <cellStyle name="40% - Accent1 5 5 3 2 2" xfId="9752" xr:uid="{00000000-0005-0000-0000-00003A160000}"/>
    <cellStyle name="40% - Accent1 5 5 3 3" xfId="9753" xr:uid="{00000000-0005-0000-0000-00003B160000}"/>
    <cellStyle name="40% - Accent1 5 5 3 3 2" xfId="9754" xr:uid="{00000000-0005-0000-0000-00003C160000}"/>
    <cellStyle name="40% - Accent1 5 5 3 4" xfId="9755" xr:uid="{00000000-0005-0000-0000-00003D160000}"/>
    <cellStyle name="40% - Accent1 5 5 4" xfId="9756" xr:uid="{00000000-0005-0000-0000-00003E160000}"/>
    <cellStyle name="40% - Accent1 5 5 4 2" xfId="9757" xr:uid="{00000000-0005-0000-0000-00003F160000}"/>
    <cellStyle name="40% - Accent1 5 5 4 2 2" xfId="9758" xr:uid="{00000000-0005-0000-0000-000040160000}"/>
    <cellStyle name="40% - Accent1 5 5 4 3" xfId="9759" xr:uid="{00000000-0005-0000-0000-000041160000}"/>
    <cellStyle name="40% - Accent1 5 5 4 3 2" xfId="9760" xr:uid="{00000000-0005-0000-0000-000042160000}"/>
    <cellStyle name="40% - Accent1 5 5 4 4" xfId="9761" xr:uid="{00000000-0005-0000-0000-000043160000}"/>
    <cellStyle name="40% - Accent1 5 5 5" xfId="9762" xr:uid="{00000000-0005-0000-0000-000044160000}"/>
    <cellStyle name="40% - Accent1 5 5 5 2" xfId="9763" xr:uid="{00000000-0005-0000-0000-000045160000}"/>
    <cellStyle name="40% - Accent1 5 5 5 2 2" xfId="9764" xr:uid="{00000000-0005-0000-0000-000046160000}"/>
    <cellStyle name="40% - Accent1 5 5 5 3" xfId="9765" xr:uid="{00000000-0005-0000-0000-000047160000}"/>
    <cellStyle name="40% - Accent1 5 5 5 3 2" xfId="9766" xr:uid="{00000000-0005-0000-0000-000048160000}"/>
    <cellStyle name="40% - Accent1 5 5 5 4" xfId="9767" xr:uid="{00000000-0005-0000-0000-000049160000}"/>
    <cellStyle name="40% - Accent1 5 5 6" xfId="9768" xr:uid="{00000000-0005-0000-0000-00004A160000}"/>
    <cellStyle name="40% - Accent1 5 6" xfId="4055" xr:uid="{00000000-0005-0000-0000-00004B160000}"/>
    <cellStyle name="40% - Accent1 5 6 2" xfId="9769" xr:uid="{00000000-0005-0000-0000-00004C160000}"/>
    <cellStyle name="40% - Accent1 5 6 2 2" xfId="9770" xr:uid="{00000000-0005-0000-0000-00004D160000}"/>
    <cellStyle name="40% - Accent1 5 6 2 2 2" xfId="9771" xr:uid="{00000000-0005-0000-0000-00004E160000}"/>
    <cellStyle name="40% - Accent1 5 6 2 2 2 2" xfId="9772" xr:uid="{00000000-0005-0000-0000-00004F160000}"/>
    <cellStyle name="40% - Accent1 5 6 2 2 3" xfId="9773" xr:uid="{00000000-0005-0000-0000-000050160000}"/>
    <cellStyle name="40% - Accent1 5 6 2 2 3 2" xfId="9774" xr:uid="{00000000-0005-0000-0000-000051160000}"/>
    <cellStyle name="40% - Accent1 5 6 2 2 4" xfId="9775" xr:uid="{00000000-0005-0000-0000-000052160000}"/>
    <cellStyle name="40% - Accent1 5 6 2 2 5" xfId="9776" xr:uid="{00000000-0005-0000-0000-000053160000}"/>
    <cellStyle name="40% - Accent1 5 6 2 3" xfId="9777" xr:uid="{00000000-0005-0000-0000-000054160000}"/>
    <cellStyle name="40% - Accent1 5 6 2 3 2" xfId="9778" xr:uid="{00000000-0005-0000-0000-000055160000}"/>
    <cellStyle name="40% - Accent1 5 6 2 3 2 2" xfId="9779" xr:uid="{00000000-0005-0000-0000-000056160000}"/>
    <cellStyle name="40% - Accent1 5 6 2 3 3" xfId="9780" xr:uid="{00000000-0005-0000-0000-000057160000}"/>
    <cellStyle name="40% - Accent1 5 6 2 4" xfId="9781" xr:uid="{00000000-0005-0000-0000-000058160000}"/>
    <cellStyle name="40% - Accent1 5 6 2 4 2" xfId="9782" xr:uid="{00000000-0005-0000-0000-000059160000}"/>
    <cellStyle name="40% - Accent1 5 6 2 5" xfId="9783" xr:uid="{00000000-0005-0000-0000-00005A160000}"/>
    <cellStyle name="40% - Accent1 5 6 2 5 2" xfId="9784" xr:uid="{00000000-0005-0000-0000-00005B160000}"/>
    <cellStyle name="40% - Accent1 5 6 2 6" xfId="9785" xr:uid="{00000000-0005-0000-0000-00005C160000}"/>
    <cellStyle name="40% - Accent1 5 6 3" xfId="9786" xr:uid="{00000000-0005-0000-0000-00005D160000}"/>
    <cellStyle name="40% - Accent1 5 6 3 2" xfId="9787" xr:uid="{00000000-0005-0000-0000-00005E160000}"/>
    <cellStyle name="40% - Accent1 5 6 3 2 2" xfId="9788" xr:uid="{00000000-0005-0000-0000-00005F160000}"/>
    <cellStyle name="40% - Accent1 5 6 3 2 2 2" xfId="9789" xr:uid="{00000000-0005-0000-0000-000060160000}"/>
    <cellStyle name="40% - Accent1 5 6 3 2 3" xfId="9790" xr:uid="{00000000-0005-0000-0000-000061160000}"/>
    <cellStyle name="40% - Accent1 5 6 3 2 3 2" xfId="9791" xr:uid="{00000000-0005-0000-0000-000062160000}"/>
    <cellStyle name="40% - Accent1 5 6 3 2 4" xfId="9792" xr:uid="{00000000-0005-0000-0000-000063160000}"/>
    <cellStyle name="40% - Accent1 5 6 3 2 5" xfId="9793" xr:uid="{00000000-0005-0000-0000-000064160000}"/>
    <cellStyle name="40% - Accent1 5 6 3 3" xfId="9794" xr:uid="{00000000-0005-0000-0000-000065160000}"/>
    <cellStyle name="40% - Accent1 5 6 3 3 2" xfId="9795" xr:uid="{00000000-0005-0000-0000-000066160000}"/>
    <cellStyle name="40% - Accent1 5 6 3 3 2 2" xfId="9796" xr:uid="{00000000-0005-0000-0000-000067160000}"/>
    <cellStyle name="40% - Accent1 5 6 3 3 3" xfId="9797" xr:uid="{00000000-0005-0000-0000-000068160000}"/>
    <cellStyle name="40% - Accent1 5 6 3 4" xfId="9798" xr:uid="{00000000-0005-0000-0000-000069160000}"/>
    <cellStyle name="40% - Accent1 5 6 3 4 2" xfId="9799" xr:uid="{00000000-0005-0000-0000-00006A160000}"/>
    <cellStyle name="40% - Accent1 5 6 3 5" xfId="9800" xr:uid="{00000000-0005-0000-0000-00006B160000}"/>
    <cellStyle name="40% - Accent1 5 6 3 5 2" xfId="9801" xr:uid="{00000000-0005-0000-0000-00006C160000}"/>
    <cellStyle name="40% - Accent1 5 6 3 6" xfId="9802" xr:uid="{00000000-0005-0000-0000-00006D160000}"/>
    <cellStyle name="40% - Accent1 5 6 4" xfId="9803" xr:uid="{00000000-0005-0000-0000-00006E160000}"/>
    <cellStyle name="40% - Accent1 5 6 4 2" xfId="9804" xr:uid="{00000000-0005-0000-0000-00006F160000}"/>
    <cellStyle name="40% - Accent1 5 6 4 2 2" xfId="9805" xr:uid="{00000000-0005-0000-0000-000070160000}"/>
    <cellStyle name="40% - Accent1 5 6 4 3" xfId="9806" xr:uid="{00000000-0005-0000-0000-000071160000}"/>
    <cellStyle name="40% - Accent1 5 6 4 3 2" xfId="9807" xr:uid="{00000000-0005-0000-0000-000072160000}"/>
    <cellStyle name="40% - Accent1 5 6 4 4" xfId="9808" xr:uid="{00000000-0005-0000-0000-000073160000}"/>
    <cellStyle name="40% - Accent1 5 6 5" xfId="9809" xr:uid="{00000000-0005-0000-0000-000074160000}"/>
    <cellStyle name="40% - Accent1 5 6 5 2" xfId="9810" xr:uid="{00000000-0005-0000-0000-000075160000}"/>
    <cellStyle name="40% - Accent1 5 6 5 3" xfId="9811" xr:uid="{00000000-0005-0000-0000-000076160000}"/>
    <cellStyle name="40% - Accent1 5 6 6" xfId="9812" xr:uid="{00000000-0005-0000-0000-000077160000}"/>
    <cellStyle name="40% - Accent1 5 6 6 2" xfId="9813" xr:uid="{00000000-0005-0000-0000-000078160000}"/>
    <cellStyle name="40% - Accent1 5 6 6 3" xfId="9814" xr:uid="{00000000-0005-0000-0000-000079160000}"/>
    <cellStyle name="40% - Accent1 5 6 7" xfId="9815" xr:uid="{00000000-0005-0000-0000-00007A160000}"/>
    <cellStyle name="40% - Accent1 5 6 7 2" xfId="9816" xr:uid="{00000000-0005-0000-0000-00007B160000}"/>
    <cellStyle name="40% - Accent1 5 6 7 3" xfId="9817" xr:uid="{00000000-0005-0000-0000-00007C160000}"/>
    <cellStyle name="40% - Accent1 5 6 8" xfId="9818" xr:uid="{00000000-0005-0000-0000-00007D160000}"/>
    <cellStyle name="40% - Accent1 5 7" xfId="9819" xr:uid="{00000000-0005-0000-0000-00007E160000}"/>
    <cellStyle name="40% - Accent1 5 7 2" xfId="9820" xr:uid="{00000000-0005-0000-0000-00007F160000}"/>
    <cellStyle name="40% - Accent1 5 7 2 2" xfId="9821" xr:uid="{00000000-0005-0000-0000-000080160000}"/>
    <cellStyle name="40% - Accent1 5 7 2 2 2" xfId="9822" xr:uid="{00000000-0005-0000-0000-000081160000}"/>
    <cellStyle name="40% - Accent1 5 7 2 3" xfId="9823" xr:uid="{00000000-0005-0000-0000-000082160000}"/>
    <cellStyle name="40% - Accent1 5 7 2 3 2" xfId="9824" xr:uid="{00000000-0005-0000-0000-000083160000}"/>
    <cellStyle name="40% - Accent1 5 7 2 4" xfId="9825" xr:uid="{00000000-0005-0000-0000-000084160000}"/>
    <cellStyle name="40% - Accent1 5 7 2 4 2" xfId="9826" xr:uid="{00000000-0005-0000-0000-000085160000}"/>
    <cellStyle name="40% - Accent1 5 7 2 5" xfId="9827" xr:uid="{00000000-0005-0000-0000-000086160000}"/>
    <cellStyle name="40% - Accent1 5 7 3" xfId="9828" xr:uid="{00000000-0005-0000-0000-000087160000}"/>
    <cellStyle name="40% - Accent1 5 7 3 2" xfId="9829" xr:uid="{00000000-0005-0000-0000-000088160000}"/>
    <cellStyle name="40% - Accent1 5 7 3 2 2" xfId="9830" xr:uid="{00000000-0005-0000-0000-000089160000}"/>
    <cellStyle name="40% - Accent1 5 7 3 3" xfId="9831" xr:uid="{00000000-0005-0000-0000-00008A160000}"/>
    <cellStyle name="40% - Accent1 5 7 3 3 2" xfId="9832" xr:uid="{00000000-0005-0000-0000-00008B160000}"/>
    <cellStyle name="40% - Accent1 5 7 3 4" xfId="9833" xr:uid="{00000000-0005-0000-0000-00008C160000}"/>
    <cellStyle name="40% - Accent1 5 7 4" xfId="9834" xr:uid="{00000000-0005-0000-0000-00008D160000}"/>
    <cellStyle name="40% - Accent1 5 7 4 2" xfId="9835" xr:uid="{00000000-0005-0000-0000-00008E160000}"/>
    <cellStyle name="40% - Accent1 5 7 5" xfId="9836" xr:uid="{00000000-0005-0000-0000-00008F160000}"/>
    <cellStyle name="40% - Accent1 5 7 5 2" xfId="9837" xr:uid="{00000000-0005-0000-0000-000090160000}"/>
    <cellStyle name="40% - Accent1 5 7 6" xfId="9838" xr:uid="{00000000-0005-0000-0000-000091160000}"/>
    <cellStyle name="40% - Accent1 5 7 7" xfId="9839" xr:uid="{00000000-0005-0000-0000-000092160000}"/>
    <cellStyle name="40% - Accent1 5 8" xfId="9840" xr:uid="{00000000-0005-0000-0000-000093160000}"/>
    <cellStyle name="40% - Accent1 5 8 2" xfId="9841" xr:uid="{00000000-0005-0000-0000-000094160000}"/>
    <cellStyle name="40% - Accent1 5 8 2 2" xfId="9842" xr:uid="{00000000-0005-0000-0000-000095160000}"/>
    <cellStyle name="40% - Accent1 5 8 2 2 2" xfId="9843" xr:uid="{00000000-0005-0000-0000-000096160000}"/>
    <cellStyle name="40% - Accent1 5 8 2 3" xfId="9844" xr:uid="{00000000-0005-0000-0000-000097160000}"/>
    <cellStyle name="40% - Accent1 5 8 2 3 2" xfId="9845" xr:uid="{00000000-0005-0000-0000-000098160000}"/>
    <cellStyle name="40% - Accent1 5 8 2 4" xfId="9846" xr:uid="{00000000-0005-0000-0000-000099160000}"/>
    <cellStyle name="40% - Accent1 5 8 3" xfId="9847" xr:uid="{00000000-0005-0000-0000-00009A160000}"/>
    <cellStyle name="40% - Accent1 5 8 3 2" xfId="9848" xr:uid="{00000000-0005-0000-0000-00009B160000}"/>
    <cellStyle name="40% - Accent1 5 8 4" xfId="9849" xr:uid="{00000000-0005-0000-0000-00009C160000}"/>
    <cellStyle name="40% - Accent1 5 9" xfId="9850" xr:uid="{00000000-0005-0000-0000-00009D160000}"/>
    <cellStyle name="40% - Accent1 5 9 2" xfId="9851" xr:uid="{00000000-0005-0000-0000-00009E160000}"/>
    <cellStyle name="40% - Accent1 6" xfId="4054" xr:uid="{00000000-0005-0000-0000-00009F160000}"/>
    <cellStyle name="40% - Accent1 6 10" xfId="9852" xr:uid="{00000000-0005-0000-0000-0000A0160000}"/>
    <cellStyle name="40% - Accent1 6 2" xfId="4053" xr:uid="{00000000-0005-0000-0000-0000A1160000}"/>
    <cellStyle name="40% - Accent1 6 2 2" xfId="4052" xr:uid="{00000000-0005-0000-0000-0000A2160000}"/>
    <cellStyle name="40% - Accent1 6 2 2 2" xfId="4051" xr:uid="{00000000-0005-0000-0000-0000A3160000}"/>
    <cellStyle name="40% - Accent1 6 2 2 3" xfId="4050" xr:uid="{00000000-0005-0000-0000-0000A4160000}"/>
    <cellStyle name="40% - Accent1 6 2 3" xfId="4049" xr:uid="{00000000-0005-0000-0000-0000A5160000}"/>
    <cellStyle name="40% - Accent1 6 2 4" xfId="4048" xr:uid="{00000000-0005-0000-0000-0000A6160000}"/>
    <cellStyle name="40% - Accent1 6 2 5" xfId="9853" xr:uid="{00000000-0005-0000-0000-0000A7160000}"/>
    <cellStyle name="40% - Accent1 6 2 5 2" xfId="9854" xr:uid="{00000000-0005-0000-0000-0000A8160000}"/>
    <cellStyle name="40% - Accent1 6 2 5 2 2" xfId="9855" xr:uid="{00000000-0005-0000-0000-0000A9160000}"/>
    <cellStyle name="40% - Accent1 6 2 5 3" xfId="9856" xr:uid="{00000000-0005-0000-0000-0000AA160000}"/>
    <cellStyle name="40% - Accent1 6 2 5 3 2" xfId="9857" xr:uid="{00000000-0005-0000-0000-0000AB160000}"/>
    <cellStyle name="40% - Accent1 6 2 5 4" xfId="9858" xr:uid="{00000000-0005-0000-0000-0000AC160000}"/>
    <cellStyle name="40% - Accent1 6 2 5 5" xfId="9859" xr:uid="{00000000-0005-0000-0000-0000AD160000}"/>
    <cellStyle name="40% - Accent1 6 2 6" xfId="9860" xr:uid="{00000000-0005-0000-0000-0000AE160000}"/>
    <cellStyle name="40% - Accent1 6 2 6 2" xfId="9861" xr:uid="{00000000-0005-0000-0000-0000AF160000}"/>
    <cellStyle name="40% - Accent1 6 2 7" xfId="9862" xr:uid="{00000000-0005-0000-0000-0000B0160000}"/>
    <cellStyle name="40% - Accent1 6 2 7 2" xfId="9863" xr:uid="{00000000-0005-0000-0000-0000B1160000}"/>
    <cellStyle name="40% - Accent1 6 2 8" xfId="9864" xr:uid="{00000000-0005-0000-0000-0000B2160000}"/>
    <cellStyle name="40% - Accent1 6 2 8 2" xfId="9865" xr:uid="{00000000-0005-0000-0000-0000B3160000}"/>
    <cellStyle name="40% - Accent1 6 2 9" xfId="9866" xr:uid="{00000000-0005-0000-0000-0000B4160000}"/>
    <cellStyle name="40% - Accent1 6 3" xfId="4047" xr:uid="{00000000-0005-0000-0000-0000B5160000}"/>
    <cellStyle name="40% - Accent1 6 3 2" xfId="4046" xr:uid="{00000000-0005-0000-0000-0000B6160000}"/>
    <cellStyle name="40% - Accent1 6 3 3" xfId="4045" xr:uid="{00000000-0005-0000-0000-0000B7160000}"/>
    <cellStyle name="40% - Accent1 6 3 4" xfId="9867" xr:uid="{00000000-0005-0000-0000-0000B8160000}"/>
    <cellStyle name="40% - Accent1 6 3 4 2" xfId="9868" xr:uid="{00000000-0005-0000-0000-0000B9160000}"/>
    <cellStyle name="40% - Accent1 6 3 5" xfId="9869" xr:uid="{00000000-0005-0000-0000-0000BA160000}"/>
    <cellStyle name="40% - Accent1 6 3 5 2" xfId="9870" xr:uid="{00000000-0005-0000-0000-0000BB160000}"/>
    <cellStyle name="40% - Accent1 6 4" xfId="4044" xr:uid="{00000000-0005-0000-0000-0000BC160000}"/>
    <cellStyle name="40% - Accent1 6 4 2" xfId="4043" xr:uid="{00000000-0005-0000-0000-0000BD160000}"/>
    <cellStyle name="40% - Accent1 6 4 2 2" xfId="9871" xr:uid="{00000000-0005-0000-0000-0000BE160000}"/>
    <cellStyle name="40% - Accent1 6 4 2 2 2" xfId="9872" xr:uid="{00000000-0005-0000-0000-0000BF160000}"/>
    <cellStyle name="40% - Accent1 6 4 2 2 2 2" xfId="9873" xr:uid="{00000000-0005-0000-0000-0000C0160000}"/>
    <cellStyle name="40% - Accent1 6 4 2 2 3" xfId="9874" xr:uid="{00000000-0005-0000-0000-0000C1160000}"/>
    <cellStyle name="40% - Accent1 6 4 2 2 3 2" xfId="9875" xr:uid="{00000000-0005-0000-0000-0000C2160000}"/>
    <cellStyle name="40% - Accent1 6 4 2 2 4" xfId="9876" xr:uid="{00000000-0005-0000-0000-0000C3160000}"/>
    <cellStyle name="40% - Accent1 6 4 2 2 5" xfId="9877" xr:uid="{00000000-0005-0000-0000-0000C4160000}"/>
    <cellStyle name="40% - Accent1 6 4 2 3" xfId="9878" xr:uid="{00000000-0005-0000-0000-0000C5160000}"/>
    <cellStyle name="40% - Accent1 6 4 2 3 2" xfId="9879" xr:uid="{00000000-0005-0000-0000-0000C6160000}"/>
    <cellStyle name="40% - Accent1 6 4 2 3 2 2" xfId="9880" xr:uid="{00000000-0005-0000-0000-0000C7160000}"/>
    <cellStyle name="40% - Accent1 6 4 2 3 3" xfId="9881" xr:uid="{00000000-0005-0000-0000-0000C8160000}"/>
    <cellStyle name="40% - Accent1 6 4 2 4" xfId="9882" xr:uid="{00000000-0005-0000-0000-0000C9160000}"/>
    <cellStyle name="40% - Accent1 6 4 2 4 2" xfId="9883" xr:uid="{00000000-0005-0000-0000-0000CA160000}"/>
    <cellStyle name="40% - Accent1 6 4 2 5" xfId="9884" xr:uid="{00000000-0005-0000-0000-0000CB160000}"/>
    <cellStyle name="40% - Accent1 6 4 2 5 2" xfId="9885" xr:uid="{00000000-0005-0000-0000-0000CC160000}"/>
    <cellStyle name="40% - Accent1 6 4 2 6" xfId="9886" xr:uid="{00000000-0005-0000-0000-0000CD160000}"/>
    <cellStyle name="40% - Accent1 6 4 3" xfId="4042" xr:uid="{00000000-0005-0000-0000-0000CE160000}"/>
    <cellStyle name="40% - Accent1 6 4 3 2" xfId="9887" xr:uid="{00000000-0005-0000-0000-0000CF160000}"/>
    <cellStyle name="40% - Accent1 6 4 3 2 2" xfId="9888" xr:uid="{00000000-0005-0000-0000-0000D0160000}"/>
    <cellStyle name="40% - Accent1 6 4 3 3" xfId="9889" xr:uid="{00000000-0005-0000-0000-0000D1160000}"/>
    <cellStyle name="40% - Accent1 6 4 3 3 2" xfId="9890" xr:uid="{00000000-0005-0000-0000-0000D2160000}"/>
    <cellStyle name="40% - Accent1 6 4 3 4" xfId="9891" xr:uid="{00000000-0005-0000-0000-0000D3160000}"/>
    <cellStyle name="40% - Accent1 6 4 4" xfId="9892" xr:uid="{00000000-0005-0000-0000-0000D4160000}"/>
    <cellStyle name="40% - Accent1 6 4 4 2" xfId="9893" xr:uid="{00000000-0005-0000-0000-0000D5160000}"/>
    <cellStyle name="40% - Accent1 6 4 4 3" xfId="9894" xr:uid="{00000000-0005-0000-0000-0000D6160000}"/>
    <cellStyle name="40% - Accent1 6 4 5" xfId="9895" xr:uid="{00000000-0005-0000-0000-0000D7160000}"/>
    <cellStyle name="40% - Accent1 6 4 5 2" xfId="9896" xr:uid="{00000000-0005-0000-0000-0000D8160000}"/>
    <cellStyle name="40% - Accent1 6 4 5 3" xfId="9897" xr:uid="{00000000-0005-0000-0000-0000D9160000}"/>
    <cellStyle name="40% - Accent1 6 4 6" xfId="9898" xr:uid="{00000000-0005-0000-0000-0000DA160000}"/>
    <cellStyle name="40% - Accent1 6 4 6 2" xfId="9899" xr:uid="{00000000-0005-0000-0000-0000DB160000}"/>
    <cellStyle name="40% - Accent1 6 4 6 3" xfId="9900" xr:uid="{00000000-0005-0000-0000-0000DC160000}"/>
    <cellStyle name="40% - Accent1 6 4 7" xfId="9901" xr:uid="{00000000-0005-0000-0000-0000DD160000}"/>
    <cellStyle name="40% - Accent1 6 4 8" xfId="9902" xr:uid="{00000000-0005-0000-0000-0000DE160000}"/>
    <cellStyle name="40% - Accent1 6 5" xfId="4041" xr:uid="{00000000-0005-0000-0000-0000DF160000}"/>
    <cellStyle name="40% - Accent1 6 5 2" xfId="9903" xr:uid="{00000000-0005-0000-0000-0000E0160000}"/>
    <cellStyle name="40% - Accent1 6 5 2 2" xfId="9904" xr:uid="{00000000-0005-0000-0000-0000E1160000}"/>
    <cellStyle name="40% - Accent1 6 5 2 2 2" xfId="9905" xr:uid="{00000000-0005-0000-0000-0000E2160000}"/>
    <cellStyle name="40% - Accent1 6 5 2 3" xfId="9906" xr:uid="{00000000-0005-0000-0000-0000E3160000}"/>
    <cellStyle name="40% - Accent1 6 5 2 3 2" xfId="9907" xr:uid="{00000000-0005-0000-0000-0000E4160000}"/>
    <cellStyle name="40% - Accent1 6 5 2 4" xfId="9908" xr:uid="{00000000-0005-0000-0000-0000E5160000}"/>
    <cellStyle name="40% - Accent1 6 5 3" xfId="9909" xr:uid="{00000000-0005-0000-0000-0000E6160000}"/>
    <cellStyle name="40% - Accent1 6 5 3 2" xfId="9910" xr:uid="{00000000-0005-0000-0000-0000E7160000}"/>
    <cellStyle name="40% - Accent1 6 5 3 3" xfId="9911" xr:uid="{00000000-0005-0000-0000-0000E8160000}"/>
    <cellStyle name="40% - Accent1 6 5 4" xfId="9912" xr:uid="{00000000-0005-0000-0000-0000E9160000}"/>
    <cellStyle name="40% - Accent1 6 5 4 2" xfId="9913" xr:uid="{00000000-0005-0000-0000-0000EA160000}"/>
    <cellStyle name="40% - Accent1 6 5 4 3" xfId="9914" xr:uid="{00000000-0005-0000-0000-0000EB160000}"/>
    <cellStyle name="40% - Accent1 6 5 5" xfId="9915" xr:uid="{00000000-0005-0000-0000-0000EC160000}"/>
    <cellStyle name="40% - Accent1 6 5 5 2" xfId="9916" xr:uid="{00000000-0005-0000-0000-0000ED160000}"/>
    <cellStyle name="40% - Accent1 6 5 5 3" xfId="9917" xr:uid="{00000000-0005-0000-0000-0000EE160000}"/>
    <cellStyle name="40% - Accent1 6 5 6" xfId="9918" xr:uid="{00000000-0005-0000-0000-0000EF160000}"/>
    <cellStyle name="40% - Accent1 6 6" xfId="4040" xr:uid="{00000000-0005-0000-0000-0000F0160000}"/>
    <cellStyle name="40% - Accent1 6 7" xfId="9919" xr:uid="{00000000-0005-0000-0000-0000F1160000}"/>
    <cellStyle name="40% - Accent1 6 7 2" xfId="9920" xr:uid="{00000000-0005-0000-0000-0000F2160000}"/>
    <cellStyle name="40% - Accent1 6 7 2 2" xfId="9921" xr:uid="{00000000-0005-0000-0000-0000F3160000}"/>
    <cellStyle name="40% - Accent1 6 7 3" xfId="9922" xr:uid="{00000000-0005-0000-0000-0000F4160000}"/>
    <cellStyle name="40% - Accent1 6 7 3 2" xfId="9923" xr:uid="{00000000-0005-0000-0000-0000F5160000}"/>
    <cellStyle name="40% - Accent1 6 7 4" xfId="9924" xr:uid="{00000000-0005-0000-0000-0000F6160000}"/>
    <cellStyle name="40% - Accent1 6 7 5" xfId="9925" xr:uid="{00000000-0005-0000-0000-0000F7160000}"/>
    <cellStyle name="40% - Accent1 6 8" xfId="9926" xr:uid="{00000000-0005-0000-0000-0000F8160000}"/>
    <cellStyle name="40% - Accent1 6 8 2" xfId="9927" xr:uid="{00000000-0005-0000-0000-0000F9160000}"/>
    <cellStyle name="40% - Accent1 6 8 2 2" xfId="9928" xr:uid="{00000000-0005-0000-0000-0000FA160000}"/>
    <cellStyle name="40% - Accent1 6 8 3" xfId="9929" xr:uid="{00000000-0005-0000-0000-0000FB160000}"/>
    <cellStyle name="40% - Accent1 6 9" xfId="9930" xr:uid="{00000000-0005-0000-0000-0000FC160000}"/>
    <cellStyle name="40% - Accent1 6 9 2" xfId="9931" xr:uid="{00000000-0005-0000-0000-0000FD160000}"/>
    <cellStyle name="40% - Accent1 7" xfId="4039" xr:uid="{00000000-0005-0000-0000-0000FE160000}"/>
    <cellStyle name="40% - Accent1 7 2" xfId="4038" xr:uid="{00000000-0005-0000-0000-0000FF160000}"/>
    <cellStyle name="40% - Accent1 7 2 2" xfId="4037" xr:uid="{00000000-0005-0000-0000-000000170000}"/>
    <cellStyle name="40% - Accent1 7 2 2 2" xfId="4036" xr:uid="{00000000-0005-0000-0000-000001170000}"/>
    <cellStyle name="40% - Accent1 7 2 2 2 2" xfId="9932" xr:uid="{00000000-0005-0000-0000-000002170000}"/>
    <cellStyle name="40% - Accent1 7 2 2 3" xfId="4035" xr:uid="{00000000-0005-0000-0000-000003170000}"/>
    <cellStyle name="40% - Accent1 7 2 2 3 2" xfId="9933" xr:uid="{00000000-0005-0000-0000-000004170000}"/>
    <cellStyle name="40% - Accent1 7 2 2 4" xfId="9934" xr:uid="{00000000-0005-0000-0000-000005170000}"/>
    <cellStyle name="40% - Accent1 7 2 3" xfId="4034" xr:uid="{00000000-0005-0000-0000-000006170000}"/>
    <cellStyle name="40% - Accent1 7 2 3 2" xfId="9935" xr:uid="{00000000-0005-0000-0000-000007170000}"/>
    <cellStyle name="40% - Accent1 7 2 3 2 2" xfId="9936" xr:uid="{00000000-0005-0000-0000-000008170000}"/>
    <cellStyle name="40% - Accent1 7 2 3 3" xfId="9937" xr:uid="{00000000-0005-0000-0000-000009170000}"/>
    <cellStyle name="40% - Accent1 7 2 4" xfId="4033" xr:uid="{00000000-0005-0000-0000-00000A170000}"/>
    <cellStyle name="40% - Accent1 7 2 4 2" xfId="9938" xr:uid="{00000000-0005-0000-0000-00000B170000}"/>
    <cellStyle name="40% - Accent1 7 2 4 2 2" xfId="9939" xr:uid="{00000000-0005-0000-0000-00000C170000}"/>
    <cellStyle name="40% - Accent1 7 2 4 3" xfId="9940" xr:uid="{00000000-0005-0000-0000-00000D170000}"/>
    <cellStyle name="40% - Accent1 7 2 4 3 2" xfId="9941" xr:uid="{00000000-0005-0000-0000-00000E170000}"/>
    <cellStyle name="40% - Accent1 7 2 4 4" xfId="9942" xr:uid="{00000000-0005-0000-0000-00000F170000}"/>
    <cellStyle name="40% - Accent1 7 2 5" xfId="9943" xr:uid="{00000000-0005-0000-0000-000010170000}"/>
    <cellStyle name="40% - Accent1 7 2 5 2" xfId="9944" xr:uid="{00000000-0005-0000-0000-000011170000}"/>
    <cellStyle name="40% - Accent1 7 2 5 2 2" xfId="9945" xr:uid="{00000000-0005-0000-0000-000012170000}"/>
    <cellStyle name="40% - Accent1 7 2 6" xfId="9946" xr:uid="{00000000-0005-0000-0000-000013170000}"/>
    <cellStyle name="40% - Accent1 7 3" xfId="4032" xr:uid="{00000000-0005-0000-0000-000014170000}"/>
    <cellStyle name="40% - Accent1 7 3 2" xfId="4031" xr:uid="{00000000-0005-0000-0000-000015170000}"/>
    <cellStyle name="40% - Accent1 7 3 2 2" xfId="9947" xr:uid="{00000000-0005-0000-0000-000016170000}"/>
    <cellStyle name="40% - Accent1 7 3 2 2 2" xfId="9948" xr:uid="{00000000-0005-0000-0000-000017170000}"/>
    <cellStyle name="40% - Accent1 7 3 2 3" xfId="9949" xr:uid="{00000000-0005-0000-0000-000018170000}"/>
    <cellStyle name="40% - Accent1 7 3 2 3 2" xfId="9950" xr:uid="{00000000-0005-0000-0000-000019170000}"/>
    <cellStyle name="40% - Accent1 7 3 2 4" xfId="9951" xr:uid="{00000000-0005-0000-0000-00001A170000}"/>
    <cellStyle name="40% - Accent1 7 3 3" xfId="4030" xr:uid="{00000000-0005-0000-0000-00001B170000}"/>
    <cellStyle name="40% - Accent1 7 3 3 2" xfId="9952" xr:uid="{00000000-0005-0000-0000-00001C170000}"/>
    <cellStyle name="40% - Accent1 7 3 3 2 2" xfId="9953" xr:uid="{00000000-0005-0000-0000-00001D170000}"/>
    <cellStyle name="40% - Accent1 7 3 3 3" xfId="9954" xr:uid="{00000000-0005-0000-0000-00001E170000}"/>
    <cellStyle name="40% - Accent1 7 3 3 3 2" xfId="9955" xr:uid="{00000000-0005-0000-0000-00001F170000}"/>
    <cellStyle name="40% - Accent1 7 3 3 4" xfId="9956" xr:uid="{00000000-0005-0000-0000-000020170000}"/>
    <cellStyle name="40% - Accent1 7 3 4" xfId="9957" xr:uid="{00000000-0005-0000-0000-000021170000}"/>
    <cellStyle name="40% - Accent1 7 4" xfId="4029" xr:uid="{00000000-0005-0000-0000-000022170000}"/>
    <cellStyle name="40% - Accent1 7 4 2" xfId="4028" xr:uid="{00000000-0005-0000-0000-000023170000}"/>
    <cellStyle name="40% - Accent1 7 4 2 2" xfId="9958" xr:uid="{00000000-0005-0000-0000-000024170000}"/>
    <cellStyle name="40% - Accent1 7 4 3" xfId="4027" xr:uid="{00000000-0005-0000-0000-000025170000}"/>
    <cellStyle name="40% - Accent1 7 4 3 2" xfId="9959" xr:uid="{00000000-0005-0000-0000-000026170000}"/>
    <cellStyle name="40% - Accent1 7 4 4" xfId="9960" xr:uid="{00000000-0005-0000-0000-000027170000}"/>
    <cellStyle name="40% - Accent1 7 4 4 2" xfId="9961" xr:uid="{00000000-0005-0000-0000-000028170000}"/>
    <cellStyle name="40% - Accent1 7 4 5" xfId="9962" xr:uid="{00000000-0005-0000-0000-000029170000}"/>
    <cellStyle name="40% - Accent1 7 5" xfId="4026" xr:uid="{00000000-0005-0000-0000-00002A170000}"/>
    <cellStyle name="40% - Accent1 7 5 2" xfId="9963" xr:uid="{00000000-0005-0000-0000-00002B170000}"/>
    <cellStyle name="40% - Accent1 7 5 2 2" xfId="9964" xr:uid="{00000000-0005-0000-0000-00002C170000}"/>
    <cellStyle name="40% - Accent1 7 5 2 2 2" xfId="9965" xr:uid="{00000000-0005-0000-0000-00002D170000}"/>
    <cellStyle name="40% - Accent1 7 5 3" xfId="9966" xr:uid="{00000000-0005-0000-0000-00002E170000}"/>
    <cellStyle name="40% - Accent1 7 5 3 2" xfId="9967" xr:uid="{00000000-0005-0000-0000-00002F170000}"/>
    <cellStyle name="40% - Accent1 7 5 4" xfId="9968" xr:uid="{00000000-0005-0000-0000-000030170000}"/>
    <cellStyle name="40% - Accent1 7 6" xfId="4025" xr:uid="{00000000-0005-0000-0000-000031170000}"/>
    <cellStyle name="40% - Accent1 7 6 2" xfId="9969" xr:uid="{00000000-0005-0000-0000-000032170000}"/>
    <cellStyle name="40% - Accent1 7 7" xfId="9970" xr:uid="{00000000-0005-0000-0000-000033170000}"/>
    <cellStyle name="40% - Accent1 7 7 2" xfId="9971" xr:uid="{00000000-0005-0000-0000-000034170000}"/>
    <cellStyle name="40% - Accent1 7 8" xfId="9972" xr:uid="{00000000-0005-0000-0000-000035170000}"/>
    <cellStyle name="40% - Accent1 7 8 2" xfId="9973" xr:uid="{00000000-0005-0000-0000-000036170000}"/>
    <cellStyle name="40% - Accent1 7 9" xfId="9974" xr:uid="{00000000-0005-0000-0000-000037170000}"/>
    <cellStyle name="40% - Accent1 8" xfId="4024" xr:uid="{00000000-0005-0000-0000-000038170000}"/>
    <cellStyle name="40% - Accent1 8 2" xfId="4023" xr:uid="{00000000-0005-0000-0000-000039170000}"/>
    <cellStyle name="40% - Accent1 8 2 2" xfId="4022" xr:uid="{00000000-0005-0000-0000-00003A170000}"/>
    <cellStyle name="40% - Accent1 8 2 2 2" xfId="4021" xr:uid="{00000000-0005-0000-0000-00003B170000}"/>
    <cellStyle name="40% - Accent1 8 2 2 2 2" xfId="9975" xr:uid="{00000000-0005-0000-0000-00003C170000}"/>
    <cellStyle name="40% - Accent1 8 2 2 3" xfId="4020" xr:uid="{00000000-0005-0000-0000-00003D170000}"/>
    <cellStyle name="40% - Accent1 8 2 2 3 2" xfId="9976" xr:uid="{00000000-0005-0000-0000-00003E170000}"/>
    <cellStyle name="40% - Accent1 8 2 2 4" xfId="9977" xr:uid="{00000000-0005-0000-0000-00003F170000}"/>
    <cellStyle name="40% - Accent1 8 2 3" xfId="4019" xr:uid="{00000000-0005-0000-0000-000040170000}"/>
    <cellStyle name="40% - Accent1 8 2 3 2" xfId="9978" xr:uid="{00000000-0005-0000-0000-000041170000}"/>
    <cellStyle name="40% - Accent1 8 2 3 2 2" xfId="9979" xr:uid="{00000000-0005-0000-0000-000042170000}"/>
    <cellStyle name="40% - Accent1 8 2 3 3" xfId="9980" xr:uid="{00000000-0005-0000-0000-000043170000}"/>
    <cellStyle name="40% - Accent1 8 2 4" xfId="4018" xr:uid="{00000000-0005-0000-0000-000044170000}"/>
    <cellStyle name="40% - Accent1 8 2 4 2" xfId="9981" xr:uid="{00000000-0005-0000-0000-000045170000}"/>
    <cellStyle name="40% - Accent1 8 2 4 2 2" xfId="9982" xr:uid="{00000000-0005-0000-0000-000046170000}"/>
    <cellStyle name="40% - Accent1 8 2 4 3" xfId="9983" xr:uid="{00000000-0005-0000-0000-000047170000}"/>
    <cellStyle name="40% - Accent1 8 2 4 3 2" xfId="9984" xr:uid="{00000000-0005-0000-0000-000048170000}"/>
    <cellStyle name="40% - Accent1 8 2 4 4" xfId="9985" xr:uid="{00000000-0005-0000-0000-000049170000}"/>
    <cellStyle name="40% - Accent1 8 2 5" xfId="9986" xr:uid="{00000000-0005-0000-0000-00004A170000}"/>
    <cellStyle name="40% - Accent1 8 2 5 2" xfId="9987" xr:uid="{00000000-0005-0000-0000-00004B170000}"/>
    <cellStyle name="40% - Accent1 8 2 6" xfId="9988" xr:uid="{00000000-0005-0000-0000-00004C170000}"/>
    <cellStyle name="40% - Accent1 8 3" xfId="4017" xr:uid="{00000000-0005-0000-0000-00004D170000}"/>
    <cellStyle name="40% - Accent1 8 3 2" xfId="4016" xr:uid="{00000000-0005-0000-0000-00004E170000}"/>
    <cellStyle name="40% - Accent1 8 3 2 2" xfId="9989" xr:uid="{00000000-0005-0000-0000-00004F170000}"/>
    <cellStyle name="40% - Accent1 8 3 2 2 2" xfId="9990" xr:uid="{00000000-0005-0000-0000-000050170000}"/>
    <cellStyle name="40% - Accent1 8 3 2 3" xfId="9991" xr:uid="{00000000-0005-0000-0000-000051170000}"/>
    <cellStyle name="40% - Accent1 8 3 2 3 2" xfId="9992" xr:uid="{00000000-0005-0000-0000-000052170000}"/>
    <cellStyle name="40% - Accent1 8 3 2 4" xfId="9993" xr:uid="{00000000-0005-0000-0000-000053170000}"/>
    <cellStyle name="40% - Accent1 8 3 3" xfId="4015" xr:uid="{00000000-0005-0000-0000-000054170000}"/>
    <cellStyle name="40% - Accent1 8 3 3 2" xfId="9994" xr:uid="{00000000-0005-0000-0000-000055170000}"/>
    <cellStyle name="40% - Accent1 8 3 3 2 2" xfId="9995" xr:uid="{00000000-0005-0000-0000-000056170000}"/>
    <cellStyle name="40% - Accent1 8 3 3 3" xfId="9996" xr:uid="{00000000-0005-0000-0000-000057170000}"/>
    <cellStyle name="40% - Accent1 8 3 3 3 2" xfId="9997" xr:uid="{00000000-0005-0000-0000-000058170000}"/>
    <cellStyle name="40% - Accent1 8 3 3 4" xfId="9998" xr:uid="{00000000-0005-0000-0000-000059170000}"/>
    <cellStyle name="40% - Accent1 8 3 4" xfId="9999" xr:uid="{00000000-0005-0000-0000-00005A170000}"/>
    <cellStyle name="40% - Accent1 8 3 4 2" xfId="10000" xr:uid="{00000000-0005-0000-0000-00005B170000}"/>
    <cellStyle name="40% - Accent1 8 3 5" xfId="10001" xr:uid="{00000000-0005-0000-0000-00005C170000}"/>
    <cellStyle name="40% - Accent1 8 3 5 2" xfId="10002" xr:uid="{00000000-0005-0000-0000-00005D170000}"/>
    <cellStyle name="40% - Accent1 8 3 6" xfId="10003" xr:uid="{00000000-0005-0000-0000-00005E170000}"/>
    <cellStyle name="40% - Accent1 8 4" xfId="4014" xr:uid="{00000000-0005-0000-0000-00005F170000}"/>
    <cellStyle name="40% - Accent1 8 4 2" xfId="4013" xr:uid="{00000000-0005-0000-0000-000060170000}"/>
    <cellStyle name="40% - Accent1 8 4 2 2" xfId="10004" xr:uid="{00000000-0005-0000-0000-000061170000}"/>
    <cellStyle name="40% - Accent1 8 4 3" xfId="4012" xr:uid="{00000000-0005-0000-0000-000062170000}"/>
    <cellStyle name="40% - Accent1 8 5" xfId="4011" xr:uid="{00000000-0005-0000-0000-000063170000}"/>
    <cellStyle name="40% - Accent1 8 5 2" xfId="10005" xr:uid="{00000000-0005-0000-0000-000064170000}"/>
    <cellStyle name="40% - Accent1 8 6" xfId="4010" xr:uid="{00000000-0005-0000-0000-000065170000}"/>
    <cellStyle name="40% - Accent1 8 6 2" xfId="10006" xr:uid="{00000000-0005-0000-0000-000066170000}"/>
    <cellStyle name="40% - Accent1 8 7" xfId="10007" xr:uid="{00000000-0005-0000-0000-000067170000}"/>
    <cellStyle name="40% - Accent1 9" xfId="4009" xr:uid="{00000000-0005-0000-0000-000068170000}"/>
    <cellStyle name="40% - Accent1 9 2" xfId="4008" xr:uid="{00000000-0005-0000-0000-000069170000}"/>
    <cellStyle name="40% - Accent1 9 2 2" xfId="4007" xr:uid="{00000000-0005-0000-0000-00006A170000}"/>
    <cellStyle name="40% - Accent1 9 2 2 2" xfId="4006" xr:uid="{00000000-0005-0000-0000-00006B170000}"/>
    <cellStyle name="40% - Accent1 9 2 2 3" xfId="4005" xr:uid="{00000000-0005-0000-0000-00006C170000}"/>
    <cellStyle name="40% - Accent1 9 2 3" xfId="4004" xr:uid="{00000000-0005-0000-0000-00006D170000}"/>
    <cellStyle name="40% - Accent1 9 2 3 2" xfId="10008" xr:uid="{00000000-0005-0000-0000-00006E170000}"/>
    <cellStyle name="40% - Accent1 9 2 4" xfId="4003" xr:uid="{00000000-0005-0000-0000-00006F170000}"/>
    <cellStyle name="40% - Accent1 9 2 4 2" xfId="10009" xr:uid="{00000000-0005-0000-0000-000070170000}"/>
    <cellStyle name="40% - Accent1 9 2 5" xfId="10010" xr:uid="{00000000-0005-0000-0000-000071170000}"/>
    <cellStyle name="40% - Accent1 9 3" xfId="4002" xr:uid="{00000000-0005-0000-0000-000072170000}"/>
    <cellStyle name="40% - Accent1 9 3 2" xfId="4001" xr:uid="{00000000-0005-0000-0000-000073170000}"/>
    <cellStyle name="40% - Accent1 9 3 2 2" xfId="10011" xr:uid="{00000000-0005-0000-0000-000074170000}"/>
    <cellStyle name="40% - Accent1 9 3 3" xfId="4000" xr:uid="{00000000-0005-0000-0000-000075170000}"/>
    <cellStyle name="40% - Accent1 9 3 3 2" xfId="10012" xr:uid="{00000000-0005-0000-0000-000076170000}"/>
    <cellStyle name="40% - Accent1 9 3 4" xfId="10013" xr:uid="{00000000-0005-0000-0000-000077170000}"/>
    <cellStyle name="40% - Accent1 9 4" xfId="3999" xr:uid="{00000000-0005-0000-0000-000078170000}"/>
    <cellStyle name="40% - Accent1 9 4 2" xfId="3998" xr:uid="{00000000-0005-0000-0000-000079170000}"/>
    <cellStyle name="40% - Accent1 9 4 2 2" xfId="10014" xr:uid="{00000000-0005-0000-0000-00007A170000}"/>
    <cellStyle name="40% - Accent1 9 4 3" xfId="3997" xr:uid="{00000000-0005-0000-0000-00007B170000}"/>
    <cellStyle name="40% - Accent1 9 5" xfId="3996" xr:uid="{00000000-0005-0000-0000-00007C170000}"/>
    <cellStyle name="40% - Accent1 9 5 2" xfId="10015" xr:uid="{00000000-0005-0000-0000-00007D170000}"/>
    <cellStyle name="40% - Accent1 9 6" xfId="3995" xr:uid="{00000000-0005-0000-0000-00007E170000}"/>
    <cellStyle name="40% - Accent1 9 7" xfId="10016" xr:uid="{00000000-0005-0000-0000-00007F170000}"/>
    <cellStyle name="40% - Accent2 10" xfId="3994" xr:uid="{00000000-0005-0000-0000-000080170000}"/>
    <cellStyle name="40% - Accent2 10 2" xfId="3993" xr:uid="{00000000-0005-0000-0000-000081170000}"/>
    <cellStyle name="40% - Accent2 10 2 2" xfId="3992" xr:uid="{00000000-0005-0000-0000-000082170000}"/>
    <cellStyle name="40% - Accent2 10 2 2 2" xfId="3991" xr:uid="{00000000-0005-0000-0000-000083170000}"/>
    <cellStyle name="40% - Accent2 10 2 2 3" xfId="3990" xr:uid="{00000000-0005-0000-0000-000084170000}"/>
    <cellStyle name="40% - Accent2 10 2 3" xfId="3989" xr:uid="{00000000-0005-0000-0000-000085170000}"/>
    <cellStyle name="40% - Accent2 10 2 3 2" xfId="10017" xr:uid="{00000000-0005-0000-0000-000086170000}"/>
    <cellStyle name="40% - Accent2 10 2 4" xfId="3988" xr:uid="{00000000-0005-0000-0000-000087170000}"/>
    <cellStyle name="40% - Accent2 10 2 4 2" xfId="10018" xr:uid="{00000000-0005-0000-0000-000088170000}"/>
    <cellStyle name="40% - Accent2 10 2 5" xfId="10019" xr:uid="{00000000-0005-0000-0000-000089170000}"/>
    <cellStyle name="40% - Accent2 10 3" xfId="3987" xr:uid="{00000000-0005-0000-0000-00008A170000}"/>
    <cellStyle name="40% - Accent2 10 3 2" xfId="3986" xr:uid="{00000000-0005-0000-0000-00008B170000}"/>
    <cellStyle name="40% - Accent2 10 3 2 2" xfId="10020" xr:uid="{00000000-0005-0000-0000-00008C170000}"/>
    <cellStyle name="40% - Accent2 10 3 3" xfId="3985" xr:uid="{00000000-0005-0000-0000-00008D170000}"/>
    <cellStyle name="40% - Accent2 10 4" xfId="3984" xr:uid="{00000000-0005-0000-0000-00008E170000}"/>
    <cellStyle name="40% - Accent2 10 4 2" xfId="3983" xr:uid="{00000000-0005-0000-0000-00008F170000}"/>
    <cellStyle name="40% - Accent2 10 4 3" xfId="3982" xr:uid="{00000000-0005-0000-0000-000090170000}"/>
    <cellStyle name="40% - Accent2 10 5" xfId="3981" xr:uid="{00000000-0005-0000-0000-000091170000}"/>
    <cellStyle name="40% - Accent2 10 5 2" xfId="10021" xr:uid="{00000000-0005-0000-0000-000092170000}"/>
    <cellStyle name="40% - Accent2 10 6" xfId="3980" xr:uid="{00000000-0005-0000-0000-000093170000}"/>
    <cellStyle name="40% - Accent2 10 7" xfId="10022" xr:uid="{00000000-0005-0000-0000-000094170000}"/>
    <cellStyle name="40% - Accent2 11" xfId="3979" xr:uid="{00000000-0005-0000-0000-000095170000}"/>
    <cellStyle name="40% - Accent2 11 2" xfId="3978" xr:uid="{00000000-0005-0000-0000-000096170000}"/>
    <cellStyle name="40% - Accent2 11 2 2" xfId="3977" xr:uid="{00000000-0005-0000-0000-000097170000}"/>
    <cellStyle name="40% - Accent2 11 2 2 2" xfId="3976" xr:uid="{00000000-0005-0000-0000-000098170000}"/>
    <cellStyle name="40% - Accent2 11 2 2 3" xfId="3975" xr:uid="{00000000-0005-0000-0000-000099170000}"/>
    <cellStyle name="40% - Accent2 11 2 3" xfId="3974" xr:uid="{00000000-0005-0000-0000-00009A170000}"/>
    <cellStyle name="40% - Accent2 11 2 4" xfId="3973" xr:uid="{00000000-0005-0000-0000-00009B170000}"/>
    <cellStyle name="40% - Accent2 11 3" xfId="3972" xr:uid="{00000000-0005-0000-0000-00009C170000}"/>
    <cellStyle name="40% - Accent2 11 3 2" xfId="3971" xr:uid="{00000000-0005-0000-0000-00009D170000}"/>
    <cellStyle name="40% - Accent2 11 3 3" xfId="3970" xr:uid="{00000000-0005-0000-0000-00009E170000}"/>
    <cellStyle name="40% - Accent2 11 4" xfId="3969" xr:uid="{00000000-0005-0000-0000-00009F170000}"/>
    <cellStyle name="40% - Accent2 11 4 2" xfId="3968" xr:uid="{00000000-0005-0000-0000-0000A0170000}"/>
    <cellStyle name="40% - Accent2 11 4 3" xfId="3967" xr:uid="{00000000-0005-0000-0000-0000A1170000}"/>
    <cellStyle name="40% - Accent2 11 5" xfId="3966" xr:uid="{00000000-0005-0000-0000-0000A2170000}"/>
    <cellStyle name="40% - Accent2 11 6" xfId="3965" xr:uid="{00000000-0005-0000-0000-0000A3170000}"/>
    <cellStyle name="40% - Accent2 12" xfId="3964" xr:uid="{00000000-0005-0000-0000-0000A4170000}"/>
    <cellStyle name="40% - Accent2 12 2" xfId="3963" xr:uid="{00000000-0005-0000-0000-0000A5170000}"/>
    <cellStyle name="40% - Accent2 12 2 2" xfId="3962" xr:uid="{00000000-0005-0000-0000-0000A6170000}"/>
    <cellStyle name="40% - Accent2 12 2 2 2" xfId="3961" xr:uid="{00000000-0005-0000-0000-0000A7170000}"/>
    <cellStyle name="40% - Accent2 12 2 2 3" xfId="3960" xr:uid="{00000000-0005-0000-0000-0000A8170000}"/>
    <cellStyle name="40% - Accent2 12 2 3" xfId="3959" xr:uid="{00000000-0005-0000-0000-0000A9170000}"/>
    <cellStyle name="40% - Accent2 12 2 4" xfId="3958" xr:uid="{00000000-0005-0000-0000-0000AA170000}"/>
    <cellStyle name="40% - Accent2 12 3" xfId="3957" xr:uid="{00000000-0005-0000-0000-0000AB170000}"/>
    <cellStyle name="40% - Accent2 12 3 2" xfId="3956" xr:uid="{00000000-0005-0000-0000-0000AC170000}"/>
    <cellStyle name="40% - Accent2 12 3 3" xfId="3955" xr:uid="{00000000-0005-0000-0000-0000AD170000}"/>
    <cellStyle name="40% - Accent2 12 4" xfId="3954" xr:uid="{00000000-0005-0000-0000-0000AE170000}"/>
    <cellStyle name="40% - Accent2 12 4 2" xfId="3953" xr:uid="{00000000-0005-0000-0000-0000AF170000}"/>
    <cellStyle name="40% - Accent2 12 4 3" xfId="3952" xr:uid="{00000000-0005-0000-0000-0000B0170000}"/>
    <cellStyle name="40% - Accent2 12 5" xfId="3951" xr:uid="{00000000-0005-0000-0000-0000B1170000}"/>
    <cellStyle name="40% - Accent2 12 6" xfId="3950" xr:uid="{00000000-0005-0000-0000-0000B2170000}"/>
    <cellStyle name="40% - Accent2 13" xfId="3949" xr:uid="{00000000-0005-0000-0000-0000B3170000}"/>
    <cellStyle name="40% - Accent2 13 2" xfId="3948" xr:uid="{00000000-0005-0000-0000-0000B4170000}"/>
    <cellStyle name="40% - Accent2 13 2 2" xfId="3947" xr:uid="{00000000-0005-0000-0000-0000B5170000}"/>
    <cellStyle name="40% - Accent2 13 2 2 2" xfId="3946" xr:uid="{00000000-0005-0000-0000-0000B6170000}"/>
    <cellStyle name="40% - Accent2 13 2 2 3" xfId="3945" xr:uid="{00000000-0005-0000-0000-0000B7170000}"/>
    <cellStyle name="40% - Accent2 13 2 3" xfId="3944" xr:uid="{00000000-0005-0000-0000-0000B8170000}"/>
    <cellStyle name="40% - Accent2 13 2 4" xfId="3943" xr:uid="{00000000-0005-0000-0000-0000B9170000}"/>
    <cellStyle name="40% - Accent2 13 3" xfId="3942" xr:uid="{00000000-0005-0000-0000-0000BA170000}"/>
    <cellStyle name="40% - Accent2 13 3 2" xfId="3941" xr:uid="{00000000-0005-0000-0000-0000BB170000}"/>
    <cellStyle name="40% - Accent2 13 3 3" xfId="3940" xr:uid="{00000000-0005-0000-0000-0000BC170000}"/>
    <cellStyle name="40% - Accent2 13 4" xfId="3939" xr:uid="{00000000-0005-0000-0000-0000BD170000}"/>
    <cellStyle name="40% - Accent2 13 4 2" xfId="3938" xr:uid="{00000000-0005-0000-0000-0000BE170000}"/>
    <cellStyle name="40% - Accent2 13 4 3" xfId="3937" xr:uid="{00000000-0005-0000-0000-0000BF170000}"/>
    <cellStyle name="40% - Accent2 13 5" xfId="3936" xr:uid="{00000000-0005-0000-0000-0000C0170000}"/>
    <cellStyle name="40% - Accent2 13 6" xfId="3935" xr:uid="{00000000-0005-0000-0000-0000C1170000}"/>
    <cellStyle name="40% - Accent2 14" xfId="3934" xr:uid="{00000000-0005-0000-0000-0000C2170000}"/>
    <cellStyle name="40% - Accent2 14 2" xfId="3933" xr:uid="{00000000-0005-0000-0000-0000C3170000}"/>
    <cellStyle name="40% - Accent2 14 2 2" xfId="3932" xr:uid="{00000000-0005-0000-0000-0000C4170000}"/>
    <cellStyle name="40% - Accent2 14 2 2 2" xfId="3931" xr:uid="{00000000-0005-0000-0000-0000C5170000}"/>
    <cellStyle name="40% - Accent2 14 2 2 3" xfId="3930" xr:uid="{00000000-0005-0000-0000-0000C6170000}"/>
    <cellStyle name="40% - Accent2 14 2 3" xfId="3929" xr:uid="{00000000-0005-0000-0000-0000C7170000}"/>
    <cellStyle name="40% - Accent2 14 2 4" xfId="3928" xr:uid="{00000000-0005-0000-0000-0000C8170000}"/>
    <cellStyle name="40% - Accent2 14 3" xfId="3927" xr:uid="{00000000-0005-0000-0000-0000C9170000}"/>
    <cellStyle name="40% - Accent2 14 3 2" xfId="3926" xr:uid="{00000000-0005-0000-0000-0000CA170000}"/>
    <cellStyle name="40% - Accent2 14 3 3" xfId="3925" xr:uid="{00000000-0005-0000-0000-0000CB170000}"/>
    <cellStyle name="40% - Accent2 14 4" xfId="3924" xr:uid="{00000000-0005-0000-0000-0000CC170000}"/>
    <cellStyle name="40% - Accent2 14 4 2" xfId="3923" xr:uid="{00000000-0005-0000-0000-0000CD170000}"/>
    <cellStyle name="40% - Accent2 14 4 3" xfId="3922" xr:uid="{00000000-0005-0000-0000-0000CE170000}"/>
    <cellStyle name="40% - Accent2 14 5" xfId="3921" xr:uid="{00000000-0005-0000-0000-0000CF170000}"/>
    <cellStyle name="40% - Accent2 14 6" xfId="3920" xr:uid="{00000000-0005-0000-0000-0000D0170000}"/>
    <cellStyle name="40% - Accent2 15" xfId="3919" xr:uid="{00000000-0005-0000-0000-0000D1170000}"/>
    <cellStyle name="40% - Accent2 15 2" xfId="3918" xr:uid="{00000000-0005-0000-0000-0000D2170000}"/>
    <cellStyle name="40% - Accent2 15 2 2" xfId="3917" xr:uid="{00000000-0005-0000-0000-0000D3170000}"/>
    <cellStyle name="40% - Accent2 15 2 2 2" xfId="3916" xr:uid="{00000000-0005-0000-0000-0000D4170000}"/>
    <cellStyle name="40% - Accent2 15 2 2 3" xfId="3915" xr:uid="{00000000-0005-0000-0000-0000D5170000}"/>
    <cellStyle name="40% - Accent2 15 2 3" xfId="3914" xr:uid="{00000000-0005-0000-0000-0000D6170000}"/>
    <cellStyle name="40% - Accent2 15 2 4" xfId="3913" xr:uid="{00000000-0005-0000-0000-0000D7170000}"/>
    <cellStyle name="40% - Accent2 15 3" xfId="3912" xr:uid="{00000000-0005-0000-0000-0000D8170000}"/>
    <cellStyle name="40% - Accent2 15 3 2" xfId="3911" xr:uid="{00000000-0005-0000-0000-0000D9170000}"/>
    <cellStyle name="40% - Accent2 15 3 3" xfId="3910" xr:uid="{00000000-0005-0000-0000-0000DA170000}"/>
    <cellStyle name="40% - Accent2 15 4" xfId="3909" xr:uid="{00000000-0005-0000-0000-0000DB170000}"/>
    <cellStyle name="40% - Accent2 15 4 2" xfId="3908" xr:uid="{00000000-0005-0000-0000-0000DC170000}"/>
    <cellStyle name="40% - Accent2 15 4 3" xfId="3907" xr:uid="{00000000-0005-0000-0000-0000DD170000}"/>
    <cellStyle name="40% - Accent2 15 5" xfId="3906" xr:uid="{00000000-0005-0000-0000-0000DE170000}"/>
    <cellStyle name="40% - Accent2 15 6" xfId="3905" xr:uid="{00000000-0005-0000-0000-0000DF170000}"/>
    <cellStyle name="40% - Accent2 16" xfId="3904" xr:uid="{00000000-0005-0000-0000-0000E0170000}"/>
    <cellStyle name="40% - Accent2 16 2" xfId="3903" xr:uid="{00000000-0005-0000-0000-0000E1170000}"/>
    <cellStyle name="40% - Accent2 16 2 2" xfId="3902" xr:uid="{00000000-0005-0000-0000-0000E2170000}"/>
    <cellStyle name="40% - Accent2 16 2 2 2" xfId="3901" xr:uid="{00000000-0005-0000-0000-0000E3170000}"/>
    <cellStyle name="40% - Accent2 16 2 2 3" xfId="3900" xr:uid="{00000000-0005-0000-0000-0000E4170000}"/>
    <cellStyle name="40% - Accent2 16 2 3" xfId="3899" xr:uid="{00000000-0005-0000-0000-0000E5170000}"/>
    <cellStyle name="40% - Accent2 16 2 4" xfId="3898" xr:uid="{00000000-0005-0000-0000-0000E6170000}"/>
    <cellStyle name="40% - Accent2 16 3" xfId="3897" xr:uid="{00000000-0005-0000-0000-0000E7170000}"/>
    <cellStyle name="40% - Accent2 16 3 2" xfId="3896" xr:uid="{00000000-0005-0000-0000-0000E8170000}"/>
    <cellStyle name="40% - Accent2 16 3 3" xfId="3895" xr:uid="{00000000-0005-0000-0000-0000E9170000}"/>
    <cellStyle name="40% - Accent2 16 4" xfId="3894" xr:uid="{00000000-0005-0000-0000-0000EA170000}"/>
    <cellStyle name="40% - Accent2 16 4 2" xfId="3893" xr:uid="{00000000-0005-0000-0000-0000EB170000}"/>
    <cellStyle name="40% - Accent2 16 4 3" xfId="3892" xr:uid="{00000000-0005-0000-0000-0000EC170000}"/>
    <cellStyle name="40% - Accent2 16 5" xfId="3891" xr:uid="{00000000-0005-0000-0000-0000ED170000}"/>
    <cellStyle name="40% - Accent2 16 6" xfId="3890" xr:uid="{00000000-0005-0000-0000-0000EE170000}"/>
    <cellStyle name="40% - Accent2 17" xfId="3889" xr:uid="{00000000-0005-0000-0000-0000EF170000}"/>
    <cellStyle name="40% - Accent2 17 2" xfId="3888" xr:uid="{00000000-0005-0000-0000-0000F0170000}"/>
    <cellStyle name="40% - Accent2 17 2 2" xfId="3887" xr:uid="{00000000-0005-0000-0000-0000F1170000}"/>
    <cellStyle name="40% - Accent2 17 2 2 2" xfId="3886" xr:uid="{00000000-0005-0000-0000-0000F2170000}"/>
    <cellStyle name="40% - Accent2 17 2 2 3" xfId="3885" xr:uid="{00000000-0005-0000-0000-0000F3170000}"/>
    <cellStyle name="40% - Accent2 17 2 3" xfId="3884" xr:uid="{00000000-0005-0000-0000-0000F4170000}"/>
    <cellStyle name="40% - Accent2 17 2 4" xfId="3883" xr:uid="{00000000-0005-0000-0000-0000F5170000}"/>
    <cellStyle name="40% - Accent2 17 3" xfId="3882" xr:uid="{00000000-0005-0000-0000-0000F6170000}"/>
    <cellStyle name="40% - Accent2 17 3 2" xfId="3881" xr:uid="{00000000-0005-0000-0000-0000F7170000}"/>
    <cellStyle name="40% - Accent2 17 3 3" xfId="3880" xr:uid="{00000000-0005-0000-0000-0000F8170000}"/>
    <cellStyle name="40% - Accent2 17 4" xfId="3879" xr:uid="{00000000-0005-0000-0000-0000F9170000}"/>
    <cellStyle name="40% - Accent2 17 4 2" xfId="3878" xr:uid="{00000000-0005-0000-0000-0000FA170000}"/>
    <cellStyle name="40% - Accent2 17 4 3" xfId="3877" xr:uid="{00000000-0005-0000-0000-0000FB170000}"/>
    <cellStyle name="40% - Accent2 17 5" xfId="3876" xr:uid="{00000000-0005-0000-0000-0000FC170000}"/>
    <cellStyle name="40% - Accent2 17 6" xfId="3875" xr:uid="{00000000-0005-0000-0000-0000FD170000}"/>
    <cellStyle name="40% - Accent2 18" xfId="3874" xr:uid="{00000000-0005-0000-0000-0000FE170000}"/>
    <cellStyle name="40% - Accent2 18 2" xfId="3873" xr:uid="{00000000-0005-0000-0000-0000FF170000}"/>
    <cellStyle name="40% - Accent2 18 2 2" xfId="3872" xr:uid="{00000000-0005-0000-0000-000000180000}"/>
    <cellStyle name="40% - Accent2 18 2 2 2" xfId="3871" xr:uid="{00000000-0005-0000-0000-000001180000}"/>
    <cellStyle name="40% - Accent2 18 2 2 3" xfId="3870" xr:uid="{00000000-0005-0000-0000-000002180000}"/>
    <cellStyle name="40% - Accent2 18 2 3" xfId="3869" xr:uid="{00000000-0005-0000-0000-000003180000}"/>
    <cellStyle name="40% - Accent2 18 2 4" xfId="3868" xr:uid="{00000000-0005-0000-0000-000004180000}"/>
    <cellStyle name="40% - Accent2 18 3" xfId="3867" xr:uid="{00000000-0005-0000-0000-000005180000}"/>
    <cellStyle name="40% - Accent2 18 3 2" xfId="3866" xr:uid="{00000000-0005-0000-0000-000006180000}"/>
    <cellStyle name="40% - Accent2 18 3 3" xfId="3865" xr:uid="{00000000-0005-0000-0000-000007180000}"/>
    <cellStyle name="40% - Accent2 18 4" xfId="3864" xr:uid="{00000000-0005-0000-0000-000008180000}"/>
    <cellStyle name="40% - Accent2 18 4 2" xfId="3863" xr:uid="{00000000-0005-0000-0000-000009180000}"/>
    <cellStyle name="40% - Accent2 18 4 3" xfId="3862" xr:uid="{00000000-0005-0000-0000-00000A180000}"/>
    <cellStyle name="40% - Accent2 18 5" xfId="3861" xr:uid="{00000000-0005-0000-0000-00000B180000}"/>
    <cellStyle name="40% - Accent2 18 6" xfId="3860" xr:uid="{00000000-0005-0000-0000-00000C180000}"/>
    <cellStyle name="40% - Accent2 19" xfId="3859" xr:uid="{00000000-0005-0000-0000-00000D180000}"/>
    <cellStyle name="40% - Accent2 19 2" xfId="3858" xr:uid="{00000000-0005-0000-0000-00000E180000}"/>
    <cellStyle name="40% - Accent2 19 2 2" xfId="3857" xr:uid="{00000000-0005-0000-0000-00000F180000}"/>
    <cellStyle name="40% - Accent2 19 2 2 2" xfId="3856" xr:uid="{00000000-0005-0000-0000-000010180000}"/>
    <cellStyle name="40% - Accent2 19 2 2 3" xfId="3855" xr:uid="{00000000-0005-0000-0000-000011180000}"/>
    <cellStyle name="40% - Accent2 19 2 3" xfId="3854" xr:uid="{00000000-0005-0000-0000-000012180000}"/>
    <cellStyle name="40% - Accent2 19 2 4" xfId="3853" xr:uid="{00000000-0005-0000-0000-000013180000}"/>
    <cellStyle name="40% - Accent2 19 3" xfId="3852" xr:uid="{00000000-0005-0000-0000-000014180000}"/>
    <cellStyle name="40% - Accent2 19 3 2" xfId="3851" xr:uid="{00000000-0005-0000-0000-000015180000}"/>
    <cellStyle name="40% - Accent2 19 3 3" xfId="3850" xr:uid="{00000000-0005-0000-0000-000016180000}"/>
    <cellStyle name="40% - Accent2 19 4" xfId="3849" xr:uid="{00000000-0005-0000-0000-000017180000}"/>
    <cellStyle name="40% - Accent2 19 4 2" xfId="3848" xr:uid="{00000000-0005-0000-0000-000018180000}"/>
    <cellStyle name="40% - Accent2 19 4 3" xfId="3847" xr:uid="{00000000-0005-0000-0000-000019180000}"/>
    <cellStyle name="40% - Accent2 19 5" xfId="3846" xr:uid="{00000000-0005-0000-0000-00001A180000}"/>
    <cellStyle name="40% - Accent2 19 6" xfId="3845" xr:uid="{00000000-0005-0000-0000-00001B180000}"/>
    <cellStyle name="40% - Accent2 2" xfId="3844" xr:uid="{00000000-0005-0000-0000-00001C180000}"/>
    <cellStyle name="40% - Accent2 2 10" xfId="10023" xr:uid="{00000000-0005-0000-0000-00001D180000}"/>
    <cellStyle name="40% - Accent2 2 10 2" xfId="10024" xr:uid="{00000000-0005-0000-0000-00001E180000}"/>
    <cellStyle name="40% - Accent2 2 11" xfId="10025" xr:uid="{00000000-0005-0000-0000-00001F180000}"/>
    <cellStyle name="40% - Accent2 2 12" xfId="10026" xr:uid="{00000000-0005-0000-0000-000020180000}"/>
    <cellStyle name="40% - Accent2 2 12 2" xfId="10027" xr:uid="{00000000-0005-0000-0000-000021180000}"/>
    <cellStyle name="40% - Accent2 2 12 2 2" xfId="10028" xr:uid="{00000000-0005-0000-0000-000022180000}"/>
    <cellStyle name="40% - Accent2 2 12 2 2 2" xfId="10029" xr:uid="{00000000-0005-0000-0000-000023180000}"/>
    <cellStyle name="40% - Accent2 2 12 2 3" xfId="10030" xr:uid="{00000000-0005-0000-0000-000024180000}"/>
    <cellStyle name="40% - Accent2 2 12 3" xfId="10031" xr:uid="{00000000-0005-0000-0000-000025180000}"/>
    <cellStyle name="40% - Accent2 2 12 3 2" xfId="10032" xr:uid="{00000000-0005-0000-0000-000026180000}"/>
    <cellStyle name="40% - Accent2 2 12 4" xfId="10033" xr:uid="{00000000-0005-0000-0000-000027180000}"/>
    <cellStyle name="40% - Accent2 2 12 4 2" xfId="10034" xr:uid="{00000000-0005-0000-0000-000028180000}"/>
    <cellStyle name="40% - Accent2 2 12 4 3" xfId="10035" xr:uid="{00000000-0005-0000-0000-000029180000}"/>
    <cellStyle name="40% - Accent2 2 13" xfId="10036" xr:uid="{00000000-0005-0000-0000-00002A180000}"/>
    <cellStyle name="40% - Accent2 2 13 2" xfId="10037" xr:uid="{00000000-0005-0000-0000-00002B180000}"/>
    <cellStyle name="40% - Accent2 2 13 3" xfId="10038" xr:uid="{00000000-0005-0000-0000-00002C180000}"/>
    <cellStyle name="40% - Accent2 2 14" xfId="10039" xr:uid="{00000000-0005-0000-0000-00002D180000}"/>
    <cellStyle name="40% - Accent2 2 14 2" xfId="10040" xr:uid="{00000000-0005-0000-0000-00002E180000}"/>
    <cellStyle name="40% - Accent2 2 15" xfId="10041" xr:uid="{00000000-0005-0000-0000-00002F180000}"/>
    <cellStyle name="40% - Accent2 2 15 2" xfId="10042" xr:uid="{00000000-0005-0000-0000-000030180000}"/>
    <cellStyle name="40% - Accent2 2 16" xfId="10043" xr:uid="{00000000-0005-0000-0000-000031180000}"/>
    <cellStyle name="40% - Accent2 2 17" xfId="10044" xr:uid="{00000000-0005-0000-0000-000032180000}"/>
    <cellStyle name="40% - Accent2 2 2" xfId="3843" xr:uid="{00000000-0005-0000-0000-000033180000}"/>
    <cellStyle name="40% - Accent2 2 2 2" xfId="10045" xr:uid="{00000000-0005-0000-0000-000034180000}"/>
    <cellStyle name="40% - Accent2 2 2 2 2" xfId="10046" xr:uid="{00000000-0005-0000-0000-000035180000}"/>
    <cellStyle name="40% - Accent2 2 2 2 2 2" xfId="10047" xr:uid="{00000000-0005-0000-0000-000036180000}"/>
    <cellStyle name="40% - Accent2 2 2 2 2 3" xfId="10048" xr:uid="{00000000-0005-0000-0000-000037180000}"/>
    <cellStyle name="40% - Accent2 2 2 2 3" xfId="10049" xr:uid="{00000000-0005-0000-0000-000038180000}"/>
    <cellStyle name="40% - Accent2 2 2 2 3 2" xfId="10050" xr:uid="{00000000-0005-0000-0000-000039180000}"/>
    <cellStyle name="40% - Accent2 2 2 2 4" xfId="10051" xr:uid="{00000000-0005-0000-0000-00003A180000}"/>
    <cellStyle name="40% - Accent2 2 2 2 5" xfId="10052" xr:uid="{00000000-0005-0000-0000-00003B180000}"/>
    <cellStyle name="40% - Accent2 2 2 3" xfId="10053" xr:uid="{00000000-0005-0000-0000-00003C180000}"/>
    <cellStyle name="40% - Accent2 2 2 3 2" xfId="10054" xr:uid="{00000000-0005-0000-0000-00003D180000}"/>
    <cellStyle name="40% - Accent2 2 2 3 2 2" xfId="10055" xr:uid="{00000000-0005-0000-0000-00003E180000}"/>
    <cellStyle name="40% - Accent2 2 2 3 2 3" xfId="10056" xr:uid="{00000000-0005-0000-0000-00003F180000}"/>
    <cellStyle name="40% - Accent2 2 2 3 3" xfId="10057" xr:uid="{00000000-0005-0000-0000-000040180000}"/>
    <cellStyle name="40% - Accent2 2 2 3 3 2" xfId="10058" xr:uid="{00000000-0005-0000-0000-000041180000}"/>
    <cellStyle name="40% - Accent2 2 2 3 4" xfId="10059" xr:uid="{00000000-0005-0000-0000-000042180000}"/>
    <cellStyle name="40% - Accent2 2 2 3 5" xfId="10060" xr:uid="{00000000-0005-0000-0000-000043180000}"/>
    <cellStyle name="40% - Accent2 2 2 4" xfId="10061" xr:uid="{00000000-0005-0000-0000-000044180000}"/>
    <cellStyle name="40% - Accent2 2 2 4 2" xfId="10062" xr:uid="{00000000-0005-0000-0000-000045180000}"/>
    <cellStyle name="40% - Accent2 2 2 4 2 2" xfId="10063" xr:uid="{00000000-0005-0000-0000-000046180000}"/>
    <cellStyle name="40% - Accent2 2 2 4 3" xfId="10064" xr:uid="{00000000-0005-0000-0000-000047180000}"/>
    <cellStyle name="40% - Accent2 2 2 4 4" xfId="10065" xr:uid="{00000000-0005-0000-0000-000048180000}"/>
    <cellStyle name="40% - Accent2 2 2 5" xfId="10066" xr:uid="{00000000-0005-0000-0000-000049180000}"/>
    <cellStyle name="40% - Accent2 2 2 5 2" xfId="10067" xr:uid="{00000000-0005-0000-0000-00004A180000}"/>
    <cellStyle name="40% - Accent2 2 2 6" xfId="10068" xr:uid="{00000000-0005-0000-0000-00004B180000}"/>
    <cellStyle name="40% - Accent2 2 2 6 2" xfId="10069" xr:uid="{00000000-0005-0000-0000-00004C180000}"/>
    <cellStyle name="40% - Accent2 2 2 7" xfId="10070" xr:uid="{00000000-0005-0000-0000-00004D180000}"/>
    <cellStyle name="40% - Accent2 2 2 8" xfId="10071" xr:uid="{00000000-0005-0000-0000-00004E180000}"/>
    <cellStyle name="40% - Accent2 2 3" xfId="3842" xr:uid="{00000000-0005-0000-0000-00004F180000}"/>
    <cellStyle name="40% - Accent2 2 3 2" xfId="3841" xr:uid="{00000000-0005-0000-0000-000050180000}"/>
    <cellStyle name="40% - Accent2 2 3 2 2" xfId="3840" xr:uid="{00000000-0005-0000-0000-000051180000}"/>
    <cellStyle name="40% - Accent2 2 3 2 2 2" xfId="3839" xr:uid="{00000000-0005-0000-0000-000052180000}"/>
    <cellStyle name="40% - Accent2 2 3 2 2 3" xfId="3838" xr:uid="{00000000-0005-0000-0000-000053180000}"/>
    <cellStyle name="40% - Accent2 2 3 2 3" xfId="3837" xr:uid="{00000000-0005-0000-0000-000054180000}"/>
    <cellStyle name="40% - Accent2 2 3 2 3 2" xfId="10072" xr:uid="{00000000-0005-0000-0000-000055180000}"/>
    <cellStyle name="40% - Accent2 2 3 2 4" xfId="3836" xr:uid="{00000000-0005-0000-0000-000056180000}"/>
    <cellStyle name="40% - Accent2 2 3 2 5" xfId="10073" xr:uid="{00000000-0005-0000-0000-000057180000}"/>
    <cellStyle name="40% - Accent2 2 3 3" xfId="3835" xr:uid="{00000000-0005-0000-0000-000058180000}"/>
    <cellStyle name="40% - Accent2 2 3 3 2" xfId="3834" xr:uid="{00000000-0005-0000-0000-000059180000}"/>
    <cellStyle name="40% - Accent2 2 3 3 2 2" xfId="10074" xr:uid="{00000000-0005-0000-0000-00005A180000}"/>
    <cellStyle name="40% - Accent2 2 3 3 3" xfId="3833" xr:uid="{00000000-0005-0000-0000-00005B180000}"/>
    <cellStyle name="40% - Accent2 2 3 3 4" xfId="10075" xr:uid="{00000000-0005-0000-0000-00005C180000}"/>
    <cellStyle name="40% - Accent2 2 3 4" xfId="3832" xr:uid="{00000000-0005-0000-0000-00005D180000}"/>
    <cellStyle name="40% - Accent2 2 3 4 2" xfId="3831" xr:uid="{00000000-0005-0000-0000-00005E180000}"/>
    <cellStyle name="40% - Accent2 2 3 4 3" xfId="3830" xr:uid="{00000000-0005-0000-0000-00005F180000}"/>
    <cellStyle name="40% - Accent2 2 3 5" xfId="3829" xr:uid="{00000000-0005-0000-0000-000060180000}"/>
    <cellStyle name="40% - Accent2 2 3 5 2" xfId="10076" xr:uid="{00000000-0005-0000-0000-000061180000}"/>
    <cellStyle name="40% - Accent2 2 3 6" xfId="3828" xr:uid="{00000000-0005-0000-0000-000062180000}"/>
    <cellStyle name="40% - Accent2 2 3 7" xfId="10077" xr:uid="{00000000-0005-0000-0000-000063180000}"/>
    <cellStyle name="40% - Accent2 2 4" xfId="10078" xr:uid="{00000000-0005-0000-0000-000064180000}"/>
    <cellStyle name="40% - Accent2 2 4 2" xfId="10079" xr:uid="{00000000-0005-0000-0000-000065180000}"/>
    <cellStyle name="40% - Accent2 2 4 2 2" xfId="10080" xr:uid="{00000000-0005-0000-0000-000066180000}"/>
    <cellStyle name="40% - Accent2 2 4 2 2 2" xfId="10081" xr:uid="{00000000-0005-0000-0000-000067180000}"/>
    <cellStyle name="40% - Accent2 2 4 2 3" xfId="10082" xr:uid="{00000000-0005-0000-0000-000068180000}"/>
    <cellStyle name="40% - Accent2 2 4 2 4" xfId="10083" xr:uid="{00000000-0005-0000-0000-000069180000}"/>
    <cellStyle name="40% - Accent2 2 4 3" xfId="10084" xr:uid="{00000000-0005-0000-0000-00006A180000}"/>
    <cellStyle name="40% - Accent2 2 4 3 2" xfId="10085" xr:uid="{00000000-0005-0000-0000-00006B180000}"/>
    <cellStyle name="40% - Accent2 2 4 4" xfId="10086" xr:uid="{00000000-0005-0000-0000-00006C180000}"/>
    <cellStyle name="40% - Accent2 2 4 4 2" xfId="10087" xr:uid="{00000000-0005-0000-0000-00006D180000}"/>
    <cellStyle name="40% - Accent2 2 4 5" xfId="10088" xr:uid="{00000000-0005-0000-0000-00006E180000}"/>
    <cellStyle name="40% - Accent2 2 4 6" xfId="10089" xr:uid="{00000000-0005-0000-0000-00006F180000}"/>
    <cellStyle name="40% - Accent2 2 5" xfId="10090" xr:uid="{00000000-0005-0000-0000-000070180000}"/>
    <cellStyle name="40% - Accent2 2 5 2" xfId="10091" xr:uid="{00000000-0005-0000-0000-000071180000}"/>
    <cellStyle name="40% - Accent2 2 5 2 2" xfId="10092" xr:uid="{00000000-0005-0000-0000-000072180000}"/>
    <cellStyle name="40% - Accent2 2 5 3" xfId="10093" xr:uid="{00000000-0005-0000-0000-000073180000}"/>
    <cellStyle name="40% - Accent2 2 5 4" xfId="10094" xr:uid="{00000000-0005-0000-0000-000074180000}"/>
    <cellStyle name="40% - Accent2 2 6" xfId="10095" xr:uid="{00000000-0005-0000-0000-000075180000}"/>
    <cellStyle name="40% - Accent2 2 6 10" xfId="10096" xr:uid="{00000000-0005-0000-0000-000076180000}"/>
    <cellStyle name="40% - Accent2 2 6 2" xfId="10097" xr:uid="{00000000-0005-0000-0000-000077180000}"/>
    <cellStyle name="40% - Accent2 2 6 2 2" xfId="10098" xr:uid="{00000000-0005-0000-0000-000078180000}"/>
    <cellStyle name="40% - Accent2 2 6 2 2 2" xfId="10099" xr:uid="{00000000-0005-0000-0000-000079180000}"/>
    <cellStyle name="40% - Accent2 2 6 2 2 2 2" xfId="10100" xr:uid="{00000000-0005-0000-0000-00007A180000}"/>
    <cellStyle name="40% - Accent2 2 6 2 2 3" xfId="10101" xr:uid="{00000000-0005-0000-0000-00007B180000}"/>
    <cellStyle name="40% - Accent2 2 6 2 2 3 2" xfId="10102" xr:uid="{00000000-0005-0000-0000-00007C180000}"/>
    <cellStyle name="40% - Accent2 2 6 2 2 4" xfId="10103" xr:uid="{00000000-0005-0000-0000-00007D180000}"/>
    <cellStyle name="40% - Accent2 2 6 2 2 5" xfId="10104" xr:uid="{00000000-0005-0000-0000-00007E180000}"/>
    <cellStyle name="40% - Accent2 2 6 2 3" xfId="10105" xr:uid="{00000000-0005-0000-0000-00007F180000}"/>
    <cellStyle name="40% - Accent2 2 6 2 3 2" xfId="10106" xr:uid="{00000000-0005-0000-0000-000080180000}"/>
    <cellStyle name="40% - Accent2 2 6 2 3 2 2" xfId="10107" xr:uid="{00000000-0005-0000-0000-000081180000}"/>
    <cellStyle name="40% - Accent2 2 6 2 3 3" xfId="10108" xr:uid="{00000000-0005-0000-0000-000082180000}"/>
    <cellStyle name="40% - Accent2 2 6 2 4" xfId="10109" xr:uid="{00000000-0005-0000-0000-000083180000}"/>
    <cellStyle name="40% - Accent2 2 6 2 4 2" xfId="10110" xr:uid="{00000000-0005-0000-0000-000084180000}"/>
    <cellStyle name="40% - Accent2 2 6 2 5" xfId="10111" xr:uid="{00000000-0005-0000-0000-000085180000}"/>
    <cellStyle name="40% - Accent2 2 6 2 5 2" xfId="10112" xr:uid="{00000000-0005-0000-0000-000086180000}"/>
    <cellStyle name="40% - Accent2 2 6 2 6" xfId="10113" xr:uid="{00000000-0005-0000-0000-000087180000}"/>
    <cellStyle name="40% - Accent2 2 6 3" xfId="10114" xr:uid="{00000000-0005-0000-0000-000088180000}"/>
    <cellStyle name="40% - Accent2 2 6 3 2" xfId="10115" xr:uid="{00000000-0005-0000-0000-000089180000}"/>
    <cellStyle name="40% - Accent2 2 6 3 2 2" xfId="10116" xr:uid="{00000000-0005-0000-0000-00008A180000}"/>
    <cellStyle name="40% - Accent2 2 6 3 2 2 2" xfId="10117" xr:uid="{00000000-0005-0000-0000-00008B180000}"/>
    <cellStyle name="40% - Accent2 2 6 3 2 3" xfId="10118" xr:uid="{00000000-0005-0000-0000-00008C180000}"/>
    <cellStyle name="40% - Accent2 2 6 3 2 3 2" xfId="10119" xr:uid="{00000000-0005-0000-0000-00008D180000}"/>
    <cellStyle name="40% - Accent2 2 6 3 2 4" xfId="10120" xr:uid="{00000000-0005-0000-0000-00008E180000}"/>
    <cellStyle name="40% - Accent2 2 6 3 2 5" xfId="10121" xr:uid="{00000000-0005-0000-0000-00008F180000}"/>
    <cellStyle name="40% - Accent2 2 6 3 3" xfId="10122" xr:uid="{00000000-0005-0000-0000-000090180000}"/>
    <cellStyle name="40% - Accent2 2 6 3 3 2" xfId="10123" xr:uid="{00000000-0005-0000-0000-000091180000}"/>
    <cellStyle name="40% - Accent2 2 6 3 3 2 2" xfId="10124" xr:uid="{00000000-0005-0000-0000-000092180000}"/>
    <cellStyle name="40% - Accent2 2 6 3 3 3" xfId="10125" xr:uid="{00000000-0005-0000-0000-000093180000}"/>
    <cellStyle name="40% - Accent2 2 6 3 4" xfId="10126" xr:uid="{00000000-0005-0000-0000-000094180000}"/>
    <cellStyle name="40% - Accent2 2 6 3 4 2" xfId="10127" xr:uid="{00000000-0005-0000-0000-000095180000}"/>
    <cellStyle name="40% - Accent2 2 6 3 5" xfId="10128" xr:uid="{00000000-0005-0000-0000-000096180000}"/>
    <cellStyle name="40% - Accent2 2 6 3 5 2" xfId="10129" xr:uid="{00000000-0005-0000-0000-000097180000}"/>
    <cellStyle name="40% - Accent2 2 6 3 6" xfId="10130" xr:uid="{00000000-0005-0000-0000-000098180000}"/>
    <cellStyle name="40% - Accent2 2 6 4" xfId="10131" xr:uid="{00000000-0005-0000-0000-000099180000}"/>
    <cellStyle name="40% - Accent2 2 6 4 2" xfId="10132" xr:uid="{00000000-0005-0000-0000-00009A180000}"/>
    <cellStyle name="40% - Accent2 2 6 4 2 2" xfId="10133" xr:uid="{00000000-0005-0000-0000-00009B180000}"/>
    <cellStyle name="40% - Accent2 2 6 4 2 2 2" xfId="10134" xr:uid="{00000000-0005-0000-0000-00009C180000}"/>
    <cellStyle name="40% - Accent2 2 6 4 2 3" xfId="10135" xr:uid="{00000000-0005-0000-0000-00009D180000}"/>
    <cellStyle name="40% - Accent2 2 6 4 3" xfId="10136" xr:uid="{00000000-0005-0000-0000-00009E180000}"/>
    <cellStyle name="40% - Accent2 2 6 4 3 2" xfId="10137" xr:uid="{00000000-0005-0000-0000-00009F180000}"/>
    <cellStyle name="40% - Accent2 2 6 4 4" xfId="10138" xr:uid="{00000000-0005-0000-0000-0000A0180000}"/>
    <cellStyle name="40% - Accent2 2 6 4 4 2" xfId="10139" xr:uid="{00000000-0005-0000-0000-0000A1180000}"/>
    <cellStyle name="40% - Accent2 2 6 4 5" xfId="10140" xr:uid="{00000000-0005-0000-0000-0000A2180000}"/>
    <cellStyle name="40% - Accent2 2 6 5" xfId="10141" xr:uid="{00000000-0005-0000-0000-0000A3180000}"/>
    <cellStyle name="40% - Accent2 2 6 5 2" xfId="10142" xr:uid="{00000000-0005-0000-0000-0000A4180000}"/>
    <cellStyle name="40% - Accent2 2 6 5 2 2" xfId="10143" xr:uid="{00000000-0005-0000-0000-0000A5180000}"/>
    <cellStyle name="40% - Accent2 2 6 5 3" xfId="10144" xr:uid="{00000000-0005-0000-0000-0000A6180000}"/>
    <cellStyle name="40% - Accent2 2 6 5 3 2" xfId="10145" xr:uid="{00000000-0005-0000-0000-0000A7180000}"/>
    <cellStyle name="40% - Accent2 2 6 5 4" xfId="10146" xr:uid="{00000000-0005-0000-0000-0000A8180000}"/>
    <cellStyle name="40% - Accent2 2 6 6" xfId="10147" xr:uid="{00000000-0005-0000-0000-0000A9180000}"/>
    <cellStyle name="40% - Accent2 2 6 6 2" xfId="10148" xr:uid="{00000000-0005-0000-0000-0000AA180000}"/>
    <cellStyle name="40% - Accent2 2 6 6 2 2" xfId="10149" xr:uid="{00000000-0005-0000-0000-0000AB180000}"/>
    <cellStyle name="40% - Accent2 2 6 6 3" xfId="10150" xr:uid="{00000000-0005-0000-0000-0000AC180000}"/>
    <cellStyle name="40% - Accent2 2 6 7" xfId="10151" xr:uid="{00000000-0005-0000-0000-0000AD180000}"/>
    <cellStyle name="40% - Accent2 2 6 7 2" xfId="10152" xr:uid="{00000000-0005-0000-0000-0000AE180000}"/>
    <cellStyle name="40% - Accent2 2 6 7 3" xfId="10153" xr:uid="{00000000-0005-0000-0000-0000AF180000}"/>
    <cellStyle name="40% - Accent2 2 6 8" xfId="10154" xr:uid="{00000000-0005-0000-0000-0000B0180000}"/>
    <cellStyle name="40% - Accent2 2 6 8 2" xfId="10155" xr:uid="{00000000-0005-0000-0000-0000B1180000}"/>
    <cellStyle name="40% - Accent2 2 6 9" xfId="10156" xr:uid="{00000000-0005-0000-0000-0000B2180000}"/>
    <cellStyle name="40% - Accent2 2 7" xfId="10157" xr:uid="{00000000-0005-0000-0000-0000B3180000}"/>
    <cellStyle name="40% - Accent2 2 7 2" xfId="10158" xr:uid="{00000000-0005-0000-0000-0000B4180000}"/>
    <cellStyle name="40% - Accent2 2 7 2 2" xfId="10159" xr:uid="{00000000-0005-0000-0000-0000B5180000}"/>
    <cellStyle name="40% - Accent2 2 7 3" xfId="10160" xr:uid="{00000000-0005-0000-0000-0000B6180000}"/>
    <cellStyle name="40% - Accent2 2 7 4" xfId="10161" xr:uid="{00000000-0005-0000-0000-0000B7180000}"/>
    <cellStyle name="40% - Accent2 2 8" xfId="10162" xr:uid="{00000000-0005-0000-0000-0000B8180000}"/>
    <cellStyle name="40% - Accent2 2 8 2" xfId="10163" xr:uid="{00000000-0005-0000-0000-0000B9180000}"/>
    <cellStyle name="40% - Accent2 2 9" xfId="10164" xr:uid="{00000000-0005-0000-0000-0000BA180000}"/>
    <cellStyle name="40% - Accent2 2 9 2" xfId="10165" xr:uid="{00000000-0005-0000-0000-0000BB180000}"/>
    <cellStyle name="40% - Accent2 20" xfId="3827" xr:uid="{00000000-0005-0000-0000-0000BC180000}"/>
    <cellStyle name="40% - Accent2 20 2" xfId="3826" xr:uid="{00000000-0005-0000-0000-0000BD180000}"/>
    <cellStyle name="40% - Accent2 20 2 2" xfId="3825" xr:uid="{00000000-0005-0000-0000-0000BE180000}"/>
    <cellStyle name="40% - Accent2 20 2 2 2" xfId="3824" xr:uid="{00000000-0005-0000-0000-0000BF180000}"/>
    <cellStyle name="40% - Accent2 20 2 2 3" xfId="3823" xr:uid="{00000000-0005-0000-0000-0000C0180000}"/>
    <cellStyle name="40% - Accent2 20 2 3" xfId="3822" xr:uid="{00000000-0005-0000-0000-0000C1180000}"/>
    <cellStyle name="40% - Accent2 20 2 4" xfId="3821" xr:uid="{00000000-0005-0000-0000-0000C2180000}"/>
    <cellStyle name="40% - Accent2 20 3" xfId="3820" xr:uid="{00000000-0005-0000-0000-0000C3180000}"/>
    <cellStyle name="40% - Accent2 20 3 2" xfId="3819" xr:uid="{00000000-0005-0000-0000-0000C4180000}"/>
    <cellStyle name="40% - Accent2 20 3 3" xfId="3818" xr:uid="{00000000-0005-0000-0000-0000C5180000}"/>
    <cellStyle name="40% - Accent2 20 4" xfId="3817" xr:uid="{00000000-0005-0000-0000-0000C6180000}"/>
    <cellStyle name="40% - Accent2 20 4 2" xfId="3816" xr:uid="{00000000-0005-0000-0000-0000C7180000}"/>
    <cellStyle name="40% - Accent2 20 4 3" xfId="3815" xr:uid="{00000000-0005-0000-0000-0000C8180000}"/>
    <cellStyle name="40% - Accent2 20 5" xfId="3814" xr:uid="{00000000-0005-0000-0000-0000C9180000}"/>
    <cellStyle name="40% - Accent2 20 6" xfId="3813" xr:uid="{00000000-0005-0000-0000-0000CA180000}"/>
    <cellStyle name="40% - Accent2 21" xfId="3812" xr:uid="{00000000-0005-0000-0000-0000CB180000}"/>
    <cellStyle name="40% - Accent2 22" xfId="3811" xr:uid="{00000000-0005-0000-0000-0000CC180000}"/>
    <cellStyle name="40% - Accent2 22 2" xfId="3810" xr:uid="{00000000-0005-0000-0000-0000CD180000}"/>
    <cellStyle name="40% - Accent2 22 2 2" xfId="3809" xr:uid="{00000000-0005-0000-0000-0000CE180000}"/>
    <cellStyle name="40% - Accent2 22 2 2 2" xfId="3808" xr:uid="{00000000-0005-0000-0000-0000CF180000}"/>
    <cellStyle name="40% - Accent2 22 2 2 3" xfId="3807" xr:uid="{00000000-0005-0000-0000-0000D0180000}"/>
    <cellStyle name="40% - Accent2 22 2 3" xfId="3806" xr:uid="{00000000-0005-0000-0000-0000D1180000}"/>
    <cellStyle name="40% - Accent2 22 2 4" xfId="3805" xr:uid="{00000000-0005-0000-0000-0000D2180000}"/>
    <cellStyle name="40% - Accent2 22 3" xfId="3804" xr:uid="{00000000-0005-0000-0000-0000D3180000}"/>
    <cellStyle name="40% - Accent2 22 3 2" xfId="3803" xr:uid="{00000000-0005-0000-0000-0000D4180000}"/>
    <cellStyle name="40% - Accent2 22 3 3" xfId="3802" xr:uid="{00000000-0005-0000-0000-0000D5180000}"/>
    <cellStyle name="40% - Accent2 22 4" xfId="3801" xr:uid="{00000000-0005-0000-0000-0000D6180000}"/>
    <cellStyle name="40% - Accent2 22 4 2" xfId="3800" xr:uid="{00000000-0005-0000-0000-0000D7180000}"/>
    <cellStyle name="40% - Accent2 22 4 3" xfId="3799" xr:uid="{00000000-0005-0000-0000-0000D8180000}"/>
    <cellStyle name="40% - Accent2 22 5" xfId="3798" xr:uid="{00000000-0005-0000-0000-0000D9180000}"/>
    <cellStyle name="40% - Accent2 22 6" xfId="3797" xr:uid="{00000000-0005-0000-0000-0000DA180000}"/>
    <cellStyle name="40% - Accent2 23" xfId="3796" xr:uid="{00000000-0005-0000-0000-0000DB180000}"/>
    <cellStyle name="40% - Accent2 23 2" xfId="3795" xr:uid="{00000000-0005-0000-0000-0000DC180000}"/>
    <cellStyle name="40% - Accent2 23 2 2" xfId="3794" xr:uid="{00000000-0005-0000-0000-0000DD180000}"/>
    <cellStyle name="40% - Accent2 23 2 3" xfId="3793" xr:uid="{00000000-0005-0000-0000-0000DE180000}"/>
    <cellStyle name="40% - Accent2 23 3" xfId="3792" xr:uid="{00000000-0005-0000-0000-0000DF180000}"/>
    <cellStyle name="40% - Accent2 23 4" xfId="3791" xr:uid="{00000000-0005-0000-0000-0000E0180000}"/>
    <cellStyle name="40% - Accent2 24" xfId="3790" xr:uid="{00000000-0005-0000-0000-0000E1180000}"/>
    <cellStyle name="40% - Accent2 24 2" xfId="3789" xr:uid="{00000000-0005-0000-0000-0000E2180000}"/>
    <cellStyle name="40% - Accent2 24 3" xfId="3788" xr:uid="{00000000-0005-0000-0000-0000E3180000}"/>
    <cellStyle name="40% - Accent2 25" xfId="3787" xr:uid="{00000000-0005-0000-0000-0000E4180000}"/>
    <cellStyle name="40% - Accent2 25 2" xfId="3786" xr:uid="{00000000-0005-0000-0000-0000E5180000}"/>
    <cellStyle name="40% - Accent2 25 3" xfId="3785" xr:uid="{00000000-0005-0000-0000-0000E6180000}"/>
    <cellStyle name="40% - Accent2 26" xfId="3784" xr:uid="{00000000-0005-0000-0000-0000E7180000}"/>
    <cellStyle name="40% - Accent2 27" xfId="3783" xr:uid="{00000000-0005-0000-0000-0000E8180000}"/>
    <cellStyle name="40% - Accent2 28" xfId="3782" xr:uid="{00000000-0005-0000-0000-0000E9180000}"/>
    <cellStyle name="40% - Accent2 3" xfId="3781" xr:uid="{00000000-0005-0000-0000-0000EA180000}"/>
    <cellStyle name="40% - Accent2 3 2" xfId="3780" xr:uid="{00000000-0005-0000-0000-0000EB180000}"/>
    <cellStyle name="40% - Accent2 3 2 2" xfId="10166" xr:uid="{00000000-0005-0000-0000-0000EC180000}"/>
    <cellStyle name="40% - Accent2 3 2 2 2" xfId="10167" xr:uid="{00000000-0005-0000-0000-0000ED180000}"/>
    <cellStyle name="40% - Accent2 3 2 2 2 2" xfId="10168" xr:uid="{00000000-0005-0000-0000-0000EE180000}"/>
    <cellStyle name="40% - Accent2 3 2 2 3" xfId="10169" xr:uid="{00000000-0005-0000-0000-0000EF180000}"/>
    <cellStyle name="40% - Accent2 3 2 2 4" xfId="10170" xr:uid="{00000000-0005-0000-0000-0000F0180000}"/>
    <cellStyle name="40% - Accent2 3 2 2 5" xfId="10171" xr:uid="{00000000-0005-0000-0000-0000F1180000}"/>
    <cellStyle name="40% - Accent2 3 2 3" xfId="10172" xr:uid="{00000000-0005-0000-0000-0000F2180000}"/>
    <cellStyle name="40% - Accent2 3 2 3 2" xfId="10173" xr:uid="{00000000-0005-0000-0000-0000F3180000}"/>
    <cellStyle name="40% - Accent2 3 2 3 2 2" xfId="10174" xr:uid="{00000000-0005-0000-0000-0000F4180000}"/>
    <cellStyle name="40% - Accent2 3 2 3 3" xfId="10175" xr:uid="{00000000-0005-0000-0000-0000F5180000}"/>
    <cellStyle name="40% - Accent2 3 2 3 4" xfId="10176" xr:uid="{00000000-0005-0000-0000-0000F6180000}"/>
    <cellStyle name="40% - Accent2 3 2 4" xfId="10177" xr:uid="{00000000-0005-0000-0000-0000F7180000}"/>
    <cellStyle name="40% - Accent2 3 2 4 2" xfId="10178" xr:uid="{00000000-0005-0000-0000-0000F8180000}"/>
    <cellStyle name="40% - Accent2 3 2 5" xfId="10179" xr:uid="{00000000-0005-0000-0000-0000F9180000}"/>
    <cellStyle name="40% - Accent2 3 2 5 2" xfId="10180" xr:uid="{00000000-0005-0000-0000-0000FA180000}"/>
    <cellStyle name="40% - Accent2 3 2 6" xfId="10181" xr:uid="{00000000-0005-0000-0000-0000FB180000}"/>
    <cellStyle name="40% - Accent2 3 2 7" xfId="10182" xr:uid="{00000000-0005-0000-0000-0000FC180000}"/>
    <cellStyle name="40% - Accent2 3 2 8" xfId="10183" xr:uid="{00000000-0005-0000-0000-0000FD180000}"/>
    <cellStyle name="40% - Accent2 3 3" xfId="3779" xr:uid="{00000000-0005-0000-0000-0000FE180000}"/>
    <cellStyle name="40% - Accent2 3 3 2" xfId="3778" xr:uid="{00000000-0005-0000-0000-0000FF180000}"/>
    <cellStyle name="40% - Accent2 3 3 2 2" xfId="3777" xr:uid="{00000000-0005-0000-0000-000000190000}"/>
    <cellStyle name="40% - Accent2 3 3 2 2 2" xfId="3776" xr:uid="{00000000-0005-0000-0000-000001190000}"/>
    <cellStyle name="40% - Accent2 3 3 2 2 3" xfId="3775" xr:uid="{00000000-0005-0000-0000-000002190000}"/>
    <cellStyle name="40% - Accent2 3 3 2 3" xfId="3774" xr:uid="{00000000-0005-0000-0000-000003190000}"/>
    <cellStyle name="40% - Accent2 3 3 2 4" xfId="3773" xr:uid="{00000000-0005-0000-0000-000004190000}"/>
    <cellStyle name="40% - Accent2 3 3 3" xfId="3772" xr:uid="{00000000-0005-0000-0000-000005190000}"/>
    <cellStyle name="40% - Accent2 3 3 3 2" xfId="3771" xr:uid="{00000000-0005-0000-0000-000006190000}"/>
    <cellStyle name="40% - Accent2 3 3 3 3" xfId="3770" xr:uid="{00000000-0005-0000-0000-000007190000}"/>
    <cellStyle name="40% - Accent2 3 3 4" xfId="3769" xr:uid="{00000000-0005-0000-0000-000008190000}"/>
    <cellStyle name="40% - Accent2 3 3 4 2" xfId="3768" xr:uid="{00000000-0005-0000-0000-000009190000}"/>
    <cellStyle name="40% - Accent2 3 3 4 3" xfId="3767" xr:uid="{00000000-0005-0000-0000-00000A190000}"/>
    <cellStyle name="40% - Accent2 3 3 5" xfId="3766" xr:uid="{00000000-0005-0000-0000-00000B190000}"/>
    <cellStyle name="40% - Accent2 3 3 6" xfId="3765" xr:uid="{00000000-0005-0000-0000-00000C190000}"/>
    <cellStyle name="40% - Accent2 3 3 7" xfId="10184" xr:uid="{00000000-0005-0000-0000-00000D190000}"/>
    <cellStyle name="40% - Accent2 3 4" xfId="10185" xr:uid="{00000000-0005-0000-0000-00000E190000}"/>
    <cellStyle name="40% - Accent2 3 4 2" xfId="10186" xr:uid="{00000000-0005-0000-0000-00000F190000}"/>
    <cellStyle name="40% - Accent2 3 4 2 2" xfId="10187" xr:uid="{00000000-0005-0000-0000-000010190000}"/>
    <cellStyle name="40% - Accent2 3 4 3" xfId="10188" xr:uid="{00000000-0005-0000-0000-000011190000}"/>
    <cellStyle name="40% - Accent2 3 4 4" xfId="10189" xr:uid="{00000000-0005-0000-0000-000012190000}"/>
    <cellStyle name="40% - Accent2 3 5" xfId="10190" xr:uid="{00000000-0005-0000-0000-000013190000}"/>
    <cellStyle name="40% - Accent2 3 5 2" xfId="10191" xr:uid="{00000000-0005-0000-0000-000014190000}"/>
    <cellStyle name="40% - Accent2 3 6" xfId="10192" xr:uid="{00000000-0005-0000-0000-000015190000}"/>
    <cellStyle name="40% - Accent2 3 6 2" xfId="10193" xr:uid="{00000000-0005-0000-0000-000016190000}"/>
    <cellStyle name="40% - Accent2 3 7" xfId="10194" xr:uid="{00000000-0005-0000-0000-000017190000}"/>
    <cellStyle name="40% - Accent2 3 7 2" xfId="10195" xr:uid="{00000000-0005-0000-0000-000018190000}"/>
    <cellStyle name="40% - Accent2 3 8" xfId="10196" xr:uid="{00000000-0005-0000-0000-000019190000}"/>
    <cellStyle name="40% - Accent2 3 9" xfId="10197" xr:uid="{00000000-0005-0000-0000-00001A190000}"/>
    <cellStyle name="40% - Accent2 4" xfId="3764" xr:uid="{00000000-0005-0000-0000-00001B190000}"/>
    <cellStyle name="40% - Accent2 4 2" xfId="3763" xr:uid="{00000000-0005-0000-0000-00001C190000}"/>
    <cellStyle name="40% - Accent2 4 2 2" xfId="3762" xr:uid="{00000000-0005-0000-0000-00001D190000}"/>
    <cellStyle name="40% - Accent2 4 2 2 2" xfId="3761" xr:uid="{00000000-0005-0000-0000-00001E190000}"/>
    <cellStyle name="40% - Accent2 4 2 2 2 2" xfId="3760" xr:uid="{00000000-0005-0000-0000-00001F190000}"/>
    <cellStyle name="40% - Accent2 4 2 2 2 3" xfId="3759" xr:uid="{00000000-0005-0000-0000-000020190000}"/>
    <cellStyle name="40% - Accent2 4 2 2 3" xfId="3758" xr:uid="{00000000-0005-0000-0000-000021190000}"/>
    <cellStyle name="40% - Accent2 4 2 2 4" xfId="3757" xr:uid="{00000000-0005-0000-0000-000022190000}"/>
    <cellStyle name="40% - Accent2 4 2 3" xfId="3756" xr:uid="{00000000-0005-0000-0000-000023190000}"/>
    <cellStyle name="40% - Accent2 4 2 3 2" xfId="3755" xr:uid="{00000000-0005-0000-0000-000024190000}"/>
    <cellStyle name="40% - Accent2 4 2 3 3" xfId="3754" xr:uid="{00000000-0005-0000-0000-000025190000}"/>
    <cellStyle name="40% - Accent2 4 2 4" xfId="3753" xr:uid="{00000000-0005-0000-0000-000026190000}"/>
    <cellStyle name="40% - Accent2 4 2 4 2" xfId="3752" xr:uid="{00000000-0005-0000-0000-000027190000}"/>
    <cellStyle name="40% - Accent2 4 2 4 3" xfId="3751" xr:uid="{00000000-0005-0000-0000-000028190000}"/>
    <cellStyle name="40% - Accent2 4 2 5" xfId="3750" xr:uid="{00000000-0005-0000-0000-000029190000}"/>
    <cellStyle name="40% - Accent2 4 2 6" xfId="3749" xr:uid="{00000000-0005-0000-0000-00002A190000}"/>
    <cellStyle name="40% - Accent2 4 3" xfId="3748" xr:uid="{00000000-0005-0000-0000-00002B190000}"/>
    <cellStyle name="40% - Accent2 4 3 2" xfId="3747" xr:uid="{00000000-0005-0000-0000-00002C190000}"/>
    <cellStyle name="40% - Accent2 4 3 2 2" xfId="3746" xr:uid="{00000000-0005-0000-0000-00002D190000}"/>
    <cellStyle name="40% - Accent2 4 3 2 3" xfId="3745" xr:uid="{00000000-0005-0000-0000-00002E190000}"/>
    <cellStyle name="40% - Accent2 4 3 3" xfId="3744" xr:uid="{00000000-0005-0000-0000-00002F190000}"/>
    <cellStyle name="40% - Accent2 4 3 3 2" xfId="10198" xr:uid="{00000000-0005-0000-0000-000030190000}"/>
    <cellStyle name="40% - Accent2 4 3 4" xfId="3743" xr:uid="{00000000-0005-0000-0000-000031190000}"/>
    <cellStyle name="40% - Accent2 4 4" xfId="3742" xr:uid="{00000000-0005-0000-0000-000032190000}"/>
    <cellStyle name="40% - Accent2 4 4 2" xfId="3741" xr:uid="{00000000-0005-0000-0000-000033190000}"/>
    <cellStyle name="40% - Accent2 4 4 2 2" xfId="10199" xr:uid="{00000000-0005-0000-0000-000034190000}"/>
    <cellStyle name="40% - Accent2 4 4 3" xfId="3740" xr:uid="{00000000-0005-0000-0000-000035190000}"/>
    <cellStyle name="40% - Accent2 4 4 4" xfId="10200" xr:uid="{00000000-0005-0000-0000-000036190000}"/>
    <cellStyle name="40% - Accent2 4 5" xfId="3739" xr:uid="{00000000-0005-0000-0000-000037190000}"/>
    <cellStyle name="40% - Accent2 4 5 2" xfId="3738" xr:uid="{00000000-0005-0000-0000-000038190000}"/>
    <cellStyle name="40% - Accent2 4 5 3" xfId="3737" xr:uid="{00000000-0005-0000-0000-000039190000}"/>
    <cellStyle name="40% - Accent2 4 6" xfId="3736" xr:uid="{00000000-0005-0000-0000-00003A190000}"/>
    <cellStyle name="40% - Accent2 4 6 2" xfId="10201" xr:uid="{00000000-0005-0000-0000-00003B190000}"/>
    <cellStyle name="40% - Accent2 4 7" xfId="3735" xr:uid="{00000000-0005-0000-0000-00003C190000}"/>
    <cellStyle name="40% - Accent2 4 7 2" xfId="10202" xr:uid="{00000000-0005-0000-0000-00003D190000}"/>
    <cellStyle name="40% - Accent2 4 8" xfId="10203" xr:uid="{00000000-0005-0000-0000-00003E190000}"/>
    <cellStyle name="40% - Accent2 4 9" xfId="10204" xr:uid="{00000000-0005-0000-0000-00003F190000}"/>
    <cellStyle name="40% - Accent2 5" xfId="3734" xr:uid="{00000000-0005-0000-0000-000040190000}"/>
    <cellStyle name="40% - Accent2 5 2" xfId="3733" xr:uid="{00000000-0005-0000-0000-000041190000}"/>
    <cellStyle name="40% - Accent2 5 2 2" xfId="3732" xr:uid="{00000000-0005-0000-0000-000042190000}"/>
    <cellStyle name="40% - Accent2 5 2 2 2" xfId="3731" xr:uid="{00000000-0005-0000-0000-000043190000}"/>
    <cellStyle name="40% - Accent2 5 2 2 2 2" xfId="10205" xr:uid="{00000000-0005-0000-0000-000044190000}"/>
    <cellStyle name="40% - Accent2 5 2 2 2 2 2" xfId="10206" xr:uid="{00000000-0005-0000-0000-000045190000}"/>
    <cellStyle name="40% - Accent2 5 2 2 2 3" xfId="10207" xr:uid="{00000000-0005-0000-0000-000046190000}"/>
    <cellStyle name="40% - Accent2 5 2 2 2 3 2" xfId="10208" xr:uid="{00000000-0005-0000-0000-000047190000}"/>
    <cellStyle name="40% - Accent2 5 2 2 2 4" xfId="10209" xr:uid="{00000000-0005-0000-0000-000048190000}"/>
    <cellStyle name="40% - Accent2 5 2 2 2 4 2" xfId="10210" xr:uid="{00000000-0005-0000-0000-000049190000}"/>
    <cellStyle name="40% - Accent2 5 2 2 2 5" xfId="10211" xr:uid="{00000000-0005-0000-0000-00004A190000}"/>
    <cellStyle name="40% - Accent2 5 2 2 3" xfId="3730" xr:uid="{00000000-0005-0000-0000-00004B190000}"/>
    <cellStyle name="40% - Accent2 5 2 2 3 2" xfId="10212" xr:uid="{00000000-0005-0000-0000-00004C190000}"/>
    <cellStyle name="40% - Accent2 5 2 2 3 2 2" xfId="10213" xr:uid="{00000000-0005-0000-0000-00004D190000}"/>
    <cellStyle name="40% - Accent2 5 2 2 3 3" xfId="10214" xr:uid="{00000000-0005-0000-0000-00004E190000}"/>
    <cellStyle name="40% - Accent2 5 2 2 3 3 2" xfId="10215" xr:uid="{00000000-0005-0000-0000-00004F190000}"/>
    <cellStyle name="40% - Accent2 5 2 2 3 4" xfId="10216" xr:uid="{00000000-0005-0000-0000-000050190000}"/>
    <cellStyle name="40% - Accent2 5 2 2 4" xfId="10217" xr:uid="{00000000-0005-0000-0000-000051190000}"/>
    <cellStyle name="40% - Accent2 5 2 2 4 2" xfId="10218" xr:uid="{00000000-0005-0000-0000-000052190000}"/>
    <cellStyle name="40% - Accent2 5 2 2 4 2 2" xfId="10219" xr:uid="{00000000-0005-0000-0000-000053190000}"/>
    <cellStyle name="40% - Accent2 5 2 2 4 3" xfId="10220" xr:uid="{00000000-0005-0000-0000-000054190000}"/>
    <cellStyle name="40% - Accent2 5 2 2 4 3 2" xfId="10221" xr:uid="{00000000-0005-0000-0000-000055190000}"/>
    <cellStyle name="40% - Accent2 5 2 2 4 4" xfId="10222" xr:uid="{00000000-0005-0000-0000-000056190000}"/>
    <cellStyle name="40% - Accent2 5 2 2 5" xfId="10223" xr:uid="{00000000-0005-0000-0000-000057190000}"/>
    <cellStyle name="40% - Accent2 5 2 2 5 2" xfId="10224" xr:uid="{00000000-0005-0000-0000-000058190000}"/>
    <cellStyle name="40% - Accent2 5 2 2 5 2 2" xfId="10225" xr:uid="{00000000-0005-0000-0000-000059190000}"/>
    <cellStyle name="40% - Accent2 5 2 2 5 3" xfId="10226" xr:uid="{00000000-0005-0000-0000-00005A190000}"/>
    <cellStyle name="40% - Accent2 5 2 2 5 3 2" xfId="10227" xr:uid="{00000000-0005-0000-0000-00005B190000}"/>
    <cellStyle name="40% - Accent2 5 2 2 5 4" xfId="10228" xr:uid="{00000000-0005-0000-0000-00005C190000}"/>
    <cellStyle name="40% - Accent2 5 2 2 6" xfId="10229" xr:uid="{00000000-0005-0000-0000-00005D190000}"/>
    <cellStyle name="40% - Accent2 5 2 2 7" xfId="10230" xr:uid="{00000000-0005-0000-0000-00005E190000}"/>
    <cellStyle name="40% - Accent2 5 2 3" xfId="3729" xr:uid="{00000000-0005-0000-0000-00005F190000}"/>
    <cellStyle name="40% - Accent2 5 2 4" xfId="3728" xr:uid="{00000000-0005-0000-0000-000060190000}"/>
    <cellStyle name="40% - Accent2 5 2 5" xfId="10231" xr:uid="{00000000-0005-0000-0000-000061190000}"/>
    <cellStyle name="40% - Accent2 5 2 5 2" xfId="10232" xr:uid="{00000000-0005-0000-0000-000062190000}"/>
    <cellStyle name="40% - Accent2 5 2 6" xfId="10233" xr:uid="{00000000-0005-0000-0000-000063190000}"/>
    <cellStyle name="40% - Accent2 5 3" xfId="3727" xr:uid="{00000000-0005-0000-0000-000064190000}"/>
    <cellStyle name="40% - Accent2 5 3 2" xfId="3726" xr:uid="{00000000-0005-0000-0000-000065190000}"/>
    <cellStyle name="40% - Accent2 5 3 3" xfId="3725" xr:uid="{00000000-0005-0000-0000-000066190000}"/>
    <cellStyle name="40% - Accent2 5 3 4" xfId="10234" xr:uid="{00000000-0005-0000-0000-000067190000}"/>
    <cellStyle name="40% - Accent2 5 3 4 2" xfId="10235" xr:uid="{00000000-0005-0000-0000-000068190000}"/>
    <cellStyle name="40% - Accent2 5 3 5" xfId="10236" xr:uid="{00000000-0005-0000-0000-000069190000}"/>
    <cellStyle name="40% - Accent2 5 4" xfId="3724" xr:uid="{00000000-0005-0000-0000-00006A190000}"/>
    <cellStyle name="40% - Accent2 5 4 2" xfId="3723" xr:uid="{00000000-0005-0000-0000-00006B190000}"/>
    <cellStyle name="40% - Accent2 5 4 2 2" xfId="10237" xr:uid="{00000000-0005-0000-0000-00006C190000}"/>
    <cellStyle name="40% - Accent2 5 4 2 2 2" xfId="10238" xr:uid="{00000000-0005-0000-0000-00006D190000}"/>
    <cellStyle name="40% - Accent2 5 4 2 3" xfId="10239" xr:uid="{00000000-0005-0000-0000-00006E190000}"/>
    <cellStyle name="40% - Accent2 5 4 2 3 2" xfId="10240" xr:uid="{00000000-0005-0000-0000-00006F190000}"/>
    <cellStyle name="40% - Accent2 5 4 2 4" xfId="10241" xr:uid="{00000000-0005-0000-0000-000070190000}"/>
    <cellStyle name="40% - Accent2 5 4 2 4 2" xfId="10242" xr:uid="{00000000-0005-0000-0000-000071190000}"/>
    <cellStyle name="40% - Accent2 5 4 2 5" xfId="10243" xr:uid="{00000000-0005-0000-0000-000072190000}"/>
    <cellStyle name="40% - Accent2 5 4 3" xfId="3722" xr:uid="{00000000-0005-0000-0000-000073190000}"/>
    <cellStyle name="40% - Accent2 5 4 3 2" xfId="10244" xr:uid="{00000000-0005-0000-0000-000074190000}"/>
    <cellStyle name="40% - Accent2 5 4 3 2 2" xfId="10245" xr:uid="{00000000-0005-0000-0000-000075190000}"/>
    <cellStyle name="40% - Accent2 5 4 3 3" xfId="10246" xr:uid="{00000000-0005-0000-0000-000076190000}"/>
    <cellStyle name="40% - Accent2 5 4 3 3 2" xfId="10247" xr:uid="{00000000-0005-0000-0000-000077190000}"/>
    <cellStyle name="40% - Accent2 5 4 3 4" xfId="10248" xr:uid="{00000000-0005-0000-0000-000078190000}"/>
    <cellStyle name="40% - Accent2 5 4 4" xfId="10249" xr:uid="{00000000-0005-0000-0000-000079190000}"/>
    <cellStyle name="40% - Accent2 5 4 4 2" xfId="10250" xr:uid="{00000000-0005-0000-0000-00007A190000}"/>
    <cellStyle name="40% - Accent2 5 4 4 2 2" xfId="10251" xr:uid="{00000000-0005-0000-0000-00007B190000}"/>
    <cellStyle name="40% - Accent2 5 4 4 3" xfId="10252" xr:uid="{00000000-0005-0000-0000-00007C190000}"/>
    <cellStyle name="40% - Accent2 5 4 4 3 2" xfId="10253" xr:uid="{00000000-0005-0000-0000-00007D190000}"/>
    <cellStyle name="40% - Accent2 5 4 4 4" xfId="10254" xr:uid="{00000000-0005-0000-0000-00007E190000}"/>
    <cellStyle name="40% - Accent2 5 4 5" xfId="10255" xr:uid="{00000000-0005-0000-0000-00007F190000}"/>
    <cellStyle name="40% - Accent2 5 4 5 2" xfId="10256" xr:uid="{00000000-0005-0000-0000-000080190000}"/>
    <cellStyle name="40% - Accent2 5 4 5 2 2" xfId="10257" xr:uid="{00000000-0005-0000-0000-000081190000}"/>
    <cellStyle name="40% - Accent2 5 4 5 3" xfId="10258" xr:uid="{00000000-0005-0000-0000-000082190000}"/>
    <cellStyle name="40% - Accent2 5 4 5 3 2" xfId="10259" xr:uid="{00000000-0005-0000-0000-000083190000}"/>
    <cellStyle name="40% - Accent2 5 4 5 4" xfId="10260" xr:uid="{00000000-0005-0000-0000-000084190000}"/>
    <cellStyle name="40% - Accent2 5 4 6" xfId="10261" xr:uid="{00000000-0005-0000-0000-000085190000}"/>
    <cellStyle name="40% - Accent2 5 5" xfId="3721" xr:uid="{00000000-0005-0000-0000-000086190000}"/>
    <cellStyle name="40% - Accent2 5 5 2" xfId="10262" xr:uid="{00000000-0005-0000-0000-000087190000}"/>
    <cellStyle name="40% - Accent2 5 5 2 2" xfId="10263" xr:uid="{00000000-0005-0000-0000-000088190000}"/>
    <cellStyle name="40% - Accent2 5 5 2 2 2" xfId="10264" xr:uid="{00000000-0005-0000-0000-000089190000}"/>
    <cellStyle name="40% - Accent2 5 5 2 2 2 2" xfId="10265" xr:uid="{00000000-0005-0000-0000-00008A190000}"/>
    <cellStyle name="40% - Accent2 5 5 2 2 3" xfId="10266" xr:uid="{00000000-0005-0000-0000-00008B190000}"/>
    <cellStyle name="40% - Accent2 5 5 2 2 3 2" xfId="10267" xr:uid="{00000000-0005-0000-0000-00008C190000}"/>
    <cellStyle name="40% - Accent2 5 5 2 2 4" xfId="10268" xr:uid="{00000000-0005-0000-0000-00008D190000}"/>
    <cellStyle name="40% - Accent2 5 5 2 2 5" xfId="10269" xr:uid="{00000000-0005-0000-0000-00008E190000}"/>
    <cellStyle name="40% - Accent2 5 5 2 3" xfId="10270" xr:uid="{00000000-0005-0000-0000-00008F190000}"/>
    <cellStyle name="40% - Accent2 5 5 2 3 2" xfId="10271" xr:uid="{00000000-0005-0000-0000-000090190000}"/>
    <cellStyle name="40% - Accent2 5 5 2 3 2 2" xfId="10272" xr:uid="{00000000-0005-0000-0000-000091190000}"/>
    <cellStyle name="40% - Accent2 5 5 2 3 3" xfId="10273" xr:uid="{00000000-0005-0000-0000-000092190000}"/>
    <cellStyle name="40% - Accent2 5 5 2 4" xfId="10274" xr:uid="{00000000-0005-0000-0000-000093190000}"/>
    <cellStyle name="40% - Accent2 5 5 2 4 2" xfId="10275" xr:uid="{00000000-0005-0000-0000-000094190000}"/>
    <cellStyle name="40% - Accent2 5 5 2 5" xfId="10276" xr:uid="{00000000-0005-0000-0000-000095190000}"/>
    <cellStyle name="40% - Accent2 5 5 2 5 2" xfId="10277" xr:uid="{00000000-0005-0000-0000-000096190000}"/>
    <cellStyle name="40% - Accent2 5 5 2 6" xfId="10278" xr:uid="{00000000-0005-0000-0000-000097190000}"/>
    <cellStyle name="40% - Accent2 5 5 3" xfId="10279" xr:uid="{00000000-0005-0000-0000-000098190000}"/>
    <cellStyle name="40% - Accent2 5 5 3 2" xfId="10280" xr:uid="{00000000-0005-0000-0000-000099190000}"/>
    <cellStyle name="40% - Accent2 5 5 3 2 2" xfId="10281" xr:uid="{00000000-0005-0000-0000-00009A190000}"/>
    <cellStyle name="40% - Accent2 5 5 3 2 2 2" xfId="10282" xr:uid="{00000000-0005-0000-0000-00009B190000}"/>
    <cellStyle name="40% - Accent2 5 5 3 2 3" xfId="10283" xr:uid="{00000000-0005-0000-0000-00009C190000}"/>
    <cellStyle name="40% - Accent2 5 5 3 2 3 2" xfId="10284" xr:uid="{00000000-0005-0000-0000-00009D190000}"/>
    <cellStyle name="40% - Accent2 5 5 3 2 4" xfId="10285" xr:uid="{00000000-0005-0000-0000-00009E190000}"/>
    <cellStyle name="40% - Accent2 5 5 3 2 5" xfId="10286" xr:uid="{00000000-0005-0000-0000-00009F190000}"/>
    <cellStyle name="40% - Accent2 5 5 3 3" xfId="10287" xr:uid="{00000000-0005-0000-0000-0000A0190000}"/>
    <cellStyle name="40% - Accent2 5 5 3 3 2" xfId="10288" xr:uid="{00000000-0005-0000-0000-0000A1190000}"/>
    <cellStyle name="40% - Accent2 5 5 3 3 2 2" xfId="10289" xr:uid="{00000000-0005-0000-0000-0000A2190000}"/>
    <cellStyle name="40% - Accent2 5 5 3 3 3" xfId="10290" xr:uid="{00000000-0005-0000-0000-0000A3190000}"/>
    <cellStyle name="40% - Accent2 5 5 3 4" xfId="10291" xr:uid="{00000000-0005-0000-0000-0000A4190000}"/>
    <cellStyle name="40% - Accent2 5 5 3 4 2" xfId="10292" xr:uid="{00000000-0005-0000-0000-0000A5190000}"/>
    <cellStyle name="40% - Accent2 5 5 3 5" xfId="10293" xr:uid="{00000000-0005-0000-0000-0000A6190000}"/>
    <cellStyle name="40% - Accent2 5 5 3 5 2" xfId="10294" xr:uid="{00000000-0005-0000-0000-0000A7190000}"/>
    <cellStyle name="40% - Accent2 5 5 3 6" xfId="10295" xr:uid="{00000000-0005-0000-0000-0000A8190000}"/>
    <cellStyle name="40% - Accent2 5 5 4" xfId="10296" xr:uid="{00000000-0005-0000-0000-0000A9190000}"/>
    <cellStyle name="40% - Accent2 5 5 4 2" xfId="10297" xr:uid="{00000000-0005-0000-0000-0000AA190000}"/>
    <cellStyle name="40% - Accent2 5 5 4 2 2" xfId="10298" xr:uid="{00000000-0005-0000-0000-0000AB190000}"/>
    <cellStyle name="40% - Accent2 5 5 4 3" xfId="10299" xr:uid="{00000000-0005-0000-0000-0000AC190000}"/>
    <cellStyle name="40% - Accent2 5 5 4 3 2" xfId="10300" xr:uid="{00000000-0005-0000-0000-0000AD190000}"/>
    <cellStyle name="40% - Accent2 5 5 4 4" xfId="10301" xr:uid="{00000000-0005-0000-0000-0000AE190000}"/>
    <cellStyle name="40% - Accent2 5 5 5" xfId="10302" xr:uid="{00000000-0005-0000-0000-0000AF190000}"/>
    <cellStyle name="40% - Accent2 5 5 5 2" xfId="10303" xr:uid="{00000000-0005-0000-0000-0000B0190000}"/>
    <cellStyle name="40% - Accent2 5 5 5 3" xfId="10304" xr:uid="{00000000-0005-0000-0000-0000B1190000}"/>
    <cellStyle name="40% - Accent2 5 5 6" xfId="10305" xr:uid="{00000000-0005-0000-0000-0000B2190000}"/>
    <cellStyle name="40% - Accent2 5 5 6 2" xfId="10306" xr:uid="{00000000-0005-0000-0000-0000B3190000}"/>
    <cellStyle name="40% - Accent2 5 5 6 3" xfId="10307" xr:uid="{00000000-0005-0000-0000-0000B4190000}"/>
    <cellStyle name="40% - Accent2 5 5 7" xfId="10308" xr:uid="{00000000-0005-0000-0000-0000B5190000}"/>
    <cellStyle name="40% - Accent2 5 5 7 2" xfId="10309" xr:uid="{00000000-0005-0000-0000-0000B6190000}"/>
    <cellStyle name="40% - Accent2 5 5 7 3" xfId="10310" xr:uid="{00000000-0005-0000-0000-0000B7190000}"/>
    <cellStyle name="40% - Accent2 5 5 8" xfId="10311" xr:uid="{00000000-0005-0000-0000-0000B8190000}"/>
    <cellStyle name="40% - Accent2 5 6" xfId="3720" xr:uid="{00000000-0005-0000-0000-0000B9190000}"/>
    <cellStyle name="40% - Accent2 5 6 2" xfId="10312" xr:uid="{00000000-0005-0000-0000-0000BA190000}"/>
    <cellStyle name="40% - Accent2 5 6 2 2" xfId="10313" xr:uid="{00000000-0005-0000-0000-0000BB190000}"/>
    <cellStyle name="40% - Accent2 5 6 2 2 2" xfId="10314" xr:uid="{00000000-0005-0000-0000-0000BC190000}"/>
    <cellStyle name="40% - Accent2 5 6 2 3" xfId="10315" xr:uid="{00000000-0005-0000-0000-0000BD190000}"/>
    <cellStyle name="40% - Accent2 5 6 2 3 2" xfId="10316" xr:uid="{00000000-0005-0000-0000-0000BE190000}"/>
    <cellStyle name="40% - Accent2 5 6 2 4" xfId="10317" xr:uid="{00000000-0005-0000-0000-0000BF190000}"/>
    <cellStyle name="40% - Accent2 5 6 2 4 2" xfId="10318" xr:uid="{00000000-0005-0000-0000-0000C0190000}"/>
    <cellStyle name="40% - Accent2 5 6 2 5" xfId="10319" xr:uid="{00000000-0005-0000-0000-0000C1190000}"/>
    <cellStyle name="40% - Accent2 5 6 3" xfId="10320" xr:uid="{00000000-0005-0000-0000-0000C2190000}"/>
    <cellStyle name="40% - Accent2 5 6 3 2" xfId="10321" xr:uid="{00000000-0005-0000-0000-0000C3190000}"/>
    <cellStyle name="40% - Accent2 5 6 3 2 2" xfId="10322" xr:uid="{00000000-0005-0000-0000-0000C4190000}"/>
    <cellStyle name="40% - Accent2 5 6 3 3" xfId="10323" xr:uid="{00000000-0005-0000-0000-0000C5190000}"/>
    <cellStyle name="40% - Accent2 5 6 3 3 2" xfId="10324" xr:uid="{00000000-0005-0000-0000-0000C6190000}"/>
    <cellStyle name="40% - Accent2 5 6 3 4" xfId="10325" xr:uid="{00000000-0005-0000-0000-0000C7190000}"/>
    <cellStyle name="40% - Accent2 5 6 4" xfId="10326" xr:uid="{00000000-0005-0000-0000-0000C8190000}"/>
    <cellStyle name="40% - Accent2 5 6 4 2" xfId="10327" xr:uid="{00000000-0005-0000-0000-0000C9190000}"/>
    <cellStyle name="40% - Accent2 5 6 5" xfId="10328" xr:uid="{00000000-0005-0000-0000-0000CA190000}"/>
    <cellStyle name="40% - Accent2 5 6 5 2" xfId="10329" xr:uid="{00000000-0005-0000-0000-0000CB190000}"/>
    <cellStyle name="40% - Accent2 5 6 6" xfId="10330" xr:uid="{00000000-0005-0000-0000-0000CC190000}"/>
    <cellStyle name="40% - Accent2 5 6 7" xfId="10331" xr:uid="{00000000-0005-0000-0000-0000CD190000}"/>
    <cellStyle name="40% - Accent2 5 7" xfId="10332" xr:uid="{00000000-0005-0000-0000-0000CE190000}"/>
    <cellStyle name="40% - Accent2 5 7 2" xfId="10333" xr:uid="{00000000-0005-0000-0000-0000CF190000}"/>
    <cellStyle name="40% - Accent2 5 7 2 2" xfId="10334" xr:uid="{00000000-0005-0000-0000-0000D0190000}"/>
    <cellStyle name="40% - Accent2 5 7 2 2 2" xfId="10335" xr:uid="{00000000-0005-0000-0000-0000D1190000}"/>
    <cellStyle name="40% - Accent2 5 7 2 3" xfId="10336" xr:uid="{00000000-0005-0000-0000-0000D2190000}"/>
    <cellStyle name="40% - Accent2 5 7 2 3 2" xfId="10337" xr:uid="{00000000-0005-0000-0000-0000D3190000}"/>
    <cellStyle name="40% - Accent2 5 7 2 4" xfId="10338" xr:uid="{00000000-0005-0000-0000-0000D4190000}"/>
    <cellStyle name="40% - Accent2 5 7 3" xfId="10339" xr:uid="{00000000-0005-0000-0000-0000D5190000}"/>
    <cellStyle name="40% - Accent2 5 7 3 2" xfId="10340" xr:uid="{00000000-0005-0000-0000-0000D6190000}"/>
    <cellStyle name="40% - Accent2 5 7 4" xfId="10341" xr:uid="{00000000-0005-0000-0000-0000D7190000}"/>
    <cellStyle name="40% - Accent2 5 8" xfId="10342" xr:uid="{00000000-0005-0000-0000-0000D8190000}"/>
    <cellStyle name="40% - Accent2 5 8 2" xfId="10343" xr:uid="{00000000-0005-0000-0000-0000D9190000}"/>
    <cellStyle name="40% - Accent2 5 9" xfId="10344" xr:uid="{00000000-0005-0000-0000-0000DA190000}"/>
    <cellStyle name="40% - Accent2 6" xfId="3719" xr:uid="{00000000-0005-0000-0000-0000DB190000}"/>
    <cellStyle name="40% - Accent2 6 10" xfId="10345" xr:uid="{00000000-0005-0000-0000-0000DC190000}"/>
    <cellStyle name="40% - Accent2 6 2" xfId="3718" xr:uid="{00000000-0005-0000-0000-0000DD190000}"/>
    <cellStyle name="40% - Accent2 6 2 2" xfId="3717" xr:uid="{00000000-0005-0000-0000-0000DE190000}"/>
    <cellStyle name="40% - Accent2 6 2 2 2" xfId="3716" xr:uid="{00000000-0005-0000-0000-0000DF190000}"/>
    <cellStyle name="40% - Accent2 6 2 2 3" xfId="3715" xr:uid="{00000000-0005-0000-0000-0000E0190000}"/>
    <cellStyle name="40% - Accent2 6 2 3" xfId="3714" xr:uid="{00000000-0005-0000-0000-0000E1190000}"/>
    <cellStyle name="40% - Accent2 6 2 4" xfId="3713" xr:uid="{00000000-0005-0000-0000-0000E2190000}"/>
    <cellStyle name="40% - Accent2 6 2 5" xfId="10346" xr:uid="{00000000-0005-0000-0000-0000E3190000}"/>
    <cellStyle name="40% - Accent2 6 2 5 2" xfId="10347" xr:uid="{00000000-0005-0000-0000-0000E4190000}"/>
    <cellStyle name="40% - Accent2 6 2 5 2 2" xfId="10348" xr:uid="{00000000-0005-0000-0000-0000E5190000}"/>
    <cellStyle name="40% - Accent2 6 2 5 3" xfId="10349" xr:uid="{00000000-0005-0000-0000-0000E6190000}"/>
    <cellStyle name="40% - Accent2 6 2 5 3 2" xfId="10350" xr:uid="{00000000-0005-0000-0000-0000E7190000}"/>
    <cellStyle name="40% - Accent2 6 2 5 4" xfId="10351" xr:uid="{00000000-0005-0000-0000-0000E8190000}"/>
    <cellStyle name="40% - Accent2 6 2 5 5" xfId="10352" xr:uid="{00000000-0005-0000-0000-0000E9190000}"/>
    <cellStyle name="40% - Accent2 6 2 6" xfId="10353" xr:uid="{00000000-0005-0000-0000-0000EA190000}"/>
    <cellStyle name="40% - Accent2 6 2 6 2" xfId="10354" xr:uid="{00000000-0005-0000-0000-0000EB190000}"/>
    <cellStyle name="40% - Accent2 6 2 7" xfId="10355" xr:uid="{00000000-0005-0000-0000-0000EC190000}"/>
    <cellStyle name="40% - Accent2 6 2 7 2" xfId="10356" xr:uid="{00000000-0005-0000-0000-0000ED190000}"/>
    <cellStyle name="40% - Accent2 6 2 8" xfId="10357" xr:uid="{00000000-0005-0000-0000-0000EE190000}"/>
    <cellStyle name="40% - Accent2 6 2 8 2" xfId="10358" xr:uid="{00000000-0005-0000-0000-0000EF190000}"/>
    <cellStyle name="40% - Accent2 6 2 9" xfId="10359" xr:uid="{00000000-0005-0000-0000-0000F0190000}"/>
    <cellStyle name="40% - Accent2 6 3" xfId="3712" xr:uid="{00000000-0005-0000-0000-0000F1190000}"/>
    <cellStyle name="40% - Accent2 6 3 2" xfId="3711" xr:uid="{00000000-0005-0000-0000-0000F2190000}"/>
    <cellStyle name="40% - Accent2 6 3 3" xfId="3710" xr:uid="{00000000-0005-0000-0000-0000F3190000}"/>
    <cellStyle name="40% - Accent2 6 3 4" xfId="10360" xr:uid="{00000000-0005-0000-0000-0000F4190000}"/>
    <cellStyle name="40% - Accent2 6 3 4 2" xfId="10361" xr:uid="{00000000-0005-0000-0000-0000F5190000}"/>
    <cellStyle name="40% - Accent2 6 3 5" xfId="10362" xr:uid="{00000000-0005-0000-0000-0000F6190000}"/>
    <cellStyle name="40% - Accent2 6 3 5 2" xfId="10363" xr:uid="{00000000-0005-0000-0000-0000F7190000}"/>
    <cellStyle name="40% - Accent2 6 4" xfId="3709" xr:uid="{00000000-0005-0000-0000-0000F8190000}"/>
    <cellStyle name="40% - Accent2 6 4 2" xfId="3708" xr:uid="{00000000-0005-0000-0000-0000F9190000}"/>
    <cellStyle name="40% - Accent2 6 4 2 2" xfId="10364" xr:uid="{00000000-0005-0000-0000-0000FA190000}"/>
    <cellStyle name="40% - Accent2 6 4 2 2 2" xfId="10365" xr:uid="{00000000-0005-0000-0000-0000FB190000}"/>
    <cellStyle name="40% - Accent2 6 4 2 2 2 2" xfId="10366" xr:uid="{00000000-0005-0000-0000-0000FC190000}"/>
    <cellStyle name="40% - Accent2 6 4 2 2 3" xfId="10367" xr:uid="{00000000-0005-0000-0000-0000FD190000}"/>
    <cellStyle name="40% - Accent2 6 4 2 2 3 2" xfId="10368" xr:uid="{00000000-0005-0000-0000-0000FE190000}"/>
    <cellStyle name="40% - Accent2 6 4 2 2 4" xfId="10369" xr:uid="{00000000-0005-0000-0000-0000FF190000}"/>
    <cellStyle name="40% - Accent2 6 4 2 2 5" xfId="10370" xr:uid="{00000000-0005-0000-0000-0000001A0000}"/>
    <cellStyle name="40% - Accent2 6 4 2 3" xfId="10371" xr:uid="{00000000-0005-0000-0000-0000011A0000}"/>
    <cellStyle name="40% - Accent2 6 4 2 3 2" xfId="10372" xr:uid="{00000000-0005-0000-0000-0000021A0000}"/>
    <cellStyle name="40% - Accent2 6 4 2 3 2 2" xfId="10373" xr:uid="{00000000-0005-0000-0000-0000031A0000}"/>
    <cellStyle name="40% - Accent2 6 4 2 3 3" xfId="10374" xr:uid="{00000000-0005-0000-0000-0000041A0000}"/>
    <cellStyle name="40% - Accent2 6 4 2 4" xfId="10375" xr:uid="{00000000-0005-0000-0000-0000051A0000}"/>
    <cellStyle name="40% - Accent2 6 4 2 4 2" xfId="10376" xr:uid="{00000000-0005-0000-0000-0000061A0000}"/>
    <cellStyle name="40% - Accent2 6 4 2 5" xfId="10377" xr:uid="{00000000-0005-0000-0000-0000071A0000}"/>
    <cellStyle name="40% - Accent2 6 4 2 5 2" xfId="10378" xr:uid="{00000000-0005-0000-0000-0000081A0000}"/>
    <cellStyle name="40% - Accent2 6 4 2 6" xfId="10379" xr:uid="{00000000-0005-0000-0000-0000091A0000}"/>
    <cellStyle name="40% - Accent2 6 4 3" xfId="3707" xr:uid="{00000000-0005-0000-0000-00000A1A0000}"/>
    <cellStyle name="40% - Accent2 6 4 3 2" xfId="10380" xr:uid="{00000000-0005-0000-0000-00000B1A0000}"/>
    <cellStyle name="40% - Accent2 6 4 3 2 2" xfId="10381" xr:uid="{00000000-0005-0000-0000-00000C1A0000}"/>
    <cellStyle name="40% - Accent2 6 4 3 3" xfId="10382" xr:uid="{00000000-0005-0000-0000-00000D1A0000}"/>
    <cellStyle name="40% - Accent2 6 4 3 3 2" xfId="10383" xr:uid="{00000000-0005-0000-0000-00000E1A0000}"/>
    <cellStyle name="40% - Accent2 6 4 3 4" xfId="10384" xr:uid="{00000000-0005-0000-0000-00000F1A0000}"/>
    <cellStyle name="40% - Accent2 6 4 4" xfId="10385" xr:uid="{00000000-0005-0000-0000-0000101A0000}"/>
    <cellStyle name="40% - Accent2 6 4 4 2" xfId="10386" xr:uid="{00000000-0005-0000-0000-0000111A0000}"/>
    <cellStyle name="40% - Accent2 6 4 4 3" xfId="10387" xr:uid="{00000000-0005-0000-0000-0000121A0000}"/>
    <cellStyle name="40% - Accent2 6 4 5" xfId="10388" xr:uid="{00000000-0005-0000-0000-0000131A0000}"/>
    <cellStyle name="40% - Accent2 6 4 5 2" xfId="10389" xr:uid="{00000000-0005-0000-0000-0000141A0000}"/>
    <cellStyle name="40% - Accent2 6 4 5 3" xfId="10390" xr:uid="{00000000-0005-0000-0000-0000151A0000}"/>
    <cellStyle name="40% - Accent2 6 4 6" xfId="10391" xr:uid="{00000000-0005-0000-0000-0000161A0000}"/>
    <cellStyle name="40% - Accent2 6 4 6 2" xfId="10392" xr:uid="{00000000-0005-0000-0000-0000171A0000}"/>
    <cellStyle name="40% - Accent2 6 4 6 3" xfId="10393" xr:uid="{00000000-0005-0000-0000-0000181A0000}"/>
    <cellStyle name="40% - Accent2 6 4 7" xfId="10394" xr:uid="{00000000-0005-0000-0000-0000191A0000}"/>
    <cellStyle name="40% - Accent2 6 4 8" xfId="10395" xr:uid="{00000000-0005-0000-0000-00001A1A0000}"/>
    <cellStyle name="40% - Accent2 6 5" xfId="3706" xr:uid="{00000000-0005-0000-0000-00001B1A0000}"/>
    <cellStyle name="40% - Accent2 6 5 2" xfId="10396" xr:uid="{00000000-0005-0000-0000-00001C1A0000}"/>
    <cellStyle name="40% - Accent2 6 5 2 2" xfId="10397" xr:uid="{00000000-0005-0000-0000-00001D1A0000}"/>
    <cellStyle name="40% - Accent2 6 5 2 2 2" xfId="10398" xr:uid="{00000000-0005-0000-0000-00001E1A0000}"/>
    <cellStyle name="40% - Accent2 6 5 2 3" xfId="10399" xr:uid="{00000000-0005-0000-0000-00001F1A0000}"/>
    <cellStyle name="40% - Accent2 6 5 2 3 2" xfId="10400" xr:uid="{00000000-0005-0000-0000-0000201A0000}"/>
    <cellStyle name="40% - Accent2 6 5 2 4" xfId="10401" xr:uid="{00000000-0005-0000-0000-0000211A0000}"/>
    <cellStyle name="40% - Accent2 6 5 3" xfId="10402" xr:uid="{00000000-0005-0000-0000-0000221A0000}"/>
    <cellStyle name="40% - Accent2 6 5 3 2" xfId="10403" xr:uid="{00000000-0005-0000-0000-0000231A0000}"/>
    <cellStyle name="40% - Accent2 6 5 3 3" xfId="10404" xr:uid="{00000000-0005-0000-0000-0000241A0000}"/>
    <cellStyle name="40% - Accent2 6 5 4" xfId="10405" xr:uid="{00000000-0005-0000-0000-0000251A0000}"/>
    <cellStyle name="40% - Accent2 6 5 4 2" xfId="10406" xr:uid="{00000000-0005-0000-0000-0000261A0000}"/>
    <cellStyle name="40% - Accent2 6 5 4 3" xfId="10407" xr:uid="{00000000-0005-0000-0000-0000271A0000}"/>
    <cellStyle name="40% - Accent2 6 5 5" xfId="10408" xr:uid="{00000000-0005-0000-0000-0000281A0000}"/>
    <cellStyle name="40% - Accent2 6 5 5 2" xfId="10409" xr:uid="{00000000-0005-0000-0000-0000291A0000}"/>
    <cellStyle name="40% - Accent2 6 5 5 3" xfId="10410" xr:uid="{00000000-0005-0000-0000-00002A1A0000}"/>
    <cellStyle name="40% - Accent2 6 5 6" xfId="10411" xr:uid="{00000000-0005-0000-0000-00002B1A0000}"/>
    <cellStyle name="40% - Accent2 6 6" xfId="3705" xr:uid="{00000000-0005-0000-0000-00002C1A0000}"/>
    <cellStyle name="40% - Accent2 6 7" xfId="10412" xr:uid="{00000000-0005-0000-0000-00002D1A0000}"/>
    <cellStyle name="40% - Accent2 6 7 2" xfId="10413" xr:uid="{00000000-0005-0000-0000-00002E1A0000}"/>
    <cellStyle name="40% - Accent2 6 7 2 2" xfId="10414" xr:uid="{00000000-0005-0000-0000-00002F1A0000}"/>
    <cellStyle name="40% - Accent2 6 7 3" xfId="10415" xr:uid="{00000000-0005-0000-0000-0000301A0000}"/>
    <cellStyle name="40% - Accent2 6 7 3 2" xfId="10416" xr:uid="{00000000-0005-0000-0000-0000311A0000}"/>
    <cellStyle name="40% - Accent2 6 7 4" xfId="10417" xr:uid="{00000000-0005-0000-0000-0000321A0000}"/>
    <cellStyle name="40% - Accent2 6 7 5" xfId="10418" xr:uid="{00000000-0005-0000-0000-0000331A0000}"/>
    <cellStyle name="40% - Accent2 6 8" xfId="10419" xr:uid="{00000000-0005-0000-0000-0000341A0000}"/>
    <cellStyle name="40% - Accent2 6 8 2" xfId="10420" xr:uid="{00000000-0005-0000-0000-0000351A0000}"/>
    <cellStyle name="40% - Accent2 6 8 2 2" xfId="10421" xr:uid="{00000000-0005-0000-0000-0000361A0000}"/>
    <cellStyle name="40% - Accent2 6 8 3" xfId="10422" xr:uid="{00000000-0005-0000-0000-0000371A0000}"/>
    <cellStyle name="40% - Accent2 6 9" xfId="10423" xr:uid="{00000000-0005-0000-0000-0000381A0000}"/>
    <cellStyle name="40% - Accent2 6 9 2" xfId="10424" xr:uid="{00000000-0005-0000-0000-0000391A0000}"/>
    <cellStyle name="40% - Accent2 7" xfId="3704" xr:uid="{00000000-0005-0000-0000-00003A1A0000}"/>
    <cellStyle name="40% - Accent2 7 2" xfId="3703" xr:uid="{00000000-0005-0000-0000-00003B1A0000}"/>
    <cellStyle name="40% - Accent2 7 2 2" xfId="3702" xr:uid="{00000000-0005-0000-0000-00003C1A0000}"/>
    <cellStyle name="40% - Accent2 7 2 2 2" xfId="3701" xr:uid="{00000000-0005-0000-0000-00003D1A0000}"/>
    <cellStyle name="40% - Accent2 7 2 2 2 2" xfId="10425" xr:uid="{00000000-0005-0000-0000-00003E1A0000}"/>
    <cellStyle name="40% - Accent2 7 2 2 3" xfId="3700" xr:uid="{00000000-0005-0000-0000-00003F1A0000}"/>
    <cellStyle name="40% - Accent2 7 2 2 3 2" xfId="10426" xr:uid="{00000000-0005-0000-0000-0000401A0000}"/>
    <cellStyle name="40% - Accent2 7 2 2 4" xfId="10427" xr:uid="{00000000-0005-0000-0000-0000411A0000}"/>
    <cellStyle name="40% - Accent2 7 2 3" xfId="3699" xr:uid="{00000000-0005-0000-0000-0000421A0000}"/>
    <cellStyle name="40% - Accent2 7 2 3 2" xfId="10428" xr:uid="{00000000-0005-0000-0000-0000431A0000}"/>
    <cellStyle name="40% - Accent2 7 2 3 2 2" xfId="10429" xr:uid="{00000000-0005-0000-0000-0000441A0000}"/>
    <cellStyle name="40% - Accent2 7 2 3 3" xfId="10430" xr:uid="{00000000-0005-0000-0000-0000451A0000}"/>
    <cellStyle name="40% - Accent2 7 2 4" xfId="3698" xr:uid="{00000000-0005-0000-0000-0000461A0000}"/>
    <cellStyle name="40% - Accent2 7 2 4 2" xfId="10431" xr:uid="{00000000-0005-0000-0000-0000471A0000}"/>
    <cellStyle name="40% - Accent2 7 2 4 2 2" xfId="10432" xr:uid="{00000000-0005-0000-0000-0000481A0000}"/>
    <cellStyle name="40% - Accent2 7 2 4 3" xfId="10433" xr:uid="{00000000-0005-0000-0000-0000491A0000}"/>
    <cellStyle name="40% - Accent2 7 2 4 3 2" xfId="10434" xr:uid="{00000000-0005-0000-0000-00004A1A0000}"/>
    <cellStyle name="40% - Accent2 7 2 4 4" xfId="10435" xr:uid="{00000000-0005-0000-0000-00004B1A0000}"/>
    <cellStyle name="40% - Accent2 7 2 5" xfId="10436" xr:uid="{00000000-0005-0000-0000-00004C1A0000}"/>
    <cellStyle name="40% - Accent2 7 2 5 2" xfId="10437" xr:uid="{00000000-0005-0000-0000-00004D1A0000}"/>
    <cellStyle name="40% - Accent2 7 2 5 2 2" xfId="10438" xr:uid="{00000000-0005-0000-0000-00004E1A0000}"/>
    <cellStyle name="40% - Accent2 7 2 6" xfId="10439" xr:uid="{00000000-0005-0000-0000-00004F1A0000}"/>
    <cellStyle name="40% - Accent2 7 3" xfId="3697" xr:uid="{00000000-0005-0000-0000-0000501A0000}"/>
    <cellStyle name="40% - Accent2 7 3 2" xfId="3696" xr:uid="{00000000-0005-0000-0000-0000511A0000}"/>
    <cellStyle name="40% - Accent2 7 3 2 2" xfId="10440" xr:uid="{00000000-0005-0000-0000-0000521A0000}"/>
    <cellStyle name="40% - Accent2 7 3 2 2 2" xfId="10441" xr:uid="{00000000-0005-0000-0000-0000531A0000}"/>
    <cellStyle name="40% - Accent2 7 3 2 3" xfId="10442" xr:uid="{00000000-0005-0000-0000-0000541A0000}"/>
    <cellStyle name="40% - Accent2 7 3 2 3 2" xfId="10443" xr:uid="{00000000-0005-0000-0000-0000551A0000}"/>
    <cellStyle name="40% - Accent2 7 3 2 4" xfId="10444" xr:uid="{00000000-0005-0000-0000-0000561A0000}"/>
    <cellStyle name="40% - Accent2 7 3 3" xfId="3695" xr:uid="{00000000-0005-0000-0000-0000571A0000}"/>
    <cellStyle name="40% - Accent2 7 3 3 2" xfId="10445" xr:uid="{00000000-0005-0000-0000-0000581A0000}"/>
    <cellStyle name="40% - Accent2 7 3 3 2 2" xfId="10446" xr:uid="{00000000-0005-0000-0000-0000591A0000}"/>
    <cellStyle name="40% - Accent2 7 3 3 3" xfId="10447" xr:uid="{00000000-0005-0000-0000-00005A1A0000}"/>
    <cellStyle name="40% - Accent2 7 3 3 3 2" xfId="10448" xr:uid="{00000000-0005-0000-0000-00005B1A0000}"/>
    <cellStyle name="40% - Accent2 7 3 3 4" xfId="10449" xr:uid="{00000000-0005-0000-0000-00005C1A0000}"/>
    <cellStyle name="40% - Accent2 7 3 4" xfId="10450" xr:uid="{00000000-0005-0000-0000-00005D1A0000}"/>
    <cellStyle name="40% - Accent2 7 4" xfId="3694" xr:uid="{00000000-0005-0000-0000-00005E1A0000}"/>
    <cellStyle name="40% - Accent2 7 4 2" xfId="3693" xr:uid="{00000000-0005-0000-0000-00005F1A0000}"/>
    <cellStyle name="40% - Accent2 7 4 2 2" xfId="10451" xr:uid="{00000000-0005-0000-0000-0000601A0000}"/>
    <cellStyle name="40% - Accent2 7 4 3" xfId="3692" xr:uid="{00000000-0005-0000-0000-0000611A0000}"/>
    <cellStyle name="40% - Accent2 7 4 3 2" xfId="10452" xr:uid="{00000000-0005-0000-0000-0000621A0000}"/>
    <cellStyle name="40% - Accent2 7 4 4" xfId="10453" xr:uid="{00000000-0005-0000-0000-0000631A0000}"/>
    <cellStyle name="40% - Accent2 7 4 4 2" xfId="10454" xr:uid="{00000000-0005-0000-0000-0000641A0000}"/>
    <cellStyle name="40% - Accent2 7 4 5" xfId="10455" xr:uid="{00000000-0005-0000-0000-0000651A0000}"/>
    <cellStyle name="40% - Accent2 7 5" xfId="3691" xr:uid="{00000000-0005-0000-0000-0000661A0000}"/>
    <cellStyle name="40% - Accent2 7 5 2" xfId="10456" xr:uid="{00000000-0005-0000-0000-0000671A0000}"/>
    <cellStyle name="40% - Accent2 7 5 2 2" xfId="10457" xr:uid="{00000000-0005-0000-0000-0000681A0000}"/>
    <cellStyle name="40% - Accent2 7 5 2 2 2" xfId="10458" xr:uid="{00000000-0005-0000-0000-0000691A0000}"/>
    <cellStyle name="40% - Accent2 7 5 3" xfId="10459" xr:uid="{00000000-0005-0000-0000-00006A1A0000}"/>
    <cellStyle name="40% - Accent2 7 5 3 2" xfId="10460" xr:uid="{00000000-0005-0000-0000-00006B1A0000}"/>
    <cellStyle name="40% - Accent2 7 5 4" xfId="10461" xr:uid="{00000000-0005-0000-0000-00006C1A0000}"/>
    <cellStyle name="40% - Accent2 7 6" xfId="3690" xr:uid="{00000000-0005-0000-0000-00006D1A0000}"/>
    <cellStyle name="40% - Accent2 7 6 2" xfId="10462" xr:uid="{00000000-0005-0000-0000-00006E1A0000}"/>
    <cellStyle name="40% - Accent2 7 7" xfId="10463" xr:uid="{00000000-0005-0000-0000-00006F1A0000}"/>
    <cellStyle name="40% - Accent2 7 7 2" xfId="10464" xr:uid="{00000000-0005-0000-0000-0000701A0000}"/>
    <cellStyle name="40% - Accent2 7 8" xfId="10465" xr:uid="{00000000-0005-0000-0000-0000711A0000}"/>
    <cellStyle name="40% - Accent2 7 8 2" xfId="10466" xr:uid="{00000000-0005-0000-0000-0000721A0000}"/>
    <cellStyle name="40% - Accent2 7 9" xfId="10467" xr:uid="{00000000-0005-0000-0000-0000731A0000}"/>
    <cellStyle name="40% - Accent2 8" xfId="3689" xr:uid="{00000000-0005-0000-0000-0000741A0000}"/>
    <cellStyle name="40% - Accent2 8 2" xfId="3688" xr:uid="{00000000-0005-0000-0000-0000751A0000}"/>
    <cellStyle name="40% - Accent2 8 2 2" xfId="3687" xr:uid="{00000000-0005-0000-0000-0000761A0000}"/>
    <cellStyle name="40% - Accent2 8 2 2 2" xfId="3686" xr:uid="{00000000-0005-0000-0000-0000771A0000}"/>
    <cellStyle name="40% - Accent2 8 2 2 2 2" xfId="10468" xr:uid="{00000000-0005-0000-0000-0000781A0000}"/>
    <cellStyle name="40% - Accent2 8 2 2 3" xfId="3685" xr:uid="{00000000-0005-0000-0000-0000791A0000}"/>
    <cellStyle name="40% - Accent2 8 2 2 3 2" xfId="10469" xr:uid="{00000000-0005-0000-0000-00007A1A0000}"/>
    <cellStyle name="40% - Accent2 8 2 2 4" xfId="10470" xr:uid="{00000000-0005-0000-0000-00007B1A0000}"/>
    <cellStyle name="40% - Accent2 8 2 3" xfId="3684" xr:uid="{00000000-0005-0000-0000-00007C1A0000}"/>
    <cellStyle name="40% - Accent2 8 2 3 2" xfId="10471" xr:uid="{00000000-0005-0000-0000-00007D1A0000}"/>
    <cellStyle name="40% - Accent2 8 2 3 2 2" xfId="10472" xr:uid="{00000000-0005-0000-0000-00007E1A0000}"/>
    <cellStyle name="40% - Accent2 8 2 3 3" xfId="10473" xr:uid="{00000000-0005-0000-0000-00007F1A0000}"/>
    <cellStyle name="40% - Accent2 8 2 4" xfId="3683" xr:uid="{00000000-0005-0000-0000-0000801A0000}"/>
    <cellStyle name="40% - Accent2 8 2 4 2" xfId="10474" xr:uid="{00000000-0005-0000-0000-0000811A0000}"/>
    <cellStyle name="40% - Accent2 8 2 4 2 2" xfId="10475" xr:uid="{00000000-0005-0000-0000-0000821A0000}"/>
    <cellStyle name="40% - Accent2 8 2 4 3" xfId="10476" xr:uid="{00000000-0005-0000-0000-0000831A0000}"/>
    <cellStyle name="40% - Accent2 8 2 4 3 2" xfId="10477" xr:uid="{00000000-0005-0000-0000-0000841A0000}"/>
    <cellStyle name="40% - Accent2 8 2 4 4" xfId="10478" xr:uid="{00000000-0005-0000-0000-0000851A0000}"/>
    <cellStyle name="40% - Accent2 8 2 5" xfId="10479" xr:uid="{00000000-0005-0000-0000-0000861A0000}"/>
    <cellStyle name="40% - Accent2 8 2 5 2" xfId="10480" xr:uid="{00000000-0005-0000-0000-0000871A0000}"/>
    <cellStyle name="40% - Accent2 8 2 6" xfId="10481" xr:uid="{00000000-0005-0000-0000-0000881A0000}"/>
    <cellStyle name="40% - Accent2 8 3" xfId="3682" xr:uid="{00000000-0005-0000-0000-0000891A0000}"/>
    <cellStyle name="40% - Accent2 8 3 2" xfId="3681" xr:uid="{00000000-0005-0000-0000-00008A1A0000}"/>
    <cellStyle name="40% - Accent2 8 3 2 2" xfId="10482" xr:uid="{00000000-0005-0000-0000-00008B1A0000}"/>
    <cellStyle name="40% - Accent2 8 3 2 2 2" xfId="10483" xr:uid="{00000000-0005-0000-0000-00008C1A0000}"/>
    <cellStyle name="40% - Accent2 8 3 2 3" xfId="10484" xr:uid="{00000000-0005-0000-0000-00008D1A0000}"/>
    <cellStyle name="40% - Accent2 8 3 2 3 2" xfId="10485" xr:uid="{00000000-0005-0000-0000-00008E1A0000}"/>
    <cellStyle name="40% - Accent2 8 3 2 4" xfId="10486" xr:uid="{00000000-0005-0000-0000-00008F1A0000}"/>
    <cellStyle name="40% - Accent2 8 3 3" xfId="3680" xr:uid="{00000000-0005-0000-0000-0000901A0000}"/>
    <cellStyle name="40% - Accent2 8 3 3 2" xfId="10487" xr:uid="{00000000-0005-0000-0000-0000911A0000}"/>
    <cellStyle name="40% - Accent2 8 3 3 2 2" xfId="10488" xr:uid="{00000000-0005-0000-0000-0000921A0000}"/>
    <cellStyle name="40% - Accent2 8 3 3 3" xfId="10489" xr:uid="{00000000-0005-0000-0000-0000931A0000}"/>
    <cellStyle name="40% - Accent2 8 3 3 3 2" xfId="10490" xr:uid="{00000000-0005-0000-0000-0000941A0000}"/>
    <cellStyle name="40% - Accent2 8 3 3 4" xfId="10491" xr:uid="{00000000-0005-0000-0000-0000951A0000}"/>
    <cellStyle name="40% - Accent2 8 3 4" xfId="10492" xr:uid="{00000000-0005-0000-0000-0000961A0000}"/>
    <cellStyle name="40% - Accent2 8 3 4 2" xfId="10493" xr:uid="{00000000-0005-0000-0000-0000971A0000}"/>
    <cellStyle name="40% - Accent2 8 3 5" xfId="10494" xr:uid="{00000000-0005-0000-0000-0000981A0000}"/>
    <cellStyle name="40% - Accent2 8 3 5 2" xfId="10495" xr:uid="{00000000-0005-0000-0000-0000991A0000}"/>
    <cellStyle name="40% - Accent2 8 3 6" xfId="10496" xr:uid="{00000000-0005-0000-0000-00009A1A0000}"/>
    <cellStyle name="40% - Accent2 8 4" xfId="3679" xr:uid="{00000000-0005-0000-0000-00009B1A0000}"/>
    <cellStyle name="40% - Accent2 8 4 2" xfId="3678" xr:uid="{00000000-0005-0000-0000-00009C1A0000}"/>
    <cellStyle name="40% - Accent2 8 4 2 2" xfId="10497" xr:uid="{00000000-0005-0000-0000-00009D1A0000}"/>
    <cellStyle name="40% - Accent2 8 4 3" xfId="3677" xr:uid="{00000000-0005-0000-0000-00009E1A0000}"/>
    <cellStyle name="40% - Accent2 8 5" xfId="3676" xr:uid="{00000000-0005-0000-0000-00009F1A0000}"/>
    <cellStyle name="40% - Accent2 8 5 2" xfId="10498" xr:uid="{00000000-0005-0000-0000-0000A01A0000}"/>
    <cellStyle name="40% - Accent2 8 6" xfId="3675" xr:uid="{00000000-0005-0000-0000-0000A11A0000}"/>
    <cellStyle name="40% - Accent2 8 6 2" xfId="10499" xr:uid="{00000000-0005-0000-0000-0000A21A0000}"/>
    <cellStyle name="40% - Accent2 8 7" xfId="10500" xr:uid="{00000000-0005-0000-0000-0000A31A0000}"/>
    <cellStyle name="40% - Accent2 9" xfId="3674" xr:uid="{00000000-0005-0000-0000-0000A41A0000}"/>
    <cellStyle name="40% - Accent2 9 2" xfId="3673" xr:uid="{00000000-0005-0000-0000-0000A51A0000}"/>
    <cellStyle name="40% - Accent2 9 2 2" xfId="3672" xr:uid="{00000000-0005-0000-0000-0000A61A0000}"/>
    <cellStyle name="40% - Accent2 9 2 2 2" xfId="3671" xr:uid="{00000000-0005-0000-0000-0000A71A0000}"/>
    <cellStyle name="40% - Accent2 9 2 2 3" xfId="3670" xr:uid="{00000000-0005-0000-0000-0000A81A0000}"/>
    <cellStyle name="40% - Accent2 9 2 3" xfId="3669" xr:uid="{00000000-0005-0000-0000-0000A91A0000}"/>
    <cellStyle name="40% - Accent2 9 2 3 2" xfId="10501" xr:uid="{00000000-0005-0000-0000-0000AA1A0000}"/>
    <cellStyle name="40% - Accent2 9 2 4" xfId="3668" xr:uid="{00000000-0005-0000-0000-0000AB1A0000}"/>
    <cellStyle name="40% - Accent2 9 2 4 2" xfId="10502" xr:uid="{00000000-0005-0000-0000-0000AC1A0000}"/>
    <cellStyle name="40% - Accent2 9 2 5" xfId="10503" xr:uid="{00000000-0005-0000-0000-0000AD1A0000}"/>
    <cellStyle name="40% - Accent2 9 3" xfId="3667" xr:uid="{00000000-0005-0000-0000-0000AE1A0000}"/>
    <cellStyle name="40% - Accent2 9 3 2" xfId="3666" xr:uid="{00000000-0005-0000-0000-0000AF1A0000}"/>
    <cellStyle name="40% - Accent2 9 3 2 2" xfId="10504" xr:uid="{00000000-0005-0000-0000-0000B01A0000}"/>
    <cellStyle name="40% - Accent2 9 3 3" xfId="3665" xr:uid="{00000000-0005-0000-0000-0000B11A0000}"/>
    <cellStyle name="40% - Accent2 9 3 3 2" xfId="10505" xr:uid="{00000000-0005-0000-0000-0000B21A0000}"/>
    <cellStyle name="40% - Accent2 9 3 4" xfId="10506" xr:uid="{00000000-0005-0000-0000-0000B31A0000}"/>
    <cellStyle name="40% - Accent2 9 4" xfId="3664" xr:uid="{00000000-0005-0000-0000-0000B41A0000}"/>
    <cellStyle name="40% - Accent2 9 4 2" xfId="3663" xr:uid="{00000000-0005-0000-0000-0000B51A0000}"/>
    <cellStyle name="40% - Accent2 9 4 2 2" xfId="10507" xr:uid="{00000000-0005-0000-0000-0000B61A0000}"/>
    <cellStyle name="40% - Accent2 9 4 3" xfId="3662" xr:uid="{00000000-0005-0000-0000-0000B71A0000}"/>
    <cellStyle name="40% - Accent2 9 5" xfId="3661" xr:uid="{00000000-0005-0000-0000-0000B81A0000}"/>
    <cellStyle name="40% - Accent2 9 5 2" xfId="10508" xr:uid="{00000000-0005-0000-0000-0000B91A0000}"/>
    <cellStyle name="40% - Accent2 9 6" xfId="3660" xr:uid="{00000000-0005-0000-0000-0000BA1A0000}"/>
    <cellStyle name="40% - Accent2 9 7" xfId="10509" xr:uid="{00000000-0005-0000-0000-0000BB1A0000}"/>
    <cellStyle name="40% - Accent3 10" xfId="3659" xr:uid="{00000000-0005-0000-0000-0000BC1A0000}"/>
    <cellStyle name="40% - Accent3 10 2" xfId="3658" xr:uid="{00000000-0005-0000-0000-0000BD1A0000}"/>
    <cellStyle name="40% - Accent3 10 2 2" xfId="3657" xr:uid="{00000000-0005-0000-0000-0000BE1A0000}"/>
    <cellStyle name="40% - Accent3 10 2 2 2" xfId="3656" xr:uid="{00000000-0005-0000-0000-0000BF1A0000}"/>
    <cellStyle name="40% - Accent3 10 2 2 3" xfId="3655" xr:uid="{00000000-0005-0000-0000-0000C01A0000}"/>
    <cellStyle name="40% - Accent3 10 2 3" xfId="3654" xr:uid="{00000000-0005-0000-0000-0000C11A0000}"/>
    <cellStyle name="40% - Accent3 10 2 3 2" xfId="10510" xr:uid="{00000000-0005-0000-0000-0000C21A0000}"/>
    <cellStyle name="40% - Accent3 10 2 4" xfId="3653" xr:uid="{00000000-0005-0000-0000-0000C31A0000}"/>
    <cellStyle name="40% - Accent3 10 2 4 2" xfId="10511" xr:uid="{00000000-0005-0000-0000-0000C41A0000}"/>
    <cellStyle name="40% - Accent3 10 2 5" xfId="10512" xr:uid="{00000000-0005-0000-0000-0000C51A0000}"/>
    <cellStyle name="40% - Accent3 10 3" xfId="3652" xr:uid="{00000000-0005-0000-0000-0000C61A0000}"/>
    <cellStyle name="40% - Accent3 10 3 2" xfId="3651" xr:uid="{00000000-0005-0000-0000-0000C71A0000}"/>
    <cellStyle name="40% - Accent3 10 3 2 2" xfId="10513" xr:uid="{00000000-0005-0000-0000-0000C81A0000}"/>
    <cellStyle name="40% - Accent3 10 3 3" xfId="3650" xr:uid="{00000000-0005-0000-0000-0000C91A0000}"/>
    <cellStyle name="40% - Accent3 10 4" xfId="3649" xr:uid="{00000000-0005-0000-0000-0000CA1A0000}"/>
    <cellStyle name="40% - Accent3 10 4 2" xfId="3648" xr:uid="{00000000-0005-0000-0000-0000CB1A0000}"/>
    <cellStyle name="40% - Accent3 10 4 3" xfId="3647" xr:uid="{00000000-0005-0000-0000-0000CC1A0000}"/>
    <cellStyle name="40% - Accent3 10 5" xfId="3646" xr:uid="{00000000-0005-0000-0000-0000CD1A0000}"/>
    <cellStyle name="40% - Accent3 10 5 2" xfId="10514" xr:uid="{00000000-0005-0000-0000-0000CE1A0000}"/>
    <cellStyle name="40% - Accent3 10 6" xfId="3645" xr:uid="{00000000-0005-0000-0000-0000CF1A0000}"/>
    <cellStyle name="40% - Accent3 10 7" xfId="10515" xr:uid="{00000000-0005-0000-0000-0000D01A0000}"/>
    <cellStyle name="40% - Accent3 11" xfId="3644" xr:uid="{00000000-0005-0000-0000-0000D11A0000}"/>
    <cellStyle name="40% - Accent3 11 2" xfId="3643" xr:uid="{00000000-0005-0000-0000-0000D21A0000}"/>
    <cellStyle name="40% - Accent3 11 2 2" xfId="3642" xr:uid="{00000000-0005-0000-0000-0000D31A0000}"/>
    <cellStyle name="40% - Accent3 11 2 2 2" xfId="3641" xr:uid="{00000000-0005-0000-0000-0000D41A0000}"/>
    <cellStyle name="40% - Accent3 11 2 2 3" xfId="3640" xr:uid="{00000000-0005-0000-0000-0000D51A0000}"/>
    <cellStyle name="40% - Accent3 11 2 3" xfId="3639" xr:uid="{00000000-0005-0000-0000-0000D61A0000}"/>
    <cellStyle name="40% - Accent3 11 2 4" xfId="3638" xr:uid="{00000000-0005-0000-0000-0000D71A0000}"/>
    <cellStyle name="40% - Accent3 11 3" xfId="3637" xr:uid="{00000000-0005-0000-0000-0000D81A0000}"/>
    <cellStyle name="40% - Accent3 11 3 2" xfId="3636" xr:uid="{00000000-0005-0000-0000-0000D91A0000}"/>
    <cellStyle name="40% - Accent3 11 3 3" xfId="3635" xr:uid="{00000000-0005-0000-0000-0000DA1A0000}"/>
    <cellStyle name="40% - Accent3 11 4" xfId="3634" xr:uid="{00000000-0005-0000-0000-0000DB1A0000}"/>
    <cellStyle name="40% - Accent3 11 4 2" xfId="3633" xr:uid="{00000000-0005-0000-0000-0000DC1A0000}"/>
    <cellStyle name="40% - Accent3 11 4 3" xfId="3632" xr:uid="{00000000-0005-0000-0000-0000DD1A0000}"/>
    <cellStyle name="40% - Accent3 11 5" xfId="3631" xr:uid="{00000000-0005-0000-0000-0000DE1A0000}"/>
    <cellStyle name="40% - Accent3 11 6" xfId="3630" xr:uid="{00000000-0005-0000-0000-0000DF1A0000}"/>
    <cellStyle name="40% - Accent3 12" xfId="3629" xr:uid="{00000000-0005-0000-0000-0000E01A0000}"/>
    <cellStyle name="40% - Accent3 12 2" xfId="3628" xr:uid="{00000000-0005-0000-0000-0000E11A0000}"/>
    <cellStyle name="40% - Accent3 12 2 2" xfId="3627" xr:uid="{00000000-0005-0000-0000-0000E21A0000}"/>
    <cellStyle name="40% - Accent3 12 2 2 2" xfId="3626" xr:uid="{00000000-0005-0000-0000-0000E31A0000}"/>
    <cellStyle name="40% - Accent3 12 2 2 3" xfId="3625" xr:uid="{00000000-0005-0000-0000-0000E41A0000}"/>
    <cellStyle name="40% - Accent3 12 2 3" xfId="3624" xr:uid="{00000000-0005-0000-0000-0000E51A0000}"/>
    <cellStyle name="40% - Accent3 12 2 4" xfId="3623" xr:uid="{00000000-0005-0000-0000-0000E61A0000}"/>
    <cellStyle name="40% - Accent3 12 3" xfId="3622" xr:uid="{00000000-0005-0000-0000-0000E71A0000}"/>
    <cellStyle name="40% - Accent3 12 3 2" xfId="3621" xr:uid="{00000000-0005-0000-0000-0000E81A0000}"/>
    <cellStyle name="40% - Accent3 12 3 3" xfId="3620" xr:uid="{00000000-0005-0000-0000-0000E91A0000}"/>
    <cellStyle name="40% - Accent3 12 4" xfId="3619" xr:uid="{00000000-0005-0000-0000-0000EA1A0000}"/>
    <cellStyle name="40% - Accent3 12 4 2" xfId="3618" xr:uid="{00000000-0005-0000-0000-0000EB1A0000}"/>
    <cellStyle name="40% - Accent3 12 4 3" xfId="3617" xr:uid="{00000000-0005-0000-0000-0000EC1A0000}"/>
    <cellStyle name="40% - Accent3 12 5" xfId="3616" xr:uid="{00000000-0005-0000-0000-0000ED1A0000}"/>
    <cellStyle name="40% - Accent3 12 6" xfId="3615" xr:uid="{00000000-0005-0000-0000-0000EE1A0000}"/>
    <cellStyle name="40% - Accent3 13" xfId="3614" xr:uid="{00000000-0005-0000-0000-0000EF1A0000}"/>
    <cellStyle name="40% - Accent3 13 2" xfId="3613" xr:uid="{00000000-0005-0000-0000-0000F01A0000}"/>
    <cellStyle name="40% - Accent3 13 2 2" xfId="3612" xr:uid="{00000000-0005-0000-0000-0000F11A0000}"/>
    <cellStyle name="40% - Accent3 13 2 2 2" xfId="3611" xr:uid="{00000000-0005-0000-0000-0000F21A0000}"/>
    <cellStyle name="40% - Accent3 13 2 2 3" xfId="3610" xr:uid="{00000000-0005-0000-0000-0000F31A0000}"/>
    <cellStyle name="40% - Accent3 13 2 3" xfId="3609" xr:uid="{00000000-0005-0000-0000-0000F41A0000}"/>
    <cellStyle name="40% - Accent3 13 2 4" xfId="3608" xr:uid="{00000000-0005-0000-0000-0000F51A0000}"/>
    <cellStyle name="40% - Accent3 13 3" xfId="3607" xr:uid="{00000000-0005-0000-0000-0000F61A0000}"/>
    <cellStyle name="40% - Accent3 13 3 2" xfId="3606" xr:uid="{00000000-0005-0000-0000-0000F71A0000}"/>
    <cellStyle name="40% - Accent3 13 3 3" xfId="3605" xr:uid="{00000000-0005-0000-0000-0000F81A0000}"/>
    <cellStyle name="40% - Accent3 13 4" xfId="3604" xr:uid="{00000000-0005-0000-0000-0000F91A0000}"/>
    <cellStyle name="40% - Accent3 13 4 2" xfId="3603" xr:uid="{00000000-0005-0000-0000-0000FA1A0000}"/>
    <cellStyle name="40% - Accent3 13 4 3" xfId="3602" xr:uid="{00000000-0005-0000-0000-0000FB1A0000}"/>
    <cellStyle name="40% - Accent3 13 5" xfId="3601" xr:uid="{00000000-0005-0000-0000-0000FC1A0000}"/>
    <cellStyle name="40% - Accent3 13 6" xfId="3600" xr:uid="{00000000-0005-0000-0000-0000FD1A0000}"/>
    <cellStyle name="40% - Accent3 14" xfId="3599" xr:uid="{00000000-0005-0000-0000-0000FE1A0000}"/>
    <cellStyle name="40% - Accent3 14 2" xfId="3598" xr:uid="{00000000-0005-0000-0000-0000FF1A0000}"/>
    <cellStyle name="40% - Accent3 14 2 2" xfId="3597" xr:uid="{00000000-0005-0000-0000-0000001B0000}"/>
    <cellStyle name="40% - Accent3 14 2 2 2" xfId="3596" xr:uid="{00000000-0005-0000-0000-0000011B0000}"/>
    <cellStyle name="40% - Accent3 14 2 2 3" xfId="3595" xr:uid="{00000000-0005-0000-0000-0000021B0000}"/>
    <cellStyle name="40% - Accent3 14 2 3" xfId="3594" xr:uid="{00000000-0005-0000-0000-0000031B0000}"/>
    <cellStyle name="40% - Accent3 14 2 4" xfId="3593" xr:uid="{00000000-0005-0000-0000-0000041B0000}"/>
    <cellStyle name="40% - Accent3 14 3" xfId="3592" xr:uid="{00000000-0005-0000-0000-0000051B0000}"/>
    <cellStyle name="40% - Accent3 14 3 2" xfId="3591" xr:uid="{00000000-0005-0000-0000-0000061B0000}"/>
    <cellStyle name="40% - Accent3 14 3 3" xfId="3590" xr:uid="{00000000-0005-0000-0000-0000071B0000}"/>
    <cellStyle name="40% - Accent3 14 4" xfId="3589" xr:uid="{00000000-0005-0000-0000-0000081B0000}"/>
    <cellStyle name="40% - Accent3 14 4 2" xfId="3588" xr:uid="{00000000-0005-0000-0000-0000091B0000}"/>
    <cellStyle name="40% - Accent3 14 4 3" xfId="3587" xr:uid="{00000000-0005-0000-0000-00000A1B0000}"/>
    <cellStyle name="40% - Accent3 14 5" xfId="3586" xr:uid="{00000000-0005-0000-0000-00000B1B0000}"/>
    <cellStyle name="40% - Accent3 14 6" xfId="3585" xr:uid="{00000000-0005-0000-0000-00000C1B0000}"/>
    <cellStyle name="40% - Accent3 15" xfId="3584" xr:uid="{00000000-0005-0000-0000-00000D1B0000}"/>
    <cellStyle name="40% - Accent3 15 2" xfId="3583" xr:uid="{00000000-0005-0000-0000-00000E1B0000}"/>
    <cellStyle name="40% - Accent3 15 2 2" xfId="3582" xr:uid="{00000000-0005-0000-0000-00000F1B0000}"/>
    <cellStyle name="40% - Accent3 15 2 2 2" xfId="3581" xr:uid="{00000000-0005-0000-0000-0000101B0000}"/>
    <cellStyle name="40% - Accent3 15 2 2 3" xfId="3580" xr:uid="{00000000-0005-0000-0000-0000111B0000}"/>
    <cellStyle name="40% - Accent3 15 2 3" xfId="3579" xr:uid="{00000000-0005-0000-0000-0000121B0000}"/>
    <cellStyle name="40% - Accent3 15 2 4" xfId="3578" xr:uid="{00000000-0005-0000-0000-0000131B0000}"/>
    <cellStyle name="40% - Accent3 15 3" xfId="3577" xr:uid="{00000000-0005-0000-0000-0000141B0000}"/>
    <cellStyle name="40% - Accent3 15 3 2" xfId="3576" xr:uid="{00000000-0005-0000-0000-0000151B0000}"/>
    <cellStyle name="40% - Accent3 15 3 3" xfId="3575" xr:uid="{00000000-0005-0000-0000-0000161B0000}"/>
    <cellStyle name="40% - Accent3 15 4" xfId="3574" xr:uid="{00000000-0005-0000-0000-0000171B0000}"/>
    <cellStyle name="40% - Accent3 15 4 2" xfId="3573" xr:uid="{00000000-0005-0000-0000-0000181B0000}"/>
    <cellStyle name="40% - Accent3 15 4 3" xfId="3572" xr:uid="{00000000-0005-0000-0000-0000191B0000}"/>
    <cellStyle name="40% - Accent3 15 5" xfId="3571" xr:uid="{00000000-0005-0000-0000-00001A1B0000}"/>
    <cellStyle name="40% - Accent3 15 6" xfId="3570" xr:uid="{00000000-0005-0000-0000-00001B1B0000}"/>
    <cellStyle name="40% - Accent3 16" xfId="3569" xr:uid="{00000000-0005-0000-0000-00001C1B0000}"/>
    <cellStyle name="40% - Accent3 16 2" xfId="3568" xr:uid="{00000000-0005-0000-0000-00001D1B0000}"/>
    <cellStyle name="40% - Accent3 16 2 2" xfId="3567" xr:uid="{00000000-0005-0000-0000-00001E1B0000}"/>
    <cellStyle name="40% - Accent3 16 2 2 2" xfId="3566" xr:uid="{00000000-0005-0000-0000-00001F1B0000}"/>
    <cellStyle name="40% - Accent3 16 2 2 3" xfId="3565" xr:uid="{00000000-0005-0000-0000-0000201B0000}"/>
    <cellStyle name="40% - Accent3 16 2 3" xfId="3564" xr:uid="{00000000-0005-0000-0000-0000211B0000}"/>
    <cellStyle name="40% - Accent3 16 2 4" xfId="3563" xr:uid="{00000000-0005-0000-0000-0000221B0000}"/>
    <cellStyle name="40% - Accent3 16 3" xfId="3562" xr:uid="{00000000-0005-0000-0000-0000231B0000}"/>
    <cellStyle name="40% - Accent3 16 3 2" xfId="3561" xr:uid="{00000000-0005-0000-0000-0000241B0000}"/>
    <cellStyle name="40% - Accent3 16 3 3" xfId="3560" xr:uid="{00000000-0005-0000-0000-0000251B0000}"/>
    <cellStyle name="40% - Accent3 16 4" xfId="3559" xr:uid="{00000000-0005-0000-0000-0000261B0000}"/>
    <cellStyle name="40% - Accent3 16 4 2" xfId="3558" xr:uid="{00000000-0005-0000-0000-0000271B0000}"/>
    <cellStyle name="40% - Accent3 16 4 3" xfId="3557" xr:uid="{00000000-0005-0000-0000-0000281B0000}"/>
    <cellStyle name="40% - Accent3 16 5" xfId="3556" xr:uid="{00000000-0005-0000-0000-0000291B0000}"/>
    <cellStyle name="40% - Accent3 16 6" xfId="3555" xr:uid="{00000000-0005-0000-0000-00002A1B0000}"/>
    <cellStyle name="40% - Accent3 17" xfId="3554" xr:uid="{00000000-0005-0000-0000-00002B1B0000}"/>
    <cellStyle name="40% - Accent3 17 2" xfId="3553" xr:uid="{00000000-0005-0000-0000-00002C1B0000}"/>
    <cellStyle name="40% - Accent3 17 2 2" xfId="3552" xr:uid="{00000000-0005-0000-0000-00002D1B0000}"/>
    <cellStyle name="40% - Accent3 17 2 2 2" xfId="3551" xr:uid="{00000000-0005-0000-0000-00002E1B0000}"/>
    <cellStyle name="40% - Accent3 17 2 2 3" xfId="3550" xr:uid="{00000000-0005-0000-0000-00002F1B0000}"/>
    <cellStyle name="40% - Accent3 17 2 3" xfId="3549" xr:uid="{00000000-0005-0000-0000-0000301B0000}"/>
    <cellStyle name="40% - Accent3 17 2 4" xfId="3548" xr:uid="{00000000-0005-0000-0000-0000311B0000}"/>
    <cellStyle name="40% - Accent3 17 3" xfId="3547" xr:uid="{00000000-0005-0000-0000-0000321B0000}"/>
    <cellStyle name="40% - Accent3 17 3 2" xfId="3546" xr:uid="{00000000-0005-0000-0000-0000331B0000}"/>
    <cellStyle name="40% - Accent3 17 3 3" xfId="3545" xr:uid="{00000000-0005-0000-0000-0000341B0000}"/>
    <cellStyle name="40% - Accent3 17 4" xfId="3544" xr:uid="{00000000-0005-0000-0000-0000351B0000}"/>
    <cellStyle name="40% - Accent3 17 4 2" xfId="3543" xr:uid="{00000000-0005-0000-0000-0000361B0000}"/>
    <cellStyle name="40% - Accent3 17 4 3" xfId="3542" xr:uid="{00000000-0005-0000-0000-0000371B0000}"/>
    <cellStyle name="40% - Accent3 17 5" xfId="3541" xr:uid="{00000000-0005-0000-0000-0000381B0000}"/>
    <cellStyle name="40% - Accent3 17 6" xfId="3540" xr:uid="{00000000-0005-0000-0000-0000391B0000}"/>
    <cellStyle name="40% - Accent3 18" xfId="3539" xr:uid="{00000000-0005-0000-0000-00003A1B0000}"/>
    <cellStyle name="40% - Accent3 18 2" xfId="3538" xr:uid="{00000000-0005-0000-0000-00003B1B0000}"/>
    <cellStyle name="40% - Accent3 18 2 2" xfId="3537" xr:uid="{00000000-0005-0000-0000-00003C1B0000}"/>
    <cellStyle name="40% - Accent3 18 2 2 2" xfId="3536" xr:uid="{00000000-0005-0000-0000-00003D1B0000}"/>
    <cellStyle name="40% - Accent3 18 2 2 3" xfId="3535" xr:uid="{00000000-0005-0000-0000-00003E1B0000}"/>
    <cellStyle name="40% - Accent3 18 2 3" xfId="3534" xr:uid="{00000000-0005-0000-0000-00003F1B0000}"/>
    <cellStyle name="40% - Accent3 18 2 4" xfId="3533" xr:uid="{00000000-0005-0000-0000-0000401B0000}"/>
    <cellStyle name="40% - Accent3 18 3" xfId="3532" xr:uid="{00000000-0005-0000-0000-0000411B0000}"/>
    <cellStyle name="40% - Accent3 18 3 2" xfId="3531" xr:uid="{00000000-0005-0000-0000-0000421B0000}"/>
    <cellStyle name="40% - Accent3 18 3 3" xfId="3530" xr:uid="{00000000-0005-0000-0000-0000431B0000}"/>
    <cellStyle name="40% - Accent3 18 4" xfId="3529" xr:uid="{00000000-0005-0000-0000-0000441B0000}"/>
    <cellStyle name="40% - Accent3 18 4 2" xfId="3528" xr:uid="{00000000-0005-0000-0000-0000451B0000}"/>
    <cellStyle name="40% - Accent3 18 4 3" xfId="3527" xr:uid="{00000000-0005-0000-0000-0000461B0000}"/>
    <cellStyle name="40% - Accent3 18 5" xfId="3526" xr:uid="{00000000-0005-0000-0000-0000471B0000}"/>
    <cellStyle name="40% - Accent3 18 6" xfId="3525" xr:uid="{00000000-0005-0000-0000-0000481B0000}"/>
    <cellStyle name="40% - Accent3 19" xfId="3524" xr:uid="{00000000-0005-0000-0000-0000491B0000}"/>
    <cellStyle name="40% - Accent3 19 2" xfId="3523" xr:uid="{00000000-0005-0000-0000-00004A1B0000}"/>
    <cellStyle name="40% - Accent3 19 2 2" xfId="3522" xr:uid="{00000000-0005-0000-0000-00004B1B0000}"/>
    <cellStyle name="40% - Accent3 19 2 2 2" xfId="3521" xr:uid="{00000000-0005-0000-0000-00004C1B0000}"/>
    <cellStyle name="40% - Accent3 19 2 2 3" xfId="3520" xr:uid="{00000000-0005-0000-0000-00004D1B0000}"/>
    <cellStyle name="40% - Accent3 19 2 3" xfId="3519" xr:uid="{00000000-0005-0000-0000-00004E1B0000}"/>
    <cellStyle name="40% - Accent3 19 2 4" xfId="3518" xr:uid="{00000000-0005-0000-0000-00004F1B0000}"/>
    <cellStyle name="40% - Accent3 19 3" xfId="3517" xr:uid="{00000000-0005-0000-0000-0000501B0000}"/>
    <cellStyle name="40% - Accent3 19 3 2" xfId="3516" xr:uid="{00000000-0005-0000-0000-0000511B0000}"/>
    <cellStyle name="40% - Accent3 19 3 3" xfId="3515" xr:uid="{00000000-0005-0000-0000-0000521B0000}"/>
    <cellStyle name="40% - Accent3 19 4" xfId="3514" xr:uid="{00000000-0005-0000-0000-0000531B0000}"/>
    <cellStyle name="40% - Accent3 19 4 2" xfId="3513" xr:uid="{00000000-0005-0000-0000-0000541B0000}"/>
    <cellStyle name="40% - Accent3 19 4 3" xfId="3512" xr:uid="{00000000-0005-0000-0000-0000551B0000}"/>
    <cellStyle name="40% - Accent3 19 5" xfId="3511" xr:uid="{00000000-0005-0000-0000-0000561B0000}"/>
    <cellStyle name="40% - Accent3 19 6" xfId="3510" xr:uid="{00000000-0005-0000-0000-0000571B0000}"/>
    <cellStyle name="40% - Accent3 2" xfId="3509" xr:uid="{00000000-0005-0000-0000-0000581B0000}"/>
    <cellStyle name="40% - Accent3 2 10" xfId="10516" xr:uid="{00000000-0005-0000-0000-0000591B0000}"/>
    <cellStyle name="40% - Accent3 2 10 2" xfId="10517" xr:uid="{00000000-0005-0000-0000-00005A1B0000}"/>
    <cellStyle name="40% - Accent3 2 11" xfId="10518" xr:uid="{00000000-0005-0000-0000-00005B1B0000}"/>
    <cellStyle name="40% - Accent3 2 12" xfId="10519" xr:uid="{00000000-0005-0000-0000-00005C1B0000}"/>
    <cellStyle name="40% - Accent3 2 12 2" xfId="10520" xr:uid="{00000000-0005-0000-0000-00005D1B0000}"/>
    <cellStyle name="40% - Accent3 2 12 2 2" xfId="10521" xr:uid="{00000000-0005-0000-0000-00005E1B0000}"/>
    <cellStyle name="40% - Accent3 2 12 3" xfId="10522" xr:uid="{00000000-0005-0000-0000-00005F1B0000}"/>
    <cellStyle name="40% - Accent3 2 12 4" xfId="10523" xr:uid="{00000000-0005-0000-0000-0000601B0000}"/>
    <cellStyle name="40% - Accent3 2 12 4 2" xfId="10524" xr:uid="{00000000-0005-0000-0000-0000611B0000}"/>
    <cellStyle name="40% - Accent3 2 12 5" xfId="10525" xr:uid="{00000000-0005-0000-0000-0000621B0000}"/>
    <cellStyle name="40% - Accent3 2 13" xfId="10526" xr:uid="{00000000-0005-0000-0000-0000631B0000}"/>
    <cellStyle name="40% - Accent3 2 13 2" xfId="10527" xr:uid="{00000000-0005-0000-0000-0000641B0000}"/>
    <cellStyle name="40% - Accent3 2 13 2 2" xfId="10528" xr:uid="{00000000-0005-0000-0000-0000651B0000}"/>
    <cellStyle name="40% - Accent3 2 13 3" xfId="10529" xr:uid="{00000000-0005-0000-0000-0000661B0000}"/>
    <cellStyle name="40% - Accent3 2 14" xfId="10530" xr:uid="{00000000-0005-0000-0000-0000671B0000}"/>
    <cellStyle name="40% - Accent3 2 15" xfId="10531" xr:uid="{00000000-0005-0000-0000-0000681B0000}"/>
    <cellStyle name="40% - Accent3 2 2" xfId="3508" xr:uid="{00000000-0005-0000-0000-0000691B0000}"/>
    <cellStyle name="40% - Accent3 2 2 10" xfId="10532" xr:uid="{00000000-0005-0000-0000-00006A1B0000}"/>
    <cellStyle name="40% - Accent3 2 2 10 2" xfId="10533" xr:uid="{00000000-0005-0000-0000-00006B1B0000}"/>
    <cellStyle name="40% - Accent3 2 2 11" xfId="10534" xr:uid="{00000000-0005-0000-0000-00006C1B0000}"/>
    <cellStyle name="40% - Accent3 2 2 2" xfId="10535" xr:uid="{00000000-0005-0000-0000-00006D1B0000}"/>
    <cellStyle name="40% - Accent3 2 2 2 2" xfId="10536" xr:uid="{00000000-0005-0000-0000-00006E1B0000}"/>
    <cellStyle name="40% - Accent3 2 2 2 2 2" xfId="10537" xr:uid="{00000000-0005-0000-0000-00006F1B0000}"/>
    <cellStyle name="40% - Accent3 2 2 2 2 3" xfId="10538" xr:uid="{00000000-0005-0000-0000-0000701B0000}"/>
    <cellStyle name="40% - Accent3 2 2 2 3" xfId="10539" xr:uid="{00000000-0005-0000-0000-0000711B0000}"/>
    <cellStyle name="40% - Accent3 2 2 2 3 2" xfId="10540" xr:uid="{00000000-0005-0000-0000-0000721B0000}"/>
    <cellStyle name="40% - Accent3 2 2 2 4" xfId="10541" xr:uid="{00000000-0005-0000-0000-0000731B0000}"/>
    <cellStyle name="40% - Accent3 2 2 2 5" xfId="10542" xr:uid="{00000000-0005-0000-0000-0000741B0000}"/>
    <cellStyle name="40% - Accent3 2 2 3" xfId="10543" xr:uid="{00000000-0005-0000-0000-0000751B0000}"/>
    <cellStyle name="40% - Accent3 2 2 3 2" xfId="10544" xr:uid="{00000000-0005-0000-0000-0000761B0000}"/>
    <cellStyle name="40% - Accent3 2 2 3 2 2" xfId="10545" xr:uid="{00000000-0005-0000-0000-0000771B0000}"/>
    <cellStyle name="40% - Accent3 2 2 3 2 3" xfId="10546" xr:uid="{00000000-0005-0000-0000-0000781B0000}"/>
    <cellStyle name="40% - Accent3 2 2 3 3" xfId="10547" xr:uid="{00000000-0005-0000-0000-0000791B0000}"/>
    <cellStyle name="40% - Accent3 2 2 3 3 2" xfId="10548" xr:uid="{00000000-0005-0000-0000-00007A1B0000}"/>
    <cellStyle name="40% - Accent3 2 2 3 4" xfId="10549" xr:uid="{00000000-0005-0000-0000-00007B1B0000}"/>
    <cellStyle name="40% - Accent3 2 2 3 5" xfId="10550" xr:uid="{00000000-0005-0000-0000-00007C1B0000}"/>
    <cellStyle name="40% - Accent3 2 2 4" xfId="10551" xr:uid="{00000000-0005-0000-0000-00007D1B0000}"/>
    <cellStyle name="40% - Accent3 2 2 4 2" xfId="10552" xr:uid="{00000000-0005-0000-0000-00007E1B0000}"/>
    <cellStyle name="40% - Accent3 2 2 4 2 2" xfId="10553" xr:uid="{00000000-0005-0000-0000-00007F1B0000}"/>
    <cellStyle name="40% - Accent3 2 2 4 3" xfId="10554" xr:uid="{00000000-0005-0000-0000-0000801B0000}"/>
    <cellStyle name="40% - Accent3 2 2 4 4" xfId="10555" xr:uid="{00000000-0005-0000-0000-0000811B0000}"/>
    <cellStyle name="40% - Accent3 2 2 5" xfId="10556" xr:uid="{00000000-0005-0000-0000-0000821B0000}"/>
    <cellStyle name="40% - Accent3 2 2 5 2" xfId="10557" xr:uid="{00000000-0005-0000-0000-0000831B0000}"/>
    <cellStyle name="40% - Accent3 2 2 6" xfId="10558" xr:uid="{00000000-0005-0000-0000-0000841B0000}"/>
    <cellStyle name="40% - Accent3 2 2 6 2" xfId="10559" xr:uid="{00000000-0005-0000-0000-0000851B0000}"/>
    <cellStyle name="40% - Accent3 2 2 7" xfId="10560" xr:uid="{00000000-0005-0000-0000-0000861B0000}"/>
    <cellStyle name="40% - Accent3 2 2 8" xfId="10561" xr:uid="{00000000-0005-0000-0000-0000871B0000}"/>
    <cellStyle name="40% - Accent3 2 2 9" xfId="10562" xr:uid="{00000000-0005-0000-0000-0000881B0000}"/>
    <cellStyle name="40% - Accent3 2 2 9 2" xfId="10563" xr:uid="{00000000-0005-0000-0000-0000891B0000}"/>
    <cellStyle name="40% - Accent3 2 3" xfId="3507" xr:uid="{00000000-0005-0000-0000-00008A1B0000}"/>
    <cellStyle name="40% - Accent3 2 3 2" xfId="3506" xr:uid="{00000000-0005-0000-0000-00008B1B0000}"/>
    <cellStyle name="40% - Accent3 2 3 2 2" xfId="3505" xr:uid="{00000000-0005-0000-0000-00008C1B0000}"/>
    <cellStyle name="40% - Accent3 2 3 2 2 2" xfId="3504" xr:uid="{00000000-0005-0000-0000-00008D1B0000}"/>
    <cellStyle name="40% - Accent3 2 3 2 2 3" xfId="3503" xr:uid="{00000000-0005-0000-0000-00008E1B0000}"/>
    <cellStyle name="40% - Accent3 2 3 2 3" xfId="3502" xr:uid="{00000000-0005-0000-0000-00008F1B0000}"/>
    <cellStyle name="40% - Accent3 2 3 2 3 2" xfId="10564" xr:uid="{00000000-0005-0000-0000-0000901B0000}"/>
    <cellStyle name="40% - Accent3 2 3 2 4" xfId="3501" xr:uid="{00000000-0005-0000-0000-0000911B0000}"/>
    <cellStyle name="40% - Accent3 2 3 2 5" xfId="10565" xr:uid="{00000000-0005-0000-0000-0000921B0000}"/>
    <cellStyle name="40% - Accent3 2 3 3" xfId="3500" xr:uid="{00000000-0005-0000-0000-0000931B0000}"/>
    <cellStyle name="40% - Accent3 2 3 3 2" xfId="3499" xr:uid="{00000000-0005-0000-0000-0000941B0000}"/>
    <cellStyle name="40% - Accent3 2 3 3 2 2" xfId="10566" xr:uid="{00000000-0005-0000-0000-0000951B0000}"/>
    <cellStyle name="40% - Accent3 2 3 3 3" xfId="3498" xr:uid="{00000000-0005-0000-0000-0000961B0000}"/>
    <cellStyle name="40% - Accent3 2 3 3 4" xfId="10567" xr:uid="{00000000-0005-0000-0000-0000971B0000}"/>
    <cellStyle name="40% - Accent3 2 3 4" xfId="3497" xr:uid="{00000000-0005-0000-0000-0000981B0000}"/>
    <cellStyle name="40% - Accent3 2 3 4 2" xfId="3496" xr:uid="{00000000-0005-0000-0000-0000991B0000}"/>
    <cellStyle name="40% - Accent3 2 3 4 3" xfId="3495" xr:uid="{00000000-0005-0000-0000-00009A1B0000}"/>
    <cellStyle name="40% - Accent3 2 3 5" xfId="3494" xr:uid="{00000000-0005-0000-0000-00009B1B0000}"/>
    <cellStyle name="40% - Accent3 2 3 5 2" xfId="10568" xr:uid="{00000000-0005-0000-0000-00009C1B0000}"/>
    <cellStyle name="40% - Accent3 2 3 6" xfId="3493" xr:uid="{00000000-0005-0000-0000-00009D1B0000}"/>
    <cellStyle name="40% - Accent3 2 3 7" xfId="10569" xr:uid="{00000000-0005-0000-0000-00009E1B0000}"/>
    <cellStyle name="40% - Accent3 2 3 8" xfId="10570" xr:uid="{00000000-0005-0000-0000-00009F1B0000}"/>
    <cellStyle name="40% - Accent3 2 4" xfId="10571" xr:uid="{00000000-0005-0000-0000-0000A01B0000}"/>
    <cellStyle name="40% - Accent3 2 4 2" xfId="10572" xr:uid="{00000000-0005-0000-0000-0000A11B0000}"/>
    <cellStyle name="40% - Accent3 2 4 2 2" xfId="10573" xr:uid="{00000000-0005-0000-0000-0000A21B0000}"/>
    <cellStyle name="40% - Accent3 2 4 2 2 2" xfId="10574" xr:uid="{00000000-0005-0000-0000-0000A31B0000}"/>
    <cellStyle name="40% - Accent3 2 4 2 3" xfId="10575" xr:uid="{00000000-0005-0000-0000-0000A41B0000}"/>
    <cellStyle name="40% - Accent3 2 4 2 4" xfId="10576" xr:uid="{00000000-0005-0000-0000-0000A51B0000}"/>
    <cellStyle name="40% - Accent3 2 4 3" xfId="10577" xr:uid="{00000000-0005-0000-0000-0000A61B0000}"/>
    <cellStyle name="40% - Accent3 2 4 3 2" xfId="10578" xr:uid="{00000000-0005-0000-0000-0000A71B0000}"/>
    <cellStyle name="40% - Accent3 2 4 4" xfId="10579" xr:uid="{00000000-0005-0000-0000-0000A81B0000}"/>
    <cellStyle name="40% - Accent3 2 4 4 2" xfId="10580" xr:uid="{00000000-0005-0000-0000-0000A91B0000}"/>
    <cellStyle name="40% - Accent3 2 4 5" xfId="10581" xr:uid="{00000000-0005-0000-0000-0000AA1B0000}"/>
    <cellStyle name="40% - Accent3 2 4 6" xfId="10582" xr:uid="{00000000-0005-0000-0000-0000AB1B0000}"/>
    <cellStyle name="40% - Accent3 2 5" xfId="10583" xr:uid="{00000000-0005-0000-0000-0000AC1B0000}"/>
    <cellStyle name="40% - Accent3 2 5 2" xfId="10584" xr:uid="{00000000-0005-0000-0000-0000AD1B0000}"/>
    <cellStyle name="40% - Accent3 2 5 2 2" xfId="10585" xr:uid="{00000000-0005-0000-0000-0000AE1B0000}"/>
    <cellStyle name="40% - Accent3 2 5 3" xfId="10586" xr:uid="{00000000-0005-0000-0000-0000AF1B0000}"/>
    <cellStyle name="40% - Accent3 2 5 4" xfId="10587" xr:uid="{00000000-0005-0000-0000-0000B01B0000}"/>
    <cellStyle name="40% - Accent3 2 6" xfId="10588" xr:uid="{00000000-0005-0000-0000-0000B11B0000}"/>
    <cellStyle name="40% - Accent3 2 6 10" xfId="10589" xr:uid="{00000000-0005-0000-0000-0000B21B0000}"/>
    <cellStyle name="40% - Accent3 2 6 2" xfId="10590" xr:uid="{00000000-0005-0000-0000-0000B31B0000}"/>
    <cellStyle name="40% - Accent3 2 6 2 2" xfId="10591" xr:uid="{00000000-0005-0000-0000-0000B41B0000}"/>
    <cellStyle name="40% - Accent3 2 6 2 2 2" xfId="10592" xr:uid="{00000000-0005-0000-0000-0000B51B0000}"/>
    <cellStyle name="40% - Accent3 2 6 2 2 2 2" xfId="10593" xr:uid="{00000000-0005-0000-0000-0000B61B0000}"/>
    <cellStyle name="40% - Accent3 2 6 2 2 3" xfId="10594" xr:uid="{00000000-0005-0000-0000-0000B71B0000}"/>
    <cellStyle name="40% - Accent3 2 6 2 2 3 2" xfId="10595" xr:uid="{00000000-0005-0000-0000-0000B81B0000}"/>
    <cellStyle name="40% - Accent3 2 6 2 2 4" xfId="10596" xr:uid="{00000000-0005-0000-0000-0000B91B0000}"/>
    <cellStyle name="40% - Accent3 2 6 2 2 5" xfId="10597" xr:uid="{00000000-0005-0000-0000-0000BA1B0000}"/>
    <cellStyle name="40% - Accent3 2 6 2 3" xfId="10598" xr:uid="{00000000-0005-0000-0000-0000BB1B0000}"/>
    <cellStyle name="40% - Accent3 2 6 2 3 2" xfId="10599" xr:uid="{00000000-0005-0000-0000-0000BC1B0000}"/>
    <cellStyle name="40% - Accent3 2 6 2 3 2 2" xfId="10600" xr:uid="{00000000-0005-0000-0000-0000BD1B0000}"/>
    <cellStyle name="40% - Accent3 2 6 2 3 3" xfId="10601" xr:uid="{00000000-0005-0000-0000-0000BE1B0000}"/>
    <cellStyle name="40% - Accent3 2 6 2 4" xfId="10602" xr:uid="{00000000-0005-0000-0000-0000BF1B0000}"/>
    <cellStyle name="40% - Accent3 2 6 2 4 2" xfId="10603" xr:uid="{00000000-0005-0000-0000-0000C01B0000}"/>
    <cellStyle name="40% - Accent3 2 6 2 5" xfId="10604" xr:uid="{00000000-0005-0000-0000-0000C11B0000}"/>
    <cellStyle name="40% - Accent3 2 6 2 5 2" xfId="10605" xr:uid="{00000000-0005-0000-0000-0000C21B0000}"/>
    <cellStyle name="40% - Accent3 2 6 2 6" xfId="10606" xr:uid="{00000000-0005-0000-0000-0000C31B0000}"/>
    <cellStyle name="40% - Accent3 2 6 3" xfId="10607" xr:uid="{00000000-0005-0000-0000-0000C41B0000}"/>
    <cellStyle name="40% - Accent3 2 6 3 2" xfId="10608" xr:uid="{00000000-0005-0000-0000-0000C51B0000}"/>
    <cellStyle name="40% - Accent3 2 6 3 2 2" xfId="10609" xr:uid="{00000000-0005-0000-0000-0000C61B0000}"/>
    <cellStyle name="40% - Accent3 2 6 3 2 2 2" xfId="10610" xr:uid="{00000000-0005-0000-0000-0000C71B0000}"/>
    <cellStyle name="40% - Accent3 2 6 3 2 3" xfId="10611" xr:uid="{00000000-0005-0000-0000-0000C81B0000}"/>
    <cellStyle name="40% - Accent3 2 6 3 2 3 2" xfId="10612" xr:uid="{00000000-0005-0000-0000-0000C91B0000}"/>
    <cellStyle name="40% - Accent3 2 6 3 2 4" xfId="10613" xr:uid="{00000000-0005-0000-0000-0000CA1B0000}"/>
    <cellStyle name="40% - Accent3 2 6 3 2 5" xfId="10614" xr:uid="{00000000-0005-0000-0000-0000CB1B0000}"/>
    <cellStyle name="40% - Accent3 2 6 3 3" xfId="10615" xr:uid="{00000000-0005-0000-0000-0000CC1B0000}"/>
    <cellStyle name="40% - Accent3 2 6 3 3 2" xfId="10616" xr:uid="{00000000-0005-0000-0000-0000CD1B0000}"/>
    <cellStyle name="40% - Accent3 2 6 3 3 2 2" xfId="10617" xr:uid="{00000000-0005-0000-0000-0000CE1B0000}"/>
    <cellStyle name="40% - Accent3 2 6 3 3 3" xfId="10618" xr:uid="{00000000-0005-0000-0000-0000CF1B0000}"/>
    <cellStyle name="40% - Accent3 2 6 3 4" xfId="10619" xr:uid="{00000000-0005-0000-0000-0000D01B0000}"/>
    <cellStyle name="40% - Accent3 2 6 3 4 2" xfId="10620" xr:uid="{00000000-0005-0000-0000-0000D11B0000}"/>
    <cellStyle name="40% - Accent3 2 6 3 5" xfId="10621" xr:uid="{00000000-0005-0000-0000-0000D21B0000}"/>
    <cellStyle name="40% - Accent3 2 6 3 5 2" xfId="10622" xr:uid="{00000000-0005-0000-0000-0000D31B0000}"/>
    <cellStyle name="40% - Accent3 2 6 3 6" xfId="10623" xr:uid="{00000000-0005-0000-0000-0000D41B0000}"/>
    <cellStyle name="40% - Accent3 2 6 4" xfId="10624" xr:uid="{00000000-0005-0000-0000-0000D51B0000}"/>
    <cellStyle name="40% - Accent3 2 6 4 2" xfId="10625" xr:uid="{00000000-0005-0000-0000-0000D61B0000}"/>
    <cellStyle name="40% - Accent3 2 6 4 2 2" xfId="10626" xr:uid="{00000000-0005-0000-0000-0000D71B0000}"/>
    <cellStyle name="40% - Accent3 2 6 4 2 2 2" xfId="10627" xr:uid="{00000000-0005-0000-0000-0000D81B0000}"/>
    <cellStyle name="40% - Accent3 2 6 4 2 3" xfId="10628" xr:uid="{00000000-0005-0000-0000-0000D91B0000}"/>
    <cellStyle name="40% - Accent3 2 6 4 3" xfId="10629" xr:uid="{00000000-0005-0000-0000-0000DA1B0000}"/>
    <cellStyle name="40% - Accent3 2 6 4 3 2" xfId="10630" xr:uid="{00000000-0005-0000-0000-0000DB1B0000}"/>
    <cellStyle name="40% - Accent3 2 6 4 4" xfId="10631" xr:uid="{00000000-0005-0000-0000-0000DC1B0000}"/>
    <cellStyle name="40% - Accent3 2 6 4 4 2" xfId="10632" xr:uid="{00000000-0005-0000-0000-0000DD1B0000}"/>
    <cellStyle name="40% - Accent3 2 6 4 5" xfId="10633" xr:uid="{00000000-0005-0000-0000-0000DE1B0000}"/>
    <cellStyle name="40% - Accent3 2 6 5" xfId="10634" xr:uid="{00000000-0005-0000-0000-0000DF1B0000}"/>
    <cellStyle name="40% - Accent3 2 6 5 2" xfId="10635" xr:uid="{00000000-0005-0000-0000-0000E01B0000}"/>
    <cellStyle name="40% - Accent3 2 6 5 2 2" xfId="10636" xr:uid="{00000000-0005-0000-0000-0000E11B0000}"/>
    <cellStyle name="40% - Accent3 2 6 5 3" xfId="10637" xr:uid="{00000000-0005-0000-0000-0000E21B0000}"/>
    <cellStyle name="40% - Accent3 2 6 5 3 2" xfId="10638" xr:uid="{00000000-0005-0000-0000-0000E31B0000}"/>
    <cellStyle name="40% - Accent3 2 6 5 4" xfId="10639" xr:uid="{00000000-0005-0000-0000-0000E41B0000}"/>
    <cellStyle name="40% - Accent3 2 6 6" xfId="10640" xr:uid="{00000000-0005-0000-0000-0000E51B0000}"/>
    <cellStyle name="40% - Accent3 2 6 6 2" xfId="10641" xr:uid="{00000000-0005-0000-0000-0000E61B0000}"/>
    <cellStyle name="40% - Accent3 2 6 6 2 2" xfId="10642" xr:uid="{00000000-0005-0000-0000-0000E71B0000}"/>
    <cellStyle name="40% - Accent3 2 6 6 3" xfId="10643" xr:uid="{00000000-0005-0000-0000-0000E81B0000}"/>
    <cellStyle name="40% - Accent3 2 6 7" xfId="10644" xr:uid="{00000000-0005-0000-0000-0000E91B0000}"/>
    <cellStyle name="40% - Accent3 2 6 7 2" xfId="10645" xr:uid="{00000000-0005-0000-0000-0000EA1B0000}"/>
    <cellStyle name="40% - Accent3 2 6 7 3" xfId="10646" xr:uid="{00000000-0005-0000-0000-0000EB1B0000}"/>
    <cellStyle name="40% - Accent3 2 6 8" xfId="10647" xr:uid="{00000000-0005-0000-0000-0000EC1B0000}"/>
    <cellStyle name="40% - Accent3 2 6 8 2" xfId="10648" xr:uid="{00000000-0005-0000-0000-0000ED1B0000}"/>
    <cellStyle name="40% - Accent3 2 6 9" xfId="10649" xr:uid="{00000000-0005-0000-0000-0000EE1B0000}"/>
    <cellStyle name="40% - Accent3 2 7" xfId="10650" xr:uid="{00000000-0005-0000-0000-0000EF1B0000}"/>
    <cellStyle name="40% - Accent3 2 7 2" xfId="10651" xr:uid="{00000000-0005-0000-0000-0000F01B0000}"/>
    <cellStyle name="40% - Accent3 2 7 2 2" xfId="10652" xr:uid="{00000000-0005-0000-0000-0000F11B0000}"/>
    <cellStyle name="40% - Accent3 2 7 3" xfId="10653" xr:uid="{00000000-0005-0000-0000-0000F21B0000}"/>
    <cellStyle name="40% - Accent3 2 7 4" xfId="10654" xr:uid="{00000000-0005-0000-0000-0000F31B0000}"/>
    <cellStyle name="40% - Accent3 2 8" xfId="10655" xr:uid="{00000000-0005-0000-0000-0000F41B0000}"/>
    <cellStyle name="40% - Accent3 2 8 2" xfId="10656" xr:uid="{00000000-0005-0000-0000-0000F51B0000}"/>
    <cellStyle name="40% - Accent3 2 9" xfId="10657" xr:uid="{00000000-0005-0000-0000-0000F61B0000}"/>
    <cellStyle name="40% - Accent3 2 9 2" xfId="10658" xr:uid="{00000000-0005-0000-0000-0000F71B0000}"/>
    <cellStyle name="40% - Accent3 20" xfId="3492" xr:uid="{00000000-0005-0000-0000-0000F81B0000}"/>
    <cellStyle name="40% - Accent3 20 2" xfId="3491" xr:uid="{00000000-0005-0000-0000-0000F91B0000}"/>
    <cellStyle name="40% - Accent3 20 2 2" xfId="3490" xr:uid="{00000000-0005-0000-0000-0000FA1B0000}"/>
    <cellStyle name="40% - Accent3 20 2 2 2" xfId="3489" xr:uid="{00000000-0005-0000-0000-0000FB1B0000}"/>
    <cellStyle name="40% - Accent3 20 2 2 3" xfId="3488" xr:uid="{00000000-0005-0000-0000-0000FC1B0000}"/>
    <cellStyle name="40% - Accent3 20 2 3" xfId="3487" xr:uid="{00000000-0005-0000-0000-0000FD1B0000}"/>
    <cellStyle name="40% - Accent3 20 2 4" xfId="3486" xr:uid="{00000000-0005-0000-0000-0000FE1B0000}"/>
    <cellStyle name="40% - Accent3 20 3" xfId="3485" xr:uid="{00000000-0005-0000-0000-0000FF1B0000}"/>
    <cellStyle name="40% - Accent3 20 3 2" xfId="3484" xr:uid="{00000000-0005-0000-0000-0000001C0000}"/>
    <cellStyle name="40% - Accent3 20 3 3" xfId="3483" xr:uid="{00000000-0005-0000-0000-0000011C0000}"/>
    <cellStyle name="40% - Accent3 20 4" xfId="3482" xr:uid="{00000000-0005-0000-0000-0000021C0000}"/>
    <cellStyle name="40% - Accent3 20 4 2" xfId="3481" xr:uid="{00000000-0005-0000-0000-0000031C0000}"/>
    <cellStyle name="40% - Accent3 20 4 3" xfId="3480" xr:uid="{00000000-0005-0000-0000-0000041C0000}"/>
    <cellStyle name="40% - Accent3 20 5" xfId="3479" xr:uid="{00000000-0005-0000-0000-0000051C0000}"/>
    <cellStyle name="40% - Accent3 20 6" xfId="3478" xr:uid="{00000000-0005-0000-0000-0000061C0000}"/>
    <cellStyle name="40% - Accent3 21" xfId="3477" xr:uid="{00000000-0005-0000-0000-0000071C0000}"/>
    <cellStyle name="40% - Accent3 22" xfId="3476" xr:uid="{00000000-0005-0000-0000-0000081C0000}"/>
    <cellStyle name="40% - Accent3 22 2" xfId="3475" xr:uid="{00000000-0005-0000-0000-0000091C0000}"/>
    <cellStyle name="40% - Accent3 22 2 2" xfId="3474" xr:uid="{00000000-0005-0000-0000-00000A1C0000}"/>
    <cellStyle name="40% - Accent3 22 2 2 2" xfId="3473" xr:uid="{00000000-0005-0000-0000-00000B1C0000}"/>
    <cellStyle name="40% - Accent3 22 2 2 3" xfId="3472" xr:uid="{00000000-0005-0000-0000-00000C1C0000}"/>
    <cellStyle name="40% - Accent3 22 2 3" xfId="3471" xr:uid="{00000000-0005-0000-0000-00000D1C0000}"/>
    <cellStyle name="40% - Accent3 22 2 4" xfId="3470" xr:uid="{00000000-0005-0000-0000-00000E1C0000}"/>
    <cellStyle name="40% - Accent3 22 3" xfId="3469" xr:uid="{00000000-0005-0000-0000-00000F1C0000}"/>
    <cellStyle name="40% - Accent3 22 3 2" xfId="3468" xr:uid="{00000000-0005-0000-0000-0000101C0000}"/>
    <cellStyle name="40% - Accent3 22 3 3" xfId="3467" xr:uid="{00000000-0005-0000-0000-0000111C0000}"/>
    <cellStyle name="40% - Accent3 22 4" xfId="3466" xr:uid="{00000000-0005-0000-0000-0000121C0000}"/>
    <cellStyle name="40% - Accent3 22 4 2" xfId="3465" xr:uid="{00000000-0005-0000-0000-0000131C0000}"/>
    <cellStyle name="40% - Accent3 22 4 3" xfId="3464" xr:uid="{00000000-0005-0000-0000-0000141C0000}"/>
    <cellStyle name="40% - Accent3 22 5" xfId="3463" xr:uid="{00000000-0005-0000-0000-0000151C0000}"/>
    <cellStyle name="40% - Accent3 22 6" xfId="3462" xr:uid="{00000000-0005-0000-0000-0000161C0000}"/>
    <cellStyle name="40% - Accent3 23" xfId="3461" xr:uid="{00000000-0005-0000-0000-0000171C0000}"/>
    <cellStyle name="40% - Accent3 23 2" xfId="3460" xr:uid="{00000000-0005-0000-0000-0000181C0000}"/>
    <cellStyle name="40% - Accent3 23 2 2" xfId="3459" xr:uid="{00000000-0005-0000-0000-0000191C0000}"/>
    <cellStyle name="40% - Accent3 23 2 3" xfId="3458" xr:uid="{00000000-0005-0000-0000-00001A1C0000}"/>
    <cellStyle name="40% - Accent3 23 3" xfId="3457" xr:uid="{00000000-0005-0000-0000-00001B1C0000}"/>
    <cellStyle name="40% - Accent3 23 4" xfId="3456" xr:uid="{00000000-0005-0000-0000-00001C1C0000}"/>
    <cellStyle name="40% - Accent3 24" xfId="3455" xr:uid="{00000000-0005-0000-0000-00001D1C0000}"/>
    <cellStyle name="40% - Accent3 24 2" xfId="3454" xr:uid="{00000000-0005-0000-0000-00001E1C0000}"/>
    <cellStyle name="40% - Accent3 24 3" xfId="3453" xr:uid="{00000000-0005-0000-0000-00001F1C0000}"/>
    <cellStyle name="40% - Accent3 25" xfId="3452" xr:uid="{00000000-0005-0000-0000-0000201C0000}"/>
    <cellStyle name="40% - Accent3 25 2" xfId="3451" xr:uid="{00000000-0005-0000-0000-0000211C0000}"/>
    <cellStyle name="40% - Accent3 25 3" xfId="3450" xr:uid="{00000000-0005-0000-0000-0000221C0000}"/>
    <cellStyle name="40% - Accent3 26" xfId="3449" xr:uid="{00000000-0005-0000-0000-0000231C0000}"/>
    <cellStyle name="40% - Accent3 27" xfId="3448" xr:uid="{00000000-0005-0000-0000-0000241C0000}"/>
    <cellStyle name="40% - Accent3 28" xfId="3447" xr:uid="{00000000-0005-0000-0000-0000251C0000}"/>
    <cellStyle name="40% - Accent3 29" xfId="3446" xr:uid="{00000000-0005-0000-0000-0000261C0000}"/>
    <cellStyle name="40% - Accent3 3" xfId="3445" xr:uid="{00000000-0005-0000-0000-0000271C0000}"/>
    <cellStyle name="40% - Accent3 3 10" xfId="10659" xr:uid="{00000000-0005-0000-0000-0000281C0000}"/>
    <cellStyle name="40% - Accent3 3 2" xfId="3444" xr:uid="{00000000-0005-0000-0000-0000291C0000}"/>
    <cellStyle name="40% - Accent3 3 2 2" xfId="10660" xr:uid="{00000000-0005-0000-0000-00002A1C0000}"/>
    <cellStyle name="40% - Accent3 3 2 2 2" xfId="10661" xr:uid="{00000000-0005-0000-0000-00002B1C0000}"/>
    <cellStyle name="40% - Accent3 3 2 2 2 2" xfId="10662" xr:uid="{00000000-0005-0000-0000-00002C1C0000}"/>
    <cellStyle name="40% - Accent3 3 2 2 3" xfId="10663" xr:uid="{00000000-0005-0000-0000-00002D1C0000}"/>
    <cellStyle name="40% - Accent3 3 2 2 4" xfId="10664" xr:uid="{00000000-0005-0000-0000-00002E1C0000}"/>
    <cellStyle name="40% - Accent3 3 2 2 5" xfId="10665" xr:uid="{00000000-0005-0000-0000-00002F1C0000}"/>
    <cellStyle name="40% - Accent3 3 2 3" xfId="10666" xr:uid="{00000000-0005-0000-0000-0000301C0000}"/>
    <cellStyle name="40% - Accent3 3 2 3 2" xfId="10667" xr:uid="{00000000-0005-0000-0000-0000311C0000}"/>
    <cellStyle name="40% - Accent3 3 2 3 2 2" xfId="10668" xr:uid="{00000000-0005-0000-0000-0000321C0000}"/>
    <cellStyle name="40% - Accent3 3 2 3 3" xfId="10669" xr:uid="{00000000-0005-0000-0000-0000331C0000}"/>
    <cellStyle name="40% - Accent3 3 2 3 4" xfId="10670" xr:uid="{00000000-0005-0000-0000-0000341C0000}"/>
    <cellStyle name="40% - Accent3 3 2 4" xfId="10671" xr:uid="{00000000-0005-0000-0000-0000351C0000}"/>
    <cellStyle name="40% - Accent3 3 2 4 2" xfId="10672" xr:uid="{00000000-0005-0000-0000-0000361C0000}"/>
    <cellStyle name="40% - Accent3 3 2 5" xfId="10673" xr:uid="{00000000-0005-0000-0000-0000371C0000}"/>
    <cellStyle name="40% - Accent3 3 2 5 2" xfId="10674" xr:uid="{00000000-0005-0000-0000-0000381C0000}"/>
    <cellStyle name="40% - Accent3 3 2 6" xfId="10675" xr:uid="{00000000-0005-0000-0000-0000391C0000}"/>
    <cellStyle name="40% - Accent3 3 2 7" xfId="10676" xr:uid="{00000000-0005-0000-0000-00003A1C0000}"/>
    <cellStyle name="40% - Accent3 3 2 8" xfId="10677" xr:uid="{00000000-0005-0000-0000-00003B1C0000}"/>
    <cellStyle name="40% - Accent3 3 3" xfId="3443" xr:uid="{00000000-0005-0000-0000-00003C1C0000}"/>
    <cellStyle name="40% - Accent3 3 3 2" xfId="3442" xr:uid="{00000000-0005-0000-0000-00003D1C0000}"/>
    <cellStyle name="40% - Accent3 3 3 2 2" xfId="3441" xr:uid="{00000000-0005-0000-0000-00003E1C0000}"/>
    <cellStyle name="40% - Accent3 3 3 2 2 2" xfId="3440" xr:uid="{00000000-0005-0000-0000-00003F1C0000}"/>
    <cellStyle name="40% - Accent3 3 3 2 2 3" xfId="3439" xr:uid="{00000000-0005-0000-0000-0000401C0000}"/>
    <cellStyle name="40% - Accent3 3 3 2 3" xfId="3438" xr:uid="{00000000-0005-0000-0000-0000411C0000}"/>
    <cellStyle name="40% - Accent3 3 3 2 4" xfId="3437" xr:uid="{00000000-0005-0000-0000-0000421C0000}"/>
    <cellStyle name="40% - Accent3 3 3 3" xfId="3436" xr:uid="{00000000-0005-0000-0000-0000431C0000}"/>
    <cellStyle name="40% - Accent3 3 3 3 2" xfId="3435" xr:uid="{00000000-0005-0000-0000-0000441C0000}"/>
    <cellStyle name="40% - Accent3 3 3 3 3" xfId="3434" xr:uid="{00000000-0005-0000-0000-0000451C0000}"/>
    <cellStyle name="40% - Accent3 3 3 4" xfId="3433" xr:uid="{00000000-0005-0000-0000-0000461C0000}"/>
    <cellStyle name="40% - Accent3 3 3 4 2" xfId="3432" xr:uid="{00000000-0005-0000-0000-0000471C0000}"/>
    <cellStyle name="40% - Accent3 3 3 4 3" xfId="3431" xr:uid="{00000000-0005-0000-0000-0000481C0000}"/>
    <cellStyle name="40% - Accent3 3 3 5" xfId="3430" xr:uid="{00000000-0005-0000-0000-0000491C0000}"/>
    <cellStyle name="40% - Accent3 3 3 6" xfId="3429" xr:uid="{00000000-0005-0000-0000-00004A1C0000}"/>
    <cellStyle name="40% - Accent3 3 3 7" xfId="10678" xr:uid="{00000000-0005-0000-0000-00004B1C0000}"/>
    <cellStyle name="40% - Accent3 3 4" xfId="10679" xr:uid="{00000000-0005-0000-0000-00004C1C0000}"/>
    <cellStyle name="40% - Accent3 3 4 2" xfId="10680" xr:uid="{00000000-0005-0000-0000-00004D1C0000}"/>
    <cellStyle name="40% - Accent3 3 4 2 2" xfId="10681" xr:uid="{00000000-0005-0000-0000-00004E1C0000}"/>
    <cellStyle name="40% - Accent3 3 4 3" xfId="10682" xr:uid="{00000000-0005-0000-0000-00004F1C0000}"/>
    <cellStyle name="40% - Accent3 3 4 4" xfId="10683" xr:uid="{00000000-0005-0000-0000-0000501C0000}"/>
    <cellStyle name="40% - Accent3 3 5" xfId="10684" xr:uid="{00000000-0005-0000-0000-0000511C0000}"/>
    <cellStyle name="40% - Accent3 3 5 2" xfId="10685" xr:uid="{00000000-0005-0000-0000-0000521C0000}"/>
    <cellStyle name="40% - Accent3 3 6" xfId="10686" xr:uid="{00000000-0005-0000-0000-0000531C0000}"/>
    <cellStyle name="40% - Accent3 3 7" xfId="10687" xr:uid="{00000000-0005-0000-0000-0000541C0000}"/>
    <cellStyle name="40% - Accent3 3 7 2" xfId="10688" xr:uid="{00000000-0005-0000-0000-0000551C0000}"/>
    <cellStyle name="40% - Accent3 3 8" xfId="10689" xr:uid="{00000000-0005-0000-0000-0000561C0000}"/>
    <cellStyle name="40% - Accent3 3 9" xfId="10690" xr:uid="{00000000-0005-0000-0000-0000571C0000}"/>
    <cellStyle name="40% - Accent3 3 9 2" xfId="10691" xr:uid="{00000000-0005-0000-0000-0000581C0000}"/>
    <cellStyle name="40% - Accent3 4" xfId="3428" xr:uid="{00000000-0005-0000-0000-0000591C0000}"/>
    <cellStyle name="40% - Accent3 4 2" xfId="3427" xr:uid="{00000000-0005-0000-0000-00005A1C0000}"/>
    <cellStyle name="40% - Accent3 4 2 2" xfId="3426" xr:uid="{00000000-0005-0000-0000-00005B1C0000}"/>
    <cellStyle name="40% - Accent3 4 2 2 2" xfId="3425" xr:uid="{00000000-0005-0000-0000-00005C1C0000}"/>
    <cellStyle name="40% - Accent3 4 2 2 2 2" xfId="3424" xr:uid="{00000000-0005-0000-0000-00005D1C0000}"/>
    <cellStyle name="40% - Accent3 4 2 2 2 3" xfId="3423" xr:uid="{00000000-0005-0000-0000-00005E1C0000}"/>
    <cellStyle name="40% - Accent3 4 2 2 3" xfId="3422" xr:uid="{00000000-0005-0000-0000-00005F1C0000}"/>
    <cellStyle name="40% - Accent3 4 2 2 4" xfId="3421" xr:uid="{00000000-0005-0000-0000-0000601C0000}"/>
    <cellStyle name="40% - Accent3 4 2 3" xfId="3420" xr:uid="{00000000-0005-0000-0000-0000611C0000}"/>
    <cellStyle name="40% - Accent3 4 2 3 2" xfId="3419" xr:uid="{00000000-0005-0000-0000-0000621C0000}"/>
    <cellStyle name="40% - Accent3 4 2 3 3" xfId="3418" xr:uid="{00000000-0005-0000-0000-0000631C0000}"/>
    <cellStyle name="40% - Accent3 4 2 4" xfId="3417" xr:uid="{00000000-0005-0000-0000-0000641C0000}"/>
    <cellStyle name="40% - Accent3 4 2 4 2" xfId="3416" xr:uid="{00000000-0005-0000-0000-0000651C0000}"/>
    <cellStyle name="40% - Accent3 4 2 4 3" xfId="3415" xr:uid="{00000000-0005-0000-0000-0000661C0000}"/>
    <cellStyle name="40% - Accent3 4 2 5" xfId="3414" xr:uid="{00000000-0005-0000-0000-0000671C0000}"/>
    <cellStyle name="40% - Accent3 4 2 6" xfId="3413" xr:uid="{00000000-0005-0000-0000-0000681C0000}"/>
    <cellStyle name="40% - Accent3 4 3" xfId="3412" xr:uid="{00000000-0005-0000-0000-0000691C0000}"/>
    <cellStyle name="40% - Accent3 4 3 2" xfId="3411" xr:uid="{00000000-0005-0000-0000-00006A1C0000}"/>
    <cellStyle name="40% - Accent3 4 3 2 2" xfId="3410" xr:uid="{00000000-0005-0000-0000-00006B1C0000}"/>
    <cellStyle name="40% - Accent3 4 3 2 3" xfId="3409" xr:uid="{00000000-0005-0000-0000-00006C1C0000}"/>
    <cellStyle name="40% - Accent3 4 3 3" xfId="3408" xr:uid="{00000000-0005-0000-0000-00006D1C0000}"/>
    <cellStyle name="40% - Accent3 4 3 3 2" xfId="10692" xr:uid="{00000000-0005-0000-0000-00006E1C0000}"/>
    <cellStyle name="40% - Accent3 4 3 4" xfId="3407" xr:uid="{00000000-0005-0000-0000-00006F1C0000}"/>
    <cellStyle name="40% - Accent3 4 4" xfId="3406" xr:uid="{00000000-0005-0000-0000-0000701C0000}"/>
    <cellStyle name="40% - Accent3 4 4 2" xfId="3405" xr:uid="{00000000-0005-0000-0000-0000711C0000}"/>
    <cellStyle name="40% - Accent3 4 4 2 2" xfId="10693" xr:uid="{00000000-0005-0000-0000-0000721C0000}"/>
    <cellStyle name="40% - Accent3 4 4 3" xfId="3404" xr:uid="{00000000-0005-0000-0000-0000731C0000}"/>
    <cellStyle name="40% - Accent3 4 4 4" xfId="10694" xr:uid="{00000000-0005-0000-0000-0000741C0000}"/>
    <cellStyle name="40% - Accent3 4 5" xfId="3403" xr:uid="{00000000-0005-0000-0000-0000751C0000}"/>
    <cellStyle name="40% - Accent3 4 5 2" xfId="3402" xr:uid="{00000000-0005-0000-0000-0000761C0000}"/>
    <cellStyle name="40% - Accent3 4 5 3" xfId="3401" xr:uid="{00000000-0005-0000-0000-0000771C0000}"/>
    <cellStyle name="40% - Accent3 4 6" xfId="3400" xr:uid="{00000000-0005-0000-0000-0000781C0000}"/>
    <cellStyle name="40% - Accent3 4 6 2" xfId="10695" xr:uid="{00000000-0005-0000-0000-0000791C0000}"/>
    <cellStyle name="40% - Accent3 4 7" xfId="3399" xr:uid="{00000000-0005-0000-0000-00007A1C0000}"/>
    <cellStyle name="40% - Accent3 4 7 2" xfId="10696" xr:uid="{00000000-0005-0000-0000-00007B1C0000}"/>
    <cellStyle name="40% - Accent3 4 8" xfId="10697" xr:uid="{00000000-0005-0000-0000-00007C1C0000}"/>
    <cellStyle name="40% - Accent3 4 9" xfId="10698" xr:uid="{00000000-0005-0000-0000-00007D1C0000}"/>
    <cellStyle name="40% - Accent3 5" xfId="3398" xr:uid="{00000000-0005-0000-0000-00007E1C0000}"/>
    <cellStyle name="40% - Accent3 5 10" xfId="10699" xr:uid="{00000000-0005-0000-0000-00007F1C0000}"/>
    <cellStyle name="40% - Accent3 5 11" xfId="10700" xr:uid="{00000000-0005-0000-0000-0000801C0000}"/>
    <cellStyle name="40% - Accent3 5 2" xfId="3397" xr:uid="{00000000-0005-0000-0000-0000811C0000}"/>
    <cellStyle name="40% - Accent3 5 2 2" xfId="3396" xr:uid="{00000000-0005-0000-0000-0000821C0000}"/>
    <cellStyle name="40% - Accent3 5 2 2 2" xfId="3395" xr:uid="{00000000-0005-0000-0000-0000831C0000}"/>
    <cellStyle name="40% - Accent3 5 2 2 2 2" xfId="10701" xr:uid="{00000000-0005-0000-0000-0000841C0000}"/>
    <cellStyle name="40% - Accent3 5 2 2 2 2 2" xfId="10702" xr:uid="{00000000-0005-0000-0000-0000851C0000}"/>
    <cellStyle name="40% - Accent3 5 2 2 2 3" xfId="10703" xr:uid="{00000000-0005-0000-0000-0000861C0000}"/>
    <cellStyle name="40% - Accent3 5 2 2 2 3 2" xfId="10704" xr:uid="{00000000-0005-0000-0000-0000871C0000}"/>
    <cellStyle name="40% - Accent3 5 2 2 2 4" xfId="10705" xr:uid="{00000000-0005-0000-0000-0000881C0000}"/>
    <cellStyle name="40% - Accent3 5 2 2 2 4 2" xfId="10706" xr:uid="{00000000-0005-0000-0000-0000891C0000}"/>
    <cellStyle name="40% - Accent3 5 2 2 2 5" xfId="10707" xr:uid="{00000000-0005-0000-0000-00008A1C0000}"/>
    <cellStyle name="40% - Accent3 5 2 2 3" xfId="3394" xr:uid="{00000000-0005-0000-0000-00008B1C0000}"/>
    <cellStyle name="40% - Accent3 5 2 2 3 2" xfId="10708" xr:uid="{00000000-0005-0000-0000-00008C1C0000}"/>
    <cellStyle name="40% - Accent3 5 2 2 3 2 2" xfId="10709" xr:uid="{00000000-0005-0000-0000-00008D1C0000}"/>
    <cellStyle name="40% - Accent3 5 2 2 3 3" xfId="10710" xr:uid="{00000000-0005-0000-0000-00008E1C0000}"/>
    <cellStyle name="40% - Accent3 5 2 2 3 3 2" xfId="10711" xr:uid="{00000000-0005-0000-0000-00008F1C0000}"/>
    <cellStyle name="40% - Accent3 5 2 2 3 4" xfId="10712" xr:uid="{00000000-0005-0000-0000-0000901C0000}"/>
    <cellStyle name="40% - Accent3 5 2 2 4" xfId="10713" xr:uid="{00000000-0005-0000-0000-0000911C0000}"/>
    <cellStyle name="40% - Accent3 5 2 2 4 2" xfId="10714" xr:uid="{00000000-0005-0000-0000-0000921C0000}"/>
    <cellStyle name="40% - Accent3 5 2 2 4 2 2" xfId="10715" xr:uid="{00000000-0005-0000-0000-0000931C0000}"/>
    <cellStyle name="40% - Accent3 5 2 2 4 3" xfId="10716" xr:uid="{00000000-0005-0000-0000-0000941C0000}"/>
    <cellStyle name="40% - Accent3 5 2 2 4 3 2" xfId="10717" xr:uid="{00000000-0005-0000-0000-0000951C0000}"/>
    <cellStyle name="40% - Accent3 5 2 2 4 4" xfId="10718" xr:uid="{00000000-0005-0000-0000-0000961C0000}"/>
    <cellStyle name="40% - Accent3 5 2 2 5" xfId="10719" xr:uid="{00000000-0005-0000-0000-0000971C0000}"/>
    <cellStyle name="40% - Accent3 5 2 2 5 2" xfId="10720" xr:uid="{00000000-0005-0000-0000-0000981C0000}"/>
    <cellStyle name="40% - Accent3 5 2 2 5 2 2" xfId="10721" xr:uid="{00000000-0005-0000-0000-0000991C0000}"/>
    <cellStyle name="40% - Accent3 5 2 2 5 3" xfId="10722" xr:uid="{00000000-0005-0000-0000-00009A1C0000}"/>
    <cellStyle name="40% - Accent3 5 2 2 5 3 2" xfId="10723" xr:uid="{00000000-0005-0000-0000-00009B1C0000}"/>
    <cellStyle name="40% - Accent3 5 2 2 5 4" xfId="10724" xr:uid="{00000000-0005-0000-0000-00009C1C0000}"/>
    <cellStyle name="40% - Accent3 5 2 2 6" xfId="10725" xr:uid="{00000000-0005-0000-0000-00009D1C0000}"/>
    <cellStyle name="40% - Accent3 5 2 2 7" xfId="10726" xr:uid="{00000000-0005-0000-0000-00009E1C0000}"/>
    <cellStyle name="40% - Accent3 5 2 3" xfId="3393" xr:uid="{00000000-0005-0000-0000-00009F1C0000}"/>
    <cellStyle name="40% - Accent3 5 2 4" xfId="3392" xr:uid="{00000000-0005-0000-0000-0000A01C0000}"/>
    <cellStyle name="40% - Accent3 5 2 5" xfId="10727" xr:uid="{00000000-0005-0000-0000-0000A11C0000}"/>
    <cellStyle name="40% - Accent3 5 2 5 2" xfId="10728" xr:uid="{00000000-0005-0000-0000-0000A21C0000}"/>
    <cellStyle name="40% - Accent3 5 2 6" xfId="10729" xr:uid="{00000000-0005-0000-0000-0000A31C0000}"/>
    <cellStyle name="40% - Accent3 5 3" xfId="3391" xr:uid="{00000000-0005-0000-0000-0000A41C0000}"/>
    <cellStyle name="40% - Accent3 5 3 2" xfId="3390" xr:uid="{00000000-0005-0000-0000-0000A51C0000}"/>
    <cellStyle name="40% - Accent3 5 3 2 2" xfId="10730" xr:uid="{00000000-0005-0000-0000-0000A61C0000}"/>
    <cellStyle name="40% - Accent3 5 3 3" xfId="3389" xr:uid="{00000000-0005-0000-0000-0000A71C0000}"/>
    <cellStyle name="40% - Accent3 5 3 4" xfId="10731" xr:uid="{00000000-0005-0000-0000-0000A81C0000}"/>
    <cellStyle name="40% - Accent3 5 3 5" xfId="10732" xr:uid="{00000000-0005-0000-0000-0000A91C0000}"/>
    <cellStyle name="40% - Accent3 5 3 5 2" xfId="10733" xr:uid="{00000000-0005-0000-0000-0000AA1C0000}"/>
    <cellStyle name="40% - Accent3 5 3 6" xfId="10734" xr:uid="{00000000-0005-0000-0000-0000AB1C0000}"/>
    <cellStyle name="40% - Accent3 5 4" xfId="3388" xr:uid="{00000000-0005-0000-0000-0000AC1C0000}"/>
    <cellStyle name="40% - Accent3 5 4 2" xfId="3387" xr:uid="{00000000-0005-0000-0000-0000AD1C0000}"/>
    <cellStyle name="40% - Accent3 5 4 3" xfId="3386" xr:uid="{00000000-0005-0000-0000-0000AE1C0000}"/>
    <cellStyle name="40% - Accent3 5 5" xfId="3385" xr:uid="{00000000-0005-0000-0000-0000AF1C0000}"/>
    <cellStyle name="40% - Accent3 5 5 2" xfId="10735" xr:uid="{00000000-0005-0000-0000-0000B01C0000}"/>
    <cellStyle name="40% - Accent3 5 5 2 2" xfId="10736" xr:uid="{00000000-0005-0000-0000-0000B11C0000}"/>
    <cellStyle name="40% - Accent3 5 5 2 2 2" xfId="10737" xr:uid="{00000000-0005-0000-0000-0000B21C0000}"/>
    <cellStyle name="40% - Accent3 5 5 2 3" xfId="10738" xr:uid="{00000000-0005-0000-0000-0000B31C0000}"/>
    <cellStyle name="40% - Accent3 5 5 2 3 2" xfId="10739" xr:uid="{00000000-0005-0000-0000-0000B41C0000}"/>
    <cellStyle name="40% - Accent3 5 5 2 4" xfId="10740" xr:uid="{00000000-0005-0000-0000-0000B51C0000}"/>
    <cellStyle name="40% - Accent3 5 5 2 4 2" xfId="10741" xr:uid="{00000000-0005-0000-0000-0000B61C0000}"/>
    <cellStyle name="40% - Accent3 5 5 2 5" xfId="10742" xr:uid="{00000000-0005-0000-0000-0000B71C0000}"/>
    <cellStyle name="40% - Accent3 5 5 3" xfId="10743" xr:uid="{00000000-0005-0000-0000-0000B81C0000}"/>
    <cellStyle name="40% - Accent3 5 5 3 2" xfId="10744" xr:uid="{00000000-0005-0000-0000-0000B91C0000}"/>
    <cellStyle name="40% - Accent3 5 5 3 2 2" xfId="10745" xr:uid="{00000000-0005-0000-0000-0000BA1C0000}"/>
    <cellStyle name="40% - Accent3 5 5 3 3" xfId="10746" xr:uid="{00000000-0005-0000-0000-0000BB1C0000}"/>
    <cellStyle name="40% - Accent3 5 5 3 3 2" xfId="10747" xr:uid="{00000000-0005-0000-0000-0000BC1C0000}"/>
    <cellStyle name="40% - Accent3 5 5 3 4" xfId="10748" xr:uid="{00000000-0005-0000-0000-0000BD1C0000}"/>
    <cellStyle name="40% - Accent3 5 5 4" xfId="10749" xr:uid="{00000000-0005-0000-0000-0000BE1C0000}"/>
    <cellStyle name="40% - Accent3 5 5 4 2" xfId="10750" xr:uid="{00000000-0005-0000-0000-0000BF1C0000}"/>
    <cellStyle name="40% - Accent3 5 5 4 2 2" xfId="10751" xr:uid="{00000000-0005-0000-0000-0000C01C0000}"/>
    <cellStyle name="40% - Accent3 5 5 4 3" xfId="10752" xr:uid="{00000000-0005-0000-0000-0000C11C0000}"/>
    <cellStyle name="40% - Accent3 5 5 4 3 2" xfId="10753" xr:uid="{00000000-0005-0000-0000-0000C21C0000}"/>
    <cellStyle name="40% - Accent3 5 5 4 4" xfId="10754" xr:uid="{00000000-0005-0000-0000-0000C31C0000}"/>
    <cellStyle name="40% - Accent3 5 5 5" xfId="10755" xr:uid="{00000000-0005-0000-0000-0000C41C0000}"/>
    <cellStyle name="40% - Accent3 5 5 5 2" xfId="10756" xr:uid="{00000000-0005-0000-0000-0000C51C0000}"/>
    <cellStyle name="40% - Accent3 5 5 5 2 2" xfId="10757" xr:uid="{00000000-0005-0000-0000-0000C61C0000}"/>
    <cellStyle name="40% - Accent3 5 5 5 3" xfId="10758" xr:uid="{00000000-0005-0000-0000-0000C71C0000}"/>
    <cellStyle name="40% - Accent3 5 5 5 3 2" xfId="10759" xr:uid="{00000000-0005-0000-0000-0000C81C0000}"/>
    <cellStyle name="40% - Accent3 5 5 5 4" xfId="10760" xr:uid="{00000000-0005-0000-0000-0000C91C0000}"/>
    <cellStyle name="40% - Accent3 5 5 6" xfId="10761" xr:uid="{00000000-0005-0000-0000-0000CA1C0000}"/>
    <cellStyle name="40% - Accent3 5 6" xfId="3384" xr:uid="{00000000-0005-0000-0000-0000CB1C0000}"/>
    <cellStyle name="40% - Accent3 5 6 2" xfId="10762" xr:uid="{00000000-0005-0000-0000-0000CC1C0000}"/>
    <cellStyle name="40% - Accent3 5 6 2 2" xfId="10763" xr:uid="{00000000-0005-0000-0000-0000CD1C0000}"/>
    <cellStyle name="40% - Accent3 5 6 2 2 2" xfId="10764" xr:uid="{00000000-0005-0000-0000-0000CE1C0000}"/>
    <cellStyle name="40% - Accent3 5 6 2 2 2 2" xfId="10765" xr:uid="{00000000-0005-0000-0000-0000CF1C0000}"/>
    <cellStyle name="40% - Accent3 5 6 2 2 3" xfId="10766" xr:uid="{00000000-0005-0000-0000-0000D01C0000}"/>
    <cellStyle name="40% - Accent3 5 6 2 2 3 2" xfId="10767" xr:uid="{00000000-0005-0000-0000-0000D11C0000}"/>
    <cellStyle name="40% - Accent3 5 6 2 2 4" xfId="10768" xr:uid="{00000000-0005-0000-0000-0000D21C0000}"/>
    <cellStyle name="40% - Accent3 5 6 2 2 5" xfId="10769" xr:uid="{00000000-0005-0000-0000-0000D31C0000}"/>
    <cellStyle name="40% - Accent3 5 6 2 3" xfId="10770" xr:uid="{00000000-0005-0000-0000-0000D41C0000}"/>
    <cellStyle name="40% - Accent3 5 6 2 3 2" xfId="10771" xr:uid="{00000000-0005-0000-0000-0000D51C0000}"/>
    <cellStyle name="40% - Accent3 5 6 2 3 2 2" xfId="10772" xr:uid="{00000000-0005-0000-0000-0000D61C0000}"/>
    <cellStyle name="40% - Accent3 5 6 2 3 3" xfId="10773" xr:uid="{00000000-0005-0000-0000-0000D71C0000}"/>
    <cellStyle name="40% - Accent3 5 6 2 4" xfId="10774" xr:uid="{00000000-0005-0000-0000-0000D81C0000}"/>
    <cellStyle name="40% - Accent3 5 6 2 4 2" xfId="10775" xr:uid="{00000000-0005-0000-0000-0000D91C0000}"/>
    <cellStyle name="40% - Accent3 5 6 2 5" xfId="10776" xr:uid="{00000000-0005-0000-0000-0000DA1C0000}"/>
    <cellStyle name="40% - Accent3 5 6 2 5 2" xfId="10777" xr:uid="{00000000-0005-0000-0000-0000DB1C0000}"/>
    <cellStyle name="40% - Accent3 5 6 2 6" xfId="10778" xr:uid="{00000000-0005-0000-0000-0000DC1C0000}"/>
    <cellStyle name="40% - Accent3 5 6 3" xfId="10779" xr:uid="{00000000-0005-0000-0000-0000DD1C0000}"/>
    <cellStyle name="40% - Accent3 5 6 3 2" xfId="10780" xr:uid="{00000000-0005-0000-0000-0000DE1C0000}"/>
    <cellStyle name="40% - Accent3 5 6 3 2 2" xfId="10781" xr:uid="{00000000-0005-0000-0000-0000DF1C0000}"/>
    <cellStyle name="40% - Accent3 5 6 3 2 2 2" xfId="10782" xr:uid="{00000000-0005-0000-0000-0000E01C0000}"/>
    <cellStyle name="40% - Accent3 5 6 3 2 3" xfId="10783" xr:uid="{00000000-0005-0000-0000-0000E11C0000}"/>
    <cellStyle name="40% - Accent3 5 6 3 2 3 2" xfId="10784" xr:uid="{00000000-0005-0000-0000-0000E21C0000}"/>
    <cellStyle name="40% - Accent3 5 6 3 2 4" xfId="10785" xr:uid="{00000000-0005-0000-0000-0000E31C0000}"/>
    <cellStyle name="40% - Accent3 5 6 3 2 5" xfId="10786" xr:uid="{00000000-0005-0000-0000-0000E41C0000}"/>
    <cellStyle name="40% - Accent3 5 6 3 3" xfId="10787" xr:uid="{00000000-0005-0000-0000-0000E51C0000}"/>
    <cellStyle name="40% - Accent3 5 6 3 3 2" xfId="10788" xr:uid="{00000000-0005-0000-0000-0000E61C0000}"/>
    <cellStyle name="40% - Accent3 5 6 3 3 2 2" xfId="10789" xr:uid="{00000000-0005-0000-0000-0000E71C0000}"/>
    <cellStyle name="40% - Accent3 5 6 3 3 3" xfId="10790" xr:uid="{00000000-0005-0000-0000-0000E81C0000}"/>
    <cellStyle name="40% - Accent3 5 6 3 4" xfId="10791" xr:uid="{00000000-0005-0000-0000-0000E91C0000}"/>
    <cellStyle name="40% - Accent3 5 6 3 4 2" xfId="10792" xr:uid="{00000000-0005-0000-0000-0000EA1C0000}"/>
    <cellStyle name="40% - Accent3 5 6 3 5" xfId="10793" xr:uid="{00000000-0005-0000-0000-0000EB1C0000}"/>
    <cellStyle name="40% - Accent3 5 6 3 5 2" xfId="10794" xr:uid="{00000000-0005-0000-0000-0000EC1C0000}"/>
    <cellStyle name="40% - Accent3 5 6 3 6" xfId="10795" xr:uid="{00000000-0005-0000-0000-0000ED1C0000}"/>
    <cellStyle name="40% - Accent3 5 6 4" xfId="10796" xr:uid="{00000000-0005-0000-0000-0000EE1C0000}"/>
    <cellStyle name="40% - Accent3 5 6 4 2" xfId="10797" xr:uid="{00000000-0005-0000-0000-0000EF1C0000}"/>
    <cellStyle name="40% - Accent3 5 6 4 2 2" xfId="10798" xr:uid="{00000000-0005-0000-0000-0000F01C0000}"/>
    <cellStyle name="40% - Accent3 5 6 4 3" xfId="10799" xr:uid="{00000000-0005-0000-0000-0000F11C0000}"/>
    <cellStyle name="40% - Accent3 5 6 4 3 2" xfId="10800" xr:uid="{00000000-0005-0000-0000-0000F21C0000}"/>
    <cellStyle name="40% - Accent3 5 6 4 4" xfId="10801" xr:uid="{00000000-0005-0000-0000-0000F31C0000}"/>
    <cellStyle name="40% - Accent3 5 6 5" xfId="10802" xr:uid="{00000000-0005-0000-0000-0000F41C0000}"/>
    <cellStyle name="40% - Accent3 5 6 5 2" xfId="10803" xr:uid="{00000000-0005-0000-0000-0000F51C0000}"/>
    <cellStyle name="40% - Accent3 5 6 5 3" xfId="10804" xr:uid="{00000000-0005-0000-0000-0000F61C0000}"/>
    <cellStyle name="40% - Accent3 5 6 6" xfId="10805" xr:uid="{00000000-0005-0000-0000-0000F71C0000}"/>
    <cellStyle name="40% - Accent3 5 6 6 2" xfId="10806" xr:uid="{00000000-0005-0000-0000-0000F81C0000}"/>
    <cellStyle name="40% - Accent3 5 6 6 3" xfId="10807" xr:uid="{00000000-0005-0000-0000-0000F91C0000}"/>
    <cellStyle name="40% - Accent3 5 6 7" xfId="10808" xr:uid="{00000000-0005-0000-0000-0000FA1C0000}"/>
    <cellStyle name="40% - Accent3 5 6 7 2" xfId="10809" xr:uid="{00000000-0005-0000-0000-0000FB1C0000}"/>
    <cellStyle name="40% - Accent3 5 6 7 3" xfId="10810" xr:uid="{00000000-0005-0000-0000-0000FC1C0000}"/>
    <cellStyle name="40% - Accent3 5 6 8" xfId="10811" xr:uid="{00000000-0005-0000-0000-0000FD1C0000}"/>
    <cellStyle name="40% - Accent3 5 7" xfId="10812" xr:uid="{00000000-0005-0000-0000-0000FE1C0000}"/>
    <cellStyle name="40% - Accent3 5 7 2" xfId="10813" xr:uid="{00000000-0005-0000-0000-0000FF1C0000}"/>
    <cellStyle name="40% - Accent3 5 7 2 2" xfId="10814" xr:uid="{00000000-0005-0000-0000-0000001D0000}"/>
    <cellStyle name="40% - Accent3 5 7 2 2 2" xfId="10815" xr:uid="{00000000-0005-0000-0000-0000011D0000}"/>
    <cellStyle name="40% - Accent3 5 7 2 3" xfId="10816" xr:uid="{00000000-0005-0000-0000-0000021D0000}"/>
    <cellStyle name="40% - Accent3 5 7 2 3 2" xfId="10817" xr:uid="{00000000-0005-0000-0000-0000031D0000}"/>
    <cellStyle name="40% - Accent3 5 7 2 4" xfId="10818" xr:uid="{00000000-0005-0000-0000-0000041D0000}"/>
    <cellStyle name="40% - Accent3 5 7 2 4 2" xfId="10819" xr:uid="{00000000-0005-0000-0000-0000051D0000}"/>
    <cellStyle name="40% - Accent3 5 7 2 5" xfId="10820" xr:uid="{00000000-0005-0000-0000-0000061D0000}"/>
    <cellStyle name="40% - Accent3 5 7 3" xfId="10821" xr:uid="{00000000-0005-0000-0000-0000071D0000}"/>
    <cellStyle name="40% - Accent3 5 7 3 2" xfId="10822" xr:uid="{00000000-0005-0000-0000-0000081D0000}"/>
    <cellStyle name="40% - Accent3 5 7 3 2 2" xfId="10823" xr:uid="{00000000-0005-0000-0000-0000091D0000}"/>
    <cellStyle name="40% - Accent3 5 7 3 3" xfId="10824" xr:uid="{00000000-0005-0000-0000-00000A1D0000}"/>
    <cellStyle name="40% - Accent3 5 7 3 3 2" xfId="10825" xr:uid="{00000000-0005-0000-0000-00000B1D0000}"/>
    <cellStyle name="40% - Accent3 5 7 3 4" xfId="10826" xr:uid="{00000000-0005-0000-0000-00000C1D0000}"/>
    <cellStyle name="40% - Accent3 5 7 4" xfId="10827" xr:uid="{00000000-0005-0000-0000-00000D1D0000}"/>
    <cellStyle name="40% - Accent3 5 7 4 2" xfId="10828" xr:uid="{00000000-0005-0000-0000-00000E1D0000}"/>
    <cellStyle name="40% - Accent3 5 7 5" xfId="10829" xr:uid="{00000000-0005-0000-0000-00000F1D0000}"/>
    <cellStyle name="40% - Accent3 5 7 5 2" xfId="10830" xr:uid="{00000000-0005-0000-0000-0000101D0000}"/>
    <cellStyle name="40% - Accent3 5 7 6" xfId="10831" xr:uid="{00000000-0005-0000-0000-0000111D0000}"/>
    <cellStyle name="40% - Accent3 5 7 7" xfId="10832" xr:uid="{00000000-0005-0000-0000-0000121D0000}"/>
    <cellStyle name="40% - Accent3 5 8" xfId="10833" xr:uid="{00000000-0005-0000-0000-0000131D0000}"/>
    <cellStyle name="40% - Accent3 5 8 2" xfId="10834" xr:uid="{00000000-0005-0000-0000-0000141D0000}"/>
    <cellStyle name="40% - Accent3 5 8 2 2" xfId="10835" xr:uid="{00000000-0005-0000-0000-0000151D0000}"/>
    <cellStyle name="40% - Accent3 5 8 2 2 2" xfId="10836" xr:uid="{00000000-0005-0000-0000-0000161D0000}"/>
    <cellStyle name="40% - Accent3 5 8 2 3" xfId="10837" xr:uid="{00000000-0005-0000-0000-0000171D0000}"/>
    <cellStyle name="40% - Accent3 5 8 2 3 2" xfId="10838" xr:uid="{00000000-0005-0000-0000-0000181D0000}"/>
    <cellStyle name="40% - Accent3 5 8 2 4" xfId="10839" xr:uid="{00000000-0005-0000-0000-0000191D0000}"/>
    <cellStyle name="40% - Accent3 5 8 3" xfId="10840" xr:uid="{00000000-0005-0000-0000-00001A1D0000}"/>
    <cellStyle name="40% - Accent3 5 8 3 2" xfId="10841" xr:uid="{00000000-0005-0000-0000-00001B1D0000}"/>
    <cellStyle name="40% - Accent3 5 8 4" xfId="10842" xr:uid="{00000000-0005-0000-0000-00001C1D0000}"/>
    <cellStyle name="40% - Accent3 5 9" xfId="10843" xr:uid="{00000000-0005-0000-0000-00001D1D0000}"/>
    <cellStyle name="40% - Accent3 5 9 2" xfId="10844" xr:uid="{00000000-0005-0000-0000-00001E1D0000}"/>
    <cellStyle name="40% - Accent3 6" xfId="3383" xr:uid="{00000000-0005-0000-0000-00001F1D0000}"/>
    <cellStyle name="40% - Accent3 6 10" xfId="10845" xr:uid="{00000000-0005-0000-0000-0000201D0000}"/>
    <cellStyle name="40% - Accent3 6 2" xfId="3382" xr:uid="{00000000-0005-0000-0000-0000211D0000}"/>
    <cellStyle name="40% - Accent3 6 2 2" xfId="3381" xr:uid="{00000000-0005-0000-0000-0000221D0000}"/>
    <cellStyle name="40% - Accent3 6 2 2 2" xfId="3380" xr:uid="{00000000-0005-0000-0000-0000231D0000}"/>
    <cellStyle name="40% - Accent3 6 2 2 3" xfId="3379" xr:uid="{00000000-0005-0000-0000-0000241D0000}"/>
    <cellStyle name="40% - Accent3 6 2 3" xfId="3378" xr:uid="{00000000-0005-0000-0000-0000251D0000}"/>
    <cellStyle name="40% - Accent3 6 2 4" xfId="3377" xr:uid="{00000000-0005-0000-0000-0000261D0000}"/>
    <cellStyle name="40% - Accent3 6 2 5" xfId="10846" xr:uid="{00000000-0005-0000-0000-0000271D0000}"/>
    <cellStyle name="40% - Accent3 6 2 5 2" xfId="10847" xr:uid="{00000000-0005-0000-0000-0000281D0000}"/>
    <cellStyle name="40% - Accent3 6 2 5 2 2" xfId="10848" xr:uid="{00000000-0005-0000-0000-0000291D0000}"/>
    <cellStyle name="40% - Accent3 6 2 5 3" xfId="10849" xr:uid="{00000000-0005-0000-0000-00002A1D0000}"/>
    <cellStyle name="40% - Accent3 6 2 5 3 2" xfId="10850" xr:uid="{00000000-0005-0000-0000-00002B1D0000}"/>
    <cellStyle name="40% - Accent3 6 2 5 4" xfId="10851" xr:uid="{00000000-0005-0000-0000-00002C1D0000}"/>
    <cellStyle name="40% - Accent3 6 2 5 5" xfId="10852" xr:uid="{00000000-0005-0000-0000-00002D1D0000}"/>
    <cellStyle name="40% - Accent3 6 2 6" xfId="10853" xr:uid="{00000000-0005-0000-0000-00002E1D0000}"/>
    <cellStyle name="40% - Accent3 6 2 6 2" xfId="10854" xr:uid="{00000000-0005-0000-0000-00002F1D0000}"/>
    <cellStyle name="40% - Accent3 6 2 7" xfId="10855" xr:uid="{00000000-0005-0000-0000-0000301D0000}"/>
    <cellStyle name="40% - Accent3 6 2 7 2" xfId="10856" xr:uid="{00000000-0005-0000-0000-0000311D0000}"/>
    <cellStyle name="40% - Accent3 6 2 8" xfId="10857" xr:uid="{00000000-0005-0000-0000-0000321D0000}"/>
    <cellStyle name="40% - Accent3 6 2 8 2" xfId="10858" xr:uid="{00000000-0005-0000-0000-0000331D0000}"/>
    <cellStyle name="40% - Accent3 6 2 9" xfId="10859" xr:uid="{00000000-0005-0000-0000-0000341D0000}"/>
    <cellStyle name="40% - Accent3 6 3" xfId="3376" xr:uid="{00000000-0005-0000-0000-0000351D0000}"/>
    <cellStyle name="40% - Accent3 6 3 2" xfId="3375" xr:uid="{00000000-0005-0000-0000-0000361D0000}"/>
    <cellStyle name="40% - Accent3 6 3 3" xfId="3374" xr:uid="{00000000-0005-0000-0000-0000371D0000}"/>
    <cellStyle name="40% - Accent3 6 3 4" xfId="10860" xr:uid="{00000000-0005-0000-0000-0000381D0000}"/>
    <cellStyle name="40% - Accent3 6 3 4 2" xfId="10861" xr:uid="{00000000-0005-0000-0000-0000391D0000}"/>
    <cellStyle name="40% - Accent3 6 3 5" xfId="10862" xr:uid="{00000000-0005-0000-0000-00003A1D0000}"/>
    <cellStyle name="40% - Accent3 6 3 5 2" xfId="10863" xr:uid="{00000000-0005-0000-0000-00003B1D0000}"/>
    <cellStyle name="40% - Accent3 6 4" xfId="3373" xr:uid="{00000000-0005-0000-0000-00003C1D0000}"/>
    <cellStyle name="40% - Accent3 6 4 2" xfId="3372" xr:uid="{00000000-0005-0000-0000-00003D1D0000}"/>
    <cellStyle name="40% - Accent3 6 4 2 2" xfId="10864" xr:uid="{00000000-0005-0000-0000-00003E1D0000}"/>
    <cellStyle name="40% - Accent3 6 4 2 2 2" xfId="10865" xr:uid="{00000000-0005-0000-0000-00003F1D0000}"/>
    <cellStyle name="40% - Accent3 6 4 2 2 2 2" xfId="10866" xr:uid="{00000000-0005-0000-0000-0000401D0000}"/>
    <cellStyle name="40% - Accent3 6 4 2 2 3" xfId="10867" xr:uid="{00000000-0005-0000-0000-0000411D0000}"/>
    <cellStyle name="40% - Accent3 6 4 2 2 3 2" xfId="10868" xr:uid="{00000000-0005-0000-0000-0000421D0000}"/>
    <cellStyle name="40% - Accent3 6 4 2 2 4" xfId="10869" xr:uid="{00000000-0005-0000-0000-0000431D0000}"/>
    <cellStyle name="40% - Accent3 6 4 2 2 5" xfId="10870" xr:uid="{00000000-0005-0000-0000-0000441D0000}"/>
    <cellStyle name="40% - Accent3 6 4 2 3" xfId="10871" xr:uid="{00000000-0005-0000-0000-0000451D0000}"/>
    <cellStyle name="40% - Accent3 6 4 2 3 2" xfId="10872" xr:uid="{00000000-0005-0000-0000-0000461D0000}"/>
    <cellStyle name="40% - Accent3 6 4 2 3 2 2" xfId="10873" xr:uid="{00000000-0005-0000-0000-0000471D0000}"/>
    <cellStyle name="40% - Accent3 6 4 2 3 3" xfId="10874" xr:uid="{00000000-0005-0000-0000-0000481D0000}"/>
    <cellStyle name="40% - Accent3 6 4 2 4" xfId="10875" xr:uid="{00000000-0005-0000-0000-0000491D0000}"/>
    <cellStyle name="40% - Accent3 6 4 2 4 2" xfId="10876" xr:uid="{00000000-0005-0000-0000-00004A1D0000}"/>
    <cellStyle name="40% - Accent3 6 4 2 5" xfId="10877" xr:uid="{00000000-0005-0000-0000-00004B1D0000}"/>
    <cellStyle name="40% - Accent3 6 4 2 5 2" xfId="10878" xr:uid="{00000000-0005-0000-0000-00004C1D0000}"/>
    <cellStyle name="40% - Accent3 6 4 2 6" xfId="10879" xr:uid="{00000000-0005-0000-0000-00004D1D0000}"/>
    <cellStyle name="40% - Accent3 6 4 3" xfId="3371" xr:uid="{00000000-0005-0000-0000-00004E1D0000}"/>
    <cellStyle name="40% - Accent3 6 4 3 2" xfId="10880" xr:uid="{00000000-0005-0000-0000-00004F1D0000}"/>
    <cellStyle name="40% - Accent3 6 4 3 2 2" xfId="10881" xr:uid="{00000000-0005-0000-0000-0000501D0000}"/>
    <cellStyle name="40% - Accent3 6 4 3 3" xfId="10882" xr:uid="{00000000-0005-0000-0000-0000511D0000}"/>
    <cellStyle name="40% - Accent3 6 4 3 3 2" xfId="10883" xr:uid="{00000000-0005-0000-0000-0000521D0000}"/>
    <cellStyle name="40% - Accent3 6 4 3 4" xfId="10884" xr:uid="{00000000-0005-0000-0000-0000531D0000}"/>
    <cellStyle name="40% - Accent3 6 4 4" xfId="10885" xr:uid="{00000000-0005-0000-0000-0000541D0000}"/>
    <cellStyle name="40% - Accent3 6 4 4 2" xfId="10886" xr:uid="{00000000-0005-0000-0000-0000551D0000}"/>
    <cellStyle name="40% - Accent3 6 4 4 3" xfId="10887" xr:uid="{00000000-0005-0000-0000-0000561D0000}"/>
    <cellStyle name="40% - Accent3 6 4 5" xfId="10888" xr:uid="{00000000-0005-0000-0000-0000571D0000}"/>
    <cellStyle name="40% - Accent3 6 4 5 2" xfId="10889" xr:uid="{00000000-0005-0000-0000-0000581D0000}"/>
    <cellStyle name="40% - Accent3 6 4 5 3" xfId="10890" xr:uid="{00000000-0005-0000-0000-0000591D0000}"/>
    <cellStyle name="40% - Accent3 6 4 6" xfId="10891" xr:uid="{00000000-0005-0000-0000-00005A1D0000}"/>
    <cellStyle name="40% - Accent3 6 4 6 2" xfId="10892" xr:uid="{00000000-0005-0000-0000-00005B1D0000}"/>
    <cellStyle name="40% - Accent3 6 4 6 3" xfId="10893" xr:uid="{00000000-0005-0000-0000-00005C1D0000}"/>
    <cellStyle name="40% - Accent3 6 4 7" xfId="10894" xr:uid="{00000000-0005-0000-0000-00005D1D0000}"/>
    <cellStyle name="40% - Accent3 6 4 8" xfId="10895" xr:uid="{00000000-0005-0000-0000-00005E1D0000}"/>
    <cellStyle name="40% - Accent3 6 5" xfId="3370" xr:uid="{00000000-0005-0000-0000-00005F1D0000}"/>
    <cellStyle name="40% - Accent3 6 5 2" xfId="10896" xr:uid="{00000000-0005-0000-0000-0000601D0000}"/>
    <cellStyle name="40% - Accent3 6 5 2 2" xfId="10897" xr:uid="{00000000-0005-0000-0000-0000611D0000}"/>
    <cellStyle name="40% - Accent3 6 5 2 2 2" xfId="10898" xr:uid="{00000000-0005-0000-0000-0000621D0000}"/>
    <cellStyle name="40% - Accent3 6 5 2 3" xfId="10899" xr:uid="{00000000-0005-0000-0000-0000631D0000}"/>
    <cellStyle name="40% - Accent3 6 5 2 3 2" xfId="10900" xr:uid="{00000000-0005-0000-0000-0000641D0000}"/>
    <cellStyle name="40% - Accent3 6 5 2 4" xfId="10901" xr:uid="{00000000-0005-0000-0000-0000651D0000}"/>
    <cellStyle name="40% - Accent3 6 5 3" xfId="10902" xr:uid="{00000000-0005-0000-0000-0000661D0000}"/>
    <cellStyle name="40% - Accent3 6 5 3 2" xfId="10903" xr:uid="{00000000-0005-0000-0000-0000671D0000}"/>
    <cellStyle name="40% - Accent3 6 5 3 3" xfId="10904" xr:uid="{00000000-0005-0000-0000-0000681D0000}"/>
    <cellStyle name="40% - Accent3 6 5 4" xfId="10905" xr:uid="{00000000-0005-0000-0000-0000691D0000}"/>
    <cellStyle name="40% - Accent3 6 5 4 2" xfId="10906" xr:uid="{00000000-0005-0000-0000-00006A1D0000}"/>
    <cellStyle name="40% - Accent3 6 5 4 3" xfId="10907" xr:uid="{00000000-0005-0000-0000-00006B1D0000}"/>
    <cellStyle name="40% - Accent3 6 5 5" xfId="10908" xr:uid="{00000000-0005-0000-0000-00006C1D0000}"/>
    <cellStyle name="40% - Accent3 6 5 5 2" xfId="10909" xr:uid="{00000000-0005-0000-0000-00006D1D0000}"/>
    <cellStyle name="40% - Accent3 6 5 5 3" xfId="10910" xr:uid="{00000000-0005-0000-0000-00006E1D0000}"/>
    <cellStyle name="40% - Accent3 6 5 6" xfId="10911" xr:uid="{00000000-0005-0000-0000-00006F1D0000}"/>
    <cellStyle name="40% - Accent3 6 6" xfId="3369" xr:uid="{00000000-0005-0000-0000-0000701D0000}"/>
    <cellStyle name="40% - Accent3 6 7" xfId="10912" xr:uid="{00000000-0005-0000-0000-0000711D0000}"/>
    <cellStyle name="40% - Accent3 6 7 2" xfId="10913" xr:uid="{00000000-0005-0000-0000-0000721D0000}"/>
    <cellStyle name="40% - Accent3 6 7 2 2" xfId="10914" xr:uid="{00000000-0005-0000-0000-0000731D0000}"/>
    <cellStyle name="40% - Accent3 6 7 3" xfId="10915" xr:uid="{00000000-0005-0000-0000-0000741D0000}"/>
    <cellStyle name="40% - Accent3 6 7 3 2" xfId="10916" xr:uid="{00000000-0005-0000-0000-0000751D0000}"/>
    <cellStyle name="40% - Accent3 6 7 4" xfId="10917" xr:uid="{00000000-0005-0000-0000-0000761D0000}"/>
    <cellStyle name="40% - Accent3 6 7 5" xfId="10918" xr:uid="{00000000-0005-0000-0000-0000771D0000}"/>
    <cellStyle name="40% - Accent3 6 8" xfId="10919" xr:uid="{00000000-0005-0000-0000-0000781D0000}"/>
    <cellStyle name="40% - Accent3 6 8 2" xfId="10920" xr:uid="{00000000-0005-0000-0000-0000791D0000}"/>
    <cellStyle name="40% - Accent3 6 8 2 2" xfId="10921" xr:uid="{00000000-0005-0000-0000-00007A1D0000}"/>
    <cellStyle name="40% - Accent3 6 8 3" xfId="10922" xr:uid="{00000000-0005-0000-0000-00007B1D0000}"/>
    <cellStyle name="40% - Accent3 6 9" xfId="10923" xr:uid="{00000000-0005-0000-0000-00007C1D0000}"/>
    <cellStyle name="40% - Accent3 6 9 2" xfId="10924" xr:uid="{00000000-0005-0000-0000-00007D1D0000}"/>
    <cellStyle name="40% - Accent3 7" xfId="3368" xr:uid="{00000000-0005-0000-0000-00007E1D0000}"/>
    <cellStyle name="40% - Accent3 7 2" xfId="3367" xr:uid="{00000000-0005-0000-0000-00007F1D0000}"/>
    <cellStyle name="40% - Accent3 7 2 2" xfId="3366" xr:uid="{00000000-0005-0000-0000-0000801D0000}"/>
    <cellStyle name="40% - Accent3 7 2 2 2" xfId="3365" xr:uid="{00000000-0005-0000-0000-0000811D0000}"/>
    <cellStyle name="40% - Accent3 7 2 2 2 2" xfId="10925" xr:uid="{00000000-0005-0000-0000-0000821D0000}"/>
    <cellStyle name="40% - Accent3 7 2 2 3" xfId="3364" xr:uid="{00000000-0005-0000-0000-0000831D0000}"/>
    <cellStyle name="40% - Accent3 7 2 2 3 2" xfId="10926" xr:uid="{00000000-0005-0000-0000-0000841D0000}"/>
    <cellStyle name="40% - Accent3 7 2 2 4" xfId="10927" xr:uid="{00000000-0005-0000-0000-0000851D0000}"/>
    <cellStyle name="40% - Accent3 7 2 3" xfId="3363" xr:uid="{00000000-0005-0000-0000-0000861D0000}"/>
    <cellStyle name="40% - Accent3 7 2 3 2" xfId="10928" xr:uid="{00000000-0005-0000-0000-0000871D0000}"/>
    <cellStyle name="40% - Accent3 7 2 3 2 2" xfId="10929" xr:uid="{00000000-0005-0000-0000-0000881D0000}"/>
    <cellStyle name="40% - Accent3 7 2 3 3" xfId="10930" xr:uid="{00000000-0005-0000-0000-0000891D0000}"/>
    <cellStyle name="40% - Accent3 7 2 4" xfId="3362" xr:uid="{00000000-0005-0000-0000-00008A1D0000}"/>
    <cellStyle name="40% - Accent3 7 2 4 2" xfId="10931" xr:uid="{00000000-0005-0000-0000-00008B1D0000}"/>
    <cellStyle name="40% - Accent3 7 2 4 2 2" xfId="10932" xr:uid="{00000000-0005-0000-0000-00008C1D0000}"/>
    <cellStyle name="40% - Accent3 7 2 4 3" xfId="10933" xr:uid="{00000000-0005-0000-0000-00008D1D0000}"/>
    <cellStyle name="40% - Accent3 7 2 4 3 2" xfId="10934" xr:uid="{00000000-0005-0000-0000-00008E1D0000}"/>
    <cellStyle name="40% - Accent3 7 2 4 4" xfId="10935" xr:uid="{00000000-0005-0000-0000-00008F1D0000}"/>
    <cellStyle name="40% - Accent3 7 2 5" xfId="10936" xr:uid="{00000000-0005-0000-0000-0000901D0000}"/>
    <cellStyle name="40% - Accent3 7 2 5 2" xfId="10937" xr:uid="{00000000-0005-0000-0000-0000911D0000}"/>
    <cellStyle name="40% - Accent3 7 2 5 2 2" xfId="10938" xr:uid="{00000000-0005-0000-0000-0000921D0000}"/>
    <cellStyle name="40% - Accent3 7 2 6" xfId="10939" xr:uid="{00000000-0005-0000-0000-0000931D0000}"/>
    <cellStyle name="40% - Accent3 7 3" xfId="3361" xr:uid="{00000000-0005-0000-0000-0000941D0000}"/>
    <cellStyle name="40% - Accent3 7 3 2" xfId="3360" xr:uid="{00000000-0005-0000-0000-0000951D0000}"/>
    <cellStyle name="40% - Accent3 7 3 2 2" xfId="10940" xr:uid="{00000000-0005-0000-0000-0000961D0000}"/>
    <cellStyle name="40% - Accent3 7 3 2 2 2" xfId="10941" xr:uid="{00000000-0005-0000-0000-0000971D0000}"/>
    <cellStyle name="40% - Accent3 7 3 2 3" xfId="10942" xr:uid="{00000000-0005-0000-0000-0000981D0000}"/>
    <cellStyle name="40% - Accent3 7 3 2 3 2" xfId="10943" xr:uid="{00000000-0005-0000-0000-0000991D0000}"/>
    <cellStyle name="40% - Accent3 7 3 2 4" xfId="10944" xr:uid="{00000000-0005-0000-0000-00009A1D0000}"/>
    <cellStyle name="40% - Accent3 7 3 3" xfId="3359" xr:uid="{00000000-0005-0000-0000-00009B1D0000}"/>
    <cellStyle name="40% - Accent3 7 3 3 2" xfId="10945" xr:uid="{00000000-0005-0000-0000-00009C1D0000}"/>
    <cellStyle name="40% - Accent3 7 3 3 2 2" xfId="10946" xr:uid="{00000000-0005-0000-0000-00009D1D0000}"/>
    <cellStyle name="40% - Accent3 7 3 3 3" xfId="10947" xr:uid="{00000000-0005-0000-0000-00009E1D0000}"/>
    <cellStyle name="40% - Accent3 7 3 3 3 2" xfId="10948" xr:uid="{00000000-0005-0000-0000-00009F1D0000}"/>
    <cellStyle name="40% - Accent3 7 3 3 4" xfId="10949" xr:uid="{00000000-0005-0000-0000-0000A01D0000}"/>
    <cellStyle name="40% - Accent3 7 3 4" xfId="10950" xr:uid="{00000000-0005-0000-0000-0000A11D0000}"/>
    <cellStyle name="40% - Accent3 7 4" xfId="3358" xr:uid="{00000000-0005-0000-0000-0000A21D0000}"/>
    <cellStyle name="40% - Accent3 7 4 2" xfId="3357" xr:uid="{00000000-0005-0000-0000-0000A31D0000}"/>
    <cellStyle name="40% - Accent3 7 4 2 2" xfId="10951" xr:uid="{00000000-0005-0000-0000-0000A41D0000}"/>
    <cellStyle name="40% - Accent3 7 4 3" xfId="3356" xr:uid="{00000000-0005-0000-0000-0000A51D0000}"/>
    <cellStyle name="40% - Accent3 7 4 3 2" xfId="10952" xr:uid="{00000000-0005-0000-0000-0000A61D0000}"/>
    <cellStyle name="40% - Accent3 7 4 4" xfId="10953" xr:uid="{00000000-0005-0000-0000-0000A71D0000}"/>
    <cellStyle name="40% - Accent3 7 4 4 2" xfId="10954" xr:uid="{00000000-0005-0000-0000-0000A81D0000}"/>
    <cellStyle name="40% - Accent3 7 4 5" xfId="10955" xr:uid="{00000000-0005-0000-0000-0000A91D0000}"/>
    <cellStyle name="40% - Accent3 7 5" xfId="3355" xr:uid="{00000000-0005-0000-0000-0000AA1D0000}"/>
    <cellStyle name="40% - Accent3 7 5 2" xfId="10956" xr:uid="{00000000-0005-0000-0000-0000AB1D0000}"/>
    <cellStyle name="40% - Accent3 7 5 2 2" xfId="10957" xr:uid="{00000000-0005-0000-0000-0000AC1D0000}"/>
    <cellStyle name="40% - Accent3 7 5 2 2 2" xfId="10958" xr:uid="{00000000-0005-0000-0000-0000AD1D0000}"/>
    <cellStyle name="40% - Accent3 7 5 3" xfId="10959" xr:uid="{00000000-0005-0000-0000-0000AE1D0000}"/>
    <cellStyle name="40% - Accent3 7 5 3 2" xfId="10960" xr:uid="{00000000-0005-0000-0000-0000AF1D0000}"/>
    <cellStyle name="40% - Accent3 7 5 4" xfId="10961" xr:uid="{00000000-0005-0000-0000-0000B01D0000}"/>
    <cellStyle name="40% - Accent3 7 6" xfId="3354" xr:uid="{00000000-0005-0000-0000-0000B11D0000}"/>
    <cellStyle name="40% - Accent3 7 6 2" xfId="10962" xr:uid="{00000000-0005-0000-0000-0000B21D0000}"/>
    <cellStyle name="40% - Accent3 7 7" xfId="10963" xr:uid="{00000000-0005-0000-0000-0000B31D0000}"/>
    <cellStyle name="40% - Accent3 7 7 2" xfId="10964" xr:uid="{00000000-0005-0000-0000-0000B41D0000}"/>
    <cellStyle name="40% - Accent3 7 8" xfId="10965" xr:uid="{00000000-0005-0000-0000-0000B51D0000}"/>
    <cellStyle name="40% - Accent3 7 8 2" xfId="10966" xr:uid="{00000000-0005-0000-0000-0000B61D0000}"/>
    <cellStyle name="40% - Accent3 7 9" xfId="10967" xr:uid="{00000000-0005-0000-0000-0000B71D0000}"/>
    <cellStyle name="40% - Accent3 8" xfId="3353" xr:uid="{00000000-0005-0000-0000-0000B81D0000}"/>
    <cellStyle name="40% - Accent3 8 2" xfId="3352" xr:uid="{00000000-0005-0000-0000-0000B91D0000}"/>
    <cellStyle name="40% - Accent3 8 2 2" xfId="3351" xr:uid="{00000000-0005-0000-0000-0000BA1D0000}"/>
    <cellStyle name="40% - Accent3 8 2 2 2" xfId="3350" xr:uid="{00000000-0005-0000-0000-0000BB1D0000}"/>
    <cellStyle name="40% - Accent3 8 2 2 2 2" xfId="10968" xr:uid="{00000000-0005-0000-0000-0000BC1D0000}"/>
    <cellStyle name="40% - Accent3 8 2 2 3" xfId="3349" xr:uid="{00000000-0005-0000-0000-0000BD1D0000}"/>
    <cellStyle name="40% - Accent3 8 2 2 3 2" xfId="10969" xr:uid="{00000000-0005-0000-0000-0000BE1D0000}"/>
    <cellStyle name="40% - Accent3 8 2 2 4" xfId="10970" xr:uid="{00000000-0005-0000-0000-0000BF1D0000}"/>
    <cellStyle name="40% - Accent3 8 2 3" xfId="3348" xr:uid="{00000000-0005-0000-0000-0000C01D0000}"/>
    <cellStyle name="40% - Accent3 8 2 3 2" xfId="10971" xr:uid="{00000000-0005-0000-0000-0000C11D0000}"/>
    <cellStyle name="40% - Accent3 8 2 3 2 2" xfId="10972" xr:uid="{00000000-0005-0000-0000-0000C21D0000}"/>
    <cellStyle name="40% - Accent3 8 2 3 3" xfId="10973" xr:uid="{00000000-0005-0000-0000-0000C31D0000}"/>
    <cellStyle name="40% - Accent3 8 2 4" xfId="3347" xr:uid="{00000000-0005-0000-0000-0000C41D0000}"/>
    <cellStyle name="40% - Accent3 8 2 4 2" xfId="10974" xr:uid="{00000000-0005-0000-0000-0000C51D0000}"/>
    <cellStyle name="40% - Accent3 8 2 4 2 2" xfId="10975" xr:uid="{00000000-0005-0000-0000-0000C61D0000}"/>
    <cellStyle name="40% - Accent3 8 2 4 3" xfId="10976" xr:uid="{00000000-0005-0000-0000-0000C71D0000}"/>
    <cellStyle name="40% - Accent3 8 2 4 3 2" xfId="10977" xr:uid="{00000000-0005-0000-0000-0000C81D0000}"/>
    <cellStyle name="40% - Accent3 8 2 4 4" xfId="10978" xr:uid="{00000000-0005-0000-0000-0000C91D0000}"/>
    <cellStyle name="40% - Accent3 8 2 5" xfId="10979" xr:uid="{00000000-0005-0000-0000-0000CA1D0000}"/>
    <cellStyle name="40% - Accent3 8 2 5 2" xfId="10980" xr:uid="{00000000-0005-0000-0000-0000CB1D0000}"/>
    <cellStyle name="40% - Accent3 8 2 6" xfId="10981" xr:uid="{00000000-0005-0000-0000-0000CC1D0000}"/>
    <cellStyle name="40% - Accent3 8 3" xfId="3346" xr:uid="{00000000-0005-0000-0000-0000CD1D0000}"/>
    <cellStyle name="40% - Accent3 8 3 2" xfId="3345" xr:uid="{00000000-0005-0000-0000-0000CE1D0000}"/>
    <cellStyle name="40% - Accent3 8 3 2 2" xfId="10982" xr:uid="{00000000-0005-0000-0000-0000CF1D0000}"/>
    <cellStyle name="40% - Accent3 8 3 2 2 2" xfId="10983" xr:uid="{00000000-0005-0000-0000-0000D01D0000}"/>
    <cellStyle name="40% - Accent3 8 3 2 3" xfId="10984" xr:uid="{00000000-0005-0000-0000-0000D11D0000}"/>
    <cellStyle name="40% - Accent3 8 3 2 3 2" xfId="10985" xr:uid="{00000000-0005-0000-0000-0000D21D0000}"/>
    <cellStyle name="40% - Accent3 8 3 2 4" xfId="10986" xr:uid="{00000000-0005-0000-0000-0000D31D0000}"/>
    <cellStyle name="40% - Accent3 8 3 3" xfId="3344" xr:uid="{00000000-0005-0000-0000-0000D41D0000}"/>
    <cellStyle name="40% - Accent3 8 3 3 2" xfId="10987" xr:uid="{00000000-0005-0000-0000-0000D51D0000}"/>
    <cellStyle name="40% - Accent3 8 3 3 2 2" xfId="10988" xr:uid="{00000000-0005-0000-0000-0000D61D0000}"/>
    <cellStyle name="40% - Accent3 8 3 3 3" xfId="10989" xr:uid="{00000000-0005-0000-0000-0000D71D0000}"/>
    <cellStyle name="40% - Accent3 8 3 3 3 2" xfId="10990" xr:uid="{00000000-0005-0000-0000-0000D81D0000}"/>
    <cellStyle name="40% - Accent3 8 3 3 4" xfId="10991" xr:uid="{00000000-0005-0000-0000-0000D91D0000}"/>
    <cellStyle name="40% - Accent3 8 3 4" xfId="10992" xr:uid="{00000000-0005-0000-0000-0000DA1D0000}"/>
    <cellStyle name="40% - Accent3 8 3 4 2" xfId="10993" xr:uid="{00000000-0005-0000-0000-0000DB1D0000}"/>
    <cellStyle name="40% - Accent3 8 3 5" xfId="10994" xr:uid="{00000000-0005-0000-0000-0000DC1D0000}"/>
    <cellStyle name="40% - Accent3 8 3 5 2" xfId="10995" xr:uid="{00000000-0005-0000-0000-0000DD1D0000}"/>
    <cellStyle name="40% - Accent3 8 3 6" xfId="10996" xr:uid="{00000000-0005-0000-0000-0000DE1D0000}"/>
    <cellStyle name="40% - Accent3 8 4" xfId="3343" xr:uid="{00000000-0005-0000-0000-0000DF1D0000}"/>
    <cellStyle name="40% - Accent3 8 4 2" xfId="3342" xr:uid="{00000000-0005-0000-0000-0000E01D0000}"/>
    <cellStyle name="40% - Accent3 8 4 2 2" xfId="10997" xr:uid="{00000000-0005-0000-0000-0000E11D0000}"/>
    <cellStyle name="40% - Accent3 8 4 3" xfId="3341" xr:uid="{00000000-0005-0000-0000-0000E21D0000}"/>
    <cellStyle name="40% - Accent3 8 5" xfId="3340" xr:uid="{00000000-0005-0000-0000-0000E31D0000}"/>
    <cellStyle name="40% - Accent3 8 5 2" xfId="10998" xr:uid="{00000000-0005-0000-0000-0000E41D0000}"/>
    <cellStyle name="40% - Accent3 8 6" xfId="3339" xr:uid="{00000000-0005-0000-0000-0000E51D0000}"/>
    <cellStyle name="40% - Accent3 8 6 2" xfId="10999" xr:uid="{00000000-0005-0000-0000-0000E61D0000}"/>
    <cellStyle name="40% - Accent3 8 7" xfId="11000" xr:uid="{00000000-0005-0000-0000-0000E71D0000}"/>
    <cellStyle name="40% - Accent3 9" xfId="3338" xr:uid="{00000000-0005-0000-0000-0000E81D0000}"/>
    <cellStyle name="40% - Accent3 9 2" xfId="3337" xr:uid="{00000000-0005-0000-0000-0000E91D0000}"/>
    <cellStyle name="40% - Accent3 9 2 2" xfId="3336" xr:uid="{00000000-0005-0000-0000-0000EA1D0000}"/>
    <cellStyle name="40% - Accent3 9 2 2 2" xfId="3335" xr:uid="{00000000-0005-0000-0000-0000EB1D0000}"/>
    <cellStyle name="40% - Accent3 9 2 2 3" xfId="3334" xr:uid="{00000000-0005-0000-0000-0000EC1D0000}"/>
    <cellStyle name="40% - Accent3 9 2 3" xfId="3333" xr:uid="{00000000-0005-0000-0000-0000ED1D0000}"/>
    <cellStyle name="40% - Accent3 9 2 3 2" xfId="11001" xr:uid="{00000000-0005-0000-0000-0000EE1D0000}"/>
    <cellStyle name="40% - Accent3 9 2 4" xfId="3332" xr:uid="{00000000-0005-0000-0000-0000EF1D0000}"/>
    <cellStyle name="40% - Accent3 9 2 4 2" xfId="11002" xr:uid="{00000000-0005-0000-0000-0000F01D0000}"/>
    <cellStyle name="40% - Accent3 9 2 5" xfId="11003" xr:uid="{00000000-0005-0000-0000-0000F11D0000}"/>
    <cellStyle name="40% - Accent3 9 3" xfId="3331" xr:uid="{00000000-0005-0000-0000-0000F21D0000}"/>
    <cellStyle name="40% - Accent3 9 3 2" xfId="3330" xr:uid="{00000000-0005-0000-0000-0000F31D0000}"/>
    <cellStyle name="40% - Accent3 9 3 2 2" xfId="11004" xr:uid="{00000000-0005-0000-0000-0000F41D0000}"/>
    <cellStyle name="40% - Accent3 9 3 3" xfId="3329" xr:uid="{00000000-0005-0000-0000-0000F51D0000}"/>
    <cellStyle name="40% - Accent3 9 3 3 2" xfId="11005" xr:uid="{00000000-0005-0000-0000-0000F61D0000}"/>
    <cellStyle name="40% - Accent3 9 3 4" xfId="11006" xr:uid="{00000000-0005-0000-0000-0000F71D0000}"/>
    <cellStyle name="40% - Accent3 9 4" xfId="3328" xr:uid="{00000000-0005-0000-0000-0000F81D0000}"/>
    <cellStyle name="40% - Accent3 9 4 2" xfId="3327" xr:uid="{00000000-0005-0000-0000-0000F91D0000}"/>
    <cellStyle name="40% - Accent3 9 4 2 2" xfId="11007" xr:uid="{00000000-0005-0000-0000-0000FA1D0000}"/>
    <cellStyle name="40% - Accent3 9 4 3" xfId="3326" xr:uid="{00000000-0005-0000-0000-0000FB1D0000}"/>
    <cellStyle name="40% - Accent3 9 5" xfId="3325" xr:uid="{00000000-0005-0000-0000-0000FC1D0000}"/>
    <cellStyle name="40% - Accent3 9 5 2" xfId="11008" xr:uid="{00000000-0005-0000-0000-0000FD1D0000}"/>
    <cellStyle name="40% - Accent3 9 6" xfId="3324" xr:uid="{00000000-0005-0000-0000-0000FE1D0000}"/>
    <cellStyle name="40% - Accent3 9 7" xfId="11009" xr:uid="{00000000-0005-0000-0000-0000FF1D0000}"/>
    <cellStyle name="40% - Accent4 10" xfId="3323" xr:uid="{00000000-0005-0000-0000-0000001E0000}"/>
    <cellStyle name="40% - Accent4 10 2" xfId="3322" xr:uid="{00000000-0005-0000-0000-0000011E0000}"/>
    <cellStyle name="40% - Accent4 10 2 2" xfId="3321" xr:uid="{00000000-0005-0000-0000-0000021E0000}"/>
    <cellStyle name="40% - Accent4 10 2 2 2" xfId="3320" xr:uid="{00000000-0005-0000-0000-0000031E0000}"/>
    <cellStyle name="40% - Accent4 10 2 2 3" xfId="3319" xr:uid="{00000000-0005-0000-0000-0000041E0000}"/>
    <cellStyle name="40% - Accent4 10 2 3" xfId="3318" xr:uid="{00000000-0005-0000-0000-0000051E0000}"/>
    <cellStyle name="40% - Accent4 10 2 3 2" xfId="11010" xr:uid="{00000000-0005-0000-0000-0000061E0000}"/>
    <cellStyle name="40% - Accent4 10 2 4" xfId="3317" xr:uid="{00000000-0005-0000-0000-0000071E0000}"/>
    <cellStyle name="40% - Accent4 10 2 4 2" xfId="11011" xr:uid="{00000000-0005-0000-0000-0000081E0000}"/>
    <cellStyle name="40% - Accent4 10 2 5" xfId="11012" xr:uid="{00000000-0005-0000-0000-0000091E0000}"/>
    <cellStyle name="40% - Accent4 10 3" xfId="3316" xr:uid="{00000000-0005-0000-0000-00000A1E0000}"/>
    <cellStyle name="40% - Accent4 10 3 2" xfId="3315" xr:uid="{00000000-0005-0000-0000-00000B1E0000}"/>
    <cellStyle name="40% - Accent4 10 3 2 2" xfId="11013" xr:uid="{00000000-0005-0000-0000-00000C1E0000}"/>
    <cellStyle name="40% - Accent4 10 3 3" xfId="3314" xr:uid="{00000000-0005-0000-0000-00000D1E0000}"/>
    <cellStyle name="40% - Accent4 10 4" xfId="3313" xr:uid="{00000000-0005-0000-0000-00000E1E0000}"/>
    <cellStyle name="40% - Accent4 10 4 2" xfId="3312" xr:uid="{00000000-0005-0000-0000-00000F1E0000}"/>
    <cellStyle name="40% - Accent4 10 4 3" xfId="3311" xr:uid="{00000000-0005-0000-0000-0000101E0000}"/>
    <cellStyle name="40% - Accent4 10 5" xfId="3310" xr:uid="{00000000-0005-0000-0000-0000111E0000}"/>
    <cellStyle name="40% - Accent4 10 5 2" xfId="11014" xr:uid="{00000000-0005-0000-0000-0000121E0000}"/>
    <cellStyle name="40% - Accent4 10 6" xfId="3309" xr:uid="{00000000-0005-0000-0000-0000131E0000}"/>
    <cellStyle name="40% - Accent4 10 7" xfId="11015" xr:uid="{00000000-0005-0000-0000-0000141E0000}"/>
    <cellStyle name="40% - Accent4 11" xfId="3308" xr:uid="{00000000-0005-0000-0000-0000151E0000}"/>
    <cellStyle name="40% - Accent4 11 2" xfId="3307" xr:uid="{00000000-0005-0000-0000-0000161E0000}"/>
    <cellStyle name="40% - Accent4 11 2 2" xfId="3306" xr:uid="{00000000-0005-0000-0000-0000171E0000}"/>
    <cellStyle name="40% - Accent4 11 2 2 2" xfId="3305" xr:uid="{00000000-0005-0000-0000-0000181E0000}"/>
    <cellStyle name="40% - Accent4 11 2 2 3" xfId="3304" xr:uid="{00000000-0005-0000-0000-0000191E0000}"/>
    <cellStyle name="40% - Accent4 11 2 3" xfId="3303" xr:uid="{00000000-0005-0000-0000-00001A1E0000}"/>
    <cellStyle name="40% - Accent4 11 2 4" xfId="3302" xr:uid="{00000000-0005-0000-0000-00001B1E0000}"/>
    <cellStyle name="40% - Accent4 11 3" xfId="3301" xr:uid="{00000000-0005-0000-0000-00001C1E0000}"/>
    <cellStyle name="40% - Accent4 11 3 2" xfId="3300" xr:uid="{00000000-0005-0000-0000-00001D1E0000}"/>
    <cellStyle name="40% - Accent4 11 3 3" xfId="3299" xr:uid="{00000000-0005-0000-0000-00001E1E0000}"/>
    <cellStyle name="40% - Accent4 11 4" xfId="3298" xr:uid="{00000000-0005-0000-0000-00001F1E0000}"/>
    <cellStyle name="40% - Accent4 11 4 2" xfId="3297" xr:uid="{00000000-0005-0000-0000-0000201E0000}"/>
    <cellStyle name="40% - Accent4 11 4 3" xfId="3296" xr:uid="{00000000-0005-0000-0000-0000211E0000}"/>
    <cellStyle name="40% - Accent4 11 5" xfId="3295" xr:uid="{00000000-0005-0000-0000-0000221E0000}"/>
    <cellStyle name="40% - Accent4 11 6" xfId="3294" xr:uid="{00000000-0005-0000-0000-0000231E0000}"/>
    <cellStyle name="40% - Accent4 12" xfId="3293" xr:uid="{00000000-0005-0000-0000-0000241E0000}"/>
    <cellStyle name="40% - Accent4 12 2" xfId="3292" xr:uid="{00000000-0005-0000-0000-0000251E0000}"/>
    <cellStyle name="40% - Accent4 12 2 2" xfId="3291" xr:uid="{00000000-0005-0000-0000-0000261E0000}"/>
    <cellStyle name="40% - Accent4 12 2 2 2" xfId="3290" xr:uid="{00000000-0005-0000-0000-0000271E0000}"/>
    <cellStyle name="40% - Accent4 12 2 2 3" xfId="3289" xr:uid="{00000000-0005-0000-0000-0000281E0000}"/>
    <cellStyle name="40% - Accent4 12 2 3" xfId="3288" xr:uid="{00000000-0005-0000-0000-0000291E0000}"/>
    <cellStyle name="40% - Accent4 12 2 4" xfId="3287" xr:uid="{00000000-0005-0000-0000-00002A1E0000}"/>
    <cellStyle name="40% - Accent4 12 3" xfId="3286" xr:uid="{00000000-0005-0000-0000-00002B1E0000}"/>
    <cellStyle name="40% - Accent4 12 3 2" xfId="3285" xr:uid="{00000000-0005-0000-0000-00002C1E0000}"/>
    <cellStyle name="40% - Accent4 12 3 3" xfId="3284" xr:uid="{00000000-0005-0000-0000-00002D1E0000}"/>
    <cellStyle name="40% - Accent4 12 4" xfId="3283" xr:uid="{00000000-0005-0000-0000-00002E1E0000}"/>
    <cellStyle name="40% - Accent4 12 4 2" xfId="3282" xr:uid="{00000000-0005-0000-0000-00002F1E0000}"/>
    <cellStyle name="40% - Accent4 12 4 3" xfId="3281" xr:uid="{00000000-0005-0000-0000-0000301E0000}"/>
    <cellStyle name="40% - Accent4 12 5" xfId="3280" xr:uid="{00000000-0005-0000-0000-0000311E0000}"/>
    <cellStyle name="40% - Accent4 12 6" xfId="3279" xr:uid="{00000000-0005-0000-0000-0000321E0000}"/>
    <cellStyle name="40% - Accent4 13" xfId="3278" xr:uid="{00000000-0005-0000-0000-0000331E0000}"/>
    <cellStyle name="40% - Accent4 13 2" xfId="3277" xr:uid="{00000000-0005-0000-0000-0000341E0000}"/>
    <cellStyle name="40% - Accent4 13 2 2" xfId="3276" xr:uid="{00000000-0005-0000-0000-0000351E0000}"/>
    <cellStyle name="40% - Accent4 13 2 2 2" xfId="3275" xr:uid="{00000000-0005-0000-0000-0000361E0000}"/>
    <cellStyle name="40% - Accent4 13 2 2 3" xfId="3274" xr:uid="{00000000-0005-0000-0000-0000371E0000}"/>
    <cellStyle name="40% - Accent4 13 2 3" xfId="3273" xr:uid="{00000000-0005-0000-0000-0000381E0000}"/>
    <cellStyle name="40% - Accent4 13 2 4" xfId="3272" xr:uid="{00000000-0005-0000-0000-0000391E0000}"/>
    <cellStyle name="40% - Accent4 13 3" xfId="3271" xr:uid="{00000000-0005-0000-0000-00003A1E0000}"/>
    <cellStyle name="40% - Accent4 13 3 2" xfId="3270" xr:uid="{00000000-0005-0000-0000-00003B1E0000}"/>
    <cellStyle name="40% - Accent4 13 3 3" xfId="3269" xr:uid="{00000000-0005-0000-0000-00003C1E0000}"/>
    <cellStyle name="40% - Accent4 13 4" xfId="3268" xr:uid="{00000000-0005-0000-0000-00003D1E0000}"/>
    <cellStyle name="40% - Accent4 13 4 2" xfId="3267" xr:uid="{00000000-0005-0000-0000-00003E1E0000}"/>
    <cellStyle name="40% - Accent4 13 4 3" xfId="3266" xr:uid="{00000000-0005-0000-0000-00003F1E0000}"/>
    <cellStyle name="40% - Accent4 13 5" xfId="3265" xr:uid="{00000000-0005-0000-0000-0000401E0000}"/>
    <cellStyle name="40% - Accent4 13 6" xfId="3264" xr:uid="{00000000-0005-0000-0000-0000411E0000}"/>
    <cellStyle name="40% - Accent4 14" xfId="3263" xr:uid="{00000000-0005-0000-0000-0000421E0000}"/>
    <cellStyle name="40% - Accent4 14 2" xfId="3262" xr:uid="{00000000-0005-0000-0000-0000431E0000}"/>
    <cellStyle name="40% - Accent4 14 2 2" xfId="3261" xr:uid="{00000000-0005-0000-0000-0000441E0000}"/>
    <cellStyle name="40% - Accent4 14 2 2 2" xfId="3260" xr:uid="{00000000-0005-0000-0000-0000451E0000}"/>
    <cellStyle name="40% - Accent4 14 2 2 3" xfId="3259" xr:uid="{00000000-0005-0000-0000-0000461E0000}"/>
    <cellStyle name="40% - Accent4 14 2 3" xfId="3258" xr:uid="{00000000-0005-0000-0000-0000471E0000}"/>
    <cellStyle name="40% - Accent4 14 2 4" xfId="3257" xr:uid="{00000000-0005-0000-0000-0000481E0000}"/>
    <cellStyle name="40% - Accent4 14 3" xfId="3256" xr:uid="{00000000-0005-0000-0000-0000491E0000}"/>
    <cellStyle name="40% - Accent4 14 3 2" xfId="3255" xr:uid="{00000000-0005-0000-0000-00004A1E0000}"/>
    <cellStyle name="40% - Accent4 14 3 3" xfId="3254" xr:uid="{00000000-0005-0000-0000-00004B1E0000}"/>
    <cellStyle name="40% - Accent4 14 4" xfId="3253" xr:uid="{00000000-0005-0000-0000-00004C1E0000}"/>
    <cellStyle name="40% - Accent4 14 4 2" xfId="3252" xr:uid="{00000000-0005-0000-0000-00004D1E0000}"/>
    <cellStyle name="40% - Accent4 14 4 3" xfId="3251" xr:uid="{00000000-0005-0000-0000-00004E1E0000}"/>
    <cellStyle name="40% - Accent4 14 5" xfId="3250" xr:uid="{00000000-0005-0000-0000-00004F1E0000}"/>
    <cellStyle name="40% - Accent4 14 6" xfId="3249" xr:uid="{00000000-0005-0000-0000-0000501E0000}"/>
    <cellStyle name="40% - Accent4 15" xfId="3248" xr:uid="{00000000-0005-0000-0000-0000511E0000}"/>
    <cellStyle name="40% - Accent4 15 2" xfId="3247" xr:uid="{00000000-0005-0000-0000-0000521E0000}"/>
    <cellStyle name="40% - Accent4 15 2 2" xfId="3246" xr:uid="{00000000-0005-0000-0000-0000531E0000}"/>
    <cellStyle name="40% - Accent4 15 2 2 2" xfId="3245" xr:uid="{00000000-0005-0000-0000-0000541E0000}"/>
    <cellStyle name="40% - Accent4 15 2 2 3" xfId="3244" xr:uid="{00000000-0005-0000-0000-0000551E0000}"/>
    <cellStyle name="40% - Accent4 15 2 3" xfId="3243" xr:uid="{00000000-0005-0000-0000-0000561E0000}"/>
    <cellStyle name="40% - Accent4 15 2 4" xfId="3242" xr:uid="{00000000-0005-0000-0000-0000571E0000}"/>
    <cellStyle name="40% - Accent4 15 3" xfId="3241" xr:uid="{00000000-0005-0000-0000-0000581E0000}"/>
    <cellStyle name="40% - Accent4 15 3 2" xfId="3240" xr:uid="{00000000-0005-0000-0000-0000591E0000}"/>
    <cellStyle name="40% - Accent4 15 3 3" xfId="3239" xr:uid="{00000000-0005-0000-0000-00005A1E0000}"/>
    <cellStyle name="40% - Accent4 15 4" xfId="3238" xr:uid="{00000000-0005-0000-0000-00005B1E0000}"/>
    <cellStyle name="40% - Accent4 15 4 2" xfId="3237" xr:uid="{00000000-0005-0000-0000-00005C1E0000}"/>
    <cellStyle name="40% - Accent4 15 4 3" xfId="3236" xr:uid="{00000000-0005-0000-0000-00005D1E0000}"/>
    <cellStyle name="40% - Accent4 15 5" xfId="3235" xr:uid="{00000000-0005-0000-0000-00005E1E0000}"/>
    <cellStyle name="40% - Accent4 15 6" xfId="3234" xr:uid="{00000000-0005-0000-0000-00005F1E0000}"/>
    <cellStyle name="40% - Accent4 16" xfId="3233" xr:uid="{00000000-0005-0000-0000-0000601E0000}"/>
    <cellStyle name="40% - Accent4 16 2" xfId="3232" xr:uid="{00000000-0005-0000-0000-0000611E0000}"/>
    <cellStyle name="40% - Accent4 16 2 2" xfId="3231" xr:uid="{00000000-0005-0000-0000-0000621E0000}"/>
    <cellStyle name="40% - Accent4 16 2 2 2" xfId="3230" xr:uid="{00000000-0005-0000-0000-0000631E0000}"/>
    <cellStyle name="40% - Accent4 16 2 2 3" xfId="3229" xr:uid="{00000000-0005-0000-0000-0000641E0000}"/>
    <cellStyle name="40% - Accent4 16 2 3" xfId="3228" xr:uid="{00000000-0005-0000-0000-0000651E0000}"/>
    <cellStyle name="40% - Accent4 16 2 4" xfId="3227" xr:uid="{00000000-0005-0000-0000-0000661E0000}"/>
    <cellStyle name="40% - Accent4 16 3" xfId="3226" xr:uid="{00000000-0005-0000-0000-0000671E0000}"/>
    <cellStyle name="40% - Accent4 16 3 2" xfId="3225" xr:uid="{00000000-0005-0000-0000-0000681E0000}"/>
    <cellStyle name="40% - Accent4 16 3 3" xfId="3224" xr:uid="{00000000-0005-0000-0000-0000691E0000}"/>
    <cellStyle name="40% - Accent4 16 4" xfId="3223" xr:uid="{00000000-0005-0000-0000-00006A1E0000}"/>
    <cellStyle name="40% - Accent4 16 4 2" xfId="3222" xr:uid="{00000000-0005-0000-0000-00006B1E0000}"/>
    <cellStyle name="40% - Accent4 16 4 3" xfId="3221" xr:uid="{00000000-0005-0000-0000-00006C1E0000}"/>
    <cellStyle name="40% - Accent4 16 5" xfId="3220" xr:uid="{00000000-0005-0000-0000-00006D1E0000}"/>
    <cellStyle name="40% - Accent4 16 6" xfId="3219" xr:uid="{00000000-0005-0000-0000-00006E1E0000}"/>
    <cellStyle name="40% - Accent4 17" xfId="3218" xr:uid="{00000000-0005-0000-0000-00006F1E0000}"/>
    <cellStyle name="40% - Accent4 17 2" xfId="3217" xr:uid="{00000000-0005-0000-0000-0000701E0000}"/>
    <cellStyle name="40% - Accent4 17 2 2" xfId="3216" xr:uid="{00000000-0005-0000-0000-0000711E0000}"/>
    <cellStyle name="40% - Accent4 17 2 2 2" xfId="3215" xr:uid="{00000000-0005-0000-0000-0000721E0000}"/>
    <cellStyle name="40% - Accent4 17 2 2 3" xfId="3214" xr:uid="{00000000-0005-0000-0000-0000731E0000}"/>
    <cellStyle name="40% - Accent4 17 2 3" xfId="3213" xr:uid="{00000000-0005-0000-0000-0000741E0000}"/>
    <cellStyle name="40% - Accent4 17 2 4" xfId="3212" xr:uid="{00000000-0005-0000-0000-0000751E0000}"/>
    <cellStyle name="40% - Accent4 17 3" xfId="3211" xr:uid="{00000000-0005-0000-0000-0000761E0000}"/>
    <cellStyle name="40% - Accent4 17 3 2" xfId="3210" xr:uid="{00000000-0005-0000-0000-0000771E0000}"/>
    <cellStyle name="40% - Accent4 17 3 3" xfId="3209" xr:uid="{00000000-0005-0000-0000-0000781E0000}"/>
    <cellStyle name="40% - Accent4 17 4" xfId="3208" xr:uid="{00000000-0005-0000-0000-0000791E0000}"/>
    <cellStyle name="40% - Accent4 17 4 2" xfId="3207" xr:uid="{00000000-0005-0000-0000-00007A1E0000}"/>
    <cellStyle name="40% - Accent4 17 4 3" xfId="3206" xr:uid="{00000000-0005-0000-0000-00007B1E0000}"/>
    <cellStyle name="40% - Accent4 17 5" xfId="3205" xr:uid="{00000000-0005-0000-0000-00007C1E0000}"/>
    <cellStyle name="40% - Accent4 17 6" xfId="3204" xr:uid="{00000000-0005-0000-0000-00007D1E0000}"/>
    <cellStyle name="40% - Accent4 18" xfId="3203" xr:uid="{00000000-0005-0000-0000-00007E1E0000}"/>
    <cellStyle name="40% - Accent4 18 2" xfId="3202" xr:uid="{00000000-0005-0000-0000-00007F1E0000}"/>
    <cellStyle name="40% - Accent4 18 2 2" xfId="3201" xr:uid="{00000000-0005-0000-0000-0000801E0000}"/>
    <cellStyle name="40% - Accent4 18 2 2 2" xfId="3200" xr:uid="{00000000-0005-0000-0000-0000811E0000}"/>
    <cellStyle name="40% - Accent4 18 2 2 3" xfId="3199" xr:uid="{00000000-0005-0000-0000-0000821E0000}"/>
    <cellStyle name="40% - Accent4 18 2 3" xfId="3198" xr:uid="{00000000-0005-0000-0000-0000831E0000}"/>
    <cellStyle name="40% - Accent4 18 2 4" xfId="3197" xr:uid="{00000000-0005-0000-0000-0000841E0000}"/>
    <cellStyle name="40% - Accent4 18 3" xfId="3196" xr:uid="{00000000-0005-0000-0000-0000851E0000}"/>
    <cellStyle name="40% - Accent4 18 3 2" xfId="3195" xr:uid="{00000000-0005-0000-0000-0000861E0000}"/>
    <cellStyle name="40% - Accent4 18 3 3" xfId="3194" xr:uid="{00000000-0005-0000-0000-0000871E0000}"/>
    <cellStyle name="40% - Accent4 18 4" xfId="3193" xr:uid="{00000000-0005-0000-0000-0000881E0000}"/>
    <cellStyle name="40% - Accent4 18 4 2" xfId="3192" xr:uid="{00000000-0005-0000-0000-0000891E0000}"/>
    <cellStyle name="40% - Accent4 18 4 3" xfId="3191" xr:uid="{00000000-0005-0000-0000-00008A1E0000}"/>
    <cellStyle name="40% - Accent4 18 5" xfId="3190" xr:uid="{00000000-0005-0000-0000-00008B1E0000}"/>
    <cellStyle name="40% - Accent4 18 6" xfId="3189" xr:uid="{00000000-0005-0000-0000-00008C1E0000}"/>
    <cellStyle name="40% - Accent4 19" xfId="3188" xr:uid="{00000000-0005-0000-0000-00008D1E0000}"/>
    <cellStyle name="40% - Accent4 19 2" xfId="3187" xr:uid="{00000000-0005-0000-0000-00008E1E0000}"/>
    <cellStyle name="40% - Accent4 19 2 2" xfId="3186" xr:uid="{00000000-0005-0000-0000-00008F1E0000}"/>
    <cellStyle name="40% - Accent4 19 2 2 2" xfId="3185" xr:uid="{00000000-0005-0000-0000-0000901E0000}"/>
    <cellStyle name="40% - Accent4 19 2 2 3" xfId="3184" xr:uid="{00000000-0005-0000-0000-0000911E0000}"/>
    <cellStyle name="40% - Accent4 19 2 3" xfId="3183" xr:uid="{00000000-0005-0000-0000-0000921E0000}"/>
    <cellStyle name="40% - Accent4 19 2 4" xfId="3182" xr:uid="{00000000-0005-0000-0000-0000931E0000}"/>
    <cellStyle name="40% - Accent4 19 3" xfId="3181" xr:uid="{00000000-0005-0000-0000-0000941E0000}"/>
    <cellStyle name="40% - Accent4 19 3 2" xfId="3180" xr:uid="{00000000-0005-0000-0000-0000951E0000}"/>
    <cellStyle name="40% - Accent4 19 3 3" xfId="3179" xr:uid="{00000000-0005-0000-0000-0000961E0000}"/>
    <cellStyle name="40% - Accent4 19 4" xfId="3178" xr:uid="{00000000-0005-0000-0000-0000971E0000}"/>
    <cellStyle name="40% - Accent4 19 4 2" xfId="3177" xr:uid="{00000000-0005-0000-0000-0000981E0000}"/>
    <cellStyle name="40% - Accent4 19 4 3" xfId="3176" xr:uid="{00000000-0005-0000-0000-0000991E0000}"/>
    <cellStyle name="40% - Accent4 19 5" xfId="3175" xr:uid="{00000000-0005-0000-0000-00009A1E0000}"/>
    <cellStyle name="40% - Accent4 19 6" xfId="3174" xr:uid="{00000000-0005-0000-0000-00009B1E0000}"/>
    <cellStyle name="40% - Accent4 2" xfId="3173" xr:uid="{00000000-0005-0000-0000-00009C1E0000}"/>
    <cellStyle name="40% - Accent4 2 10" xfId="11016" xr:uid="{00000000-0005-0000-0000-00009D1E0000}"/>
    <cellStyle name="40% - Accent4 2 10 2" xfId="11017" xr:uid="{00000000-0005-0000-0000-00009E1E0000}"/>
    <cellStyle name="40% - Accent4 2 11" xfId="11018" xr:uid="{00000000-0005-0000-0000-00009F1E0000}"/>
    <cellStyle name="40% - Accent4 2 12" xfId="11019" xr:uid="{00000000-0005-0000-0000-0000A01E0000}"/>
    <cellStyle name="40% - Accent4 2 12 2" xfId="11020" xr:uid="{00000000-0005-0000-0000-0000A11E0000}"/>
    <cellStyle name="40% - Accent4 2 12 2 2" xfId="11021" xr:uid="{00000000-0005-0000-0000-0000A21E0000}"/>
    <cellStyle name="40% - Accent4 2 12 3" xfId="11022" xr:uid="{00000000-0005-0000-0000-0000A31E0000}"/>
    <cellStyle name="40% - Accent4 2 12 4" xfId="11023" xr:uid="{00000000-0005-0000-0000-0000A41E0000}"/>
    <cellStyle name="40% - Accent4 2 12 4 2" xfId="11024" xr:uid="{00000000-0005-0000-0000-0000A51E0000}"/>
    <cellStyle name="40% - Accent4 2 12 5" xfId="11025" xr:uid="{00000000-0005-0000-0000-0000A61E0000}"/>
    <cellStyle name="40% - Accent4 2 13" xfId="11026" xr:uid="{00000000-0005-0000-0000-0000A71E0000}"/>
    <cellStyle name="40% - Accent4 2 13 2" xfId="11027" xr:uid="{00000000-0005-0000-0000-0000A81E0000}"/>
    <cellStyle name="40% - Accent4 2 13 2 2" xfId="11028" xr:uid="{00000000-0005-0000-0000-0000A91E0000}"/>
    <cellStyle name="40% - Accent4 2 13 3" xfId="11029" xr:uid="{00000000-0005-0000-0000-0000AA1E0000}"/>
    <cellStyle name="40% - Accent4 2 14" xfId="11030" xr:uid="{00000000-0005-0000-0000-0000AB1E0000}"/>
    <cellStyle name="40% - Accent4 2 15" xfId="11031" xr:uid="{00000000-0005-0000-0000-0000AC1E0000}"/>
    <cellStyle name="40% - Accent4 2 2" xfId="3172" xr:uid="{00000000-0005-0000-0000-0000AD1E0000}"/>
    <cellStyle name="40% - Accent4 2 2 10" xfId="11032" xr:uid="{00000000-0005-0000-0000-0000AE1E0000}"/>
    <cellStyle name="40% - Accent4 2 2 10 2" xfId="11033" xr:uid="{00000000-0005-0000-0000-0000AF1E0000}"/>
    <cellStyle name="40% - Accent4 2 2 11" xfId="11034" xr:uid="{00000000-0005-0000-0000-0000B01E0000}"/>
    <cellStyle name="40% - Accent4 2 2 2" xfId="11035" xr:uid="{00000000-0005-0000-0000-0000B11E0000}"/>
    <cellStyle name="40% - Accent4 2 2 2 2" xfId="11036" xr:uid="{00000000-0005-0000-0000-0000B21E0000}"/>
    <cellStyle name="40% - Accent4 2 2 2 2 2" xfId="11037" xr:uid="{00000000-0005-0000-0000-0000B31E0000}"/>
    <cellStyle name="40% - Accent4 2 2 2 2 3" xfId="11038" xr:uid="{00000000-0005-0000-0000-0000B41E0000}"/>
    <cellStyle name="40% - Accent4 2 2 2 3" xfId="11039" xr:uid="{00000000-0005-0000-0000-0000B51E0000}"/>
    <cellStyle name="40% - Accent4 2 2 2 3 2" xfId="11040" xr:uid="{00000000-0005-0000-0000-0000B61E0000}"/>
    <cellStyle name="40% - Accent4 2 2 2 4" xfId="11041" xr:uid="{00000000-0005-0000-0000-0000B71E0000}"/>
    <cellStyle name="40% - Accent4 2 2 2 5" xfId="11042" xr:uid="{00000000-0005-0000-0000-0000B81E0000}"/>
    <cellStyle name="40% - Accent4 2 2 3" xfId="11043" xr:uid="{00000000-0005-0000-0000-0000B91E0000}"/>
    <cellStyle name="40% - Accent4 2 2 3 2" xfId="11044" xr:uid="{00000000-0005-0000-0000-0000BA1E0000}"/>
    <cellStyle name="40% - Accent4 2 2 3 2 2" xfId="11045" xr:uid="{00000000-0005-0000-0000-0000BB1E0000}"/>
    <cellStyle name="40% - Accent4 2 2 3 2 3" xfId="11046" xr:uid="{00000000-0005-0000-0000-0000BC1E0000}"/>
    <cellStyle name="40% - Accent4 2 2 3 3" xfId="11047" xr:uid="{00000000-0005-0000-0000-0000BD1E0000}"/>
    <cellStyle name="40% - Accent4 2 2 3 3 2" xfId="11048" xr:uid="{00000000-0005-0000-0000-0000BE1E0000}"/>
    <cellStyle name="40% - Accent4 2 2 3 4" xfId="11049" xr:uid="{00000000-0005-0000-0000-0000BF1E0000}"/>
    <cellStyle name="40% - Accent4 2 2 3 5" xfId="11050" xr:uid="{00000000-0005-0000-0000-0000C01E0000}"/>
    <cellStyle name="40% - Accent4 2 2 4" xfId="11051" xr:uid="{00000000-0005-0000-0000-0000C11E0000}"/>
    <cellStyle name="40% - Accent4 2 2 4 2" xfId="11052" xr:uid="{00000000-0005-0000-0000-0000C21E0000}"/>
    <cellStyle name="40% - Accent4 2 2 4 2 2" xfId="11053" xr:uid="{00000000-0005-0000-0000-0000C31E0000}"/>
    <cellStyle name="40% - Accent4 2 2 4 3" xfId="11054" xr:uid="{00000000-0005-0000-0000-0000C41E0000}"/>
    <cellStyle name="40% - Accent4 2 2 4 4" xfId="11055" xr:uid="{00000000-0005-0000-0000-0000C51E0000}"/>
    <cellStyle name="40% - Accent4 2 2 5" xfId="11056" xr:uid="{00000000-0005-0000-0000-0000C61E0000}"/>
    <cellStyle name="40% - Accent4 2 2 5 2" xfId="11057" xr:uid="{00000000-0005-0000-0000-0000C71E0000}"/>
    <cellStyle name="40% - Accent4 2 2 6" xfId="11058" xr:uid="{00000000-0005-0000-0000-0000C81E0000}"/>
    <cellStyle name="40% - Accent4 2 2 6 2" xfId="11059" xr:uid="{00000000-0005-0000-0000-0000C91E0000}"/>
    <cellStyle name="40% - Accent4 2 2 7" xfId="11060" xr:uid="{00000000-0005-0000-0000-0000CA1E0000}"/>
    <cellStyle name="40% - Accent4 2 2 8" xfId="11061" xr:uid="{00000000-0005-0000-0000-0000CB1E0000}"/>
    <cellStyle name="40% - Accent4 2 2 9" xfId="11062" xr:uid="{00000000-0005-0000-0000-0000CC1E0000}"/>
    <cellStyle name="40% - Accent4 2 2 9 2" xfId="11063" xr:uid="{00000000-0005-0000-0000-0000CD1E0000}"/>
    <cellStyle name="40% - Accent4 2 3" xfId="3171" xr:uid="{00000000-0005-0000-0000-0000CE1E0000}"/>
    <cellStyle name="40% - Accent4 2 3 2" xfId="3170" xr:uid="{00000000-0005-0000-0000-0000CF1E0000}"/>
    <cellStyle name="40% - Accent4 2 3 2 2" xfId="3169" xr:uid="{00000000-0005-0000-0000-0000D01E0000}"/>
    <cellStyle name="40% - Accent4 2 3 2 2 2" xfId="3168" xr:uid="{00000000-0005-0000-0000-0000D11E0000}"/>
    <cellStyle name="40% - Accent4 2 3 2 2 3" xfId="3167" xr:uid="{00000000-0005-0000-0000-0000D21E0000}"/>
    <cellStyle name="40% - Accent4 2 3 2 3" xfId="3166" xr:uid="{00000000-0005-0000-0000-0000D31E0000}"/>
    <cellStyle name="40% - Accent4 2 3 2 3 2" xfId="11064" xr:uid="{00000000-0005-0000-0000-0000D41E0000}"/>
    <cellStyle name="40% - Accent4 2 3 2 4" xfId="3165" xr:uid="{00000000-0005-0000-0000-0000D51E0000}"/>
    <cellStyle name="40% - Accent4 2 3 2 5" xfId="11065" xr:uid="{00000000-0005-0000-0000-0000D61E0000}"/>
    <cellStyle name="40% - Accent4 2 3 3" xfId="3164" xr:uid="{00000000-0005-0000-0000-0000D71E0000}"/>
    <cellStyle name="40% - Accent4 2 3 3 2" xfId="3163" xr:uid="{00000000-0005-0000-0000-0000D81E0000}"/>
    <cellStyle name="40% - Accent4 2 3 3 2 2" xfId="11066" xr:uid="{00000000-0005-0000-0000-0000D91E0000}"/>
    <cellStyle name="40% - Accent4 2 3 3 3" xfId="3162" xr:uid="{00000000-0005-0000-0000-0000DA1E0000}"/>
    <cellStyle name="40% - Accent4 2 3 3 4" xfId="11067" xr:uid="{00000000-0005-0000-0000-0000DB1E0000}"/>
    <cellStyle name="40% - Accent4 2 3 4" xfId="3161" xr:uid="{00000000-0005-0000-0000-0000DC1E0000}"/>
    <cellStyle name="40% - Accent4 2 3 4 2" xfId="3160" xr:uid="{00000000-0005-0000-0000-0000DD1E0000}"/>
    <cellStyle name="40% - Accent4 2 3 4 3" xfId="3159" xr:uid="{00000000-0005-0000-0000-0000DE1E0000}"/>
    <cellStyle name="40% - Accent4 2 3 5" xfId="3158" xr:uid="{00000000-0005-0000-0000-0000DF1E0000}"/>
    <cellStyle name="40% - Accent4 2 3 5 2" xfId="11068" xr:uid="{00000000-0005-0000-0000-0000E01E0000}"/>
    <cellStyle name="40% - Accent4 2 3 6" xfId="3157" xr:uid="{00000000-0005-0000-0000-0000E11E0000}"/>
    <cellStyle name="40% - Accent4 2 3 7" xfId="11069" xr:uid="{00000000-0005-0000-0000-0000E21E0000}"/>
    <cellStyle name="40% - Accent4 2 3 8" xfId="11070" xr:uid="{00000000-0005-0000-0000-0000E31E0000}"/>
    <cellStyle name="40% - Accent4 2 4" xfId="11071" xr:uid="{00000000-0005-0000-0000-0000E41E0000}"/>
    <cellStyle name="40% - Accent4 2 4 2" xfId="11072" xr:uid="{00000000-0005-0000-0000-0000E51E0000}"/>
    <cellStyle name="40% - Accent4 2 4 2 2" xfId="11073" xr:uid="{00000000-0005-0000-0000-0000E61E0000}"/>
    <cellStyle name="40% - Accent4 2 4 2 2 2" xfId="11074" xr:uid="{00000000-0005-0000-0000-0000E71E0000}"/>
    <cellStyle name="40% - Accent4 2 4 2 3" xfId="11075" xr:uid="{00000000-0005-0000-0000-0000E81E0000}"/>
    <cellStyle name="40% - Accent4 2 4 2 4" xfId="11076" xr:uid="{00000000-0005-0000-0000-0000E91E0000}"/>
    <cellStyle name="40% - Accent4 2 4 3" xfId="11077" xr:uid="{00000000-0005-0000-0000-0000EA1E0000}"/>
    <cellStyle name="40% - Accent4 2 4 3 2" xfId="11078" xr:uid="{00000000-0005-0000-0000-0000EB1E0000}"/>
    <cellStyle name="40% - Accent4 2 4 4" xfId="11079" xr:uid="{00000000-0005-0000-0000-0000EC1E0000}"/>
    <cellStyle name="40% - Accent4 2 4 4 2" xfId="11080" xr:uid="{00000000-0005-0000-0000-0000ED1E0000}"/>
    <cellStyle name="40% - Accent4 2 4 5" xfId="11081" xr:uid="{00000000-0005-0000-0000-0000EE1E0000}"/>
    <cellStyle name="40% - Accent4 2 4 6" xfId="11082" xr:uid="{00000000-0005-0000-0000-0000EF1E0000}"/>
    <cellStyle name="40% - Accent4 2 5" xfId="11083" xr:uid="{00000000-0005-0000-0000-0000F01E0000}"/>
    <cellStyle name="40% - Accent4 2 5 2" xfId="11084" xr:uid="{00000000-0005-0000-0000-0000F11E0000}"/>
    <cellStyle name="40% - Accent4 2 5 2 2" xfId="11085" xr:uid="{00000000-0005-0000-0000-0000F21E0000}"/>
    <cellStyle name="40% - Accent4 2 5 3" xfId="11086" xr:uid="{00000000-0005-0000-0000-0000F31E0000}"/>
    <cellStyle name="40% - Accent4 2 5 4" xfId="11087" xr:uid="{00000000-0005-0000-0000-0000F41E0000}"/>
    <cellStyle name="40% - Accent4 2 6" xfId="11088" xr:uid="{00000000-0005-0000-0000-0000F51E0000}"/>
    <cellStyle name="40% - Accent4 2 6 10" xfId="11089" xr:uid="{00000000-0005-0000-0000-0000F61E0000}"/>
    <cellStyle name="40% - Accent4 2 6 2" xfId="11090" xr:uid="{00000000-0005-0000-0000-0000F71E0000}"/>
    <cellStyle name="40% - Accent4 2 6 2 2" xfId="11091" xr:uid="{00000000-0005-0000-0000-0000F81E0000}"/>
    <cellStyle name="40% - Accent4 2 6 2 2 2" xfId="11092" xr:uid="{00000000-0005-0000-0000-0000F91E0000}"/>
    <cellStyle name="40% - Accent4 2 6 2 2 2 2" xfId="11093" xr:uid="{00000000-0005-0000-0000-0000FA1E0000}"/>
    <cellStyle name="40% - Accent4 2 6 2 2 3" xfId="11094" xr:uid="{00000000-0005-0000-0000-0000FB1E0000}"/>
    <cellStyle name="40% - Accent4 2 6 2 2 3 2" xfId="11095" xr:uid="{00000000-0005-0000-0000-0000FC1E0000}"/>
    <cellStyle name="40% - Accent4 2 6 2 2 4" xfId="11096" xr:uid="{00000000-0005-0000-0000-0000FD1E0000}"/>
    <cellStyle name="40% - Accent4 2 6 2 2 5" xfId="11097" xr:uid="{00000000-0005-0000-0000-0000FE1E0000}"/>
    <cellStyle name="40% - Accent4 2 6 2 3" xfId="11098" xr:uid="{00000000-0005-0000-0000-0000FF1E0000}"/>
    <cellStyle name="40% - Accent4 2 6 2 3 2" xfId="11099" xr:uid="{00000000-0005-0000-0000-0000001F0000}"/>
    <cellStyle name="40% - Accent4 2 6 2 3 2 2" xfId="11100" xr:uid="{00000000-0005-0000-0000-0000011F0000}"/>
    <cellStyle name="40% - Accent4 2 6 2 3 3" xfId="11101" xr:uid="{00000000-0005-0000-0000-0000021F0000}"/>
    <cellStyle name="40% - Accent4 2 6 2 4" xfId="11102" xr:uid="{00000000-0005-0000-0000-0000031F0000}"/>
    <cellStyle name="40% - Accent4 2 6 2 4 2" xfId="11103" xr:uid="{00000000-0005-0000-0000-0000041F0000}"/>
    <cellStyle name="40% - Accent4 2 6 2 5" xfId="11104" xr:uid="{00000000-0005-0000-0000-0000051F0000}"/>
    <cellStyle name="40% - Accent4 2 6 2 5 2" xfId="11105" xr:uid="{00000000-0005-0000-0000-0000061F0000}"/>
    <cellStyle name="40% - Accent4 2 6 2 6" xfId="11106" xr:uid="{00000000-0005-0000-0000-0000071F0000}"/>
    <cellStyle name="40% - Accent4 2 6 3" xfId="11107" xr:uid="{00000000-0005-0000-0000-0000081F0000}"/>
    <cellStyle name="40% - Accent4 2 6 3 2" xfId="11108" xr:uid="{00000000-0005-0000-0000-0000091F0000}"/>
    <cellStyle name="40% - Accent4 2 6 3 2 2" xfId="11109" xr:uid="{00000000-0005-0000-0000-00000A1F0000}"/>
    <cellStyle name="40% - Accent4 2 6 3 2 2 2" xfId="11110" xr:uid="{00000000-0005-0000-0000-00000B1F0000}"/>
    <cellStyle name="40% - Accent4 2 6 3 2 3" xfId="11111" xr:uid="{00000000-0005-0000-0000-00000C1F0000}"/>
    <cellStyle name="40% - Accent4 2 6 3 2 3 2" xfId="11112" xr:uid="{00000000-0005-0000-0000-00000D1F0000}"/>
    <cellStyle name="40% - Accent4 2 6 3 2 4" xfId="11113" xr:uid="{00000000-0005-0000-0000-00000E1F0000}"/>
    <cellStyle name="40% - Accent4 2 6 3 2 5" xfId="11114" xr:uid="{00000000-0005-0000-0000-00000F1F0000}"/>
    <cellStyle name="40% - Accent4 2 6 3 3" xfId="11115" xr:uid="{00000000-0005-0000-0000-0000101F0000}"/>
    <cellStyle name="40% - Accent4 2 6 3 3 2" xfId="11116" xr:uid="{00000000-0005-0000-0000-0000111F0000}"/>
    <cellStyle name="40% - Accent4 2 6 3 3 2 2" xfId="11117" xr:uid="{00000000-0005-0000-0000-0000121F0000}"/>
    <cellStyle name="40% - Accent4 2 6 3 3 3" xfId="11118" xr:uid="{00000000-0005-0000-0000-0000131F0000}"/>
    <cellStyle name="40% - Accent4 2 6 3 4" xfId="11119" xr:uid="{00000000-0005-0000-0000-0000141F0000}"/>
    <cellStyle name="40% - Accent4 2 6 3 4 2" xfId="11120" xr:uid="{00000000-0005-0000-0000-0000151F0000}"/>
    <cellStyle name="40% - Accent4 2 6 3 5" xfId="11121" xr:uid="{00000000-0005-0000-0000-0000161F0000}"/>
    <cellStyle name="40% - Accent4 2 6 3 5 2" xfId="11122" xr:uid="{00000000-0005-0000-0000-0000171F0000}"/>
    <cellStyle name="40% - Accent4 2 6 3 6" xfId="11123" xr:uid="{00000000-0005-0000-0000-0000181F0000}"/>
    <cellStyle name="40% - Accent4 2 6 4" xfId="11124" xr:uid="{00000000-0005-0000-0000-0000191F0000}"/>
    <cellStyle name="40% - Accent4 2 6 4 2" xfId="11125" xr:uid="{00000000-0005-0000-0000-00001A1F0000}"/>
    <cellStyle name="40% - Accent4 2 6 4 2 2" xfId="11126" xr:uid="{00000000-0005-0000-0000-00001B1F0000}"/>
    <cellStyle name="40% - Accent4 2 6 4 2 2 2" xfId="11127" xr:uid="{00000000-0005-0000-0000-00001C1F0000}"/>
    <cellStyle name="40% - Accent4 2 6 4 2 3" xfId="11128" xr:uid="{00000000-0005-0000-0000-00001D1F0000}"/>
    <cellStyle name="40% - Accent4 2 6 4 3" xfId="11129" xr:uid="{00000000-0005-0000-0000-00001E1F0000}"/>
    <cellStyle name="40% - Accent4 2 6 4 3 2" xfId="11130" xr:uid="{00000000-0005-0000-0000-00001F1F0000}"/>
    <cellStyle name="40% - Accent4 2 6 4 4" xfId="11131" xr:uid="{00000000-0005-0000-0000-0000201F0000}"/>
    <cellStyle name="40% - Accent4 2 6 4 4 2" xfId="11132" xr:uid="{00000000-0005-0000-0000-0000211F0000}"/>
    <cellStyle name="40% - Accent4 2 6 4 5" xfId="11133" xr:uid="{00000000-0005-0000-0000-0000221F0000}"/>
    <cellStyle name="40% - Accent4 2 6 5" xfId="11134" xr:uid="{00000000-0005-0000-0000-0000231F0000}"/>
    <cellStyle name="40% - Accent4 2 6 5 2" xfId="11135" xr:uid="{00000000-0005-0000-0000-0000241F0000}"/>
    <cellStyle name="40% - Accent4 2 6 5 2 2" xfId="11136" xr:uid="{00000000-0005-0000-0000-0000251F0000}"/>
    <cellStyle name="40% - Accent4 2 6 5 3" xfId="11137" xr:uid="{00000000-0005-0000-0000-0000261F0000}"/>
    <cellStyle name="40% - Accent4 2 6 5 3 2" xfId="11138" xr:uid="{00000000-0005-0000-0000-0000271F0000}"/>
    <cellStyle name="40% - Accent4 2 6 5 4" xfId="11139" xr:uid="{00000000-0005-0000-0000-0000281F0000}"/>
    <cellStyle name="40% - Accent4 2 6 6" xfId="11140" xr:uid="{00000000-0005-0000-0000-0000291F0000}"/>
    <cellStyle name="40% - Accent4 2 6 6 2" xfId="11141" xr:uid="{00000000-0005-0000-0000-00002A1F0000}"/>
    <cellStyle name="40% - Accent4 2 6 6 2 2" xfId="11142" xr:uid="{00000000-0005-0000-0000-00002B1F0000}"/>
    <cellStyle name="40% - Accent4 2 6 6 3" xfId="11143" xr:uid="{00000000-0005-0000-0000-00002C1F0000}"/>
    <cellStyle name="40% - Accent4 2 6 7" xfId="11144" xr:uid="{00000000-0005-0000-0000-00002D1F0000}"/>
    <cellStyle name="40% - Accent4 2 6 7 2" xfId="11145" xr:uid="{00000000-0005-0000-0000-00002E1F0000}"/>
    <cellStyle name="40% - Accent4 2 6 7 3" xfId="11146" xr:uid="{00000000-0005-0000-0000-00002F1F0000}"/>
    <cellStyle name="40% - Accent4 2 6 8" xfId="11147" xr:uid="{00000000-0005-0000-0000-0000301F0000}"/>
    <cellStyle name="40% - Accent4 2 6 8 2" xfId="11148" xr:uid="{00000000-0005-0000-0000-0000311F0000}"/>
    <cellStyle name="40% - Accent4 2 6 9" xfId="11149" xr:uid="{00000000-0005-0000-0000-0000321F0000}"/>
    <cellStyle name="40% - Accent4 2 7" xfId="11150" xr:uid="{00000000-0005-0000-0000-0000331F0000}"/>
    <cellStyle name="40% - Accent4 2 7 2" xfId="11151" xr:uid="{00000000-0005-0000-0000-0000341F0000}"/>
    <cellStyle name="40% - Accent4 2 7 2 2" xfId="11152" xr:uid="{00000000-0005-0000-0000-0000351F0000}"/>
    <cellStyle name="40% - Accent4 2 7 3" xfId="11153" xr:uid="{00000000-0005-0000-0000-0000361F0000}"/>
    <cellStyle name="40% - Accent4 2 7 4" xfId="11154" xr:uid="{00000000-0005-0000-0000-0000371F0000}"/>
    <cellStyle name="40% - Accent4 2 8" xfId="11155" xr:uid="{00000000-0005-0000-0000-0000381F0000}"/>
    <cellStyle name="40% - Accent4 2 8 2" xfId="11156" xr:uid="{00000000-0005-0000-0000-0000391F0000}"/>
    <cellStyle name="40% - Accent4 2 9" xfId="11157" xr:uid="{00000000-0005-0000-0000-00003A1F0000}"/>
    <cellStyle name="40% - Accent4 2 9 2" xfId="11158" xr:uid="{00000000-0005-0000-0000-00003B1F0000}"/>
    <cellStyle name="40% - Accent4 20" xfId="3156" xr:uid="{00000000-0005-0000-0000-00003C1F0000}"/>
    <cellStyle name="40% - Accent4 20 2" xfId="3155" xr:uid="{00000000-0005-0000-0000-00003D1F0000}"/>
    <cellStyle name="40% - Accent4 20 2 2" xfId="3154" xr:uid="{00000000-0005-0000-0000-00003E1F0000}"/>
    <cellStyle name="40% - Accent4 20 2 2 2" xfId="3153" xr:uid="{00000000-0005-0000-0000-00003F1F0000}"/>
    <cellStyle name="40% - Accent4 20 2 2 3" xfId="3152" xr:uid="{00000000-0005-0000-0000-0000401F0000}"/>
    <cellStyle name="40% - Accent4 20 2 3" xfId="3151" xr:uid="{00000000-0005-0000-0000-0000411F0000}"/>
    <cellStyle name="40% - Accent4 20 2 4" xfId="3150" xr:uid="{00000000-0005-0000-0000-0000421F0000}"/>
    <cellStyle name="40% - Accent4 20 3" xfId="3149" xr:uid="{00000000-0005-0000-0000-0000431F0000}"/>
    <cellStyle name="40% - Accent4 20 3 2" xfId="3148" xr:uid="{00000000-0005-0000-0000-0000441F0000}"/>
    <cellStyle name="40% - Accent4 20 3 3" xfId="3147" xr:uid="{00000000-0005-0000-0000-0000451F0000}"/>
    <cellStyle name="40% - Accent4 20 4" xfId="3146" xr:uid="{00000000-0005-0000-0000-0000461F0000}"/>
    <cellStyle name="40% - Accent4 20 4 2" xfId="3145" xr:uid="{00000000-0005-0000-0000-0000471F0000}"/>
    <cellStyle name="40% - Accent4 20 4 3" xfId="3144" xr:uid="{00000000-0005-0000-0000-0000481F0000}"/>
    <cellStyle name="40% - Accent4 20 5" xfId="3143" xr:uid="{00000000-0005-0000-0000-0000491F0000}"/>
    <cellStyle name="40% - Accent4 20 6" xfId="3142" xr:uid="{00000000-0005-0000-0000-00004A1F0000}"/>
    <cellStyle name="40% - Accent4 21" xfId="3141" xr:uid="{00000000-0005-0000-0000-00004B1F0000}"/>
    <cellStyle name="40% - Accent4 22" xfId="3140" xr:uid="{00000000-0005-0000-0000-00004C1F0000}"/>
    <cellStyle name="40% - Accent4 22 2" xfId="3139" xr:uid="{00000000-0005-0000-0000-00004D1F0000}"/>
    <cellStyle name="40% - Accent4 22 2 2" xfId="3138" xr:uid="{00000000-0005-0000-0000-00004E1F0000}"/>
    <cellStyle name="40% - Accent4 22 2 2 2" xfId="3137" xr:uid="{00000000-0005-0000-0000-00004F1F0000}"/>
    <cellStyle name="40% - Accent4 22 2 2 3" xfId="3136" xr:uid="{00000000-0005-0000-0000-0000501F0000}"/>
    <cellStyle name="40% - Accent4 22 2 3" xfId="3135" xr:uid="{00000000-0005-0000-0000-0000511F0000}"/>
    <cellStyle name="40% - Accent4 22 2 4" xfId="3134" xr:uid="{00000000-0005-0000-0000-0000521F0000}"/>
    <cellStyle name="40% - Accent4 22 3" xfId="3133" xr:uid="{00000000-0005-0000-0000-0000531F0000}"/>
    <cellStyle name="40% - Accent4 22 3 2" xfId="3132" xr:uid="{00000000-0005-0000-0000-0000541F0000}"/>
    <cellStyle name="40% - Accent4 22 3 3" xfId="3131" xr:uid="{00000000-0005-0000-0000-0000551F0000}"/>
    <cellStyle name="40% - Accent4 22 4" xfId="3130" xr:uid="{00000000-0005-0000-0000-0000561F0000}"/>
    <cellStyle name="40% - Accent4 22 4 2" xfId="3129" xr:uid="{00000000-0005-0000-0000-0000571F0000}"/>
    <cellStyle name="40% - Accent4 22 4 3" xfId="3128" xr:uid="{00000000-0005-0000-0000-0000581F0000}"/>
    <cellStyle name="40% - Accent4 22 5" xfId="3127" xr:uid="{00000000-0005-0000-0000-0000591F0000}"/>
    <cellStyle name="40% - Accent4 22 6" xfId="3126" xr:uid="{00000000-0005-0000-0000-00005A1F0000}"/>
    <cellStyle name="40% - Accent4 23" xfId="3125" xr:uid="{00000000-0005-0000-0000-00005B1F0000}"/>
    <cellStyle name="40% - Accent4 23 2" xfId="3124" xr:uid="{00000000-0005-0000-0000-00005C1F0000}"/>
    <cellStyle name="40% - Accent4 23 2 2" xfId="3123" xr:uid="{00000000-0005-0000-0000-00005D1F0000}"/>
    <cellStyle name="40% - Accent4 23 2 3" xfId="3122" xr:uid="{00000000-0005-0000-0000-00005E1F0000}"/>
    <cellStyle name="40% - Accent4 23 3" xfId="3121" xr:uid="{00000000-0005-0000-0000-00005F1F0000}"/>
    <cellStyle name="40% - Accent4 23 4" xfId="3120" xr:uid="{00000000-0005-0000-0000-0000601F0000}"/>
    <cellStyle name="40% - Accent4 24" xfId="3119" xr:uid="{00000000-0005-0000-0000-0000611F0000}"/>
    <cellStyle name="40% - Accent4 24 2" xfId="3118" xr:uid="{00000000-0005-0000-0000-0000621F0000}"/>
    <cellStyle name="40% - Accent4 24 3" xfId="3117" xr:uid="{00000000-0005-0000-0000-0000631F0000}"/>
    <cellStyle name="40% - Accent4 25" xfId="3116" xr:uid="{00000000-0005-0000-0000-0000641F0000}"/>
    <cellStyle name="40% - Accent4 25 2" xfId="3115" xr:uid="{00000000-0005-0000-0000-0000651F0000}"/>
    <cellStyle name="40% - Accent4 25 3" xfId="3114" xr:uid="{00000000-0005-0000-0000-0000661F0000}"/>
    <cellStyle name="40% - Accent4 26" xfId="3113" xr:uid="{00000000-0005-0000-0000-0000671F0000}"/>
    <cellStyle name="40% - Accent4 27" xfId="3112" xr:uid="{00000000-0005-0000-0000-0000681F0000}"/>
    <cellStyle name="40% - Accent4 28" xfId="3111" xr:uid="{00000000-0005-0000-0000-0000691F0000}"/>
    <cellStyle name="40% - Accent4 29" xfId="3110" xr:uid="{00000000-0005-0000-0000-00006A1F0000}"/>
    <cellStyle name="40% - Accent4 3" xfId="3109" xr:uid="{00000000-0005-0000-0000-00006B1F0000}"/>
    <cellStyle name="40% - Accent4 3 10" xfId="11159" xr:uid="{00000000-0005-0000-0000-00006C1F0000}"/>
    <cellStyle name="40% - Accent4 3 2" xfId="3108" xr:uid="{00000000-0005-0000-0000-00006D1F0000}"/>
    <cellStyle name="40% - Accent4 3 2 2" xfId="11160" xr:uid="{00000000-0005-0000-0000-00006E1F0000}"/>
    <cellStyle name="40% - Accent4 3 2 2 2" xfId="11161" xr:uid="{00000000-0005-0000-0000-00006F1F0000}"/>
    <cellStyle name="40% - Accent4 3 2 2 2 2" xfId="11162" xr:uid="{00000000-0005-0000-0000-0000701F0000}"/>
    <cellStyle name="40% - Accent4 3 2 2 3" xfId="11163" xr:uid="{00000000-0005-0000-0000-0000711F0000}"/>
    <cellStyle name="40% - Accent4 3 2 2 4" xfId="11164" xr:uid="{00000000-0005-0000-0000-0000721F0000}"/>
    <cellStyle name="40% - Accent4 3 2 2 5" xfId="11165" xr:uid="{00000000-0005-0000-0000-0000731F0000}"/>
    <cellStyle name="40% - Accent4 3 2 3" xfId="11166" xr:uid="{00000000-0005-0000-0000-0000741F0000}"/>
    <cellStyle name="40% - Accent4 3 2 3 2" xfId="11167" xr:uid="{00000000-0005-0000-0000-0000751F0000}"/>
    <cellStyle name="40% - Accent4 3 2 3 2 2" xfId="11168" xr:uid="{00000000-0005-0000-0000-0000761F0000}"/>
    <cellStyle name="40% - Accent4 3 2 3 3" xfId="11169" xr:uid="{00000000-0005-0000-0000-0000771F0000}"/>
    <cellStyle name="40% - Accent4 3 2 3 4" xfId="11170" xr:uid="{00000000-0005-0000-0000-0000781F0000}"/>
    <cellStyle name="40% - Accent4 3 2 4" xfId="11171" xr:uid="{00000000-0005-0000-0000-0000791F0000}"/>
    <cellStyle name="40% - Accent4 3 2 4 2" xfId="11172" xr:uid="{00000000-0005-0000-0000-00007A1F0000}"/>
    <cellStyle name="40% - Accent4 3 2 5" xfId="11173" xr:uid="{00000000-0005-0000-0000-00007B1F0000}"/>
    <cellStyle name="40% - Accent4 3 2 5 2" xfId="11174" xr:uid="{00000000-0005-0000-0000-00007C1F0000}"/>
    <cellStyle name="40% - Accent4 3 2 6" xfId="11175" xr:uid="{00000000-0005-0000-0000-00007D1F0000}"/>
    <cellStyle name="40% - Accent4 3 2 7" xfId="11176" xr:uid="{00000000-0005-0000-0000-00007E1F0000}"/>
    <cellStyle name="40% - Accent4 3 2 8" xfId="11177" xr:uid="{00000000-0005-0000-0000-00007F1F0000}"/>
    <cellStyle name="40% - Accent4 3 3" xfId="3107" xr:uid="{00000000-0005-0000-0000-0000801F0000}"/>
    <cellStyle name="40% - Accent4 3 3 2" xfId="3106" xr:uid="{00000000-0005-0000-0000-0000811F0000}"/>
    <cellStyle name="40% - Accent4 3 3 2 2" xfId="3105" xr:uid="{00000000-0005-0000-0000-0000821F0000}"/>
    <cellStyle name="40% - Accent4 3 3 2 2 2" xfId="3104" xr:uid="{00000000-0005-0000-0000-0000831F0000}"/>
    <cellStyle name="40% - Accent4 3 3 2 2 3" xfId="3103" xr:uid="{00000000-0005-0000-0000-0000841F0000}"/>
    <cellStyle name="40% - Accent4 3 3 2 3" xfId="3102" xr:uid="{00000000-0005-0000-0000-0000851F0000}"/>
    <cellStyle name="40% - Accent4 3 3 2 4" xfId="3101" xr:uid="{00000000-0005-0000-0000-0000861F0000}"/>
    <cellStyle name="40% - Accent4 3 3 3" xfId="3100" xr:uid="{00000000-0005-0000-0000-0000871F0000}"/>
    <cellStyle name="40% - Accent4 3 3 3 2" xfId="3099" xr:uid="{00000000-0005-0000-0000-0000881F0000}"/>
    <cellStyle name="40% - Accent4 3 3 3 3" xfId="3098" xr:uid="{00000000-0005-0000-0000-0000891F0000}"/>
    <cellStyle name="40% - Accent4 3 3 4" xfId="3097" xr:uid="{00000000-0005-0000-0000-00008A1F0000}"/>
    <cellStyle name="40% - Accent4 3 3 4 2" xfId="3096" xr:uid="{00000000-0005-0000-0000-00008B1F0000}"/>
    <cellStyle name="40% - Accent4 3 3 4 3" xfId="3095" xr:uid="{00000000-0005-0000-0000-00008C1F0000}"/>
    <cellStyle name="40% - Accent4 3 3 5" xfId="3094" xr:uid="{00000000-0005-0000-0000-00008D1F0000}"/>
    <cellStyle name="40% - Accent4 3 3 6" xfId="3093" xr:uid="{00000000-0005-0000-0000-00008E1F0000}"/>
    <cellStyle name="40% - Accent4 3 3 7" xfId="11178" xr:uid="{00000000-0005-0000-0000-00008F1F0000}"/>
    <cellStyle name="40% - Accent4 3 4" xfId="11179" xr:uid="{00000000-0005-0000-0000-0000901F0000}"/>
    <cellStyle name="40% - Accent4 3 4 2" xfId="11180" xr:uid="{00000000-0005-0000-0000-0000911F0000}"/>
    <cellStyle name="40% - Accent4 3 4 2 2" xfId="11181" xr:uid="{00000000-0005-0000-0000-0000921F0000}"/>
    <cellStyle name="40% - Accent4 3 4 3" xfId="11182" xr:uid="{00000000-0005-0000-0000-0000931F0000}"/>
    <cellStyle name="40% - Accent4 3 4 4" xfId="11183" xr:uid="{00000000-0005-0000-0000-0000941F0000}"/>
    <cellStyle name="40% - Accent4 3 5" xfId="11184" xr:uid="{00000000-0005-0000-0000-0000951F0000}"/>
    <cellStyle name="40% - Accent4 3 5 2" xfId="11185" xr:uid="{00000000-0005-0000-0000-0000961F0000}"/>
    <cellStyle name="40% - Accent4 3 6" xfId="11186" xr:uid="{00000000-0005-0000-0000-0000971F0000}"/>
    <cellStyle name="40% - Accent4 3 7" xfId="11187" xr:uid="{00000000-0005-0000-0000-0000981F0000}"/>
    <cellStyle name="40% - Accent4 3 7 2" xfId="11188" xr:uid="{00000000-0005-0000-0000-0000991F0000}"/>
    <cellStyle name="40% - Accent4 3 8" xfId="11189" xr:uid="{00000000-0005-0000-0000-00009A1F0000}"/>
    <cellStyle name="40% - Accent4 3 9" xfId="11190" xr:uid="{00000000-0005-0000-0000-00009B1F0000}"/>
    <cellStyle name="40% - Accent4 3 9 2" xfId="11191" xr:uid="{00000000-0005-0000-0000-00009C1F0000}"/>
    <cellStyle name="40% - Accent4 4" xfId="3092" xr:uid="{00000000-0005-0000-0000-00009D1F0000}"/>
    <cellStyle name="40% - Accent4 4 2" xfId="3091" xr:uid="{00000000-0005-0000-0000-00009E1F0000}"/>
    <cellStyle name="40% - Accent4 4 2 2" xfId="3090" xr:uid="{00000000-0005-0000-0000-00009F1F0000}"/>
    <cellStyle name="40% - Accent4 4 2 2 2" xfId="3089" xr:uid="{00000000-0005-0000-0000-0000A01F0000}"/>
    <cellStyle name="40% - Accent4 4 2 2 2 2" xfId="3088" xr:uid="{00000000-0005-0000-0000-0000A11F0000}"/>
    <cellStyle name="40% - Accent4 4 2 2 2 3" xfId="3087" xr:uid="{00000000-0005-0000-0000-0000A21F0000}"/>
    <cellStyle name="40% - Accent4 4 2 2 3" xfId="3086" xr:uid="{00000000-0005-0000-0000-0000A31F0000}"/>
    <cellStyle name="40% - Accent4 4 2 2 4" xfId="3085" xr:uid="{00000000-0005-0000-0000-0000A41F0000}"/>
    <cellStyle name="40% - Accent4 4 2 3" xfId="3084" xr:uid="{00000000-0005-0000-0000-0000A51F0000}"/>
    <cellStyle name="40% - Accent4 4 2 3 2" xfId="3083" xr:uid="{00000000-0005-0000-0000-0000A61F0000}"/>
    <cellStyle name="40% - Accent4 4 2 3 3" xfId="3082" xr:uid="{00000000-0005-0000-0000-0000A71F0000}"/>
    <cellStyle name="40% - Accent4 4 2 4" xfId="3081" xr:uid="{00000000-0005-0000-0000-0000A81F0000}"/>
    <cellStyle name="40% - Accent4 4 2 4 2" xfId="3080" xr:uid="{00000000-0005-0000-0000-0000A91F0000}"/>
    <cellStyle name="40% - Accent4 4 2 4 3" xfId="3079" xr:uid="{00000000-0005-0000-0000-0000AA1F0000}"/>
    <cellStyle name="40% - Accent4 4 2 5" xfId="3078" xr:uid="{00000000-0005-0000-0000-0000AB1F0000}"/>
    <cellStyle name="40% - Accent4 4 2 6" xfId="3077" xr:uid="{00000000-0005-0000-0000-0000AC1F0000}"/>
    <cellStyle name="40% - Accent4 4 3" xfId="3076" xr:uid="{00000000-0005-0000-0000-0000AD1F0000}"/>
    <cellStyle name="40% - Accent4 4 3 2" xfId="3075" xr:uid="{00000000-0005-0000-0000-0000AE1F0000}"/>
    <cellStyle name="40% - Accent4 4 3 2 2" xfId="3074" xr:uid="{00000000-0005-0000-0000-0000AF1F0000}"/>
    <cellStyle name="40% - Accent4 4 3 2 3" xfId="3073" xr:uid="{00000000-0005-0000-0000-0000B01F0000}"/>
    <cellStyle name="40% - Accent4 4 3 3" xfId="3072" xr:uid="{00000000-0005-0000-0000-0000B11F0000}"/>
    <cellStyle name="40% - Accent4 4 3 3 2" xfId="11192" xr:uid="{00000000-0005-0000-0000-0000B21F0000}"/>
    <cellStyle name="40% - Accent4 4 3 4" xfId="3071" xr:uid="{00000000-0005-0000-0000-0000B31F0000}"/>
    <cellStyle name="40% - Accent4 4 4" xfId="3070" xr:uid="{00000000-0005-0000-0000-0000B41F0000}"/>
    <cellStyle name="40% - Accent4 4 4 2" xfId="3069" xr:uid="{00000000-0005-0000-0000-0000B51F0000}"/>
    <cellStyle name="40% - Accent4 4 4 2 2" xfId="11193" xr:uid="{00000000-0005-0000-0000-0000B61F0000}"/>
    <cellStyle name="40% - Accent4 4 4 3" xfId="3068" xr:uid="{00000000-0005-0000-0000-0000B71F0000}"/>
    <cellStyle name="40% - Accent4 4 4 4" xfId="11194" xr:uid="{00000000-0005-0000-0000-0000B81F0000}"/>
    <cellStyle name="40% - Accent4 4 5" xfId="3067" xr:uid="{00000000-0005-0000-0000-0000B91F0000}"/>
    <cellStyle name="40% - Accent4 4 5 2" xfId="3066" xr:uid="{00000000-0005-0000-0000-0000BA1F0000}"/>
    <cellStyle name="40% - Accent4 4 5 3" xfId="3065" xr:uid="{00000000-0005-0000-0000-0000BB1F0000}"/>
    <cellStyle name="40% - Accent4 4 6" xfId="3064" xr:uid="{00000000-0005-0000-0000-0000BC1F0000}"/>
    <cellStyle name="40% - Accent4 4 6 2" xfId="11195" xr:uid="{00000000-0005-0000-0000-0000BD1F0000}"/>
    <cellStyle name="40% - Accent4 4 7" xfId="3063" xr:uid="{00000000-0005-0000-0000-0000BE1F0000}"/>
    <cellStyle name="40% - Accent4 4 7 2" xfId="11196" xr:uid="{00000000-0005-0000-0000-0000BF1F0000}"/>
    <cellStyle name="40% - Accent4 4 8" xfId="11197" xr:uid="{00000000-0005-0000-0000-0000C01F0000}"/>
    <cellStyle name="40% - Accent4 4 9" xfId="11198" xr:uid="{00000000-0005-0000-0000-0000C11F0000}"/>
    <cellStyle name="40% - Accent4 5" xfId="3062" xr:uid="{00000000-0005-0000-0000-0000C21F0000}"/>
    <cellStyle name="40% - Accent4 5 10" xfId="11199" xr:uid="{00000000-0005-0000-0000-0000C31F0000}"/>
    <cellStyle name="40% - Accent4 5 11" xfId="11200" xr:uid="{00000000-0005-0000-0000-0000C41F0000}"/>
    <cellStyle name="40% - Accent4 5 2" xfId="3061" xr:uid="{00000000-0005-0000-0000-0000C51F0000}"/>
    <cellStyle name="40% - Accent4 5 2 2" xfId="3060" xr:uid="{00000000-0005-0000-0000-0000C61F0000}"/>
    <cellStyle name="40% - Accent4 5 2 2 2" xfId="3059" xr:uid="{00000000-0005-0000-0000-0000C71F0000}"/>
    <cellStyle name="40% - Accent4 5 2 2 2 2" xfId="11201" xr:uid="{00000000-0005-0000-0000-0000C81F0000}"/>
    <cellStyle name="40% - Accent4 5 2 2 2 2 2" xfId="11202" xr:uid="{00000000-0005-0000-0000-0000C91F0000}"/>
    <cellStyle name="40% - Accent4 5 2 2 2 3" xfId="11203" xr:uid="{00000000-0005-0000-0000-0000CA1F0000}"/>
    <cellStyle name="40% - Accent4 5 2 2 2 3 2" xfId="11204" xr:uid="{00000000-0005-0000-0000-0000CB1F0000}"/>
    <cellStyle name="40% - Accent4 5 2 2 2 4" xfId="11205" xr:uid="{00000000-0005-0000-0000-0000CC1F0000}"/>
    <cellStyle name="40% - Accent4 5 2 2 2 4 2" xfId="11206" xr:uid="{00000000-0005-0000-0000-0000CD1F0000}"/>
    <cellStyle name="40% - Accent4 5 2 2 2 5" xfId="11207" xr:uid="{00000000-0005-0000-0000-0000CE1F0000}"/>
    <cellStyle name="40% - Accent4 5 2 2 3" xfId="3058" xr:uid="{00000000-0005-0000-0000-0000CF1F0000}"/>
    <cellStyle name="40% - Accent4 5 2 2 3 2" xfId="11208" xr:uid="{00000000-0005-0000-0000-0000D01F0000}"/>
    <cellStyle name="40% - Accent4 5 2 2 3 2 2" xfId="11209" xr:uid="{00000000-0005-0000-0000-0000D11F0000}"/>
    <cellStyle name="40% - Accent4 5 2 2 3 3" xfId="11210" xr:uid="{00000000-0005-0000-0000-0000D21F0000}"/>
    <cellStyle name="40% - Accent4 5 2 2 3 3 2" xfId="11211" xr:uid="{00000000-0005-0000-0000-0000D31F0000}"/>
    <cellStyle name="40% - Accent4 5 2 2 3 4" xfId="11212" xr:uid="{00000000-0005-0000-0000-0000D41F0000}"/>
    <cellStyle name="40% - Accent4 5 2 2 4" xfId="11213" xr:uid="{00000000-0005-0000-0000-0000D51F0000}"/>
    <cellStyle name="40% - Accent4 5 2 2 4 2" xfId="11214" xr:uid="{00000000-0005-0000-0000-0000D61F0000}"/>
    <cellStyle name="40% - Accent4 5 2 2 4 2 2" xfId="11215" xr:uid="{00000000-0005-0000-0000-0000D71F0000}"/>
    <cellStyle name="40% - Accent4 5 2 2 4 3" xfId="11216" xr:uid="{00000000-0005-0000-0000-0000D81F0000}"/>
    <cellStyle name="40% - Accent4 5 2 2 4 3 2" xfId="11217" xr:uid="{00000000-0005-0000-0000-0000D91F0000}"/>
    <cellStyle name="40% - Accent4 5 2 2 4 4" xfId="11218" xr:uid="{00000000-0005-0000-0000-0000DA1F0000}"/>
    <cellStyle name="40% - Accent4 5 2 2 5" xfId="11219" xr:uid="{00000000-0005-0000-0000-0000DB1F0000}"/>
    <cellStyle name="40% - Accent4 5 2 2 5 2" xfId="11220" xr:uid="{00000000-0005-0000-0000-0000DC1F0000}"/>
    <cellStyle name="40% - Accent4 5 2 2 5 2 2" xfId="11221" xr:uid="{00000000-0005-0000-0000-0000DD1F0000}"/>
    <cellStyle name="40% - Accent4 5 2 2 5 3" xfId="11222" xr:uid="{00000000-0005-0000-0000-0000DE1F0000}"/>
    <cellStyle name="40% - Accent4 5 2 2 5 3 2" xfId="11223" xr:uid="{00000000-0005-0000-0000-0000DF1F0000}"/>
    <cellStyle name="40% - Accent4 5 2 2 5 4" xfId="11224" xr:uid="{00000000-0005-0000-0000-0000E01F0000}"/>
    <cellStyle name="40% - Accent4 5 2 2 6" xfId="11225" xr:uid="{00000000-0005-0000-0000-0000E11F0000}"/>
    <cellStyle name="40% - Accent4 5 2 2 7" xfId="11226" xr:uid="{00000000-0005-0000-0000-0000E21F0000}"/>
    <cellStyle name="40% - Accent4 5 2 3" xfId="3057" xr:uid="{00000000-0005-0000-0000-0000E31F0000}"/>
    <cellStyle name="40% - Accent4 5 2 4" xfId="3056" xr:uid="{00000000-0005-0000-0000-0000E41F0000}"/>
    <cellStyle name="40% - Accent4 5 2 5" xfId="11227" xr:uid="{00000000-0005-0000-0000-0000E51F0000}"/>
    <cellStyle name="40% - Accent4 5 2 5 2" xfId="11228" xr:uid="{00000000-0005-0000-0000-0000E61F0000}"/>
    <cellStyle name="40% - Accent4 5 2 6" xfId="11229" xr:uid="{00000000-0005-0000-0000-0000E71F0000}"/>
    <cellStyle name="40% - Accent4 5 3" xfId="3055" xr:uid="{00000000-0005-0000-0000-0000E81F0000}"/>
    <cellStyle name="40% - Accent4 5 3 2" xfId="3054" xr:uid="{00000000-0005-0000-0000-0000E91F0000}"/>
    <cellStyle name="40% - Accent4 5 3 2 2" xfId="11230" xr:uid="{00000000-0005-0000-0000-0000EA1F0000}"/>
    <cellStyle name="40% - Accent4 5 3 3" xfId="3053" xr:uid="{00000000-0005-0000-0000-0000EB1F0000}"/>
    <cellStyle name="40% - Accent4 5 3 4" xfId="11231" xr:uid="{00000000-0005-0000-0000-0000EC1F0000}"/>
    <cellStyle name="40% - Accent4 5 3 5" xfId="11232" xr:uid="{00000000-0005-0000-0000-0000ED1F0000}"/>
    <cellStyle name="40% - Accent4 5 3 5 2" xfId="11233" xr:uid="{00000000-0005-0000-0000-0000EE1F0000}"/>
    <cellStyle name="40% - Accent4 5 3 6" xfId="11234" xr:uid="{00000000-0005-0000-0000-0000EF1F0000}"/>
    <cellStyle name="40% - Accent4 5 4" xfId="3052" xr:uid="{00000000-0005-0000-0000-0000F01F0000}"/>
    <cellStyle name="40% - Accent4 5 4 2" xfId="3051" xr:uid="{00000000-0005-0000-0000-0000F11F0000}"/>
    <cellStyle name="40% - Accent4 5 4 3" xfId="3050" xr:uid="{00000000-0005-0000-0000-0000F21F0000}"/>
    <cellStyle name="40% - Accent4 5 5" xfId="3049" xr:uid="{00000000-0005-0000-0000-0000F31F0000}"/>
    <cellStyle name="40% - Accent4 5 5 2" xfId="11235" xr:uid="{00000000-0005-0000-0000-0000F41F0000}"/>
    <cellStyle name="40% - Accent4 5 5 2 2" xfId="11236" xr:uid="{00000000-0005-0000-0000-0000F51F0000}"/>
    <cellStyle name="40% - Accent4 5 5 2 2 2" xfId="11237" xr:uid="{00000000-0005-0000-0000-0000F61F0000}"/>
    <cellStyle name="40% - Accent4 5 5 2 3" xfId="11238" xr:uid="{00000000-0005-0000-0000-0000F71F0000}"/>
    <cellStyle name="40% - Accent4 5 5 2 3 2" xfId="11239" xr:uid="{00000000-0005-0000-0000-0000F81F0000}"/>
    <cellStyle name="40% - Accent4 5 5 2 4" xfId="11240" xr:uid="{00000000-0005-0000-0000-0000F91F0000}"/>
    <cellStyle name="40% - Accent4 5 5 2 4 2" xfId="11241" xr:uid="{00000000-0005-0000-0000-0000FA1F0000}"/>
    <cellStyle name="40% - Accent4 5 5 2 5" xfId="11242" xr:uid="{00000000-0005-0000-0000-0000FB1F0000}"/>
    <cellStyle name="40% - Accent4 5 5 3" xfId="11243" xr:uid="{00000000-0005-0000-0000-0000FC1F0000}"/>
    <cellStyle name="40% - Accent4 5 5 3 2" xfId="11244" xr:uid="{00000000-0005-0000-0000-0000FD1F0000}"/>
    <cellStyle name="40% - Accent4 5 5 3 2 2" xfId="11245" xr:uid="{00000000-0005-0000-0000-0000FE1F0000}"/>
    <cellStyle name="40% - Accent4 5 5 3 3" xfId="11246" xr:uid="{00000000-0005-0000-0000-0000FF1F0000}"/>
    <cellStyle name="40% - Accent4 5 5 3 3 2" xfId="11247" xr:uid="{00000000-0005-0000-0000-000000200000}"/>
    <cellStyle name="40% - Accent4 5 5 3 4" xfId="11248" xr:uid="{00000000-0005-0000-0000-000001200000}"/>
    <cellStyle name="40% - Accent4 5 5 4" xfId="11249" xr:uid="{00000000-0005-0000-0000-000002200000}"/>
    <cellStyle name="40% - Accent4 5 5 4 2" xfId="11250" xr:uid="{00000000-0005-0000-0000-000003200000}"/>
    <cellStyle name="40% - Accent4 5 5 4 2 2" xfId="11251" xr:uid="{00000000-0005-0000-0000-000004200000}"/>
    <cellStyle name="40% - Accent4 5 5 4 3" xfId="11252" xr:uid="{00000000-0005-0000-0000-000005200000}"/>
    <cellStyle name="40% - Accent4 5 5 4 3 2" xfId="11253" xr:uid="{00000000-0005-0000-0000-000006200000}"/>
    <cellStyle name="40% - Accent4 5 5 4 4" xfId="11254" xr:uid="{00000000-0005-0000-0000-000007200000}"/>
    <cellStyle name="40% - Accent4 5 5 5" xfId="11255" xr:uid="{00000000-0005-0000-0000-000008200000}"/>
    <cellStyle name="40% - Accent4 5 5 5 2" xfId="11256" xr:uid="{00000000-0005-0000-0000-000009200000}"/>
    <cellStyle name="40% - Accent4 5 5 5 2 2" xfId="11257" xr:uid="{00000000-0005-0000-0000-00000A200000}"/>
    <cellStyle name="40% - Accent4 5 5 5 3" xfId="11258" xr:uid="{00000000-0005-0000-0000-00000B200000}"/>
    <cellStyle name="40% - Accent4 5 5 5 3 2" xfId="11259" xr:uid="{00000000-0005-0000-0000-00000C200000}"/>
    <cellStyle name="40% - Accent4 5 5 5 4" xfId="11260" xr:uid="{00000000-0005-0000-0000-00000D200000}"/>
    <cellStyle name="40% - Accent4 5 5 6" xfId="11261" xr:uid="{00000000-0005-0000-0000-00000E200000}"/>
    <cellStyle name="40% - Accent4 5 6" xfId="3048" xr:uid="{00000000-0005-0000-0000-00000F200000}"/>
    <cellStyle name="40% - Accent4 5 6 2" xfId="11262" xr:uid="{00000000-0005-0000-0000-000010200000}"/>
    <cellStyle name="40% - Accent4 5 6 2 2" xfId="11263" xr:uid="{00000000-0005-0000-0000-000011200000}"/>
    <cellStyle name="40% - Accent4 5 6 2 2 2" xfId="11264" xr:uid="{00000000-0005-0000-0000-000012200000}"/>
    <cellStyle name="40% - Accent4 5 6 2 2 2 2" xfId="11265" xr:uid="{00000000-0005-0000-0000-000013200000}"/>
    <cellStyle name="40% - Accent4 5 6 2 2 3" xfId="11266" xr:uid="{00000000-0005-0000-0000-000014200000}"/>
    <cellStyle name="40% - Accent4 5 6 2 2 3 2" xfId="11267" xr:uid="{00000000-0005-0000-0000-000015200000}"/>
    <cellStyle name="40% - Accent4 5 6 2 2 4" xfId="11268" xr:uid="{00000000-0005-0000-0000-000016200000}"/>
    <cellStyle name="40% - Accent4 5 6 2 2 5" xfId="11269" xr:uid="{00000000-0005-0000-0000-000017200000}"/>
    <cellStyle name="40% - Accent4 5 6 2 3" xfId="11270" xr:uid="{00000000-0005-0000-0000-000018200000}"/>
    <cellStyle name="40% - Accent4 5 6 2 3 2" xfId="11271" xr:uid="{00000000-0005-0000-0000-000019200000}"/>
    <cellStyle name="40% - Accent4 5 6 2 3 2 2" xfId="11272" xr:uid="{00000000-0005-0000-0000-00001A200000}"/>
    <cellStyle name="40% - Accent4 5 6 2 3 3" xfId="11273" xr:uid="{00000000-0005-0000-0000-00001B200000}"/>
    <cellStyle name="40% - Accent4 5 6 2 4" xfId="11274" xr:uid="{00000000-0005-0000-0000-00001C200000}"/>
    <cellStyle name="40% - Accent4 5 6 2 4 2" xfId="11275" xr:uid="{00000000-0005-0000-0000-00001D200000}"/>
    <cellStyle name="40% - Accent4 5 6 2 5" xfId="11276" xr:uid="{00000000-0005-0000-0000-00001E200000}"/>
    <cellStyle name="40% - Accent4 5 6 2 5 2" xfId="11277" xr:uid="{00000000-0005-0000-0000-00001F200000}"/>
    <cellStyle name="40% - Accent4 5 6 2 6" xfId="11278" xr:uid="{00000000-0005-0000-0000-000020200000}"/>
    <cellStyle name="40% - Accent4 5 6 3" xfId="11279" xr:uid="{00000000-0005-0000-0000-000021200000}"/>
    <cellStyle name="40% - Accent4 5 6 3 2" xfId="11280" xr:uid="{00000000-0005-0000-0000-000022200000}"/>
    <cellStyle name="40% - Accent4 5 6 3 2 2" xfId="11281" xr:uid="{00000000-0005-0000-0000-000023200000}"/>
    <cellStyle name="40% - Accent4 5 6 3 2 2 2" xfId="11282" xr:uid="{00000000-0005-0000-0000-000024200000}"/>
    <cellStyle name="40% - Accent4 5 6 3 2 3" xfId="11283" xr:uid="{00000000-0005-0000-0000-000025200000}"/>
    <cellStyle name="40% - Accent4 5 6 3 2 3 2" xfId="11284" xr:uid="{00000000-0005-0000-0000-000026200000}"/>
    <cellStyle name="40% - Accent4 5 6 3 2 4" xfId="11285" xr:uid="{00000000-0005-0000-0000-000027200000}"/>
    <cellStyle name="40% - Accent4 5 6 3 2 5" xfId="11286" xr:uid="{00000000-0005-0000-0000-000028200000}"/>
    <cellStyle name="40% - Accent4 5 6 3 3" xfId="11287" xr:uid="{00000000-0005-0000-0000-000029200000}"/>
    <cellStyle name="40% - Accent4 5 6 3 3 2" xfId="11288" xr:uid="{00000000-0005-0000-0000-00002A200000}"/>
    <cellStyle name="40% - Accent4 5 6 3 3 2 2" xfId="11289" xr:uid="{00000000-0005-0000-0000-00002B200000}"/>
    <cellStyle name="40% - Accent4 5 6 3 3 3" xfId="11290" xr:uid="{00000000-0005-0000-0000-00002C200000}"/>
    <cellStyle name="40% - Accent4 5 6 3 4" xfId="11291" xr:uid="{00000000-0005-0000-0000-00002D200000}"/>
    <cellStyle name="40% - Accent4 5 6 3 4 2" xfId="11292" xr:uid="{00000000-0005-0000-0000-00002E200000}"/>
    <cellStyle name="40% - Accent4 5 6 3 5" xfId="11293" xr:uid="{00000000-0005-0000-0000-00002F200000}"/>
    <cellStyle name="40% - Accent4 5 6 3 5 2" xfId="11294" xr:uid="{00000000-0005-0000-0000-000030200000}"/>
    <cellStyle name="40% - Accent4 5 6 3 6" xfId="11295" xr:uid="{00000000-0005-0000-0000-000031200000}"/>
    <cellStyle name="40% - Accent4 5 6 4" xfId="11296" xr:uid="{00000000-0005-0000-0000-000032200000}"/>
    <cellStyle name="40% - Accent4 5 6 4 2" xfId="11297" xr:uid="{00000000-0005-0000-0000-000033200000}"/>
    <cellStyle name="40% - Accent4 5 6 4 2 2" xfId="11298" xr:uid="{00000000-0005-0000-0000-000034200000}"/>
    <cellStyle name="40% - Accent4 5 6 4 3" xfId="11299" xr:uid="{00000000-0005-0000-0000-000035200000}"/>
    <cellStyle name="40% - Accent4 5 6 4 3 2" xfId="11300" xr:uid="{00000000-0005-0000-0000-000036200000}"/>
    <cellStyle name="40% - Accent4 5 6 4 4" xfId="11301" xr:uid="{00000000-0005-0000-0000-000037200000}"/>
    <cellStyle name="40% - Accent4 5 6 5" xfId="11302" xr:uid="{00000000-0005-0000-0000-000038200000}"/>
    <cellStyle name="40% - Accent4 5 6 5 2" xfId="11303" xr:uid="{00000000-0005-0000-0000-000039200000}"/>
    <cellStyle name="40% - Accent4 5 6 5 3" xfId="11304" xr:uid="{00000000-0005-0000-0000-00003A200000}"/>
    <cellStyle name="40% - Accent4 5 6 6" xfId="11305" xr:uid="{00000000-0005-0000-0000-00003B200000}"/>
    <cellStyle name="40% - Accent4 5 6 6 2" xfId="11306" xr:uid="{00000000-0005-0000-0000-00003C200000}"/>
    <cellStyle name="40% - Accent4 5 6 6 3" xfId="11307" xr:uid="{00000000-0005-0000-0000-00003D200000}"/>
    <cellStyle name="40% - Accent4 5 6 7" xfId="11308" xr:uid="{00000000-0005-0000-0000-00003E200000}"/>
    <cellStyle name="40% - Accent4 5 6 7 2" xfId="11309" xr:uid="{00000000-0005-0000-0000-00003F200000}"/>
    <cellStyle name="40% - Accent4 5 6 7 3" xfId="11310" xr:uid="{00000000-0005-0000-0000-000040200000}"/>
    <cellStyle name="40% - Accent4 5 6 8" xfId="11311" xr:uid="{00000000-0005-0000-0000-000041200000}"/>
    <cellStyle name="40% - Accent4 5 7" xfId="11312" xr:uid="{00000000-0005-0000-0000-000042200000}"/>
    <cellStyle name="40% - Accent4 5 7 2" xfId="11313" xr:uid="{00000000-0005-0000-0000-000043200000}"/>
    <cellStyle name="40% - Accent4 5 7 2 2" xfId="11314" xr:uid="{00000000-0005-0000-0000-000044200000}"/>
    <cellStyle name="40% - Accent4 5 7 2 2 2" xfId="11315" xr:uid="{00000000-0005-0000-0000-000045200000}"/>
    <cellStyle name="40% - Accent4 5 7 2 3" xfId="11316" xr:uid="{00000000-0005-0000-0000-000046200000}"/>
    <cellStyle name="40% - Accent4 5 7 2 3 2" xfId="11317" xr:uid="{00000000-0005-0000-0000-000047200000}"/>
    <cellStyle name="40% - Accent4 5 7 2 4" xfId="11318" xr:uid="{00000000-0005-0000-0000-000048200000}"/>
    <cellStyle name="40% - Accent4 5 7 2 4 2" xfId="11319" xr:uid="{00000000-0005-0000-0000-000049200000}"/>
    <cellStyle name="40% - Accent4 5 7 2 5" xfId="11320" xr:uid="{00000000-0005-0000-0000-00004A200000}"/>
    <cellStyle name="40% - Accent4 5 7 3" xfId="11321" xr:uid="{00000000-0005-0000-0000-00004B200000}"/>
    <cellStyle name="40% - Accent4 5 7 3 2" xfId="11322" xr:uid="{00000000-0005-0000-0000-00004C200000}"/>
    <cellStyle name="40% - Accent4 5 7 3 2 2" xfId="11323" xr:uid="{00000000-0005-0000-0000-00004D200000}"/>
    <cellStyle name="40% - Accent4 5 7 3 3" xfId="11324" xr:uid="{00000000-0005-0000-0000-00004E200000}"/>
    <cellStyle name="40% - Accent4 5 7 3 3 2" xfId="11325" xr:uid="{00000000-0005-0000-0000-00004F200000}"/>
    <cellStyle name="40% - Accent4 5 7 3 4" xfId="11326" xr:uid="{00000000-0005-0000-0000-000050200000}"/>
    <cellStyle name="40% - Accent4 5 7 4" xfId="11327" xr:uid="{00000000-0005-0000-0000-000051200000}"/>
    <cellStyle name="40% - Accent4 5 7 4 2" xfId="11328" xr:uid="{00000000-0005-0000-0000-000052200000}"/>
    <cellStyle name="40% - Accent4 5 7 5" xfId="11329" xr:uid="{00000000-0005-0000-0000-000053200000}"/>
    <cellStyle name="40% - Accent4 5 7 5 2" xfId="11330" xr:uid="{00000000-0005-0000-0000-000054200000}"/>
    <cellStyle name="40% - Accent4 5 7 6" xfId="11331" xr:uid="{00000000-0005-0000-0000-000055200000}"/>
    <cellStyle name="40% - Accent4 5 7 7" xfId="11332" xr:uid="{00000000-0005-0000-0000-000056200000}"/>
    <cellStyle name="40% - Accent4 5 8" xfId="11333" xr:uid="{00000000-0005-0000-0000-000057200000}"/>
    <cellStyle name="40% - Accent4 5 8 2" xfId="11334" xr:uid="{00000000-0005-0000-0000-000058200000}"/>
    <cellStyle name="40% - Accent4 5 8 2 2" xfId="11335" xr:uid="{00000000-0005-0000-0000-000059200000}"/>
    <cellStyle name="40% - Accent4 5 8 2 2 2" xfId="11336" xr:uid="{00000000-0005-0000-0000-00005A200000}"/>
    <cellStyle name="40% - Accent4 5 8 2 3" xfId="11337" xr:uid="{00000000-0005-0000-0000-00005B200000}"/>
    <cellStyle name="40% - Accent4 5 8 2 3 2" xfId="11338" xr:uid="{00000000-0005-0000-0000-00005C200000}"/>
    <cellStyle name="40% - Accent4 5 8 2 4" xfId="11339" xr:uid="{00000000-0005-0000-0000-00005D200000}"/>
    <cellStyle name="40% - Accent4 5 8 3" xfId="11340" xr:uid="{00000000-0005-0000-0000-00005E200000}"/>
    <cellStyle name="40% - Accent4 5 8 3 2" xfId="11341" xr:uid="{00000000-0005-0000-0000-00005F200000}"/>
    <cellStyle name="40% - Accent4 5 8 4" xfId="11342" xr:uid="{00000000-0005-0000-0000-000060200000}"/>
    <cellStyle name="40% - Accent4 5 9" xfId="11343" xr:uid="{00000000-0005-0000-0000-000061200000}"/>
    <cellStyle name="40% - Accent4 5 9 2" xfId="11344" xr:uid="{00000000-0005-0000-0000-000062200000}"/>
    <cellStyle name="40% - Accent4 6" xfId="3047" xr:uid="{00000000-0005-0000-0000-000063200000}"/>
    <cellStyle name="40% - Accent4 6 10" xfId="11345" xr:uid="{00000000-0005-0000-0000-000064200000}"/>
    <cellStyle name="40% - Accent4 6 2" xfId="3046" xr:uid="{00000000-0005-0000-0000-000065200000}"/>
    <cellStyle name="40% - Accent4 6 2 2" xfId="3045" xr:uid="{00000000-0005-0000-0000-000066200000}"/>
    <cellStyle name="40% - Accent4 6 2 2 2" xfId="3044" xr:uid="{00000000-0005-0000-0000-000067200000}"/>
    <cellStyle name="40% - Accent4 6 2 2 3" xfId="3043" xr:uid="{00000000-0005-0000-0000-000068200000}"/>
    <cellStyle name="40% - Accent4 6 2 3" xfId="3042" xr:uid="{00000000-0005-0000-0000-000069200000}"/>
    <cellStyle name="40% - Accent4 6 2 4" xfId="3041" xr:uid="{00000000-0005-0000-0000-00006A200000}"/>
    <cellStyle name="40% - Accent4 6 2 5" xfId="11346" xr:uid="{00000000-0005-0000-0000-00006B200000}"/>
    <cellStyle name="40% - Accent4 6 2 5 2" xfId="11347" xr:uid="{00000000-0005-0000-0000-00006C200000}"/>
    <cellStyle name="40% - Accent4 6 2 5 2 2" xfId="11348" xr:uid="{00000000-0005-0000-0000-00006D200000}"/>
    <cellStyle name="40% - Accent4 6 2 5 3" xfId="11349" xr:uid="{00000000-0005-0000-0000-00006E200000}"/>
    <cellStyle name="40% - Accent4 6 2 5 3 2" xfId="11350" xr:uid="{00000000-0005-0000-0000-00006F200000}"/>
    <cellStyle name="40% - Accent4 6 2 5 4" xfId="11351" xr:uid="{00000000-0005-0000-0000-000070200000}"/>
    <cellStyle name="40% - Accent4 6 2 5 5" xfId="11352" xr:uid="{00000000-0005-0000-0000-000071200000}"/>
    <cellStyle name="40% - Accent4 6 2 6" xfId="11353" xr:uid="{00000000-0005-0000-0000-000072200000}"/>
    <cellStyle name="40% - Accent4 6 2 6 2" xfId="11354" xr:uid="{00000000-0005-0000-0000-000073200000}"/>
    <cellStyle name="40% - Accent4 6 2 7" xfId="11355" xr:uid="{00000000-0005-0000-0000-000074200000}"/>
    <cellStyle name="40% - Accent4 6 2 7 2" xfId="11356" xr:uid="{00000000-0005-0000-0000-000075200000}"/>
    <cellStyle name="40% - Accent4 6 2 8" xfId="11357" xr:uid="{00000000-0005-0000-0000-000076200000}"/>
    <cellStyle name="40% - Accent4 6 2 8 2" xfId="11358" xr:uid="{00000000-0005-0000-0000-000077200000}"/>
    <cellStyle name="40% - Accent4 6 2 9" xfId="11359" xr:uid="{00000000-0005-0000-0000-000078200000}"/>
    <cellStyle name="40% - Accent4 6 3" xfId="3040" xr:uid="{00000000-0005-0000-0000-000079200000}"/>
    <cellStyle name="40% - Accent4 6 3 2" xfId="3039" xr:uid="{00000000-0005-0000-0000-00007A200000}"/>
    <cellStyle name="40% - Accent4 6 3 3" xfId="3038" xr:uid="{00000000-0005-0000-0000-00007B200000}"/>
    <cellStyle name="40% - Accent4 6 3 4" xfId="11360" xr:uid="{00000000-0005-0000-0000-00007C200000}"/>
    <cellStyle name="40% - Accent4 6 3 4 2" xfId="11361" xr:uid="{00000000-0005-0000-0000-00007D200000}"/>
    <cellStyle name="40% - Accent4 6 3 5" xfId="11362" xr:uid="{00000000-0005-0000-0000-00007E200000}"/>
    <cellStyle name="40% - Accent4 6 3 5 2" xfId="11363" xr:uid="{00000000-0005-0000-0000-00007F200000}"/>
    <cellStyle name="40% - Accent4 6 4" xfId="3037" xr:uid="{00000000-0005-0000-0000-000080200000}"/>
    <cellStyle name="40% - Accent4 6 4 2" xfId="3036" xr:uid="{00000000-0005-0000-0000-000081200000}"/>
    <cellStyle name="40% - Accent4 6 4 2 2" xfId="11364" xr:uid="{00000000-0005-0000-0000-000082200000}"/>
    <cellStyle name="40% - Accent4 6 4 2 2 2" xfId="11365" xr:uid="{00000000-0005-0000-0000-000083200000}"/>
    <cellStyle name="40% - Accent4 6 4 2 2 2 2" xfId="11366" xr:uid="{00000000-0005-0000-0000-000084200000}"/>
    <cellStyle name="40% - Accent4 6 4 2 2 3" xfId="11367" xr:uid="{00000000-0005-0000-0000-000085200000}"/>
    <cellStyle name="40% - Accent4 6 4 2 2 3 2" xfId="11368" xr:uid="{00000000-0005-0000-0000-000086200000}"/>
    <cellStyle name="40% - Accent4 6 4 2 2 4" xfId="11369" xr:uid="{00000000-0005-0000-0000-000087200000}"/>
    <cellStyle name="40% - Accent4 6 4 2 2 5" xfId="11370" xr:uid="{00000000-0005-0000-0000-000088200000}"/>
    <cellStyle name="40% - Accent4 6 4 2 3" xfId="11371" xr:uid="{00000000-0005-0000-0000-000089200000}"/>
    <cellStyle name="40% - Accent4 6 4 2 3 2" xfId="11372" xr:uid="{00000000-0005-0000-0000-00008A200000}"/>
    <cellStyle name="40% - Accent4 6 4 2 3 2 2" xfId="11373" xr:uid="{00000000-0005-0000-0000-00008B200000}"/>
    <cellStyle name="40% - Accent4 6 4 2 3 3" xfId="11374" xr:uid="{00000000-0005-0000-0000-00008C200000}"/>
    <cellStyle name="40% - Accent4 6 4 2 4" xfId="11375" xr:uid="{00000000-0005-0000-0000-00008D200000}"/>
    <cellStyle name="40% - Accent4 6 4 2 4 2" xfId="11376" xr:uid="{00000000-0005-0000-0000-00008E200000}"/>
    <cellStyle name="40% - Accent4 6 4 2 5" xfId="11377" xr:uid="{00000000-0005-0000-0000-00008F200000}"/>
    <cellStyle name="40% - Accent4 6 4 2 5 2" xfId="11378" xr:uid="{00000000-0005-0000-0000-000090200000}"/>
    <cellStyle name="40% - Accent4 6 4 2 6" xfId="11379" xr:uid="{00000000-0005-0000-0000-000091200000}"/>
    <cellStyle name="40% - Accent4 6 4 3" xfId="3035" xr:uid="{00000000-0005-0000-0000-000092200000}"/>
    <cellStyle name="40% - Accent4 6 4 3 2" xfId="11380" xr:uid="{00000000-0005-0000-0000-000093200000}"/>
    <cellStyle name="40% - Accent4 6 4 3 2 2" xfId="11381" xr:uid="{00000000-0005-0000-0000-000094200000}"/>
    <cellStyle name="40% - Accent4 6 4 3 3" xfId="11382" xr:uid="{00000000-0005-0000-0000-000095200000}"/>
    <cellStyle name="40% - Accent4 6 4 3 3 2" xfId="11383" xr:uid="{00000000-0005-0000-0000-000096200000}"/>
    <cellStyle name="40% - Accent4 6 4 3 4" xfId="11384" xr:uid="{00000000-0005-0000-0000-000097200000}"/>
    <cellStyle name="40% - Accent4 6 4 4" xfId="11385" xr:uid="{00000000-0005-0000-0000-000098200000}"/>
    <cellStyle name="40% - Accent4 6 4 4 2" xfId="11386" xr:uid="{00000000-0005-0000-0000-000099200000}"/>
    <cellStyle name="40% - Accent4 6 4 4 3" xfId="11387" xr:uid="{00000000-0005-0000-0000-00009A200000}"/>
    <cellStyle name="40% - Accent4 6 4 5" xfId="11388" xr:uid="{00000000-0005-0000-0000-00009B200000}"/>
    <cellStyle name="40% - Accent4 6 4 5 2" xfId="11389" xr:uid="{00000000-0005-0000-0000-00009C200000}"/>
    <cellStyle name="40% - Accent4 6 4 5 3" xfId="11390" xr:uid="{00000000-0005-0000-0000-00009D200000}"/>
    <cellStyle name="40% - Accent4 6 4 6" xfId="11391" xr:uid="{00000000-0005-0000-0000-00009E200000}"/>
    <cellStyle name="40% - Accent4 6 4 6 2" xfId="11392" xr:uid="{00000000-0005-0000-0000-00009F200000}"/>
    <cellStyle name="40% - Accent4 6 4 6 3" xfId="11393" xr:uid="{00000000-0005-0000-0000-0000A0200000}"/>
    <cellStyle name="40% - Accent4 6 4 7" xfId="11394" xr:uid="{00000000-0005-0000-0000-0000A1200000}"/>
    <cellStyle name="40% - Accent4 6 4 8" xfId="11395" xr:uid="{00000000-0005-0000-0000-0000A2200000}"/>
    <cellStyle name="40% - Accent4 6 5" xfId="3034" xr:uid="{00000000-0005-0000-0000-0000A3200000}"/>
    <cellStyle name="40% - Accent4 6 5 2" xfId="11396" xr:uid="{00000000-0005-0000-0000-0000A4200000}"/>
    <cellStyle name="40% - Accent4 6 5 2 2" xfId="11397" xr:uid="{00000000-0005-0000-0000-0000A5200000}"/>
    <cellStyle name="40% - Accent4 6 5 2 2 2" xfId="11398" xr:uid="{00000000-0005-0000-0000-0000A6200000}"/>
    <cellStyle name="40% - Accent4 6 5 2 3" xfId="11399" xr:uid="{00000000-0005-0000-0000-0000A7200000}"/>
    <cellStyle name="40% - Accent4 6 5 2 3 2" xfId="11400" xr:uid="{00000000-0005-0000-0000-0000A8200000}"/>
    <cellStyle name="40% - Accent4 6 5 2 4" xfId="11401" xr:uid="{00000000-0005-0000-0000-0000A9200000}"/>
    <cellStyle name="40% - Accent4 6 5 3" xfId="11402" xr:uid="{00000000-0005-0000-0000-0000AA200000}"/>
    <cellStyle name="40% - Accent4 6 5 3 2" xfId="11403" xr:uid="{00000000-0005-0000-0000-0000AB200000}"/>
    <cellStyle name="40% - Accent4 6 5 3 3" xfId="11404" xr:uid="{00000000-0005-0000-0000-0000AC200000}"/>
    <cellStyle name="40% - Accent4 6 5 4" xfId="11405" xr:uid="{00000000-0005-0000-0000-0000AD200000}"/>
    <cellStyle name="40% - Accent4 6 5 4 2" xfId="11406" xr:uid="{00000000-0005-0000-0000-0000AE200000}"/>
    <cellStyle name="40% - Accent4 6 5 4 3" xfId="11407" xr:uid="{00000000-0005-0000-0000-0000AF200000}"/>
    <cellStyle name="40% - Accent4 6 5 5" xfId="11408" xr:uid="{00000000-0005-0000-0000-0000B0200000}"/>
    <cellStyle name="40% - Accent4 6 5 5 2" xfId="11409" xr:uid="{00000000-0005-0000-0000-0000B1200000}"/>
    <cellStyle name="40% - Accent4 6 5 5 3" xfId="11410" xr:uid="{00000000-0005-0000-0000-0000B2200000}"/>
    <cellStyle name="40% - Accent4 6 5 6" xfId="11411" xr:uid="{00000000-0005-0000-0000-0000B3200000}"/>
    <cellStyle name="40% - Accent4 6 6" xfId="3033" xr:uid="{00000000-0005-0000-0000-0000B4200000}"/>
    <cellStyle name="40% - Accent4 6 7" xfId="11412" xr:uid="{00000000-0005-0000-0000-0000B5200000}"/>
    <cellStyle name="40% - Accent4 6 7 2" xfId="11413" xr:uid="{00000000-0005-0000-0000-0000B6200000}"/>
    <cellStyle name="40% - Accent4 6 7 2 2" xfId="11414" xr:uid="{00000000-0005-0000-0000-0000B7200000}"/>
    <cellStyle name="40% - Accent4 6 7 3" xfId="11415" xr:uid="{00000000-0005-0000-0000-0000B8200000}"/>
    <cellStyle name="40% - Accent4 6 7 3 2" xfId="11416" xr:uid="{00000000-0005-0000-0000-0000B9200000}"/>
    <cellStyle name="40% - Accent4 6 7 4" xfId="11417" xr:uid="{00000000-0005-0000-0000-0000BA200000}"/>
    <cellStyle name="40% - Accent4 6 7 5" xfId="11418" xr:uid="{00000000-0005-0000-0000-0000BB200000}"/>
    <cellStyle name="40% - Accent4 6 8" xfId="11419" xr:uid="{00000000-0005-0000-0000-0000BC200000}"/>
    <cellStyle name="40% - Accent4 6 8 2" xfId="11420" xr:uid="{00000000-0005-0000-0000-0000BD200000}"/>
    <cellStyle name="40% - Accent4 6 8 2 2" xfId="11421" xr:uid="{00000000-0005-0000-0000-0000BE200000}"/>
    <cellStyle name="40% - Accent4 6 8 3" xfId="11422" xr:uid="{00000000-0005-0000-0000-0000BF200000}"/>
    <cellStyle name="40% - Accent4 6 9" xfId="11423" xr:uid="{00000000-0005-0000-0000-0000C0200000}"/>
    <cellStyle name="40% - Accent4 6 9 2" xfId="11424" xr:uid="{00000000-0005-0000-0000-0000C1200000}"/>
    <cellStyle name="40% - Accent4 7" xfId="3032" xr:uid="{00000000-0005-0000-0000-0000C2200000}"/>
    <cellStyle name="40% - Accent4 7 2" xfId="3031" xr:uid="{00000000-0005-0000-0000-0000C3200000}"/>
    <cellStyle name="40% - Accent4 7 2 2" xfId="3030" xr:uid="{00000000-0005-0000-0000-0000C4200000}"/>
    <cellStyle name="40% - Accent4 7 2 2 2" xfId="3029" xr:uid="{00000000-0005-0000-0000-0000C5200000}"/>
    <cellStyle name="40% - Accent4 7 2 2 2 2" xfId="11425" xr:uid="{00000000-0005-0000-0000-0000C6200000}"/>
    <cellStyle name="40% - Accent4 7 2 2 3" xfId="3028" xr:uid="{00000000-0005-0000-0000-0000C7200000}"/>
    <cellStyle name="40% - Accent4 7 2 2 3 2" xfId="11426" xr:uid="{00000000-0005-0000-0000-0000C8200000}"/>
    <cellStyle name="40% - Accent4 7 2 2 4" xfId="11427" xr:uid="{00000000-0005-0000-0000-0000C9200000}"/>
    <cellStyle name="40% - Accent4 7 2 3" xfId="3027" xr:uid="{00000000-0005-0000-0000-0000CA200000}"/>
    <cellStyle name="40% - Accent4 7 2 3 2" xfId="11428" xr:uid="{00000000-0005-0000-0000-0000CB200000}"/>
    <cellStyle name="40% - Accent4 7 2 3 2 2" xfId="11429" xr:uid="{00000000-0005-0000-0000-0000CC200000}"/>
    <cellStyle name="40% - Accent4 7 2 3 3" xfId="11430" xr:uid="{00000000-0005-0000-0000-0000CD200000}"/>
    <cellStyle name="40% - Accent4 7 2 4" xfId="3026" xr:uid="{00000000-0005-0000-0000-0000CE200000}"/>
    <cellStyle name="40% - Accent4 7 2 4 2" xfId="11431" xr:uid="{00000000-0005-0000-0000-0000CF200000}"/>
    <cellStyle name="40% - Accent4 7 2 4 2 2" xfId="11432" xr:uid="{00000000-0005-0000-0000-0000D0200000}"/>
    <cellStyle name="40% - Accent4 7 2 4 3" xfId="11433" xr:uid="{00000000-0005-0000-0000-0000D1200000}"/>
    <cellStyle name="40% - Accent4 7 2 4 3 2" xfId="11434" xr:uid="{00000000-0005-0000-0000-0000D2200000}"/>
    <cellStyle name="40% - Accent4 7 2 4 4" xfId="11435" xr:uid="{00000000-0005-0000-0000-0000D3200000}"/>
    <cellStyle name="40% - Accent4 7 2 5" xfId="11436" xr:uid="{00000000-0005-0000-0000-0000D4200000}"/>
    <cellStyle name="40% - Accent4 7 2 5 2" xfId="11437" xr:uid="{00000000-0005-0000-0000-0000D5200000}"/>
    <cellStyle name="40% - Accent4 7 2 5 2 2" xfId="11438" xr:uid="{00000000-0005-0000-0000-0000D6200000}"/>
    <cellStyle name="40% - Accent4 7 2 6" xfId="11439" xr:uid="{00000000-0005-0000-0000-0000D7200000}"/>
    <cellStyle name="40% - Accent4 7 3" xfId="3025" xr:uid="{00000000-0005-0000-0000-0000D8200000}"/>
    <cellStyle name="40% - Accent4 7 3 2" xfId="3024" xr:uid="{00000000-0005-0000-0000-0000D9200000}"/>
    <cellStyle name="40% - Accent4 7 3 2 2" xfId="11440" xr:uid="{00000000-0005-0000-0000-0000DA200000}"/>
    <cellStyle name="40% - Accent4 7 3 2 2 2" xfId="11441" xr:uid="{00000000-0005-0000-0000-0000DB200000}"/>
    <cellStyle name="40% - Accent4 7 3 2 3" xfId="11442" xr:uid="{00000000-0005-0000-0000-0000DC200000}"/>
    <cellStyle name="40% - Accent4 7 3 2 3 2" xfId="11443" xr:uid="{00000000-0005-0000-0000-0000DD200000}"/>
    <cellStyle name="40% - Accent4 7 3 2 4" xfId="11444" xr:uid="{00000000-0005-0000-0000-0000DE200000}"/>
    <cellStyle name="40% - Accent4 7 3 3" xfId="3023" xr:uid="{00000000-0005-0000-0000-0000DF200000}"/>
    <cellStyle name="40% - Accent4 7 3 3 2" xfId="11445" xr:uid="{00000000-0005-0000-0000-0000E0200000}"/>
    <cellStyle name="40% - Accent4 7 3 3 2 2" xfId="11446" xr:uid="{00000000-0005-0000-0000-0000E1200000}"/>
    <cellStyle name="40% - Accent4 7 3 3 3" xfId="11447" xr:uid="{00000000-0005-0000-0000-0000E2200000}"/>
    <cellStyle name="40% - Accent4 7 3 3 3 2" xfId="11448" xr:uid="{00000000-0005-0000-0000-0000E3200000}"/>
    <cellStyle name="40% - Accent4 7 3 3 4" xfId="11449" xr:uid="{00000000-0005-0000-0000-0000E4200000}"/>
    <cellStyle name="40% - Accent4 7 3 4" xfId="11450" xr:uid="{00000000-0005-0000-0000-0000E5200000}"/>
    <cellStyle name="40% - Accent4 7 4" xfId="3022" xr:uid="{00000000-0005-0000-0000-0000E6200000}"/>
    <cellStyle name="40% - Accent4 7 4 2" xfId="3021" xr:uid="{00000000-0005-0000-0000-0000E7200000}"/>
    <cellStyle name="40% - Accent4 7 4 2 2" xfId="11451" xr:uid="{00000000-0005-0000-0000-0000E8200000}"/>
    <cellStyle name="40% - Accent4 7 4 3" xfId="3020" xr:uid="{00000000-0005-0000-0000-0000E9200000}"/>
    <cellStyle name="40% - Accent4 7 4 3 2" xfId="11452" xr:uid="{00000000-0005-0000-0000-0000EA200000}"/>
    <cellStyle name="40% - Accent4 7 4 4" xfId="11453" xr:uid="{00000000-0005-0000-0000-0000EB200000}"/>
    <cellStyle name="40% - Accent4 7 4 4 2" xfId="11454" xr:uid="{00000000-0005-0000-0000-0000EC200000}"/>
    <cellStyle name="40% - Accent4 7 4 5" xfId="11455" xr:uid="{00000000-0005-0000-0000-0000ED200000}"/>
    <cellStyle name="40% - Accent4 7 5" xfId="3019" xr:uid="{00000000-0005-0000-0000-0000EE200000}"/>
    <cellStyle name="40% - Accent4 7 5 2" xfId="11456" xr:uid="{00000000-0005-0000-0000-0000EF200000}"/>
    <cellStyle name="40% - Accent4 7 5 2 2" xfId="11457" xr:uid="{00000000-0005-0000-0000-0000F0200000}"/>
    <cellStyle name="40% - Accent4 7 5 2 2 2" xfId="11458" xr:uid="{00000000-0005-0000-0000-0000F1200000}"/>
    <cellStyle name="40% - Accent4 7 5 3" xfId="11459" xr:uid="{00000000-0005-0000-0000-0000F2200000}"/>
    <cellStyle name="40% - Accent4 7 5 3 2" xfId="11460" xr:uid="{00000000-0005-0000-0000-0000F3200000}"/>
    <cellStyle name="40% - Accent4 7 5 4" xfId="11461" xr:uid="{00000000-0005-0000-0000-0000F4200000}"/>
    <cellStyle name="40% - Accent4 7 6" xfId="3018" xr:uid="{00000000-0005-0000-0000-0000F5200000}"/>
    <cellStyle name="40% - Accent4 7 6 2" xfId="11462" xr:uid="{00000000-0005-0000-0000-0000F6200000}"/>
    <cellStyle name="40% - Accent4 7 7" xfId="11463" xr:uid="{00000000-0005-0000-0000-0000F7200000}"/>
    <cellStyle name="40% - Accent4 7 7 2" xfId="11464" xr:uid="{00000000-0005-0000-0000-0000F8200000}"/>
    <cellStyle name="40% - Accent4 7 8" xfId="11465" xr:uid="{00000000-0005-0000-0000-0000F9200000}"/>
    <cellStyle name="40% - Accent4 7 8 2" xfId="11466" xr:uid="{00000000-0005-0000-0000-0000FA200000}"/>
    <cellStyle name="40% - Accent4 7 9" xfId="11467" xr:uid="{00000000-0005-0000-0000-0000FB200000}"/>
    <cellStyle name="40% - Accent4 8" xfId="3017" xr:uid="{00000000-0005-0000-0000-0000FC200000}"/>
    <cellStyle name="40% - Accent4 8 2" xfId="3016" xr:uid="{00000000-0005-0000-0000-0000FD200000}"/>
    <cellStyle name="40% - Accent4 8 2 2" xfId="3015" xr:uid="{00000000-0005-0000-0000-0000FE200000}"/>
    <cellStyle name="40% - Accent4 8 2 2 2" xfId="3014" xr:uid="{00000000-0005-0000-0000-0000FF200000}"/>
    <cellStyle name="40% - Accent4 8 2 2 2 2" xfId="11468" xr:uid="{00000000-0005-0000-0000-000000210000}"/>
    <cellStyle name="40% - Accent4 8 2 2 3" xfId="3013" xr:uid="{00000000-0005-0000-0000-000001210000}"/>
    <cellStyle name="40% - Accent4 8 2 2 3 2" xfId="11469" xr:uid="{00000000-0005-0000-0000-000002210000}"/>
    <cellStyle name="40% - Accent4 8 2 2 4" xfId="11470" xr:uid="{00000000-0005-0000-0000-000003210000}"/>
    <cellStyle name="40% - Accent4 8 2 3" xfId="3012" xr:uid="{00000000-0005-0000-0000-000004210000}"/>
    <cellStyle name="40% - Accent4 8 2 3 2" xfId="11471" xr:uid="{00000000-0005-0000-0000-000005210000}"/>
    <cellStyle name="40% - Accent4 8 2 3 2 2" xfId="11472" xr:uid="{00000000-0005-0000-0000-000006210000}"/>
    <cellStyle name="40% - Accent4 8 2 3 3" xfId="11473" xr:uid="{00000000-0005-0000-0000-000007210000}"/>
    <cellStyle name="40% - Accent4 8 2 4" xfId="3011" xr:uid="{00000000-0005-0000-0000-000008210000}"/>
    <cellStyle name="40% - Accent4 8 2 4 2" xfId="11474" xr:uid="{00000000-0005-0000-0000-000009210000}"/>
    <cellStyle name="40% - Accent4 8 2 4 2 2" xfId="11475" xr:uid="{00000000-0005-0000-0000-00000A210000}"/>
    <cellStyle name="40% - Accent4 8 2 4 3" xfId="11476" xr:uid="{00000000-0005-0000-0000-00000B210000}"/>
    <cellStyle name="40% - Accent4 8 2 4 3 2" xfId="11477" xr:uid="{00000000-0005-0000-0000-00000C210000}"/>
    <cellStyle name="40% - Accent4 8 2 4 4" xfId="11478" xr:uid="{00000000-0005-0000-0000-00000D210000}"/>
    <cellStyle name="40% - Accent4 8 2 5" xfId="11479" xr:uid="{00000000-0005-0000-0000-00000E210000}"/>
    <cellStyle name="40% - Accent4 8 2 5 2" xfId="11480" xr:uid="{00000000-0005-0000-0000-00000F210000}"/>
    <cellStyle name="40% - Accent4 8 2 6" xfId="11481" xr:uid="{00000000-0005-0000-0000-000010210000}"/>
    <cellStyle name="40% - Accent4 8 3" xfId="3010" xr:uid="{00000000-0005-0000-0000-000011210000}"/>
    <cellStyle name="40% - Accent4 8 3 2" xfId="3009" xr:uid="{00000000-0005-0000-0000-000012210000}"/>
    <cellStyle name="40% - Accent4 8 3 2 2" xfId="11482" xr:uid="{00000000-0005-0000-0000-000013210000}"/>
    <cellStyle name="40% - Accent4 8 3 2 2 2" xfId="11483" xr:uid="{00000000-0005-0000-0000-000014210000}"/>
    <cellStyle name="40% - Accent4 8 3 2 3" xfId="11484" xr:uid="{00000000-0005-0000-0000-000015210000}"/>
    <cellStyle name="40% - Accent4 8 3 2 3 2" xfId="11485" xr:uid="{00000000-0005-0000-0000-000016210000}"/>
    <cellStyle name="40% - Accent4 8 3 2 4" xfId="11486" xr:uid="{00000000-0005-0000-0000-000017210000}"/>
    <cellStyle name="40% - Accent4 8 3 3" xfId="3008" xr:uid="{00000000-0005-0000-0000-000018210000}"/>
    <cellStyle name="40% - Accent4 8 3 3 2" xfId="11487" xr:uid="{00000000-0005-0000-0000-000019210000}"/>
    <cellStyle name="40% - Accent4 8 3 3 2 2" xfId="11488" xr:uid="{00000000-0005-0000-0000-00001A210000}"/>
    <cellStyle name="40% - Accent4 8 3 3 3" xfId="11489" xr:uid="{00000000-0005-0000-0000-00001B210000}"/>
    <cellStyle name="40% - Accent4 8 3 3 3 2" xfId="11490" xr:uid="{00000000-0005-0000-0000-00001C210000}"/>
    <cellStyle name="40% - Accent4 8 3 3 4" xfId="11491" xr:uid="{00000000-0005-0000-0000-00001D210000}"/>
    <cellStyle name="40% - Accent4 8 3 4" xfId="11492" xr:uid="{00000000-0005-0000-0000-00001E210000}"/>
    <cellStyle name="40% - Accent4 8 3 4 2" xfId="11493" xr:uid="{00000000-0005-0000-0000-00001F210000}"/>
    <cellStyle name="40% - Accent4 8 3 5" xfId="11494" xr:uid="{00000000-0005-0000-0000-000020210000}"/>
    <cellStyle name="40% - Accent4 8 3 5 2" xfId="11495" xr:uid="{00000000-0005-0000-0000-000021210000}"/>
    <cellStyle name="40% - Accent4 8 3 6" xfId="11496" xr:uid="{00000000-0005-0000-0000-000022210000}"/>
    <cellStyle name="40% - Accent4 8 4" xfId="3007" xr:uid="{00000000-0005-0000-0000-000023210000}"/>
    <cellStyle name="40% - Accent4 8 4 2" xfId="3006" xr:uid="{00000000-0005-0000-0000-000024210000}"/>
    <cellStyle name="40% - Accent4 8 4 2 2" xfId="11497" xr:uid="{00000000-0005-0000-0000-000025210000}"/>
    <cellStyle name="40% - Accent4 8 4 3" xfId="3005" xr:uid="{00000000-0005-0000-0000-000026210000}"/>
    <cellStyle name="40% - Accent4 8 5" xfId="3004" xr:uid="{00000000-0005-0000-0000-000027210000}"/>
    <cellStyle name="40% - Accent4 8 5 2" xfId="11498" xr:uid="{00000000-0005-0000-0000-000028210000}"/>
    <cellStyle name="40% - Accent4 8 6" xfId="3003" xr:uid="{00000000-0005-0000-0000-000029210000}"/>
    <cellStyle name="40% - Accent4 8 6 2" xfId="11499" xr:uid="{00000000-0005-0000-0000-00002A210000}"/>
    <cellStyle name="40% - Accent4 8 7" xfId="11500" xr:uid="{00000000-0005-0000-0000-00002B210000}"/>
    <cellStyle name="40% - Accent4 9" xfId="3002" xr:uid="{00000000-0005-0000-0000-00002C210000}"/>
    <cellStyle name="40% - Accent4 9 2" xfId="3001" xr:uid="{00000000-0005-0000-0000-00002D210000}"/>
    <cellStyle name="40% - Accent4 9 2 2" xfId="3000" xr:uid="{00000000-0005-0000-0000-00002E210000}"/>
    <cellStyle name="40% - Accent4 9 2 2 2" xfId="2999" xr:uid="{00000000-0005-0000-0000-00002F210000}"/>
    <cellStyle name="40% - Accent4 9 2 2 3" xfId="2998" xr:uid="{00000000-0005-0000-0000-000030210000}"/>
    <cellStyle name="40% - Accent4 9 2 3" xfId="2997" xr:uid="{00000000-0005-0000-0000-000031210000}"/>
    <cellStyle name="40% - Accent4 9 2 3 2" xfId="11501" xr:uid="{00000000-0005-0000-0000-000032210000}"/>
    <cellStyle name="40% - Accent4 9 2 4" xfId="2996" xr:uid="{00000000-0005-0000-0000-000033210000}"/>
    <cellStyle name="40% - Accent4 9 2 4 2" xfId="11502" xr:uid="{00000000-0005-0000-0000-000034210000}"/>
    <cellStyle name="40% - Accent4 9 2 5" xfId="11503" xr:uid="{00000000-0005-0000-0000-000035210000}"/>
    <cellStyle name="40% - Accent4 9 3" xfId="2995" xr:uid="{00000000-0005-0000-0000-000036210000}"/>
    <cellStyle name="40% - Accent4 9 3 2" xfId="2994" xr:uid="{00000000-0005-0000-0000-000037210000}"/>
    <cellStyle name="40% - Accent4 9 3 2 2" xfId="11504" xr:uid="{00000000-0005-0000-0000-000038210000}"/>
    <cellStyle name="40% - Accent4 9 3 3" xfId="2993" xr:uid="{00000000-0005-0000-0000-000039210000}"/>
    <cellStyle name="40% - Accent4 9 3 3 2" xfId="11505" xr:uid="{00000000-0005-0000-0000-00003A210000}"/>
    <cellStyle name="40% - Accent4 9 3 4" xfId="11506" xr:uid="{00000000-0005-0000-0000-00003B210000}"/>
    <cellStyle name="40% - Accent4 9 4" xfId="2992" xr:uid="{00000000-0005-0000-0000-00003C210000}"/>
    <cellStyle name="40% - Accent4 9 4 2" xfId="2991" xr:uid="{00000000-0005-0000-0000-00003D210000}"/>
    <cellStyle name="40% - Accent4 9 4 2 2" xfId="11507" xr:uid="{00000000-0005-0000-0000-00003E210000}"/>
    <cellStyle name="40% - Accent4 9 4 3" xfId="2990" xr:uid="{00000000-0005-0000-0000-00003F210000}"/>
    <cellStyle name="40% - Accent4 9 5" xfId="2989" xr:uid="{00000000-0005-0000-0000-000040210000}"/>
    <cellStyle name="40% - Accent4 9 5 2" xfId="11508" xr:uid="{00000000-0005-0000-0000-000041210000}"/>
    <cellStyle name="40% - Accent4 9 6" xfId="2988" xr:uid="{00000000-0005-0000-0000-000042210000}"/>
    <cellStyle name="40% - Accent4 9 7" xfId="11509" xr:uid="{00000000-0005-0000-0000-000043210000}"/>
    <cellStyle name="40% - Accent5 10" xfId="2987" xr:uid="{00000000-0005-0000-0000-000044210000}"/>
    <cellStyle name="40% - Accent5 10 2" xfId="2986" xr:uid="{00000000-0005-0000-0000-000045210000}"/>
    <cellStyle name="40% - Accent5 10 2 2" xfId="2985" xr:uid="{00000000-0005-0000-0000-000046210000}"/>
    <cellStyle name="40% - Accent5 10 2 2 2" xfId="2984" xr:uid="{00000000-0005-0000-0000-000047210000}"/>
    <cellStyle name="40% - Accent5 10 2 2 3" xfId="2983" xr:uid="{00000000-0005-0000-0000-000048210000}"/>
    <cellStyle name="40% - Accent5 10 2 3" xfId="2982" xr:uid="{00000000-0005-0000-0000-000049210000}"/>
    <cellStyle name="40% - Accent5 10 2 3 2" xfId="11510" xr:uid="{00000000-0005-0000-0000-00004A210000}"/>
    <cellStyle name="40% - Accent5 10 2 4" xfId="2981" xr:uid="{00000000-0005-0000-0000-00004B210000}"/>
    <cellStyle name="40% - Accent5 10 2 4 2" xfId="11511" xr:uid="{00000000-0005-0000-0000-00004C210000}"/>
    <cellStyle name="40% - Accent5 10 2 5" xfId="11512" xr:uid="{00000000-0005-0000-0000-00004D210000}"/>
    <cellStyle name="40% - Accent5 10 3" xfId="2980" xr:uid="{00000000-0005-0000-0000-00004E210000}"/>
    <cellStyle name="40% - Accent5 10 3 2" xfId="2979" xr:uid="{00000000-0005-0000-0000-00004F210000}"/>
    <cellStyle name="40% - Accent5 10 3 2 2" xfId="11513" xr:uid="{00000000-0005-0000-0000-000050210000}"/>
    <cellStyle name="40% - Accent5 10 3 3" xfId="2978" xr:uid="{00000000-0005-0000-0000-000051210000}"/>
    <cellStyle name="40% - Accent5 10 4" xfId="2977" xr:uid="{00000000-0005-0000-0000-000052210000}"/>
    <cellStyle name="40% - Accent5 10 4 2" xfId="2976" xr:uid="{00000000-0005-0000-0000-000053210000}"/>
    <cellStyle name="40% - Accent5 10 4 3" xfId="2975" xr:uid="{00000000-0005-0000-0000-000054210000}"/>
    <cellStyle name="40% - Accent5 10 5" xfId="2974" xr:uid="{00000000-0005-0000-0000-000055210000}"/>
    <cellStyle name="40% - Accent5 10 5 2" xfId="11514" xr:uid="{00000000-0005-0000-0000-000056210000}"/>
    <cellStyle name="40% - Accent5 10 6" xfId="2973" xr:uid="{00000000-0005-0000-0000-000057210000}"/>
    <cellStyle name="40% - Accent5 10 7" xfId="11515" xr:uid="{00000000-0005-0000-0000-000058210000}"/>
    <cellStyle name="40% - Accent5 11" xfId="2972" xr:uid="{00000000-0005-0000-0000-000059210000}"/>
    <cellStyle name="40% - Accent5 11 2" xfId="2971" xr:uid="{00000000-0005-0000-0000-00005A210000}"/>
    <cellStyle name="40% - Accent5 11 2 2" xfId="2970" xr:uid="{00000000-0005-0000-0000-00005B210000}"/>
    <cellStyle name="40% - Accent5 11 2 2 2" xfId="2969" xr:uid="{00000000-0005-0000-0000-00005C210000}"/>
    <cellStyle name="40% - Accent5 11 2 2 3" xfId="2968" xr:uid="{00000000-0005-0000-0000-00005D210000}"/>
    <cellStyle name="40% - Accent5 11 2 3" xfId="2967" xr:uid="{00000000-0005-0000-0000-00005E210000}"/>
    <cellStyle name="40% - Accent5 11 2 4" xfId="2966" xr:uid="{00000000-0005-0000-0000-00005F210000}"/>
    <cellStyle name="40% - Accent5 11 3" xfId="2965" xr:uid="{00000000-0005-0000-0000-000060210000}"/>
    <cellStyle name="40% - Accent5 11 3 2" xfId="2964" xr:uid="{00000000-0005-0000-0000-000061210000}"/>
    <cellStyle name="40% - Accent5 11 3 3" xfId="2963" xr:uid="{00000000-0005-0000-0000-000062210000}"/>
    <cellStyle name="40% - Accent5 11 4" xfId="2962" xr:uid="{00000000-0005-0000-0000-000063210000}"/>
    <cellStyle name="40% - Accent5 11 4 2" xfId="2961" xr:uid="{00000000-0005-0000-0000-000064210000}"/>
    <cellStyle name="40% - Accent5 11 4 3" xfId="2960" xr:uid="{00000000-0005-0000-0000-000065210000}"/>
    <cellStyle name="40% - Accent5 11 5" xfId="2959" xr:uid="{00000000-0005-0000-0000-000066210000}"/>
    <cellStyle name="40% - Accent5 11 6" xfId="2958" xr:uid="{00000000-0005-0000-0000-000067210000}"/>
    <cellStyle name="40% - Accent5 12" xfId="2957" xr:uid="{00000000-0005-0000-0000-000068210000}"/>
    <cellStyle name="40% - Accent5 12 2" xfId="2956" xr:uid="{00000000-0005-0000-0000-000069210000}"/>
    <cellStyle name="40% - Accent5 12 2 2" xfId="2955" xr:uid="{00000000-0005-0000-0000-00006A210000}"/>
    <cellStyle name="40% - Accent5 12 2 2 2" xfId="2954" xr:uid="{00000000-0005-0000-0000-00006B210000}"/>
    <cellStyle name="40% - Accent5 12 2 2 3" xfId="2953" xr:uid="{00000000-0005-0000-0000-00006C210000}"/>
    <cellStyle name="40% - Accent5 12 2 3" xfId="2952" xr:uid="{00000000-0005-0000-0000-00006D210000}"/>
    <cellStyle name="40% - Accent5 12 2 4" xfId="2951" xr:uid="{00000000-0005-0000-0000-00006E210000}"/>
    <cellStyle name="40% - Accent5 12 3" xfId="2950" xr:uid="{00000000-0005-0000-0000-00006F210000}"/>
    <cellStyle name="40% - Accent5 12 3 2" xfId="2949" xr:uid="{00000000-0005-0000-0000-000070210000}"/>
    <cellStyle name="40% - Accent5 12 3 3" xfId="2948" xr:uid="{00000000-0005-0000-0000-000071210000}"/>
    <cellStyle name="40% - Accent5 12 4" xfId="2947" xr:uid="{00000000-0005-0000-0000-000072210000}"/>
    <cellStyle name="40% - Accent5 12 4 2" xfId="2946" xr:uid="{00000000-0005-0000-0000-000073210000}"/>
    <cellStyle name="40% - Accent5 12 4 3" xfId="2945" xr:uid="{00000000-0005-0000-0000-000074210000}"/>
    <cellStyle name="40% - Accent5 12 5" xfId="2944" xr:uid="{00000000-0005-0000-0000-000075210000}"/>
    <cellStyle name="40% - Accent5 12 6" xfId="2943" xr:uid="{00000000-0005-0000-0000-000076210000}"/>
    <cellStyle name="40% - Accent5 13" xfId="2942" xr:uid="{00000000-0005-0000-0000-000077210000}"/>
    <cellStyle name="40% - Accent5 13 2" xfId="2941" xr:uid="{00000000-0005-0000-0000-000078210000}"/>
    <cellStyle name="40% - Accent5 13 2 2" xfId="2940" xr:uid="{00000000-0005-0000-0000-000079210000}"/>
    <cellStyle name="40% - Accent5 13 2 2 2" xfId="2939" xr:uid="{00000000-0005-0000-0000-00007A210000}"/>
    <cellStyle name="40% - Accent5 13 2 2 3" xfId="2938" xr:uid="{00000000-0005-0000-0000-00007B210000}"/>
    <cellStyle name="40% - Accent5 13 2 3" xfId="2937" xr:uid="{00000000-0005-0000-0000-00007C210000}"/>
    <cellStyle name="40% - Accent5 13 2 4" xfId="2936" xr:uid="{00000000-0005-0000-0000-00007D210000}"/>
    <cellStyle name="40% - Accent5 13 3" xfId="2935" xr:uid="{00000000-0005-0000-0000-00007E210000}"/>
    <cellStyle name="40% - Accent5 13 3 2" xfId="2934" xr:uid="{00000000-0005-0000-0000-00007F210000}"/>
    <cellStyle name="40% - Accent5 13 3 3" xfId="2933" xr:uid="{00000000-0005-0000-0000-000080210000}"/>
    <cellStyle name="40% - Accent5 13 4" xfId="2932" xr:uid="{00000000-0005-0000-0000-000081210000}"/>
    <cellStyle name="40% - Accent5 13 4 2" xfId="2931" xr:uid="{00000000-0005-0000-0000-000082210000}"/>
    <cellStyle name="40% - Accent5 13 4 3" xfId="2930" xr:uid="{00000000-0005-0000-0000-000083210000}"/>
    <cellStyle name="40% - Accent5 13 5" xfId="2929" xr:uid="{00000000-0005-0000-0000-000084210000}"/>
    <cellStyle name="40% - Accent5 13 6" xfId="2928" xr:uid="{00000000-0005-0000-0000-000085210000}"/>
    <cellStyle name="40% - Accent5 14" xfId="2927" xr:uid="{00000000-0005-0000-0000-000086210000}"/>
    <cellStyle name="40% - Accent5 14 2" xfId="2926" xr:uid="{00000000-0005-0000-0000-000087210000}"/>
    <cellStyle name="40% - Accent5 14 2 2" xfId="2925" xr:uid="{00000000-0005-0000-0000-000088210000}"/>
    <cellStyle name="40% - Accent5 14 2 2 2" xfId="2924" xr:uid="{00000000-0005-0000-0000-000089210000}"/>
    <cellStyle name="40% - Accent5 14 2 2 3" xfId="2923" xr:uid="{00000000-0005-0000-0000-00008A210000}"/>
    <cellStyle name="40% - Accent5 14 2 3" xfId="2922" xr:uid="{00000000-0005-0000-0000-00008B210000}"/>
    <cellStyle name="40% - Accent5 14 2 4" xfId="2921" xr:uid="{00000000-0005-0000-0000-00008C210000}"/>
    <cellStyle name="40% - Accent5 14 3" xfId="2920" xr:uid="{00000000-0005-0000-0000-00008D210000}"/>
    <cellStyle name="40% - Accent5 14 3 2" xfId="2919" xr:uid="{00000000-0005-0000-0000-00008E210000}"/>
    <cellStyle name="40% - Accent5 14 3 3" xfId="2918" xr:uid="{00000000-0005-0000-0000-00008F210000}"/>
    <cellStyle name="40% - Accent5 14 4" xfId="2917" xr:uid="{00000000-0005-0000-0000-000090210000}"/>
    <cellStyle name="40% - Accent5 14 4 2" xfId="2916" xr:uid="{00000000-0005-0000-0000-000091210000}"/>
    <cellStyle name="40% - Accent5 14 4 3" xfId="2915" xr:uid="{00000000-0005-0000-0000-000092210000}"/>
    <cellStyle name="40% - Accent5 14 5" xfId="2914" xr:uid="{00000000-0005-0000-0000-000093210000}"/>
    <cellStyle name="40% - Accent5 14 6" xfId="2913" xr:uid="{00000000-0005-0000-0000-000094210000}"/>
    <cellStyle name="40% - Accent5 15" xfId="2912" xr:uid="{00000000-0005-0000-0000-000095210000}"/>
    <cellStyle name="40% - Accent5 15 2" xfId="2911" xr:uid="{00000000-0005-0000-0000-000096210000}"/>
    <cellStyle name="40% - Accent5 15 2 2" xfId="2910" xr:uid="{00000000-0005-0000-0000-000097210000}"/>
    <cellStyle name="40% - Accent5 15 2 2 2" xfId="2909" xr:uid="{00000000-0005-0000-0000-000098210000}"/>
    <cellStyle name="40% - Accent5 15 2 2 3" xfId="2908" xr:uid="{00000000-0005-0000-0000-000099210000}"/>
    <cellStyle name="40% - Accent5 15 2 3" xfId="2907" xr:uid="{00000000-0005-0000-0000-00009A210000}"/>
    <cellStyle name="40% - Accent5 15 2 4" xfId="2906" xr:uid="{00000000-0005-0000-0000-00009B210000}"/>
    <cellStyle name="40% - Accent5 15 3" xfId="2905" xr:uid="{00000000-0005-0000-0000-00009C210000}"/>
    <cellStyle name="40% - Accent5 15 3 2" xfId="2904" xr:uid="{00000000-0005-0000-0000-00009D210000}"/>
    <cellStyle name="40% - Accent5 15 3 3" xfId="2903" xr:uid="{00000000-0005-0000-0000-00009E210000}"/>
    <cellStyle name="40% - Accent5 15 4" xfId="2902" xr:uid="{00000000-0005-0000-0000-00009F210000}"/>
    <cellStyle name="40% - Accent5 15 4 2" xfId="2901" xr:uid="{00000000-0005-0000-0000-0000A0210000}"/>
    <cellStyle name="40% - Accent5 15 4 3" xfId="2900" xr:uid="{00000000-0005-0000-0000-0000A1210000}"/>
    <cellStyle name="40% - Accent5 15 5" xfId="2899" xr:uid="{00000000-0005-0000-0000-0000A2210000}"/>
    <cellStyle name="40% - Accent5 15 6" xfId="2898" xr:uid="{00000000-0005-0000-0000-0000A3210000}"/>
    <cellStyle name="40% - Accent5 16" xfId="2897" xr:uid="{00000000-0005-0000-0000-0000A4210000}"/>
    <cellStyle name="40% - Accent5 16 2" xfId="2896" xr:uid="{00000000-0005-0000-0000-0000A5210000}"/>
    <cellStyle name="40% - Accent5 16 2 2" xfId="2895" xr:uid="{00000000-0005-0000-0000-0000A6210000}"/>
    <cellStyle name="40% - Accent5 16 2 2 2" xfId="2894" xr:uid="{00000000-0005-0000-0000-0000A7210000}"/>
    <cellStyle name="40% - Accent5 16 2 2 3" xfId="2893" xr:uid="{00000000-0005-0000-0000-0000A8210000}"/>
    <cellStyle name="40% - Accent5 16 2 3" xfId="2892" xr:uid="{00000000-0005-0000-0000-0000A9210000}"/>
    <cellStyle name="40% - Accent5 16 2 4" xfId="2891" xr:uid="{00000000-0005-0000-0000-0000AA210000}"/>
    <cellStyle name="40% - Accent5 16 3" xfId="2890" xr:uid="{00000000-0005-0000-0000-0000AB210000}"/>
    <cellStyle name="40% - Accent5 16 3 2" xfId="2889" xr:uid="{00000000-0005-0000-0000-0000AC210000}"/>
    <cellStyle name="40% - Accent5 16 3 3" xfId="2888" xr:uid="{00000000-0005-0000-0000-0000AD210000}"/>
    <cellStyle name="40% - Accent5 16 4" xfId="2887" xr:uid="{00000000-0005-0000-0000-0000AE210000}"/>
    <cellStyle name="40% - Accent5 16 4 2" xfId="2886" xr:uid="{00000000-0005-0000-0000-0000AF210000}"/>
    <cellStyle name="40% - Accent5 16 4 3" xfId="2885" xr:uid="{00000000-0005-0000-0000-0000B0210000}"/>
    <cellStyle name="40% - Accent5 16 5" xfId="2884" xr:uid="{00000000-0005-0000-0000-0000B1210000}"/>
    <cellStyle name="40% - Accent5 16 6" xfId="2883" xr:uid="{00000000-0005-0000-0000-0000B2210000}"/>
    <cellStyle name="40% - Accent5 17" xfId="2882" xr:uid="{00000000-0005-0000-0000-0000B3210000}"/>
    <cellStyle name="40% - Accent5 17 2" xfId="2881" xr:uid="{00000000-0005-0000-0000-0000B4210000}"/>
    <cellStyle name="40% - Accent5 17 2 2" xfId="2880" xr:uid="{00000000-0005-0000-0000-0000B5210000}"/>
    <cellStyle name="40% - Accent5 17 2 2 2" xfId="2879" xr:uid="{00000000-0005-0000-0000-0000B6210000}"/>
    <cellStyle name="40% - Accent5 17 2 2 3" xfId="2878" xr:uid="{00000000-0005-0000-0000-0000B7210000}"/>
    <cellStyle name="40% - Accent5 17 2 3" xfId="2877" xr:uid="{00000000-0005-0000-0000-0000B8210000}"/>
    <cellStyle name="40% - Accent5 17 2 4" xfId="2876" xr:uid="{00000000-0005-0000-0000-0000B9210000}"/>
    <cellStyle name="40% - Accent5 17 3" xfId="2875" xr:uid="{00000000-0005-0000-0000-0000BA210000}"/>
    <cellStyle name="40% - Accent5 17 3 2" xfId="2874" xr:uid="{00000000-0005-0000-0000-0000BB210000}"/>
    <cellStyle name="40% - Accent5 17 3 3" xfId="2873" xr:uid="{00000000-0005-0000-0000-0000BC210000}"/>
    <cellStyle name="40% - Accent5 17 4" xfId="2872" xr:uid="{00000000-0005-0000-0000-0000BD210000}"/>
    <cellStyle name="40% - Accent5 17 4 2" xfId="2871" xr:uid="{00000000-0005-0000-0000-0000BE210000}"/>
    <cellStyle name="40% - Accent5 17 4 3" xfId="2870" xr:uid="{00000000-0005-0000-0000-0000BF210000}"/>
    <cellStyle name="40% - Accent5 17 5" xfId="2869" xr:uid="{00000000-0005-0000-0000-0000C0210000}"/>
    <cellStyle name="40% - Accent5 17 6" xfId="2868" xr:uid="{00000000-0005-0000-0000-0000C1210000}"/>
    <cellStyle name="40% - Accent5 18" xfId="2867" xr:uid="{00000000-0005-0000-0000-0000C2210000}"/>
    <cellStyle name="40% - Accent5 18 2" xfId="2866" xr:uid="{00000000-0005-0000-0000-0000C3210000}"/>
    <cellStyle name="40% - Accent5 18 2 2" xfId="2865" xr:uid="{00000000-0005-0000-0000-0000C4210000}"/>
    <cellStyle name="40% - Accent5 18 2 2 2" xfId="2864" xr:uid="{00000000-0005-0000-0000-0000C5210000}"/>
    <cellStyle name="40% - Accent5 18 2 2 3" xfId="2863" xr:uid="{00000000-0005-0000-0000-0000C6210000}"/>
    <cellStyle name="40% - Accent5 18 2 3" xfId="2862" xr:uid="{00000000-0005-0000-0000-0000C7210000}"/>
    <cellStyle name="40% - Accent5 18 2 4" xfId="2861" xr:uid="{00000000-0005-0000-0000-0000C8210000}"/>
    <cellStyle name="40% - Accent5 18 3" xfId="2860" xr:uid="{00000000-0005-0000-0000-0000C9210000}"/>
    <cellStyle name="40% - Accent5 18 3 2" xfId="2859" xr:uid="{00000000-0005-0000-0000-0000CA210000}"/>
    <cellStyle name="40% - Accent5 18 3 3" xfId="2858" xr:uid="{00000000-0005-0000-0000-0000CB210000}"/>
    <cellStyle name="40% - Accent5 18 4" xfId="2857" xr:uid="{00000000-0005-0000-0000-0000CC210000}"/>
    <cellStyle name="40% - Accent5 18 4 2" xfId="2856" xr:uid="{00000000-0005-0000-0000-0000CD210000}"/>
    <cellStyle name="40% - Accent5 18 4 3" xfId="2855" xr:uid="{00000000-0005-0000-0000-0000CE210000}"/>
    <cellStyle name="40% - Accent5 18 5" xfId="2854" xr:uid="{00000000-0005-0000-0000-0000CF210000}"/>
    <cellStyle name="40% - Accent5 18 6" xfId="2853" xr:uid="{00000000-0005-0000-0000-0000D0210000}"/>
    <cellStyle name="40% - Accent5 19" xfId="2852" xr:uid="{00000000-0005-0000-0000-0000D1210000}"/>
    <cellStyle name="40% - Accent5 19 2" xfId="2851" xr:uid="{00000000-0005-0000-0000-0000D2210000}"/>
    <cellStyle name="40% - Accent5 19 2 2" xfId="2850" xr:uid="{00000000-0005-0000-0000-0000D3210000}"/>
    <cellStyle name="40% - Accent5 19 2 2 2" xfId="2849" xr:uid="{00000000-0005-0000-0000-0000D4210000}"/>
    <cellStyle name="40% - Accent5 19 2 2 3" xfId="2848" xr:uid="{00000000-0005-0000-0000-0000D5210000}"/>
    <cellStyle name="40% - Accent5 19 2 3" xfId="2847" xr:uid="{00000000-0005-0000-0000-0000D6210000}"/>
    <cellStyle name="40% - Accent5 19 2 4" xfId="2846" xr:uid="{00000000-0005-0000-0000-0000D7210000}"/>
    <cellStyle name="40% - Accent5 19 3" xfId="2845" xr:uid="{00000000-0005-0000-0000-0000D8210000}"/>
    <cellStyle name="40% - Accent5 19 3 2" xfId="2844" xr:uid="{00000000-0005-0000-0000-0000D9210000}"/>
    <cellStyle name="40% - Accent5 19 3 3" xfId="2843" xr:uid="{00000000-0005-0000-0000-0000DA210000}"/>
    <cellStyle name="40% - Accent5 19 4" xfId="2842" xr:uid="{00000000-0005-0000-0000-0000DB210000}"/>
    <cellStyle name="40% - Accent5 19 4 2" xfId="2841" xr:uid="{00000000-0005-0000-0000-0000DC210000}"/>
    <cellStyle name="40% - Accent5 19 4 3" xfId="2840" xr:uid="{00000000-0005-0000-0000-0000DD210000}"/>
    <cellStyle name="40% - Accent5 19 5" xfId="2839" xr:uid="{00000000-0005-0000-0000-0000DE210000}"/>
    <cellStyle name="40% - Accent5 19 6" xfId="2838" xr:uid="{00000000-0005-0000-0000-0000DF210000}"/>
    <cellStyle name="40% - Accent5 2" xfId="2837" xr:uid="{00000000-0005-0000-0000-0000E0210000}"/>
    <cellStyle name="40% - Accent5 2 10" xfId="11516" xr:uid="{00000000-0005-0000-0000-0000E1210000}"/>
    <cellStyle name="40% - Accent5 2 10 2" xfId="11517" xr:uid="{00000000-0005-0000-0000-0000E2210000}"/>
    <cellStyle name="40% - Accent5 2 11" xfId="11518" xr:uid="{00000000-0005-0000-0000-0000E3210000}"/>
    <cellStyle name="40% - Accent5 2 12" xfId="11519" xr:uid="{00000000-0005-0000-0000-0000E4210000}"/>
    <cellStyle name="40% - Accent5 2 12 2" xfId="11520" xr:uid="{00000000-0005-0000-0000-0000E5210000}"/>
    <cellStyle name="40% - Accent5 2 12 2 2" xfId="11521" xr:uid="{00000000-0005-0000-0000-0000E6210000}"/>
    <cellStyle name="40% - Accent5 2 12 3" xfId="11522" xr:uid="{00000000-0005-0000-0000-0000E7210000}"/>
    <cellStyle name="40% - Accent5 2 12 4" xfId="11523" xr:uid="{00000000-0005-0000-0000-0000E8210000}"/>
    <cellStyle name="40% - Accent5 2 12 4 2" xfId="11524" xr:uid="{00000000-0005-0000-0000-0000E9210000}"/>
    <cellStyle name="40% - Accent5 2 12 5" xfId="11525" xr:uid="{00000000-0005-0000-0000-0000EA210000}"/>
    <cellStyle name="40% - Accent5 2 13" xfId="11526" xr:uid="{00000000-0005-0000-0000-0000EB210000}"/>
    <cellStyle name="40% - Accent5 2 13 2" xfId="11527" xr:uid="{00000000-0005-0000-0000-0000EC210000}"/>
    <cellStyle name="40% - Accent5 2 13 2 2" xfId="11528" xr:uid="{00000000-0005-0000-0000-0000ED210000}"/>
    <cellStyle name="40% - Accent5 2 13 3" xfId="11529" xr:uid="{00000000-0005-0000-0000-0000EE210000}"/>
    <cellStyle name="40% - Accent5 2 14" xfId="11530" xr:uid="{00000000-0005-0000-0000-0000EF210000}"/>
    <cellStyle name="40% - Accent5 2 15" xfId="11531" xr:uid="{00000000-0005-0000-0000-0000F0210000}"/>
    <cellStyle name="40% - Accent5 2 2" xfId="2836" xr:uid="{00000000-0005-0000-0000-0000F1210000}"/>
    <cellStyle name="40% - Accent5 2 2 10" xfId="11532" xr:uid="{00000000-0005-0000-0000-0000F2210000}"/>
    <cellStyle name="40% - Accent5 2 2 10 2" xfId="11533" xr:uid="{00000000-0005-0000-0000-0000F3210000}"/>
    <cellStyle name="40% - Accent5 2 2 11" xfId="11534" xr:uid="{00000000-0005-0000-0000-0000F4210000}"/>
    <cellStyle name="40% - Accent5 2 2 2" xfId="11535" xr:uid="{00000000-0005-0000-0000-0000F5210000}"/>
    <cellStyle name="40% - Accent5 2 2 2 2" xfId="11536" xr:uid="{00000000-0005-0000-0000-0000F6210000}"/>
    <cellStyle name="40% - Accent5 2 2 2 2 2" xfId="11537" xr:uid="{00000000-0005-0000-0000-0000F7210000}"/>
    <cellStyle name="40% - Accent5 2 2 2 2 3" xfId="11538" xr:uid="{00000000-0005-0000-0000-0000F8210000}"/>
    <cellStyle name="40% - Accent5 2 2 2 3" xfId="11539" xr:uid="{00000000-0005-0000-0000-0000F9210000}"/>
    <cellStyle name="40% - Accent5 2 2 2 3 2" xfId="11540" xr:uid="{00000000-0005-0000-0000-0000FA210000}"/>
    <cellStyle name="40% - Accent5 2 2 2 4" xfId="11541" xr:uid="{00000000-0005-0000-0000-0000FB210000}"/>
    <cellStyle name="40% - Accent5 2 2 2 5" xfId="11542" xr:uid="{00000000-0005-0000-0000-0000FC210000}"/>
    <cellStyle name="40% - Accent5 2 2 3" xfId="11543" xr:uid="{00000000-0005-0000-0000-0000FD210000}"/>
    <cellStyle name="40% - Accent5 2 2 3 2" xfId="11544" xr:uid="{00000000-0005-0000-0000-0000FE210000}"/>
    <cellStyle name="40% - Accent5 2 2 3 2 2" xfId="11545" xr:uid="{00000000-0005-0000-0000-0000FF210000}"/>
    <cellStyle name="40% - Accent5 2 2 3 2 3" xfId="11546" xr:uid="{00000000-0005-0000-0000-000000220000}"/>
    <cellStyle name="40% - Accent5 2 2 3 3" xfId="11547" xr:uid="{00000000-0005-0000-0000-000001220000}"/>
    <cellStyle name="40% - Accent5 2 2 3 3 2" xfId="11548" xr:uid="{00000000-0005-0000-0000-000002220000}"/>
    <cellStyle name="40% - Accent5 2 2 3 4" xfId="11549" xr:uid="{00000000-0005-0000-0000-000003220000}"/>
    <cellStyle name="40% - Accent5 2 2 3 5" xfId="11550" xr:uid="{00000000-0005-0000-0000-000004220000}"/>
    <cellStyle name="40% - Accent5 2 2 4" xfId="11551" xr:uid="{00000000-0005-0000-0000-000005220000}"/>
    <cellStyle name="40% - Accent5 2 2 4 2" xfId="11552" xr:uid="{00000000-0005-0000-0000-000006220000}"/>
    <cellStyle name="40% - Accent5 2 2 4 2 2" xfId="11553" xr:uid="{00000000-0005-0000-0000-000007220000}"/>
    <cellStyle name="40% - Accent5 2 2 4 3" xfId="11554" xr:uid="{00000000-0005-0000-0000-000008220000}"/>
    <cellStyle name="40% - Accent5 2 2 4 4" xfId="11555" xr:uid="{00000000-0005-0000-0000-000009220000}"/>
    <cellStyle name="40% - Accent5 2 2 5" xfId="11556" xr:uid="{00000000-0005-0000-0000-00000A220000}"/>
    <cellStyle name="40% - Accent5 2 2 5 2" xfId="11557" xr:uid="{00000000-0005-0000-0000-00000B220000}"/>
    <cellStyle name="40% - Accent5 2 2 6" xfId="11558" xr:uid="{00000000-0005-0000-0000-00000C220000}"/>
    <cellStyle name="40% - Accent5 2 2 6 2" xfId="11559" xr:uid="{00000000-0005-0000-0000-00000D220000}"/>
    <cellStyle name="40% - Accent5 2 2 7" xfId="11560" xr:uid="{00000000-0005-0000-0000-00000E220000}"/>
    <cellStyle name="40% - Accent5 2 2 8" xfId="11561" xr:uid="{00000000-0005-0000-0000-00000F220000}"/>
    <cellStyle name="40% - Accent5 2 2 9" xfId="11562" xr:uid="{00000000-0005-0000-0000-000010220000}"/>
    <cellStyle name="40% - Accent5 2 2 9 2" xfId="11563" xr:uid="{00000000-0005-0000-0000-000011220000}"/>
    <cellStyle name="40% - Accent5 2 3" xfId="2835" xr:uid="{00000000-0005-0000-0000-000012220000}"/>
    <cellStyle name="40% - Accent5 2 3 2" xfId="2834" xr:uid="{00000000-0005-0000-0000-000013220000}"/>
    <cellStyle name="40% - Accent5 2 3 2 2" xfId="2833" xr:uid="{00000000-0005-0000-0000-000014220000}"/>
    <cellStyle name="40% - Accent5 2 3 2 2 2" xfId="2832" xr:uid="{00000000-0005-0000-0000-000015220000}"/>
    <cellStyle name="40% - Accent5 2 3 2 2 3" xfId="2831" xr:uid="{00000000-0005-0000-0000-000016220000}"/>
    <cellStyle name="40% - Accent5 2 3 2 3" xfId="2830" xr:uid="{00000000-0005-0000-0000-000017220000}"/>
    <cellStyle name="40% - Accent5 2 3 2 3 2" xfId="11564" xr:uid="{00000000-0005-0000-0000-000018220000}"/>
    <cellStyle name="40% - Accent5 2 3 2 4" xfId="2829" xr:uid="{00000000-0005-0000-0000-000019220000}"/>
    <cellStyle name="40% - Accent5 2 3 2 5" xfId="11565" xr:uid="{00000000-0005-0000-0000-00001A220000}"/>
    <cellStyle name="40% - Accent5 2 3 3" xfId="2828" xr:uid="{00000000-0005-0000-0000-00001B220000}"/>
    <cellStyle name="40% - Accent5 2 3 3 2" xfId="2827" xr:uid="{00000000-0005-0000-0000-00001C220000}"/>
    <cellStyle name="40% - Accent5 2 3 3 2 2" xfId="11566" xr:uid="{00000000-0005-0000-0000-00001D220000}"/>
    <cellStyle name="40% - Accent5 2 3 3 3" xfId="2826" xr:uid="{00000000-0005-0000-0000-00001E220000}"/>
    <cellStyle name="40% - Accent5 2 3 3 4" xfId="11567" xr:uid="{00000000-0005-0000-0000-00001F220000}"/>
    <cellStyle name="40% - Accent5 2 3 4" xfId="2825" xr:uid="{00000000-0005-0000-0000-000020220000}"/>
    <cellStyle name="40% - Accent5 2 3 4 2" xfId="2824" xr:uid="{00000000-0005-0000-0000-000021220000}"/>
    <cellStyle name="40% - Accent5 2 3 4 3" xfId="2823" xr:uid="{00000000-0005-0000-0000-000022220000}"/>
    <cellStyle name="40% - Accent5 2 3 5" xfId="2822" xr:uid="{00000000-0005-0000-0000-000023220000}"/>
    <cellStyle name="40% - Accent5 2 3 5 2" xfId="11568" xr:uid="{00000000-0005-0000-0000-000024220000}"/>
    <cellStyle name="40% - Accent5 2 3 6" xfId="2821" xr:uid="{00000000-0005-0000-0000-000025220000}"/>
    <cellStyle name="40% - Accent5 2 3 7" xfId="11569" xr:uid="{00000000-0005-0000-0000-000026220000}"/>
    <cellStyle name="40% - Accent5 2 3 8" xfId="11570" xr:uid="{00000000-0005-0000-0000-000027220000}"/>
    <cellStyle name="40% - Accent5 2 4" xfId="11571" xr:uid="{00000000-0005-0000-0000-000028220000}"/>
    <cellStyle name="40% - Accent5 2 4 2" xfId="11572" xr:uid="{00000000-0005-0000-0000-000029220000}"/>
    <cellStyle name="40% - Accent5 2 4 2 2" xfId="11573" xr:uid="{00000000-0005-0000-0000-00002A220000}"/>
    <cellStyle name="40% - Accent5 2 4 2 2 2" xfId="11574" xr:uid="{00000000-0005-0000-0000-00002B220000}"/>
    <cellStyle name="40% - Accent5 2 4 2 3" xfId="11575" xr:uid="{00000000-0005-0000-0000-00002C220000}"/>
    <cellStyle name="40% - Accent5 2 4 2 4" xfId="11576" xr:uid="{00000000-0005-0000-0000-00002D220000}"/>
    <cellStyle name="40% - Accent5 2 4 3" xfId="11577" xr:uid="{00000000-0005-0000-0000-00002E220000}"/>
    <cellStyle name="40% - Accent5 2 4 3 2" xfId="11578" xr:uid="{00000000-0005-0000-0000-00002F220000}"/>
    <cellStyle name="40% - Accent5 2 4 4" xfId="11579" xr:uid="{00000000-0005-0000-0000-000030220000}"/>
    <cellStyle name="40% - Accent5 2 4 4 2" xfId="11580" xr:uid="{00000000-0005-0000-0000-000031220000}"/>
    <cellStyle name="40% - Accent5 2 4 5" xfId="11581" xr:uid="{00000000-0005-0000-0000-000032220000}"/>
    <cellStyle name="40% - Accent5 2 4 6" xfId="11582" xr:uid="{00000000-0005-0000-0000-000033220000}"/>
    <cellStyle name="40% - Accent5 2 5" xfId="11583" xr:uid="{00000000-0005-0000-0000-000034220000}"/>
    <cellStyle name="40% - Accent5 2 5 2" xfId="11584" xr:uid="{00000000-0005-0000-0000-000035220000}"/>
    <cellStyle name="40% - Accent5 2 5 2 2" xfId="11585" xr:uid="{00000000-0005-0000-0000-000036220000}"/>
    <cellStyle name="40% - Accent5 2 5 3" xfId="11586" xr:uid="{00000000-0005-0000-0000-000037220000}"/>
    <cellStyle name="40% - Accent5 2 5 4" xfId="11587" xr:uid="{00000000-0005-0000-0000-000038220000}"/>
    <cellStyle name="40% - Accent5 2 6" xfId="11588" xr:uid="{00000000-0005-0000-0000-000039220000}"/>
    <cellStyle name="40% - Accent5 2 6 10" xfId="11589" xr:uid="{00000000-0005-0000-0000-00003A220000}"/>
    <cellStyle name="40% - Accent5 2 6 2" xfId="11590" xr:uid="{00000000-0005-0000-0000-00003B220000}"/>
    <cellStyle name="40% - Accent5 2 6 2 2" xfId="11591" xr:uid="{00000000-0005-0000-0000-00003C220000}"/>
    <cellStyle name="40% - Accent5 2 6 2 2 2" xfId="11592" xr:uid="{00000000-0005-0000-0000-00003D220000}"/>
    <cellStyle name="40% - Accent5 2 6 2 2 2 2" xfId="11593" xr:uid="{00000000-0005-0000-0000-00003E220000}"/>
    <cellStyle name="40% - Accent5 2 6 2 2 3" xfId="11594" xr:uid="{00000000-0005-0000-0000-00003F220000}"/>
    <cellStyle name="40% - Accent5 2 6 2 2 3 2" xfId="11595" xr:uid="{00000000-0005-0000-0000-000040220000}"/>
    <cellStyle name="40% - Accent5 2 6 2 2 4" xfId="11596" xr:uid="{00000000-0005-0000-0000-000041220000}"/>
    <cellStyle name="40% - Accent5 2 6 2 2 5" xfId="11597" xr:uid="{00000000-0005-0000-0000-000042220000}"/>
    <cellStyle name="40% - Accent5 2 6 2 3" xfId="11598" xr:uid="{00000000-0005-0000-0000-000043220000}"/>
    <cellStyle name="40% - Accent5 2 6 2 3 2" xfId="11599" xr:uid="{00000000-0005-0000-0000-000044220000}"/>
    <cellStyle name="40% - Accent5 2 6 2 3 2 2" xfId="11600" xr:uid="{00000000-0005-0000-0000-000045220000}"/>
    <cellStyle name="40% - Accent5 2 6 2 3 3" xfId="11601" xr:uid="{00000000-0005-0000-0000-000046220000}"/>
    <cellStyle name="40% - Accent5 2 6 2 4" xfId="11602" xr:uid="{00000000-0005-0000-0000-000047220000}"/>
    <cellStyle name="40% - Accent5 2 6 2 4 2" xfId="11603" xr:uid="{00000000-0005-0000-0000-000048220000}"/>
    <cellStyle name="40% - Accent5 2 6 2 5" xfId="11604" xr:uid="{00000000-0005-0000-0000-000049220000}"/>
    <cellStyle name="40% - Accent5 2 6 2 5 2" xfId="11605" xr:uid="{00000000-0005-0000-0000-00004A220000}"/>
    <cellStyle name="40% - Accent5 2 6 2 6" xfId="11606" xr:uid="{00000000-0005-0000-0000-00004B220000}"/>
    <cellStyle name="40% - Accent5 2 6 3" xfId="11607" xr:uid="{00000000-0005-0000-0000-00004C220000}"/>
    <cellStyle name="40% - Accent5 2 6 3 2" xfId="11608" xr:uid="{00000000-0005-0000-0000-00004D220000}"/>
    <cellStyle name="40% - Accent5 2 6 3 2 2" xfId="11609" xr:uid="{00000000-0005-0000-0000-00004E220000}"/>
    <cellStyle name="40% - Accent5 2 6 3 2 2 2" xfId="11610" xr:uid="{00000000-0005-0000-0000-00004F220000}"/>
    <cellStyle name="40% - Accent5 2 6 3 2 3" xfId="11611" xr:uid="{00000000-0005-0000-0000-000050220000}"/>
    <cellStyle name="40% - Accent5 2 6 3 2 3 2" xfId="11612" xr:uid="{00000000-0005-0000-0000-000051220000}"/>
    <cellStyle name="40% - Accent5 2 6 3 2 4" xfId="11613" xr:uid="{00000000-0005-0000-0000-000052220000}"/>
    <cellStyle name="40% - Accent5 2 6 3 2 5" xfId="11614" xr:uid="{00000000-0005-0000-0000-000053220000}"/>
    <cellStyle name="40% - Accent5 2 6 3 3" xfId="11615" xr:uid="{00000000-0005-0000-0000-000054220000}"/>
    <cellStyle name="40% - Accent5 2 6 3 3 2" xfId="11616" xr:uid="{00000000-0005-0000-0000-000055220000}"/>
    <cellStyle name="40% - Accent5 2 6 3 3 2 2" xfId="11617" xr:uid="{00000000-0005-0000-0000-000056220000}"/>
    <cellStyle name="40% - Accent5 2 6 3 3 3" xfId="11618" xr:uid="{00000000-0005-0000-0000-000057220000}"/>
    <cellStyle name="40% - Accent5 2 6 3 4" xfId="11619" xr:uid="{00000000-0005-0000-0000-000058220000}"/>
    <cellStyle name="40% - Accent5 2 6 3 4 2" xfId="11620" xr:uid="{00000000-0005-0000-0000-000059220000}"/>
    <cellStyle name="40% - Accent5 2 6 3 5" xfId="11621" xr:uid="{00000000-0005-0000-0000-00005A220000}"/>
    <cellStyle name="40% - Accent5 2 6 3 5 2" xfId="11622" xr:uid="{00000000-0005-0000-0000-00005B220000}"/>
    <cellStyle name="40% - Accent5 2 6 3 6" xfId="11623" xr:uid="{00000000-0005-0000-0000-00005C220000}"/>
    <cellStyle name="40% - Accent5 2 6 4" xfId="11624" xr:uid="{00000000-0005-0000-0000-00005D220000}"/>
    <cellStyle name="40% - Accent5 2 6 4 2" xfId="11625" xr:uid="{00000000-0005-0000-0000-00005E220000}"/>
    <cellStyle name="40% - Accent5 2 6 4 2 2" xfId="11626" xr:uid="{00000000-0005-0000-0000-00005F220000}"/>
    <cellStyle name="40% - Accent5 2 6 4 2 2 2" xfId="11627" xr:uid="{00000000-0005-0000-0000-000060220000}"/>
    <cellStyle name="40% - Accent5 2 6 4 2 3" xfId="11628" xr:uid="{00000000-0005-0000-0000-000061220000}"/>
    <cellStyle name="40% - Accent5 2 6 4 3" xfId="11629" xr:uid="{00000000-0005-0000-0000-000062220000}"/>
    <cellStyle name="40% - Accent5 2 6 4 3 2" xfId="11630" xr:uid="{00000000-0005-0000-0000-000063220000}"/>
    <cellStyle name="40% - Accent5 2 6 4 4" xfId="11631" xr:uid="{00000000-0005-0000-0000-000064220000}"/>
    <cellStyle name="40% - Accent5 2 6 4 4 2" xfId="11632" xr:uid="{00000000-0005-0000-0000-000065220000}"/>
    <cellStyle name="40% - Accent5 2 6 4 5" xfId="11633" xr:uid="{00000000-0005-0000-0000-000066220000}"/>
    <cellStyle name="40% - Accent5 2 6 5" xfId="11634" xr:uid="{00000000-0005-0000-0000-000067220000}"/>
    <cellStyle name="40% - Accent5 2 6 5 2" xfId="11635" xr:uid="{00000000-0005-0000-0000-000068220000}"/>
    <cellStyle name="40% - Accent5 2 6 5 2 2" xfId="11636" xr:uid="{00000000-0005-0000-0000-000069220000}"/>
    <cellStyle name="40% - Accent5 2 6 5 3" xfId="11637" xr:uid="{00000000-0005-0000-0000-00006A220000}"/>
    <cellStyle name="40% - Accent5 2 6 5 3 2" xfId="11638" xr:uid="{00000000-0005-0000-0000-00006B220000}"/>
    <cellStyle name="40% - Accent5 2 6 5 4" xfId="11639" xr:uid="{00000000-0005-0000-0000-00006C220000}"/>
    <cellStyle name="40% - Accent5 2 6 6" xfId="11640" xr:uid="{00000000-0005-0000-0000-00006D220000}"/>
    <cellStyle name="40% - Accent5 2 6 6 2" xfId="11641" xr:uid="{00000000-0005-0000-0000-00006E220000}"/>
    <cellStyle name="40% - Accent5 2 6 6 2 2" xfId="11642" xr:uid="{00000000-0005-0000-0000-00006F220000}"/>
    <cellStyle name="40% - Accent5 2 6 6 3" xfId="11643" xr:uid="{00000000-0005-0000-0000-000070220000}"/>
    <cellStyle name="40% - Accent5 2 6 7" xfId="11644" xr:uid="{00000000-0005-0000-0000-000071220000}"/>
    <cellStyle name="40% - Accent5 2 6 7 2" xfId="11645" xr:uid="{00000000-0005-0000-0000-000072220000}"/>
    <cellStyle name="40% - Accent5 2 6 7 3" xfId="11646" xr:uid="{00000000-0005-0000-0000-000073220000}"/>
    <cellStyle name="40% - Accent5 2 6 8" xfId="11647" xr:uid="{00000000-0005-0000-0000-000074220000}"/>
    <cellStyle name="40% - Accent5 2 6 8 2" xfId="11648" xr:uid="{00000000-0005-0000-0000-000075220000}"/>
    <cellStyle name="40% - Accent5 2 6 9" xfId="11649" xr:uid="{00000000-0005-0000-0000-000076220000}"/>
    <cellStyle name="40% - Accent5 2 7" xfId="11650" xr:uid="{00000000-0005-0000-0000-000077220000}"/>
    <cellStyle name="40% - Accent5 2 7 2" xfId="11651" xr:uid="{00000000-0005-0000-0000-000078220000}"/>
    <cellStyle name="40% - Accent5 2 7 2 2" xfId="11652" xr:uid="{00000000-0005-0000-0000-000079220000}"/>
    <cellStyle name="40% - Accent5 2 7 3" xfId="11653" xr:uid="{00000000-0005-0000-0000-00007A220000}"/>
    <cellStyle name="40% - Accent5 2 7 4" xfId="11654" xr:uid="{00000000-0005-0000-0000-00007B220000}"/>
    <cellStyle name="40% - Accent5 2 8" xfId="11655" xr:uid="{00000000-0005-0000-0000-00007C220000}"/>
    <cellStyle name="40% - Accent5 2 8 2" xfId="11656" xr:uid="{00000000-0005-0000-0000-00007D220000}"/>
    <cellStyle name="40% - Accent5 2 9" xfId="11657" xr:uid="{00000000-0005-0000-0000-00007E220000}"/>
    <cellStyle name="40% - Accent5 2 9 2" xfId="11658" xr:uid="{00000000-0005-0000-0000-00007F220000}"/>
    <cellStyle name="40% - Accent5 20" xfId="2820" xr:uid="{00000000-0005-0000-0000-000080220000}"/>
    <cellStyle name="40% - Accent5 20 2" xfId="2819" xr:uid="{00000000-0005-0000-0000-000081220000}"/>
    <cellStyle name="40% - Accent5 20 2 2" xfId="2818" xr:uid="{00000000-0005-0000-0000-000082220000}"/>
    <cellStyle name="40% - Accent5 20 2 2 2" xfId="2817" xr:uid="{00000000-0005-0000-0000-000083220000}"/>
    <cellStyle name="40% - Accent5 20 2 2 3" xfId="2816" xr:uid="{00000000-0005-0000-0000-000084220000}"/>
    <cellStyle name="40% - Accent5 20 2 3" xfId="2815" xr:uid="{00000000-0005-0000-0000-000085220000}"/>
    <cellStyle name="40% - Accent5 20 2 4" xfId="2814" xr:uid="{00000000-0005-0000-0000-000086220000}"/>
    <cellStyle name="40% - Accent5 20 3" xfId="2813" xr:uid="{00000000-0005-0000-0000-000087220000}"/>
    <cellStyle name="40% - Accent5 20 3 2" xfId="2812" xr:uid="{00000000-0005-0000-0000-000088220000}"/>
    <cellStyle name="40% - Accent5 20 3 3" xfId="2811" xr:uid="{00000000-0005-0000-0000-000089220000}"/>
    <cellStyle name="40% - Accent5 20 4" xfId="2810" xr:uid="{00000000-0005-0000-0000-00008A220000}"/>
    <cellStyle name="40% - Accent5 20 4 2" xfId="2809" xr:uid="{00000000-0005-0000-0000-00008B220000}"/>
    <cellStyle name="40% - Accent5 20 4 3" xfId="2808" xr:uid="{00000000-0005-0000-0000-00008C220000}"/>
    <cellStyle name="40% - Accent5 20 5" xfId="2807" xr:uid="{00000000-0005-0000-0000-00008D220000}"/>
    <cellStyle name="40% - Accent5 20 6" xfId="2806" xr:uid="{00000000-0005-0000-0000-00008E220000}"/>
    <cellStyle name="40% - Accent5 21" xfId="2805" xr:uid="{00000000-0005-0000-0000-00008F220000}"/>
    <cellStyle name="40% - Accent5 22" xfId="2804" xr:uid="{00000000-0005-0000-0000-000090220000}"/>
    <cellStyle name="40% - Accent5 22 2" xfId="2803" xr:uid="{00000000-0005-0000-0000-000091220000}"/>
    <cellStyle name="40% - Accent5 22 2 2" xfId="2802" xr:uid="{00000000-0005-0000-0000-000092220000}"/>
    <cellStyle name="40% - Accent5 22 2 2 2" xfId="2801" xr:uid="{00000000-0005-0000-0000-000093220000}"/>
    <cellStyle name="40% - Accent5 22 2 2 3" xfId="2800" xr:uid="{00000000-0005-0000-0000-000094220000}"/>
    <cellStyle name="40% - Accent5 22 2 3" xfId="2799" xr:uid="{00000000-0005-0000-0000-000095220000}"/>
    <cellStyle name="40% - Accent5 22 2 4" xfId="2798" xr:uid="{00000000-0005-0000-0000-000096220000}"/>
    <cellStyle name="40% - Accent5 22 3" xfId="2797" xr:uid="{00000000-0005-0000-0000-000097220000}"/>
    <cellStyle name="40% - Accent5 22 3 2" xfId="2796" xr:uid="{00000000-0005-0000-0000-000098220000}"/>
    <cellStyle name="40% - Accent5 22 3 3" xfId="2795" xr:uid="{00000000-0005-0000-0000-000099220000}"/>
    <cellStyle name="40% - Accent5 22 4" xfId="2794" xr:uid="{00000000-0005-0000-0000-00009A220000}"/>
    <cellStyle name="40% - Accent5 22 4 2" xfId="2793" xr:uid="{00000000-0005-0000-0000-00009B220000}"/>
    <cellStyle name="40% - Accent5 22 4 3" xfId="2792" xr:uid="{00000000-0005-0000-0000-00009C220000}"/>
    <cellStyle name="40% - Accent5 22 5" xfId="2791" xr:uid="{00000000-0005-0000-0000-00009D220000}"/>
    <cellStyle name="40% - Accent5 22 6" xfId="2790" xr:uid="{00000000-0005-0000-0000-00009E220000}"/>
    <cellStyle name="40% - Accent5 23" xfId="2789" xr:uid="{00000000-0005-0000-0000-00009F220000}"/>
    <cellStyle name="40% - Accent5 23 2" xfId="2788" xr:uid="{00000000-0005-0000-0000-0000A0220000}"/>
    <cellStyle name="40% - Accent5 23 2 2" xfId="2787" xr:uid="{00000000-0005-0000-0000-0000A1220000}"/>
    <cellStyle name="40% - Accent5 23 2 3" xfId="2786" xr:uid="{00000000-0005-0000-0000-0000A2220000}"/>
    <cellStyle name="40% - Accent5 23 3" xfId="2785" xr:uid="{00000000-0005-0000-0000-0000A3220000}"/>
    <cellStyle name="40% - Accent5 23 4" xfId="2784" xr:uid="{00000000-0005-0000-0000-0000A4220000}"/>
    <cellStyle name="40% - Accent5 24" xfId="2783" xr:uid="{00000000-0005-0000-0000-0000A5220000}"/>
    <cellStyle name="40% - Accent5 24 2" xfId="2782" xr:uid="{00000000-0005-0000-0000-0000A6220000}"/>
    <cellStyle name="40% - Accent5 24 3" xfId="2781" xr:uid="{00000000-0005-0000-0000-0000A7220000}"/>
    <cellStyle name="40% - Accent5 25" xfId="2780" xr:uid="{00000000-0005-0000-0000-0000A8220000}"/>
    <cellStyle name="40% - Accent5 25 2" xfId="2779" xr:uid="{00000000-0005-0000-0000-0000A9220000}"/>
    <cellStyle name="40% - Accent5 25 3" xfId="2778" xr:uid="{00000000-0005-0000-0000-0000AA220000}"/>
    <cellStyle name="40% - Accent5 26" xfId="2777" xr:uid="{00000000-0005-0000-0000-0000AB220000}"/>
    <cellStyle name="40% - Accent5 27" xfId="2776" xr:uid="{00000000-0005-0000-0000-0000AC220000}"/>
    <cellStyle name="40% - Accent5 28" xfId="2775" xr:uid="{00000000-0005-0000-0000-0000AD220000}"/>
    <cellStyle name="40% - Accent5 29" xfId="2774" xr:uid="{00000000-0005-0000-0000-0000AE220000}"/>
    <cellStyle name="40% - Accent5 3" xfId="2773" xr:uid="{00000000-0005-0000-0000-0000AF220000}"/>
    <cellStyle name="40% - Accent5 3 10" xfId="11659" xr:uid="{00000000-0005-0000-0000-0000B0220000}"/>
    <cellStyle name="40% - Accent5 3 2" xfId="2772" xr:uid="{00000000-0005-0000-0000-0000B1220000}"/>
    <cellStyle name="40% - Accent5 3 2 2" xfId="11660" xr:uid="{00000000-0005-0000-0000-0000B2220000}"/>
    <cellStyle name="40% - Accent5 3 2 2 2" xfId="11661" xr:uid="{00000000-0005-0000-0000-0000B3220000}"/>
    <cellStyle name="40% - Accent5 3 2 2 2 2" xfId="11662" xr:uid="{00000000-0005-0000-0000-0000B4220000}"/>
    <cellStyle name="40% - Accent5 3 2 2 3" xfId="11663" xr:uid="{00000000-0005-0000-0000-0000B5220000}"/>
    <cellStyle name="40% - Accent5 3 2 2 4" xfId="11664" xr:uid="{00000000-0005-0000-0000-0000B6220000}"/>
    <cellStyle name="40% - Accent5 3 2 2 5" xfId="11665" xr:uid="{00000000-0005-0000-0000-0000B7220000}"/>
    <cellStyle name="40% - Accent5 3 2 3" xfId="11666" xr:uid="{00000000-0005-0000-0000-0000B8220000}"/>
    <cellStyle name="40% - Accent5 3 2 3 2" xfId="11667" xr:uid="{00000000-0005-0000-0000-0000B9220000}"/>
    <cellStyle name="40% - Accent5 3 2 3 2 2" xfId="11668" xr:uid="{00000000-0005-0000-0000-0000BA220000}"/>
    <cellStyle name="40% - Accent5 3 2 3 3" xfId="11669" xr:uid="{00000000-0005-0000-0000-0000BB220000}"/>
    <cellStyle name="40% - Accent5 3 2 3 4" xfId="11670" xr:uid="{00000000-0005-0000-0000-0000BC220000}"/>
    <cellStyle name="40% - Accent5 3 2 4" xfId="11671" xr:uid="{00000000-0005-0000-0000-0000BD220000}"/>
    <cellStyle name="40% - Accent5 3 2 4 2" xfId="11672" xr:uid="{00000000-0005-0000-0000-0000BE220000}"/>
    <cellStyle name="40% - Accent5 3 2 5" xfId="11673" xr:uid="{00000000-0005-0000-0000-0000BF220000}"/>
    <cellStyle name="40% - Accent5 3 2 5 2" xfId="11674" xr:uid="{00000000-0005-0000-0000-0000C0220000}"/>
    <cellStyle name="40% - Accent5 3 2 6" xfId="11675" xr:uid="{00000000-0005-0000-0000-0000C1220000}"/>
    <cellStyle name="40% - Accent5 3 2 7" xfId="11676" xr:uid="{00000000-0005-0000-0000-0000C2220000}"/>
    <cellStyle name="40% - Accent5 3 2 8" xfId="11677" xr:uid="{00000000-0005-0000-0000-0000C3220000}"/>
    <cellStyle name="40% - Accent5 3 3" xfId="2771" xr:uid="{00000000-0005-0000-0000-0000C4220000}"/>
    <cellStyle name="40% - Accent5 3 3 2" xfId="2770" xr:uid="{00000000-0005-0000-0000-0000C5220000}"/>
    <cellStyle name="40% - Accent5 3 3 2 2" xfId="2769" xr:uid="{00000000-0005-0000-0000-0000C6220000}"/>
    <cellStyle name="40% - Accent5 3 3 2 2 2" xfId="2768" xr:uid="{00000000-0005-0000-0000-0000C7220000}"/>
    <cellStyle name="40% - Accent5 3 3 2 2 3" xfId="2767" xr:uid="{00000000-0005-0000-0000-0000C8220000}"/>
    <cellStyle name="40% - Accent5 3 3 2 3" xfId="2766" xr:uid="{00000000-0005-0000-0000-0000C9220000}"/>
    <cellStyle name="40% - Accent5 3 3 2 4" xfId="2765" xr:uid="{00000000-0005-0000-0000-0000CA220000}"/>
    <cellStyle name="40% - Accent5 3 3 3" xfId="2764" xr:uid="{00000000-0005-0000-0000-0000CB220000}"/>
    <cellStyle name="40% - Accent5 3 3 3 2" xfId="2763" xr:uid="{00000000-0005-0000-0000-0000CC220000}"/>
    <cellStyle name="40% - Accent5 3 3 3 3" xfId="2762" xr:uid="{00000000-0005-0000-0000-0000CD220000}"/>
    <cellStyle name="40% - Accent5 3 3 4" xfId="2761" xr:uid="{00000000-0005-0000-0000-0000CE220000}"/>
    <cellStyle name="40% - Accent5 3 3 4 2" xfId="2760" xr:uid="{00000000-0005-0000-0000-0000CF220000}"/>
    <cellStyle name="40% - Accent5 3 3 4 3" xfId="2759" xr:uid="{00000000-0005-0000-0000-0000D0220000}"/>
    <cellStyle name="40% - Accent5 3 3 5" xfId="2758" xr:uid="{00000000-0005-0000-0000-0000D1220000}"/>
    <cellStyle name="40% - Accent5 3 3 6" xfId="2757" xr:uid="{00000000-0005-0000-0000-0000D2220000}"/>
    <cellStyle name="40% - Accent5 3 3 7" xfId="11678" xr:uid="{00000000-0005-0000-0000-0000D3220000}"/>
    <cellStyle name="40% - Accent5 3 4" xfId="11679" xr:uid="{00000000-0005-0000-0000-0000D4220000}"/>
    <cellStyle name="40% - Accent5 3 4 2" xfId="11680" xr:uid="{00000000-0005-0000-0000-0000D5220000}"/>
    <cellStyle name="40% - Accent5 3 4 2 2" xfId="11681" xr:uid="{00000000-0005-0000-0000-0000D6220000}"/>
    <cellStyle name="40% - Accent5 3 4 3" xfId="11682" xr:uid="{00000000-0005-0000-0000-0000D7220000}"/>
    <cellStyle name="40% - Accent5 3 4 4" xfId="11683" xr:uid="{00000000-0005-0000-0000-0000D8220000}"/>
    <cellStyle name="40% - Accent5 3 5" xfId="11684" xr:uid="{00000000-0005-0000-0000-0000D9220000}"/>
    <cellStyle name="40% - Accent5 3 5 2" xfId="11685" xr:uid="{00000000-0005-0000-0000-0000DA220000}"/>
    <cellStyle name="40% - Accent5 3 6" xfId="11686" xr:uid="{00000000-0005-0000-0000-0000DB220000}"/>
    <cellStyle name="40% - Accent5 3 7" xfId="11687" xr:uid="{00000000-0005-0000-0000-0000DC220000}"/>
    <cellStyle name="40% - Accent5 3 7 2" xfId="11688" xr:uid="{00000000-0005-0000-0000-0000DD220000}"/>
    <cellStyle name="40% - Accent5 3 8" xfId="11689" xr:uid="{00000000-0005-0000-0000-0000DE220000}"/>
    <cellStyle name="40% - Accent5 3 9" xfId="11690" xr:uid="{00000000-0005-0000-0000-0000DF220000}"/>
    <cellStyle name="40% - Accent5 3 9 2" xfId="11691" xr:uid="{00000000-0005-0000-0000-0000E0220000}"/>
    <cellStyle name="40% - Accent5 4" xfId="2756" xr:uid="{00000000-0005-0000-0000-0000E1220000}"/>
    <cellStyle name="40% - Accent5 4 2" xfId="2755" xr:uid="{00000000-0005-0000-0000-0000E2220000}"/>
    <cellStyle name="40% - Accent5 4 2 2" xfId="2754" xr:uid="{00000000-0005-0000-0000-0000E3220000}"/>
    <cellStyle name="40% - Accent5 4 2 2 2" xfId="2753" xr:uid="{00000000-0005-0000-0000-0000E4220000}"/>
    <cellStyle name="40% - Accent5 4 2 2 2 2" xfId="2752" xr:uid="{00000000-0005-0000-0000-0000E5220000}"/>
    <cellStyle name="40% - Accent5 4 2 2 2 3" xfId="2751" xr:uid="{00000000-0005-0000-0000-0000E6220000}"/>
    <cellStyle name="40% - Accent5 4 2 2 3" xfId="2750" xr:uid="{00000000-0005-0000-0000-0000E7220000}"/>
    <cellStyle name="40% - Accent5 4 2 2 4" xfId="2749" xr:uid="{00000000-0005-0000-0000-0000E8220000}"/>
    <cellStyle name="40% - Accent5 4 2 3" xfId="2748" xr:uid="{00000000-0005-0000-0000-0000E9220000}"/>
    <cellStyle name="40% - Accent5 4 2 3 2" xfId="2747" xr:uid="{00000000-0005-0000-0000-0000EA220000}"/>
    <cellStyle name="40% - Accent5 4 2 3 3" xfId="2746" xr:uid="{00000000-0005-0000-0000-0000EB220000}"/>
    <cellStyle name="40% - Accent5 4 2 4" xfId="2745" xr:uid="{00000000-0005-0000-0000-0000EC220000}"/>
    <cellStyle name="40% - Accent5 4 2 4 2" xfId="2744" xr:uid="{00000000-0005-0000-0000-0000ED220000}"/>
    <cellStyle name="40% - Accent5 4 2 4 3" xfId="2743" xr:uid="{00000000-0005-0000-0000-0000EE220000}"/>
    <cellStyle name="40% - Accent5 4 2 5" xfId="2742" xr:uid="{00000000-0005-0000-0000-0000EF220000}"/>
    <cellStyle name="40% - Accent5 4 2 6" xfId="2741" xr:uid="{00000000-0005-0000-0000-0000F0220000}"/>
    <cellStyle name="40% - Accent5 4 3" xfId="2740" xr:uid="{00000000-0005-0000-0000-0000F1220000}"/>
    <cellStyle name="40% - Accent5 4 3 2" xfId="2739" xr:uid="{00000000-0005-0000-0000-0000F2220000}"/>
    <cellStyle name="40% - Accent5 4 3 2 2" xfId="2738" xr:uid="{00000000-0005-0000-0000-0000F3220000}"/>
    <cellStyle name="40% - Accent5 4 3 2 3" xfId="2737" xr:uid="{00000000-0005-0000-0000-0000F4220000}"/>
    <cellStyle name="40% - Accent5 4 3 3" xfId="2736" xr:uid="{00000000-0005-0000-0000-0000F5220000}"/>
    <cellStyle name="40% - Accent5 4 3 3 2" xfId="11692" xr:uid="{00000000-0005-0000-0000-0000F6220000}"/>
    <cellStyle name="40% - Accent5 4 3 4" xfId="2735" xr:uid="{00000000-0005-0000-0000-0000F7220000}"/>
    <cellStyle name="40% - Accent5 4 4" xfId="2734" xr:uid="{00000000-0005-0000-0000-0000F8220000}"/>
    <cellStyle name="40% - Accent5 4 4 2" xfId="2733" xr:uid="{00000000-0005-0000-0000-0000F9220000}"/>
    <cellStyle name="40% - Accent5 4 4 2 2" xfId="11693" xr:uid="{00000000-0005-0000-0000-0000FA220000}"/>
    <cellStyle name="40% - Accent5 4 4 3" xfId="2732" xr:uid="{00000000-0005-0000-0000-0000FB220000}"/>
    <cellStyle name="40% - Accent5 4 4 4" xfId="11694" xr:uid="{00000000-0005-0000-0000-0000FC220000}"/>
    <cellStyle name="40% - Accent5 4 5" xfId="2731" xr:uid="{00000000-0005-0000-0000-0000FD220000}"/>
    <cellStyle name="40% - Accent5 4 5 2" xfId="2730" xr:uid="{00000000-0005-0000-0000-0000FE220000}"/>
    <cellStyle name="40% - Accent5 4 5 3" xfId="2729" xr:uid="{00000000-0005-0000-0000-0000FF220000}"/>
    <cellStyle name="40% - Accent5 4 6" xfId="2728" xr:uid="{00000000-0005-0000-0000-000000230000}"/>
    <cellStyle name="40% - Accent5 4 6 2" xfId="11695" xr:uid="{00000000-0005-0000-0000-000001230000}"/>
    <cellStyle name="40% - Accent5 4 7" xfId="2727" xr:uid="{00000000-0005-0000-0000-000002230000}"/>
    <cellStyle name="40% - Accent5 4 7 2" xfId="11696" xr:uid="{00000000-0005-0000-0000-000003230000}"/>
    <cellStyle name="40% - Accent5 4 8" xfId="11697" xr:uid="{00000000-0005-0000-0000-000004230000}"/>
    <cellStyle name="40% - Accent5 4 9" xfId="11698" xr:uid="{00000000-0005-0000-0000-000005230000}"/>
    <cellStyle name="40% - Accent5 5" xfId="2726" xr:uid="{00000000-0005-0000-0000-000006230000}"/>
    <cellStyle name="40% - Accent5 5 10" xfId="11699" xr:uid="{00000000-0005-0000-0000-000007230000}"/>
    <cellStyle name="40% - Accent5 5 11" xfId="11700" xr:uid="{00000000-0005-0000-0000-000008230000}"/>
    <cellStyle name="40% - Accent5 5 2" xfId="2725" xr:uid="{00000000-0005-0000-0000-000009230000}"/>
    <cellStyle name="40% - Accent5 5 2 2" xfId="2724" xr:uid="{00000000-0005-0000-0000-00000A230000}"/>
    <cellStyle name="40% - Accent5 5 2 2 2" xfId="2723" xr:uid="{00000000-0005-0000-0000-00000B230000}"/>
    <cellStyle name="40% - Accent5 5 2 2 2 2" xfId="11701" xr:uid="{00000000-0005-0000-0000-00000C230000}"/>
    <cellStyle name="40% - Accent5 5 2 2 2 2 2" xfId="11702" xr:uid="{00000000-0005-0000-0000-00000D230000}"/>
    <cellStyle name="40% - Accent5 5 2 2 2 3" xfId="11703" xr:uid="{00000000-0005-0000-0000-00000E230000}"/>
    <cellStyle name="40% - Accent5 5 2 2 2 3 2" xfId="11704" xr:uid="{00000000-0005-0000-0000-00000F230000}"/>
    <cellStyle name="40% - Accent5 5 2 2 2 4" xfId="11705" xr:uid="{00000000-0005-0000-0000-000010230000}"/>
    <cellStyle name="40% - Accent5 5 2 2 2 4 2" xfId="11706" xr:uid="{00000000-0005-0000-0000-000011230000}"/>
    <cellStyle name="40% - Accent5 5 2 2 2 5" xfId="11707" xr:uid="{00000000-0005-0000-0000-000012230000}"/>
    <cellStyle name="40% - Accent5 5 2 2 3" xfId="2722" xr:uid="{00000000-0005-0000-0000-000013230000}"/>
    <cellStyle name="40% - Accent5 5 2 2 3 2" xfId="11708" xr:uid="{00000000-0005-0000-0000-000014230000}"/>
    <cellStyle name="40% - Accent5 5 2 2 3 2 2" xfId="11709" xr:uid="{00000000-0005-0000-0000-000015230000}"/>
    <cellStyle name="40% - Accent5 5 2 2 3 3" xfId="11710" xr:uid="{00000000-0005-0000-0000-000016230000}"/>
    <cellStyle name="40% - Accent5 5 2 2 3 3 2" xfId="11711" xr:uid="{00000000-0005-0000-0000-000017230000}"/>
    <cellStyle name="40% - Accent5 5 2 2 3 4" xfId="11712" xr:uid="{00000000-0005-0000-0000-000018230000}"/>
    <cellStyle name="40% - Accent5 5 2 2 4" xfId="11713" xr:uid="{00000000-0005-0000-0000-000019230000}"/>
    <cellStyle name="40% - Accent5 5 2 2 4 2" xfId="11714" xr:uid="{00000000-0005-0000-0000-00001A230000}"/>
    <cellStyle name="40% - Accent5 5 2 2 4 2 2" xfId="11715" xr:uid="{00000000-0005-0000-0000-00001B230000}"/>
    <cellStyle name="40% - Accent5 5 2 2 4 3" xfId="11716" xr:uid="{00000000-0005-0000-0000-00001C230000}"/>
    <cellStyle name="40% - Accent5 5 2 2 4 3 2" xfId="11717" xr:uid="{00000000-0005-0000-0000-00001D230000}"/>
    <cellStyle name="40% - Accent5 5 2 2 4 4" xfId="11718" xr:uid="{00000000-0005-0000-0000-00001E230000}"/>
    <cellStyle name="40% - Accent5 5 2 2 5" xfId="11719" xr:uid="{00000000-0005-0000-0000-00001F230000}"/>
    <cellStyle name="40% - Accent5 5 2 2 5 2" xfId="11720" xr:uid="{00000000-0005-0000-0000-000020230000}"/>
    <cellStyle name="40% - Accent5 5 2 2 5 2 2" xfId="11721" xr:uid="{00000000-0005-0000-0000-000021230000}"/>
    <cellStyle name="40% - Accent5 5 2 2 5 3" xfId="11722" xr:uid="{00000000-0005-0000-0000-000022230000}"/>
    <cellStyle name="40% - Accent5 5 2 2 5 3 2" xfId="11723" xr:uid="{00000000-0005-0000-0000-000023230000}"/>
    <cellStyle name="40% - Accent5 5 2 2 5 4" xfId="11724" xr:uid="{00000000-0005-0000-0000-000024230000}"/>
    <cellStyle name="40% - Accent5 5 2 2 6" xfId="11725" xr:uid="{00000000-0005-0000-0000-000025230000}"/>
    <cellStyle name="40% - Accent5 5 2 2 7" xfId="11726" xr:uid="{00000000-0005-0000-0000-000026230000}"/>
    <cellStyle name="40% - Accent5 5 2 3" xfId="2721" xr:uid="{00000000-0005-0000-0000-000027230000}"/>
    <cellStyle name="40% - Accent5 5 2 4" xfId="2720" xr:uid="{00000000-0005-0000-0000-000028230000}"/>
    <cellStyle name="40% - Accent5 5 2 5" xfId="11727" xr:uid="{00000000-0005-0000-0000-000029230000}"/>
    <cellStyle name="40% - Accent5 5 2 5 2" xfId="11728" xr:uid="{00000000-0005-0000-0000-00002A230000}"/>
    <cellStyle name="40% - Accent5 5 2 6" xfId="11729" xr:uid="{00000000-0005-0000-0000-00002B230000}"/>
    <cellStyle name="40% - Accent5 5 3" xfId="2719" xr:uid="{00000000-0005-0000-0000-00002C230000}"/>
    <cellStyle name="40% - Accent5 5 3 2" xfId="2718" xr:uid="{00000000-0005-0000-0000-00002D230000}"/>
    <cellStyle name="40% - Accent5 5 3 2 2" xfId="11730" xr:uid="{00000000-0005-0000-0000-00002E230000}"/>
    <cellStyle name="40% - Accent5 5 3 3" xfId="2717" xr:uid="{00000000-0005-0000-0000-00002F230000}"/>
    <cellStyle name="40% - Accent5 5 3 4" xfId="11731" xr:uid="{00000000-0005-0000-0000-000030230000}"/>
    <cellStyle name="40% - Accent5 5 3 5" xfId="11732" xr:uid="{00000000-0005-0000-0000-000031230000}"/>
    <cellStyle name="40% - Accent5 5 3 5 2" xfId="11733" xr:uid="{00000000-0005-0000-0000-000032230000}"/>
    <cellStyle name="40% - Accent5 5 3 6" xfId="11734" xr:uid="{00000000-0005-0000-0000-000033230000}"/>
    <cellStyle name="40% - Accent5 5 4" xfId="2716" xr:uid="{00000000-0005-0000-0000-000034230000}"/>
    <cellStyle name="40% - Accent5 5 4 2" xfId="2715" xr:uid="{00000000-0005-0000-0000-000035230000}"/>
    <cellStyle name="40% - Accent5 5 4 3" xfId="2714" xr:uid="{00000000-0005-0000-0000-000036230000}"/>
    <cellStyle name="40% - Accent5 5 5" xfId="2713" xr:uid="{00000000-0005-0000-0000-000037230000}"/>
    <cellStyle name="40% - Accent5 5 5 2" xfId="11735" xr:uid="{00000000-0005-0000-0000-000038230000}"/>
    <cellStyle name="40% - Accent5 5 5 2 2" xfId="11736" xr:uid="{00000000-0005-0000-0000-000039230000}"/>
    <cellStyle name="40% - Accent5 5 5 2 2 2" xfId="11737" xr:uid="{00000000-0005-0000-0000-00003A230000}"/>
    <cellStyle name="40% - Accent5 5 5 2 3" xfId="11738" xr:uid="{00000000-0005-0000-0000-00003B230000}"/>
    <cellStyle name="40% - Accent5 5 5 2 3 2" xfId="11739" xr:uid="{00000000-0005-0000-0000-00003C230000}"/>
    <cellStyle name="40% - Accent5 5 5 2 4" xfId="11740" xr:uid="{00000000-0005-0000-0000-00003D230000}"/>
    <cellStyle name="40% - Accent5 5 5 2 4 2" xfId="11741" xr:uid="{00000000-0005-0000-0000-00003E230000}"/>
    <cellStyle name="40% - Accent5 5 5 2 5" xfId="11742" xr:uid="{00000000-0005-0000-0000-00003F230000}"/>
    <cellStyle name="40% - Accent5 5 5 3" xfId="11743" xr:uid="{00000000-0005-0000-0000-000040230000}"/>
    <cellStyle name="40% - Accent5 5 5 3 2" xfId="11744" xr:uid="{00000000-0005-0000-0000-000041230000}"/>
    <cellStyle name="40% - Accent5 5 5 3 2 2" xfId="11745" xr:uid="{00000000-0005-0000-0000-000042230000}"/>
    <cellStyle name="40% - Accent5 5 5 3 3" xfId="11746" xr:uid="{00000000-0005-0000-0000-000043230000}"/>
    <cellStyle name="40% - Accent5 5 5 3 3 2" xfId="11747" xr:uid="{00000000-0005-0000-0000-000044230000}"/>
    <cellStyle name="40% - Accent5 5 5 3 4" xfId="11748" xr:uid="{00000000-0005-0000-0000-000045230000}"/>
    <cellStyle name="40% - Accent5 5 5 4" xfId="11749" xr:uid="{00000000-0005-0000-0000-000046230000}"/>
    <cellStyle name="40% - Accent5 5 5 4 2" xfId="11750" xr:uid="{00000000-0005-0000-0000-000047230000}"/>
    <cellStyle name="40% - Accent5 5 5 4 2 2" xfId="11751" xr:uid="{00000000-0005-0000-0000-000048230000}"/>
    <cellStyle name="40% - Accent5 5 5 4 3" xfId="11752" xr:uid="{00000000-0005-0000-0000-000049230000}"/>
    <cellStyle name="40% - Accent5 5 5 4 3 2" xfId="11753" xr:uid="{00000000-0005-0000-0000-00004A230000}"/>
    <cellStyle name="40% - Accent5 5 5 4 4" xfId="11754" xr:uid="{00000000-0005-0000-0000-00004B230000}"/>
    <cellStyle name="40% - Accent5 5 5 5" xfId="11755" xr:uid="{00000000-0005-0000-0000-00004C230000}"/>
    <cellStyle name="40% - Accent5 5 5 5 2" xfId="11756" xr:uid="{00000000-0005-0000-0000-00004D230000}"/>
    <cellStyle name="40% - Accent5 5 5 5 2 2" xfId="11757" xr:uid="{00000000-0005-0000-0000-00004E230000}"/>
    <cellStyle name="40% - Accent5 5 5 5 3" xfId="11758" xr:uid="{00000000-0005-0000-0000-00004F230000}"/>
    <cellStyle name="40% - Accent5 5 5 5 3 2" xfId="11759" xr:uid="{00000000-0005-0000-0000-000050230000}"/>
    <cellStyle name="40% - Accent5 5 5 5 4" xfId="11760" xr:uid="{00000000-0005-0000-0000-000051230000}"/>
    <cellStyle name="40% - Accent5 5 5 6" xfId="11761" xr:uid="{00000000-0005-0000-0000-000052230000}"/>
    <cellStyle name="40% - Accent5 5 6" xfId="2712" xr:uid="{00000000-0005-0000-0000-000053230000}"/>
    <cellStyle name="40% - Accent5 5 6 2" xfId="11762" xr:uid="{00000000-0005-0000-0000-000054230000}"/>
    <cellStyle name="40% - Accent5 5 6 2 2" xfId="11763" xr:uid="{00000000-0005-0000-0000-000055230000}"/>
    <cellStyle name="40% - Accent5 5 6 2 2 2" xfId="11764" xr:uid="{00000000-0005-0000-0000-000056230000}"/>
    <cellStyle name="40% - Accent5 5 6 2 2 2 2" xfId="11765" xr:uid="{00000000-0005-0000-0000-000057230000}"/>
    <cellStyle name="40% - Accent5 5 6 2 2 3" xfId="11766" xr:uid="{00000000-0005-0000-0000-000058230000}"/>
    <cellStyle name="40% - Accent5 5 6 2 2 3 2" xfId="11767" xr:uid="{00000000-0005-0000-0000-000059230000}"/>
    <cellStyle name="40% - Accent5 5 6 2 2 4" xfId="11768" xr:uid="{00000000-0005-0000-0000-00005A230000}"/>
    <cellStyle name="40% - Accent5 5 6 2 2 5" xfId="11769" xr:uid="{00000000-0005-0000-0000-00005B230000}"/>
    <cellStyle name="40% - Accent5 5 6 2 3" xfId="11770" xr:uid="{00000000-0005-0000-0000-00005C230000}"/>
    <cellStyle name="40% - Accent5 5 6 2 3 2" xfId="11771" xr:uid="{00000000-0005-0000-0000-00005D230000}"/>
    <cellStyle name="40% - Accent5 5 6 2 3 2 2" xfId="11772" xr:uid="{00000000-0005-0000-0000-00005E230000}"/>
    <cellStyle name="40% - Accent5 5 6 2 3 3" xfId="11773" xr:uid="{00000000-0005-0000-0000-00005F230000}"/>
    <cellStyle name="40% - Accent5 5 6 2 4" xfId="11774" xr:uid="{00000000-0005-0000-0000-000060230000}"/>
    <cellStyle name="40% - Accent5 5 6 2 4 2" xfId="11775" xr:uid="{00000000-0005-0000-0000-000061230000}"/>
    <cellStyle name="40% - Accent5 5 6 2 5" xfId="11776" xr:uid="{00000000-0005-0000-0000-000062230000}"/>
    <cellStyle name="40% - Accent5 5 6 2 5 2" xfId="11777" xr:uid="{00000000-0005-0000-0000-000063230000}"/>
    <cellStyle name="40% - Accent5 5 6 2 6" xfId="11778" xr:uid="{00000000-0005-0000-0000-000064230000}"/>
    <cellStyle name="40% - Accent5 5 6 3" xfId="11779" xr:uid="{00000000-0005-0000-0000-000065230000}"/>
    <cellStyle name="40% - Accent5 5 6 3 2" xfId="11780" xr:uid="{00000000-0005-0000-0000-000066230000}"/>
    <cellStyle name="40% - Accent5 5 6 3 2 2" xfId="11781" xr:uid="{00000000-0005-0000-0000-000067230000}"/>
    <cellStyle name="40% - Accent5 5 6 3 2 2 2" xfId="11782" xr:uid="{00000000-0005-0000-0000-000068230000}"/>
    <cellStyle name="40% - Accent5 5 6 3 2 3" xfId="11783" xr:uid="{00000000-0005-0000-0000-000069230000}"/>
    <cellStyle name="40% - Accent5 5 6 3 2 3 2" xfId="11784" xr:uid="{00000000-0005-0000-0000-00006A230000}"/>
    <cellStyle name="40% - Accent5 5 6 3 2 4" xfId="11785" xr:uid="{00000000-0005-0000-0000-00006B230000}"/>
    <cellStyle name="40% - Accent5 5 6 3 2 5" xfId="11786" xr:uid="{00000000-0005-0000-0000-00006C230000}"/>
    <cellStyle name="40% - Accent5 5 6 3 3" xfId="11787" xr:uid="{00000000-0005-0000-0000-00006D230000}"/>
    <cellStyle name="40% - Accent5 5 6 3 3 2" xfId="11788" xr:uid="{00000000-0005-0000-0000-00006E230000}"/>
    <cellStyle name="40% - Accent5 5 6 3 3 2 2" xfId="11789" xr:uid="{00000000-0005-0000-0000-00006F230000}"/>
    <cellStyle name="40% - Accent5 5 6 3 3 3" xfId="11790" xr:uid="{00000000-0005-0000-0000-000070230000}"/>
    <cellStyle name="40% - Accent5 5 6 3 4" xfId="11791" xr:uid="{00000000-0005-0000-0000-000071230000}"/>
    <cellStyle name="40% - Accent5 5 6 3 4 2" xfId="11792" xr:uid="{00000000-0005-0000-0000-000072230000}"/>
    <cellStyle name="40% - Accent5 5 6 3 5" xfId="11793" xr:uid="{00000000-0005-0000-0000-000073230000}"/>
    <cellStyle name="40% - Accent5 5 6 3 5 2" xfId="11794" xr:uid="{00000000-0005-0000-0000-000074230000}"/>
    <cellStyle name="40% - Accent5 5 6 3 6" xfId="11795" xr:uid="{00000000-0005-0000-0000-000075230000}"/>
    <cellStyle name="40% - Accent5 5 6 4" xfId="11796" xr:uid="{00000000-0005-0000-0000-000076230000}"/>
    <cellStyle name="40% - Accent5 5 6 4 2" xfId="11797" xr:uid="{00000000-0005-0000-0000-000077230000}"/>
    <cellStyle name="40% - Accent5 5 6 4 2 2" xfId="11798" xr:uid="{00000000-0005-0000-0000-000078230000}"/>
    <cellStyle name="40% - Accent5 5 6 4 3" xfId="11799" xr:uid="{00000000-0005-0000-0000-000079230000}"/>
    <cellStyle name="40% - Accent5 5 6 4 3 2" xfId="11800" xr:uid="{00000000-0005-0000-0000-00007A230000}"/>
    <cellStyle name="40% - Accent5 5 6 4 4" xfId="11801" xr:uid="{00000000-0005-0000-0000-00007B230000}"/>
    <cellStyle name="40% - Accent5 5 6 5" xfId="11802" xr:uid="{00000000-0005-0000-0000-00007C230000}"/>
    <cellStyle name="40% - Accent5 5 6 5 2" xfId="11803" xr:uid="{00000000-0005-0000-0000-00007D230000}"/>
    <cellStyle name="40% - Accent5 5 6 5 3" xfId="11804" xr:uid="{00000000-0005-0000-0000-00007E230000}"/>
    <cellStyle name="40% - Accent5 5 6 6" xfId="11805" xr:uid="{00000000-0005-0000-0000-00007F230000}"/>
    <cellStyle name="40% - Accent5 5 6 6 2" xfId="11806" xr:uid="{00000000-0005-0000-0000-000080230000}"/>
    <cellStyle name="40% - Accent5 5 6 6 3" xfId="11807" xr:uid="{00000000-0005-0000-0000-000081230000}"/>
    <cellStyle name="40% - Accent5 5 6 7" xfId="11808" xr:uid="{00000000-0005-0000-0000-000082230000}"/>
    <cellStyle name="40% - Accent5 5 6 7 2" xfId="11809" xr:uid="{00000000-0005-0000-0000-000083230000}"/>
    <cellStyle name="40% - Accent5 5 6 7 3" xfId="11810" xr:uid="{00000000-0005-0000-0000-000084230000}"/>
    <cellStyle name="40% - Accent5 5 6 8" xfId="11811" xr:uid="{00000000-0005-0000-0000-000085230000}"/>
    <cellStyle name="40% - Accent5 5 7" xfId="11812" xr:uid="{00000000-0005-0000-0000-000086230000}"/>
    <cellStyle name="40% - Accent5 5 7 2" xfId="11813" xr:uid="{00000000-0005-0000-0000-000087230000}"/>
    <cellStyle name="40% - Accent5 5 7 2 2" xfId="11814" xr:uid="{00000000-0005-0000-0000-000088230000}"/>
    <cellStyle name="40% - Accent5 5 7 2 2 2" xfId="11815" xr:uid="{00000000-0005-0000-0000-000089230000}"/>
    <cellStyle name="40% - Accent5 5 7 2 3" xfId="11816" xr:uid="{00000000-0005-0000-0000-00008A230000}"/>
    <cellStyle name="40% - Accent5 5 7 2 3 2" xfId="11817" xr:uid="{00000000-0005-0000-0000-00008B230000}"/>
    <cellStyle name="40% - Accent5 5 7 2 4" xfId="11818" xr:uid="{00000000-0005-0000-0000-00008C230000}"/>
    <cellStyle name="40% - Accent5 5 7 2 4 2" xfId="11819" xr:uid="{00000000-0005-0000-0000-00008D230000}"/>
    <cellStyle name="40% - Accent5 5 7 2 5" xfId="11820" xr:uid="{00000000-0005-0000-0000-00008E230000}"/>
    <cellStyle name="40% - Accent5 5 7 3" xfId="11821" xr:uid="{00000000-0005-0000-0000-00008F230000}"/>
    <cellStyle name="40% - Accent5 5 7 3 2" xfId="11822" xr:uid="{00000000-0005-0000-0000-000090230000}"/>
    <cellStyle name="40% - Accent5 5 7 3 2 2" xfId="11823" xr:uid="{00000000-0005-0000-0000-000091230000}"/>
    <cellStyle name="40% - Accent5 5 7 3 3" xfId="11824" xr:uid="{00000000-0005-0000-0000-000092230000}"/>
    <cellStyle name="40% - Accent5 5 7 3 3 2" xfId="11825" xr:uid="{00000000-0005-0000-0000-000093230000}"/>
    <cellStyle name="40% - Accent5 5 7 3 4" xfId="11826" xr:uid="{00000000-0005-0000-0000-000094230000}"/>
    <cellStyle name="40% - Accent5 5 7 4" xfId="11827" xr:uid="{00000000-0005-0000-0000-000095230000}"/>
    <cellStyle name="40% - Accent5 5 7 4 2" xfId="11828" xr:uid="{00000000-0005-0000-0000-000096230000}"/>
    <cellStyle name="40% - Accent5 5 7 5" xfId="11829" xr:uid="{00000000-0005-0000-0000-000097230000}"/>
    <cellStyle name="40% - Accent5 5 7 5 2" xfId="11830" xr:uid="{00000000-0005-0000-0000-000098230000}"/>
    <cellStyle name="40% - Accent5 5 7 6" xfId="11831" xr:uid="{00000000-0005-0000-0000-000099230000}"/>
    <cellStyle name="40% - Accent5 5 7 7" xfId="11832" xr:uid="{00000000-0005-0000-0000-00009A230000}"/>
    <cellStyle name="40% - Accent5 5 8" xfId="11833" xr:uid="{00000000-0005-0000-0000-00009B230000}"/>
    <cellStyle name="40% - Accent5 5 8 2" xfId="11834" xr:uid="{00000000-0005-0000-0000-00009C230000}"/>
    <cellStyle name="40% - Accent5 5 8 2 2" xfId="11835" xr:uid="{00000000-0005-0000-0000-00009D230000}"/>
    <cellStyle name="40% - Accent5 5 8 2 2 2" xfId="11836" xr:uid="{00000000-0005-0000-0000-00009E230000}"/>
    <cellStyle name="40% - Accent5 5 8 2 3" xfId="11837" xr:uid="{00000000-0005-0000-0000-00009F230000}"/>
    <cellStyle name="40% - Accent5 5 8 2 3 2" xfId="11838" xr:uid="{00000000-0005-0000-0000-0000A0230000}"/>
    <cellStyle name="40% - Accent5 5 8 2 4" xfId="11839" xr:uid="{00000000-0005-0000-0000-0000A1230000}"/>
    <cellStyle name="40% - Accent5 5 8 3" xfId="11840" xr:uid="{00000000-0005-0000-0000-0000A2230000}"/>
    <cellStyle name="40% - Accent5 5 8 3 2" xfId="11841" xr:uid="{00000000-0005-0000-0000-0000A3230000}"/>
    <cellStyle name="40% - Accent5 5 8 4" xfId="11842" xr:uid="{00000000-0005-0000-0000-0000A4230000}"/>
    <cellStyle name="40% - Accent5 5 9" xfId="11843" xr:uid="{00000000-0005-0000-0000-0000A5230000}"/>
    <cellStyle name="40% - Accent5 5 9 2" xfId="11844" xr:uid="{00000000-0005-0000-0000-0000A6230000}"/>
    <cellStyle name="40% - Accent5 6" xfId="2711" xr:uid="{00000000-0005-0000-0000-0000A7230000}"/>
    <cellStyle name="40% - Accent5 6 10" xfId="11845" xr:uid="{00000000-0005-0000-0000-0000A8230000}"/>
    <cellStyle name="40% - Accent5 6 2" xfId="2710" xr:uid="{00000000-0005-0000-0000-0000A9230000}"/>
    <cellStyle name="40% - Accent5 6 2 2" xfId="2709" xr:uid="{00000000-0005-0000-0000-0000AA230000}"/>
    <cellStyle name="40% - Accent5 6 2 2 2" xfId="2708" xr:uid="{00000000-0005-0000-0000-0000AB230000}"/>
    <cellStyle name="40% - Accent5 6 2 2 3" xfId="2707" xr:uid="{00000000-0005-0000-0000-0000AC230000}"/>
    <cellStyle name="40% - Accent5 6 2 3" xfId="2706" xr:uid="{00000000-0005-0000-0000-0000AD230000}"/>
    <cellStyle name="40% - Accent5 6 2 4" xfId="2705" xr:uid="{00000000-0005-0000-0000-0000AE230000}"/>
    <cellStyle name="40% - Accent5 6 2 5" xfId="11846" xr:uid="{00000000-0005-0000-0000-0000AF230000}"/>
    <cellStyle name="40% - Accent5 6 2 5 2" xfId="11847" xr:uid="{00000000-0005-0000-0000-0000B0230000}"/>
    <cellStyle name="40% - Accent5 6 2 5 2 2" xfId="11848" xr:uid="{00000000-0005-0000-0000-0000B1230000}"/>
    <cellStyle name="40% - Accent5 6 2 5 3" xfId="11849" xr:uid="{00000000-0005-0000-0000-0000B2230000}"/>
    <cellStyle name="40% - Accent5 6 2 5 3 2" xfId="11850" xr:uid="{00000000-0005-0000-0000-0000B3230000}"/>
    <cellStyle name="40% - Accent5 6 2 5 4" xfId="11851" xr:uid="{00000000-0005-0000-0000-0000B4230000}"/>
    <cellStyle name="40% - Accent5 6 2 5 5" xfId="11852" xr:uid="{00000000-0005-0000-0000-0000B5230000}"/>
    <cellStyle name="40% - Accent5 6 2 6" xfId="11853" xr:uid="{00000000-0005-0000-0000-0000B6230000}"/>
    <cellStyle name="40% - Accent5 6 2 6 2" xfId="11854" xr:uid="{00000000-0005-0000-0000-0000B7230000}"/>
    <cellStyle name="40% - Accent5 6 2 7" xfId="11855" xr:uid="{00000000-0005-0000-0000-0000B8230000}"/>
    <cellStyle name="40% - Accent5 6 2 7 2" xfId="11856" xr:uid="{00000000-0005-0000-0000-0000B9230000}"/>
    <cellStyle name="40% - Accent5 6 2 8" xfId="11857" xr:uid="{00000000-0005-0000-0000-0000BA230000}"/>
    <cellStyle name="40% - Accent5 6 2 8 2" xfId="11858" xr:uid="{00000000-0005-0000-0000-0000BB230000}"/>
    <cellStyle name="40% - Accent5 6 2 9" xfId="11859" xr:uid="{00000000-0005-0000-0000-0000BC230000}"/>
    <cellStyle name="40% - Accent5 6 3" xfId="2704" xr:uid="{00000000-0005-0000-0000-0000BD230000}"/>
    <cellStyle name="40% - Accent5 6 3 2" xfId="2703" xr:uid="{00000000-0005-0000-0000-0000BE230000}"/>
    <cellStyle name="40% - Accent5 6 3 3" xfId="2702" xr:uid="{00000000-0005-0000-0000-0000BF230000}"/>
    <cellStyle name="40% - Accent5 6 3 4" xfId="11860" xr:uid="{00000000-0005-0000-0000-0000C0230000}"/>
    <cellStyle name="40% - Accent5 6 3 4 2" xfId="11861" xr:uid="{00000000-0005-0000-0000-0000C1230000}"/>
    <cellStyle name="40% - Accent5 6 3 5" xfId="11862" xr:uid="{00000000-0005-0000-0000-0000C2230000}"/>
    <cellStyle name="40% - Accent5 6 3 5 2" xfId="11863" xr:uid="{00000000-0005-0000-0000-0000C3230000}"/>
    <cellStyle name="40% - Accent5 6 4" xfId="2701" xr:uid="{00000000-0005-0000-0000-0000C4230000}"/>
    <cellStyle name="40% - Accent5 6 4 2" xfId="2700" xr:uid="{00000000-0005-0000-0000-0000C5230000}"/>
    <cellStyle name="40% - Accent5 6 4 2 2" xfId="11864" xr:uid="{00000000-0005-0000-0000-0000C6230000}"/>
    <cellStyle name="40% - Accent5 6 4 2 2 2" xfId="11865" xr:uid="{00000000-0005-0000-0000-0000C7230000}"/>
    <cellStyle name="40% - Accent5 6 4 2 2 2 2" xfId="11866" xr:uid="{00000000-0005-0000-0000-0000C8230000}"/>
    <cellStyle name="40% - Accent5 6 4 2 2 3" xfId="11867" xr:uid="{00000000-0005-0000-0000-0000C9230000}"/>
    <cellStyle name="40% - Accent5 6 4 2 2 3 2" xfId="11868" xr:uid="{00000000-0005-0000-0000-0000CA230000}"/>
    <cellStyle name="40% - Accent5 6 4 2 2 4" xfId="11869" xr:uid="{00000000-0005-0000-0000-0000CB230000}"/>
    <cellStyle name="40% - Accent5 6 4 2 2 5" xfId="11870" xr:uid="{00000000-0005-0000-0000-0000CC230000}"/>
    <cellStyle name="40% - Accent5 6 4 2 3" xfId="11871" xr:uid="{00000000-0005-0000-0000-0000CD230000}"/>
    <cellStyle name="40% - Accent5 6 4 2 3 2" xfId="11872" xr:uid="{00000000-0005-0000-0000-0000CE230000}"/>
    <cellStyle name="40% - Accent5 6 4 2 3 2 2" xfId="11873" xr:uid="{00000000-0005-0000-0000-0000CF230000}"/>
    <cellStyle name="40% - Accent5 6 4 2 3 3" xfId="11874" xr:uid="{00000000-0005-0000-0000-0000D0230000}"/>
    <cellStyle name="40% - Accent5 6 4 2 4" xfId="11875" xr:uid="{00000000-0005-0000-0000-0000D1230000}"/>
    <cellStyle name="40% - Accent5 6 4 2 4 2" xfId="11876" xr:uid="{00000000-0005-0000-0000-0000D2230000}"/>
    <cellStyle name="40% - Accent5 6 4 2 5" xfId="11877" xr:uid="{00000000-0005-0000-0000-0000D3230000}"/>
    <cellStyle name="40% - Accent5 6 4 2 5 2" xfId="11878" xr:uid="{00000000-0005-0000-0000-0000D4230000}"/>
    <cellStyle name="40% - Accent5 6 4 2 6" xfId="11879" xr:uid="{00000000-0005-0000-0000-0000D5230000}"/>
    <cellStyle name="40% - Accent5 6 4 3" xfId="2699" xr:uid="{00000000-0005-0000-0000-0000D6230000}"/>
    <cellStyle name="40% - Accent5 6 4 3 2" xfId="11880" xr:uid="{00000000-0005-0000-0000-0000D7230000}"/>
    <cellStyle name="40% - Accent5 6 4 3 2 2" xfId="11881" xr:uid="{00000000-0005-0000-0000-0000D8230000}"/>
    <cellStyle name="40% - Accent5 6 4 3 3" xfId="11882" xr:uid="{00000000-0005-0000-0000-0000D9230000}"/>
    <cellStyle name="40% - Accent5 6 4 3 3 2" xfId="11883" xr:uid="{00000000-0005-0000-0000-0000DA230000}"/>
    <cellStyle name="40% - Accent5 6 4 3 4" xfId="11884" xr:uid="{00000000-0005-0000-0000-0000DB230000}"/>
    <cellStyle name="40% - Accent5 6 4 4" xfId="11885" xr:uid="{00000000-0005-0000-0000-0000DC230000}"/>
    <cellStyle name="40% - Accent5 6 4 4 2" xfId="11886" xr:uid="{00000000-0005-0000-0000-0000DD230000}"/>
    <cellStyle name="40% - Accent5 6 4 4 3" xfId="11887" xr:uid="{00000000-0005-0000-0000-0000DE230000}"/>
    <cellStyle name="40% - Accent5 6 4 5" xfId="11888" xr:uid="{00000000-0005-0000-0000-0000DF230000}"/>
    <cellStyle name="40% - Accent5 6 4 5 2" xfId="11889" xr:uid="{00000000-0005-0000-0000-0000E0230000}"/>
    <cellStyle name="40% - Accent5 6 4 5 3" xfId="11890" xr:uid="{00000000-0005-0000-0000-0000E1230000}"/>
    <cellStyle name="40% - Accent5 6 4 6" xfId="11891" xr:uid="{00000000-0005-0000-0000-0000E2230000}"/>
    <cellStyle name="40% - Accent5 6 4 6 2" xfId="11892" xr:uid="{00000000-0005-0000-0000-0000E3230000}"/>
    <cellStyle name="40% - Accent5 6 4 6 3" xfId="11893" xr:uid="{00000000-0005-0000-0000-0000E4230000}"/>
    <cellStyle name="40% - Accent5 6 4 7" xfId="11894" xr:uid="{00000000-0005-0000-0000-0000E5230000}"/>
    <cellStyle name="40% - Accent5 6 4 8" xfId="11895" xr:uid="{00000000-0005-0000-0000-0000E6230000}"/>
    <cellStyle name="40% - Accent5 6 5" xfId="2698" xr:uid="{00000000-0005-0000-0000-0000E7230000}"/>
    <cellStyle name="40% - Accent5 6 5 2" xfId="11896" xr:uid="{00000000-0005-0000-0000-0000E8230000}"/>
    <cellStyle name="40% - Accent5 6 5 2 2" xfId="11897" xr:uid="{00000000-0005-0000-0000-0000E9230000}"/>
    <cellStyle name="40% - Accent5 6 5 2 2 2" xfId="11898" xr:uid="{00000000-0005-0000-0000-0000EA230000}"/>
    <cellStyle name="40% - Accent5 6 5 2 3" xfId="11899" xr:uid="{00000000-0005-0000-0000-0000EB230000}"/>
    <cellStyle name="40% - Accent5 6 5 2 3 2" xfId="11900" xr:uid="{00000000-0005-0000-0000-0000EC230000}"/>
    <cellStyle name="40% - Accent5 6 5 2 4" xfId="11901" xr:uid="{00000000-0005-0000-0000-0000ED230000}"/>
    <cellStyle name="40% - Accent5 6 5 3" xfId="11902" xr:uid="{00000000-0005-0000-0000-0000EE230000}"/>
    <cellStyle name="40% - Accent5 6 5 3 2" xfId="11903" xr:uid="{00000000-0005-0000-0000-0000EF230000}"/>
    <cellStyle name="40% - Accent5 6 5 3 3" xfId="11904" xr:uid="{00000000-0005-0000-0000-0000F0230000}"/>
    <cellStyle name="40% - Accent5 6 5 4" xfId="11905" xr:uid="{00000000-0005-0000-0000-0000F1230000}"/>
    <cellStyle name="40% - Accent5 6 5 4 2" xfId="11906" xr:uid="{00000000-0005-0000-0000-0000F2230000}"/>
    <cellStyle name="40% - Accent5 6 5 4 3" xfId="11907" xr:uid="{00000000-0005-0000-0000-0000F3230000}"/>
    <cellStyle name="40% - Accent5 6 5 5" xfId="11908" xr:uid="{00000000-0005-0000-0000-0000F4230000}"/>
    <cellStyle name="40% - Accent5 6 5 5 2" xfId="11909" xr:uid="{00000000-0005-0000-0000-0000F5230000}"/>
    <cellStyle name="40% - Accent5 6 5 5 3" xfId="11910" xr:uid="{00000000-0005-0000-0000-0000F6230000}"/>
    <cellStyle name="40% - Accent5 6 5 6" xfId="11911" xr:uid="{00000000-0005-0000-0000-0000F7230000}"/>
    <cellStyle name="40% - Accent5 6 6" xfId="2697" xr:uid="{00000000-0005-0000-0000-0000F8230000}"/>
    <cellStyle name="40% - Accent5 6 7" xfId="11912" xr:uid="{00000000-0005-0000-0000-0000F9230000}"/>
    <cellStyle name="40% - Accent5 6 7 2" xfId="11913" xr:uid="{00000000-0005-0000-0000-0000FA230000}"/>
    <cellStyle name="40% - Accent5 6 7 2 2" xfId="11914" xr:uid="{00000000-0005-0000-0000-0000FB230000}"/>
    <cellStyle name="40% - Accent5 6 7 3" xfId="11915" xr:uid="{00000000-0005-0000-0000-0000FC230000}"/>
    <cellStyle name="40% - Accent5 6 7 3 2" xfId="11916" xr:uid="{00000000-0005-0000-0000-0000FD230000}"/>
    <cellStyle name="40% - Accent5 6 7 4" xfId="11917" xr:uid="{00000000-0005-0000-0000-0000FE230000}"/>
    <cellStyle name="40% - Accent5 6 7 5" xfId="11918" xr:uid="{00000000-0005-0000-0000-0000FF230000}"/>
    <cellStyle name="40% - Accent5 6 8" xfId="11919" xr:uid="{00000000-0005-0000-0000-000000240000}"/>
    <cellStyle name="40% - Accent5 6 8 2" xfId="11920" xr:uid="{00000000-0005-0000-0000-000001240000}"/>
    <cellStyle name="40% - Accent5 6 8 2 2" xfId="11921" xr:uid="{00000000-0005-0000-0000-000002240000}"/>
    <cellStyle name="40% - Accent5 6 8 3" xfId="11922" xr:uid="{00000000-0005-0000-0000-000003240000}"/>
    <cellStyle name="40% - Accent5 6 9" xfId="11923" xr:uid="{00000000-0005-0000-0000-000004240000}"/>
    <cellStyle name="40% - Accent5 6 9 2" xfId="11924" xr:uid="{00000000-0005-0000-0000-000005240000}"/>
    <cellStyle name="40% - Accent5 7" xfId="2696" xr:uid="{00000000-0005-0000-0000-000006240000}"/>
    <cellStyle name="40% - Accent5 7 2" xfId="2695" xr:uid="{00000000-0005-0000-0000-000007240000}"/>
    <cellStyle name="40% - Accent5 7 2 2" xfId="2694" xr:uid="{00000000-0005-0000-0000-000008240000}"/>
    <cellStyle name="40% - Accent5 7 2 2 2" xfId="2693" xr:uid="{00000000-0005-0000-0000-000009240000}"/>
    <cellStyle name="40% - Accent5 7 2 2 2 2" xfId="11925" xr:uid="{00000000-0005-0000-0000-00000A240000}"/>
    <cellStyle name="40% - Accent5 7 2 2 3" xfId="2692" xr:uid="{00000000-0005-0000-0000-00000B240000}"/>
    <cellStyle name="40% - Accent5 7 2 2 3 2" xfId="11926" xr:uid="{00000000-0005-0000-0000-00000C240000}"/>
    <cellStyle name="40% - Accent5 7 2 2 4" xfId="11927" xr:uid="{00000000-0005-0000-0000-00000D240000}"/>
    <cellStyle name="40% - Accent5 7 2 3" xfId="2691" xr:uid="{00000000-0005-0000-0000-00000E240000}"/>
    <cellStyle name="40% - Accent5 7 2 3 2" xfId="11928" xr:uid="{00000000-0005-0000-0000-00000F240000}"/>
    <cellStyle name="40% - Accent5 7 2 3 2 2" xfId="11929" xr:uid="{00000000-0005-0000-0000-000010240000}"/>
    <cellStyle name="40% - Accent5 7 2 3 3" xfId="11930" xr:uid="{00000000-0005-0000-0000-000011240000}"/>
    <cellStyle name="40% - Accent5 7 2 4" xfId="2690" xr:uid="{00000000-0005-0000-0000-000012240000}"/>
    <cellStyle name="40% - Accent5 7 2 4 2" xfId="11931" xr:uid="{00000000-0005-0000-0000-000013240000}"/>
    <cellStyle name="40% - Accent5 7 2 4 2 2" xfId="11932" xr:uid="{00000000-0005-0000-0000-000014240000}"/>
    <cellStyle name="40% - Accent5 7 2 4 3" xfId="11933" xr:uid="{00000000-0005-0000-0000-000015240000}"/>
    <cellStyle name="40% - Accent5 7 2 4 3 2" xfId="11934" xr:uid="{00000000-0005-0000-0000-000016240000}"/>
    <cellStyle name="40% - Accent5 7 2 4 4" xfId="11935" xr:uid="{00000000-0005-0000-0000-000017240000}"/>
    <cellStyle name="40% - Accent5 7 2 5" xfId="11936" xr:uid="{00000000-0005-0000-0000-000018240000}"/>
    <cellStyle name="40% - Accent5 7 2 5 2" xfId="11937" xr:uid="{00000000-0005-0000-0000-000019240000}"/>
    <cellStyle name="40% - Accent5 7 2 5 2 2" xfId="11938" xr:uid="{00000000-0005-0000-0000-00001A240000}"/>
    <cellStyle name="40% - Accent5 7 2 6" xfId="11939" xr:uid="{00000000-0005-0000-0000-00001B240000}"/>
    <cellStyle name="40% - Accent5 7 3" xfId="2689" xr:uid="{00000000-0005-0000-0000-00001C240000}"/>
    <cellStyle name="40% - Accent5 7 3 2" xfId="2688" xr:uid="{00000000-0005-0000-0000-00001D240000}"/>
    <cellStyle name="40% - Accent5 7 3 2 2" xfId="11940" xr:uid="{00000000-0005-0000-0000-00001E240000}"/>
    <cellStyle name="40% - Accent5 7 3 2 2 2" xfId="11941" xr:uid="{00000000-0005-0000-0000-00001F240000}"/>
    <cellStyle name="40% - Accent5 7 3 2 3" xfId="11942" xr:uid="{00000000-0005-0000-0000-000020240000}"/>
    <cellStyle name="40% - Accent5 7 3 2 3 2" xfId="11943" xr:uid="{00000000-0005-0000-0000-000021240000}"/>
    <cellStyle name="40% - Accent5 7 3 2 4" xfId="11944" xr:uid="{00000000-0005-0000-0000-000022240000}"/>
    <cellStyle name="40% - Accent5 7 3 3" xfId="2687" xr:uid="{00000000-0005-0000-0000-000023240000}"/>
    <cellStyle name="40% - Accent5 7 3 3 2" xfId="11945" xr:uid="{00000000-0005-0000-0000-000024240000}"/>
    <cellStyle name="40% - Accent5 7 3 3 2 2" xfId="11946" xr:uid="{00000000-0005-0000-0000-000025240000}"/>
    <cellStyle name="40% - Accent5 7 3 3 3" xfId="11947" xr:uid="{00000000-0005-0000-0000-000026240000}"/>
    <cellStyle name="40% - Accent5 7 3 3 3 2" xfId="11948" xr:uid="{00000000-0005-0000-0000-000027240000}"/>
    <cellStyle name="40% - Accent5 7 3 3 4" xfId="11949" xr:uid="{00000000-0005-0000-0000-000028240000}"/>
    <cellStyle name="40% - Accent5 7 3 4" xfId="11950" xr:uid="{00000000-0005-0000-0000-000029240000}"/>
    <cellStyle name="40% - Accent5 7 4" xfId="2686" xr:uid="{00000000-0005-0000-0000-00002A240000}"/>
    <cellStyle name="40% - Accent5 7 4 2" xfId="2685" xr:uid="{00000000-0005-0000-0000-00002B240000}"/>
    <cellStyle name="40% - Accent5 7 4 2 2" xfId="11951" xr:uid="{00000000-0005-0000-0000-00002C240000}"/>
    <cellStyle name="40% - Accent5 7 4 3" xfId="2684" xr:uid="{00000000-0005-0000-0000-00002D240000}"/>
    <cellStyle name="40% - Accent5 7 4 3 2" xfId="11952" xr:uid="{00000000-0005-0000-0000-00002E240000}"/>
    <cellStyle name="40% - Accent5 7 4 4" xfId="11953" xr:uid="{00000000-0005-0000-0000-00002F240000}"/>
    <cellStyle name="40% - Accent5 7 4 4 2" xfId="11954" xr:uid="{00000000-0005-0000-0000-000030240000}"/>
    <cellStyle name="40% - Accent5 7 4 5" xfId="11955" xr:uid="{00000000-0005-0000-0000-000031240000}"/>
    <cellStyle name="40% - Accent5 7 5" xfId="2683" xr:uid="{00000000-0005-0000-0000-000032240000}"/>
    <cellStyle name="40% - Accent5 7 5 2" xfId="11956" xr:uid="{00000000-0005-0000-0000-000033240000}"/>
    <cellStyle name="40% - Accent5 7 5 2 2" xfId="11957" xr:uid="{00000000-0005-0000-0000-000034240000}"/>
    <cellStyle name="40% - Accent5 7 5 2 2 2" xfId="11958" xr:uid="{00000000-0005-0000-0000-000035240000}"/>
    <cellStyle name="40% - Accent5 7 5 3" xfId="11959" xr:uid="{00000000-0005-0000-0000-000036240000}"/>
    <cellStyle name="40% - Accent5 7 5 3 2" xfId="11960" xr:uid="{00000000-0005-0000-0000-000037240000}"/>
    <cellStyle name="40% - Accent5 7 5 4" xfId="11961" xr:uid="{00000000-0005-0000-0000-000038240000}"/>
    <cellStyle name="40% - Accent5 7 6" xfId="2682" xr:uid="{00000000-0005-0000-0000-000039240000}"/>
    <cellStyle name="40% - Accent5 7 6 2" xfId="11962" xr:uid="{00000000-0005-0000-0000-00003A240000}"/>
    <cellStyle name="40% - Accent5 7 7" xfId="11963" xr:uid="{00000000-0005-0000-0000-00003B240000}"/>
    <cellStyle name="40% - Accent5 7 7 2" xfId="11964" xr:uid="{00000000-0005-0000-0000-00003C240000}"/>
    <cellStyle name="40% - Accent5 7 8" xfId="11965" xr:uid="{00000000-0005-0000-0000-00003D240000}"/>
    <cellStyle name="40% - Accent5 7 8 2" xfId="11966" xr:uid="{00000000-0005-0000-0000-00003E240000}"/>
    <cellStyle name="40% - Accent5 7 9" xfId="11967" xr:uid="{00000000-0005-0000-0000-00003F240000}"/>
    <cellStyle name="40% - Accent5 8" xfId="2681" xr:uid="{00000000-0005-0000-0000-000040240000}"/>
    <cellStyle name="40% - Accent5 8 2" xfId="2680" xr:uid="{00000000-0005-0000-0000-000041240000}"/>
    <cellStyle name="40% - Accent5 8 2 2" xfId="2679" xr:uid="{00000000-0005-0000-0000-000042240000}"/>
    <cellStyle name="40% - Accent5 8 2 2 2" xfId="2678" xr:uid="{00000000-0005-0000-0000-000043240000}"/>
    <cellStyle name="40% - Accent5 8 2 2 2 2" xfId="11968" xr:uid="{00000000-0005-0000-0000-000044240000}"/>
    <cellStyle name="40% - Accent5 8 2 2 3" xfId="2677" xr:uid="{00000000-0005-0000-0000-000045240000}"/>
    <cellStyle name="40% - Accent5 8 2 2 3 2" xfId="11969" xr:uid="{00000000-0005-0000-0000-000046240000}"/>
    <cellStyle name="40% - Accent5 8 2 2 4" xfId="11970" xr:uid="{00000000-0005-0000-0000-000047240000}"/>
    <cellStyle name="40% - Accent5 8 2 3" xfId="2676" xr:uid="{00000000-0005-0000-0000-000048240000}"/>
    <cellStyle name="40% - Accent5 8 2 3 2" xfId="11971" xr:uid="{00000000-0005-0000-0000-000049240000}"/>
    <cellStyle name="40% - Accent5 8 2 3 2 2" xfId="11972" xr:uid="{00000000-0005-0000-0000-00004A240000}"/>
    <cellStyle name="40% - Accent5 8 2 3 3" xfId="11973" xr:uid="{00000000-0005-0000-0000-00004B240000}"/>
    <cellStyle name="40% - Accent5 8 2 4" xfId="2675" xr:uid="{00000000-0005-0000-0000-00004C240000}"/>
    <cellStyle name="40% - Accent5 8 2 4 2" xfId="11974" xr:uid="{00000000-0005-0000-0000-00004D240000}"/>
    <cellStyle name="40% - Accent5 8 2 4 2 2" xfId="11975" xr:uid="{00000000-0005-0000-0000-00004E240000}"/>
    <cellStyle name="40% - Accent5 8 2 4 3" xfId="11976" xr:uid="{00000000-0005-0000-0000-00004F240000}"/>
    <cellStyle name="40% - Accent5 8 2 4 3 2" xfId="11977" xr:uid="{00000000-0005-0000-0000-000050240000}"/>
    <cellStyle name="40% - Accent5 8 2 4 4" xfId="11978" xr:uid="{00000000-0005-0000-0000-000051240000}"/>
    <cellStyle name="40% - Accent5 8 2 5" xfId="11979" xr:uid="{00000000-0005-0000-0000-000052240000}"/>
    <cellStyle name="40% - Accent5 8 2 5 2" xfId="11980" xr:uid="{00000000-0005-0000-0000-000053240000}"/>
    <cellStyle name="40% - Accent5 8 2 6" xfId="11981" xr:uid="{00000000-0005-0000-0000-000054240000}"/>
    <cellStyle name="40% - Accent5 8 3" xfId="2674" xr:uid="{00000000-0005-0000-0000-000055240000}"/>
    <cellStyle name="40% - Accent5 8 3 2" xfId="2673" xr:uid="{00000000-0005-0000-0000-000056240000}"/>
    <cellStyle name="40% - Accent5 8 3 2 2" xfId="11982" xr:uid="{00000000-0005-0000-0000-000057240000}"/>
    <cellStyle name="40% - Accent5 8 3 2 2 2" xfId="11983" xr:uid="{00000000-0005-0000-0000-000058240000}"/>
    <cellStyle name="40% - Accent5 8 3 2 3" xfId="11984" xr:uid="{00000000-0005-0000-0000-000059240000}"/>
    <cellStyle name="40% - Accent5 8 3 2 3 2" xfId="11985" xr:uid="{00000000-0005-0000-0000-00005A240000}"/>
    <cellStyle name="40% - Accent5 8 3 2 4" xfId="11986" xr:uid="{00000000-0005-0000-0000-00005B240000}"/>
    <cellStyle name="40% - Accent5 8 3 3" xfId="2672" xr:uid="{00000000-0005-0000-0000-00005C240000}"/>
    <cellStyle name="40% - Accent5 8 3 3 2" xfId="11987" xr:uid="{00000000-0005-0000-0000-00005D240000}"/>
    <cellStyle name="40% - Accent5 8 3 3 2 2" xfId="11988" xr:uid="{00000000-0005-0000-0000-00005E240000}"/>
    <cellStyle name="40% - Accent5 8 3 3 3" xfId="11989" xr:uid="{00000000-0005-0000-0000-00005F240000}"/>
    <cellStyle name="40% - Accent5 8 3 3 3 2" xfId="11990" xr:uid="{00000000-0005-0000-0000-000060240000}"/>
    <cellStyle name="40% - Accent5 8 3 3 4" xfId="11991" xr:uid="{00000000-0005-0000-0000-000061240000}"/>
    <cellStyle name="40% - Accent5 8 3 4" xfId="11992" xr:uid="{00000000-0005-0000-0000-000062240000}"/>
    <cellStyle name="40% - Accent5 8 3 4 2" xfId="11993" xr:uid="{00000000-0005-0000-0000-000063240000}"/>
    <cellStyle name="40% - Accent5 8 3 5" xfId="11994" xr:uid="{00000000-0005-0000-0000-000064240000}"/>
    <cellStyle name="40% - Accent5 8 3 5 2" xfId="11995" xr:uid="{00000000-0005-0000-0000-000065240000}"/>
    <cellStyle name="40% - Accent5 8 3 6" xfId="11996" xr:uid="{00000000-0005-0000-0000-000066240000}"/>
    <cellStyle name="40% - Accent5 8 4" xfId="2671" xr:uid="{00000000-0005-0000-0000-000067240000}"/>
    <cellStyle name="40% - Accent5 8 4 2" xfId="2670" xr:uid="{00000000-0005-0000-0000-000068240000}"/>
    <cellStyle name="40% - Accent5 8 4 2 2" xfId="11997" xr:uid="{00000000-0005-0000-0000-000069240000}"/>
    <cellStyle name="40% - Accent5 8 4 3" xfId="2669" xr:uid="{00000000-0005-0000-0000-00006A240000}"/>
    <cellStyle name="40% - Accent5 8 5" xfId="2668" xr:uid="{00000000-0005-0000-0000-00006B240000}"/>
    <cellStyle name="40% - Accent5 8 5 2" xfId="11998" xr:uid="{00000000-0005-0000-0000-00006C240000}"/>
    <cellStyle name="40% - Accent5 8 6" xfId="2667" xr:uid="{00000000-0005-0000-0000-00006D240000}"/>
    <cellStyle name="40% - Accent5 8 6 2" xfId="11999" xr:uid="{00000000-0005-0000-0000-00006E240000}"/>
    <cellStyle name="40% - Accent5 8 7" xfId="12000" xr:uid="{00000000-0005-0000-0000-00006F240000}"/>
    <cellStyle name="40% - Accent5 9" xfId="2666" xr:uid="{00000000-0005-0000-0000-000070240000}"/>
    <cellStyle name="40% - Accent5 9 2" xfId="2665" xr:uid="{00000000-0005-0000-0000-000071240000}"/>
    <cellStyle name="40% - Accent5 9 2 2" xfId="2664" xr:uid="{00000000-0005-0000-0000-000072240000}"/>
    <cellStyle name="40% - Accent5 9 2 2 2" xfId="2663" xr:uid="{00000000-0005-0000-0000-000073240000}"/>
    <cellStyle name="40% - Accent5 9 2 2 3" xfId="2662" xr:uid="{00000000-0005-0000-0000-000074240000}"/>
    <cellStyle name="40% - Accent5 9 2 3" xfId="2661" xr:uid="{00000000-0005-0000-0000-000075240000}"/>
    <cellStyle name="40% - Accent5 9 2 3 2" xfId="12001" xr:uid="{00000000-0005-0000-0000-000076240000}"/>
    <cellStyle name="40% - Accent5 9 2 4" xfId="2660" xr:uid="{00000000-0005-0000-0000-000077240000}"/>
    <cellStyle name="40% - Accent5 9 2 4 2" xfId="12002" xr:uid="{00000000-0005-0000-0000-000078240000}"/>
    <cellStyle name="40% - Accent5 9 2 5" xfId="12003" xr:uid="{00000000-0005-0000-0000-000079240000}"/>
    <cellStyle name="40% - Accent5 9 3" xfId="2659" xr:uid="{00000000-0005-0000-0000-00007A240000}"/>
    <cellStyle name="40% - Accent5 9 3 2" xfId="2658" xr:uid="{00000000-0005-0000-0000-00007B240000}"/>
    <cellStyle name="40% - Accent5 9 3 2 2" xfId="12004" xr:uid="{00000000-0005-0000-0000-00007C240000}"/>
    <cellStyle name="40% - Accent5 9 3 3" xfId="2657" xr:uid="{00000000-0005-0000-0000-00007D240000}"/>
    <cellStyle name="40% - Accent5 9 3 3 2" xfId="12005" xr:uid="{00000000-0005-0000-0000-00007E240000}"/>
    <cellStyle name="40% - Accent5 9 3 4" xfId="12006" xr:uid="{00000000-0005-0000-0000-00007F240000}"/>
    <cellStyle name="40% - Accent5 9 4" xfId="2656" xr:uid="{00000000-0005-0000-0000-000080240000}"/>
    <cellStyle name="40% - Accent5 9 4 2" xfId="2655" xr:uid="{00000000-0005-0000-0000-000081240000}"/>
    <cellStyle name="40% - Accent5 9 4 2 2" xfId="12007" xr:uid="{00000000-0005-0000-0000-000082240000}"/>
    <cellStyle name="40% - Accent5 9 4 3" xfId="2654" xr:uid="{00000000-0005-0000-0000-000083240000}"/>
    <cellStyle name="40% - Accent5 9 5" xfId="2653" xr:uid="{00000000-0005-0000-0000-000084240000}"/>
    <cellStyle name="40% - Accent5 9 5 2" xfId="12008" xr:uid="{00000000-0005-0000-0000-000085240000}"/>
    <cellStyle name="40% - Accent5 9 6" xfId="2652" xr:uid="{00000000-0005-0000-0000-000086240000}"/>
    <cellStyle name="40% - Accent5 9 7" xfId="12009" xr:uid="{00000000-0005-0000-0000-000087240000}"/>
    <cellStyle name="40% - Accent6 10" xfId="2651" xr:uid="{00000000-0005-0000-0000-000088240000}"/>
    <cellStyle name="40% - Accent6 10 2" xfId="2650" xr:uid="{00000000-0005-0000-0000-000089240000}"/>
    <cellStyle name="40% - Accent6 10 2 2" xfId="2649" xr:uid="{00000000-0005-0000-0000-00008A240000}"/>
    <cellStyle name="40% - Accent6 10 2 2 2" xfId="2648" xr:uid="{00000000-0005-0000-0000-00008B240000}"/>
    <cellStyle name="40% - Accent6 10 2 2 3" xfId="2647" xr:uid="{00000000-0005-0000-0000-00008C240000}"/>
    <cellStyle name="40% - Accent6 10 2 3" xfId="2646" xr:uid="{00000000-0005-0000-0000-00008D240000}"/>
    <cellStyle name="40% - Accent6 10 2 3 2" xfId="12010" xr:uid="{00000000-0005-0000-0000-00008E240000}"/>
    <cellStyle name="40% - Accent6 10 2 4" xfId="2645" xr:uid="{00000000-0005-0000-0000-00008F240000}"/>
    <cellStyle name="40% - Accent6 10 2 4 2" xfId="12011" xr:uid="{00000000-0005-0000-0000-000090240000}"/>
    <cellStyle name="40% - Accent6 10 2 5" xfId="12012" xr:uid="{00000000-0005-0000-0000-000091240000}"/>
    <cellStyle name="40% - Accent6 10 3" xfId="2644" xr:uid="{00000000-0005-0000-0000-000092240000}"/>
    <cellStyle name="40% - Accent6 10 3 2" xfId="2643" xr:uid="{00000000-0005-0000-0000-000093240000}"/>
    <cellStyle name="40% - Accent6 10 3 2 2" xfId="12013" xr:uid="{00000000-0005-0000-0000-000094240000}"/>
    <cellStyle name="40% - Accent6 10 3 3" xfId="2642" xr:uid="{00000000-0005-0000-0000-000095240000}"/>
    <cellStyle name="40% - Accent6 10 4" xfId="2641" xr:uid="{00000000-0005-0000-0000-000096240000}"/>
    <cellStyle name="40% - Accent6 10 4 2" xfId="2640" xr:uid="{00000000-0005-0000-0000-000097240000}"/>
    <cellStyle name="40% - Accent6 10 4 3" xfId="2639" xr:uid="{00000000-0005-0000-0000-000098240000}"/>
    <cellStyle name="40% - Accent6 10 5" xfId="2638" xr:uid="{00000000-0005-0000-0000-000099240000}"/>
    <cellStyle name="40% - Accent6 10 5 2" xfId="12014" xr:uid="{00000000-0005-0000-0000-00009A240000}"/>
    <cellStyle name="40% - Accent6 10 6" xfId="2637" xr:uid="{00000000-0005-0000-0000-00009B240000}"/>
    <cellStyle name="40% - Accent6 10 7" xfId="12015" xr:uid="{00000000-0005-0000-0000-00009C240000}"/>
    <cellStyle name="40% - Accent6 11" xfId="2636" xr:uid="{00000000-0005-0000-0000-00009D240000}"/>
    <cellStyle name="40% - Accent6 11 2" xfId="2635" xr:uid="{00000000-0005-0000-0000-00009E240000}"/>
    <cellStyle name="40% - Accent6 11 2 2" xfId="2634" xr:uid="{00000000-0005-0000-0000-00009F240000}"/>
    <cellStyle name="40% - Accent6 11 2 2 2" xfId="2633" xr:uid="{00000000-0005-0000-0000-0000A0240000}"/>
    <cellStyle name="40% - Accent6 11 2 2 3" xfId="2632" xr:uid="{00000000-0005-0000-0000-0000A1240000}"/>
    <cellStyle name="40% - Accent6 11 2 3" xfId="2631" xr:uid="{00000000-0005-0000-0000-0000A2240000}"/>
    <cellStyle name="40% - Accent6 11 2 4" xfId="2630" xr:uid="{00000000-0005-0000-0000-0000A3240000}"/>
    <cellStyle name="40% - Accent6 11 3" xfId="2629" xr:uid="{00000000-0005-0000-0000-0000A4240000}"/>
    <cellStyle name="40% - Accent6 11 3 2" xfId="2628" xr:uid="{00000000-0005-0000-0000-0000A5240000}"/>
    <cellStyle name="40% - Accent6 11 3 3" xfId="2627" xr:uid="{00000000-0005-0000-0000-0000A6240000}"/>
    <cellStyle name="40% - Accent6 11 4" xfId="2626" xr:uid="{00000000-0005-0000-0000-0000A7240000}"/>
    <cellStyle name="40% - Accent6 11 4 2" xfId="2625" xr:uid="{00000000-0005-0000-0000-0000A8240000}"/>
    <cellStyle name="40% - Accent6 11 4 3" xfId="2624" xr:uid="{00000000-0005-0000-0000-0000A9240000}"/>
    <cellStyle name="40% - Accent6 11 5" xfId="2623" xr:uid="{00000000-0005-0000-0000-0000AA240000}"/>
    <cellStyle name="40% - Accent6 11 6" xfId="2622" xr:uid="{00000000-0005-0000-0000-0000AB240000}"/>
    <cellStyle name="40% - Accent6 12" xfId="2621" xr:uid="{00000000-0005-0000-0000-0000AC240000}"/>
    <cellStyle name="40% - Accent6 12 2" xfId="2620" xr:uid="{00000000-0005-0000-0000-0000AD240000}"/>
    <cellStyle name="40% - Accent6 12 2 2" xfId="2619" xr:uid="{00000000-0005-0000-0000-0000AE240000}"/>
    <cellStyle name="40% - Accent6 12 2 2 2" xfId="2618" xr:uid="{00000000-0005-0000-0000-0000AF240000}"/>
    <cellStyle name="40% - Accent6 12 2 2 3" xfId="2617" xr:uid="{00000000-0005-0000-0000-0000B0240000}"/>
    <cellStyle name="40% - Accent6 12 2 3" xfId="2616" xr:uid="{00000000-0005-0000-0000-0000B1240000}"/>
    <cellStyle name="40% - Accent6 12 2 4" xfId="2615" xr:uid="{00000000-0005-0000-0000-0000B2240000}"/>
    <cellStyle name="40% - Accent6 12 3" xfId="2614" xr:uid="{00000000-0005-0000-0000-0000B3240000}"/>
    <cellStyle name="40% - Accent6 12 3 2" xfId="2613" xr:uid="{00000000-0005-0000-0000-0000B4240000}"/>
    <cellStyle name="40% - Accent6 12 3 3" xfId="2612" xr:uid="{00000000-0005-0000-0000-0000B5240000}"/>
    <cellStyle name="40% - Accent6 12 4" xfId="2611" xr:uid="{00000000-0005-0000-0000-0000B6240000}"/>
    <cellStyle name="40% - Accent6 12 4 2" xfId="2610" xr:uid="{00000000-0005-0000-0000-0000B7240000}"/>
    <cellStyle name="40% - Accent6 12 4 3" xfId="2609" xr:uid="{00000000-0005-0000-0000-0000B8240000}"/>
    <cellStyle name="40% - Accent6 12 5" xfId="2608" xr:uid="{00000000-0005-0000-0000-0000B9240000}"/>
    <cellStyle name="40% - Accent6 12 6" xfId="2607" xr:uid="{00000000-0005-0000-0000-0000BA240000}"/>
    <cellStyle name="40% - Accent6 13" xfId="2606" xr:uid="{00000000-0005-0000-0000-0000BB240000}"/>
    <cellStyle name="40% - Accent6 13 2" xfId="2605" xr:uid="{00000000-0005-0000-0000-0000BC240000}"/>
    <cellStyle name="40% - Accent6 13 2 2" xfId="2604" xr:uid="{00000000-0005-0000-0000-0000BD240000}"/>
    <cellStyle name="40% - Accent6 13 2 2 2" xfId="2603" xr:uid="{00000000-0005-0000-0000-0000BE240000}"/>
    <cellStyle name="40% - Accent6 13 2 2 3" xfId="2602" xr:uid="{00000000-0005-0000-0000-0000BF240000}"/>
    <cellStyle name="40% - Accent6 13 2 3" xfId="2601" xr:uid="{00000000-0005-0000-0000-0000C0240000}"/>
    <cellStyle name="40% - Accent6 13 2 4" xfId="2600" xr:uid="{00000000-0005-0000-0000-0000C1240000}"/>
    <cellStyle name="40% - Accent6 13 3" xfId="2599" xr:uid="{00000000-0005-0000-0000-0000C2240000}"/>
    <cellStyle name="40% - Accent6 13 3 2" xfId="2598" xr:uid="{00000000-0005-0000-0000-0000C3240000}"/>
    <cellStyle name="40% - Accent6 13 3 3" xfId="2597" xr:uid="{00000000-0005-0000-0000-0000C4240000}"/>
    <cellStyle name="40% - Accent6 13 4" xfId="2596" xr:uid="{00000000-0005-0000-0000-0000C5240000}"/>
    <cellStyle name="40% - Accent6 13 4 2" xfId="2595" xr:uid="{00000000-0005-0000-0000-0000C6240000}"/>
    <cellStyle name="40% - Accent6 13 4 3" xfId="2594" xr:uid="{00000000-0005-0000-0000-0000C7240000}"/>
    <cellStyle name="40% - Accent6 13 5" xfId="2593" xr:uid="{00000000-0005-0000-0000-0000C8240000}"/>
    <cellStyle name="40% - Accent6 13 6" xfId="2592" xr:uid="{00000000-0005-0000-0000-0000C9240000}"/>
    <cellStyle name="40% - Accent6 14" xfId="2591" xr:uid="{00000000-0005-0000-0000-0000CA240000}"/>
    <cellStyle name="40% - Accent6 14 2" xfId="2590" xr:uid="{00000000-0005-0000-0000-0000CB240000}"/>
    <cellStyle name="40% - Accent6 14 2 2" xfId="2589" xr:uid="{00000000-0005-0000-0000-0000CC240000}"/>
    <cellStyle name="40% - Accent6 14 2 2 2" xfId="2588" xr:uid="{00000000-0005-0000-0000-0000CD240000}"/>
    <cellStyle name="40% - Accent6 14 2 2 3" xfId="2587" xr:uid="{00000000-0005-0000-0000-0000CE240000}"/>
    <cellStyle name="40% - Accent6 14 2 3" xfId="2586" xr:uid="{00000000-0005-0000-0000-0000CF240000}"/>
    <cellStyle name="40% - Accent6 14 2 4" xfId="2585" xr:uid="{00000000-0005-0000-0000-0000D0240000}"/>
    <cellStyle name="40% - Accent6 14 3" xfId="2584" xr:uid="{00000000-0005-0000-0000-0000D1240000}"/>
    <cellStyle name="40% - Accent6 14 3 2" xfId="2583" xr:uid="{00000000-0005-0000-0000-0000D2240000}"/>
    <cellStyle name="40% - Accent6 14 3 3" xfId="2582" xr:uid="{00000000-0005-0000-0000-0000D3240000}"/>
    <cellStyle name="40% - Accent6 14 4" xfId="2581" xr:uid="{00000000-0005-0000-0000-0000D4240000}"/>
    <cellStyle name="40% - Accent6 14 4 2" xfId="2580" xr:uid="{00000000-0005-0000-0000-0000D5240000}"/>
    <cellStyle name="40% - Accent6 14 4 3" xfId="2579" xr:uid="{00000000-0005-0000-0000-0000D6240000}"/>
    <cellStyle name="40% - Accent6 14 5" xfId="2578" xr:uid="{00000000-0005-0000-0000-0000D7240000}"/>
    <cellStyle name="40% - Accent6 14 6" xfId="2577" xr:uid="{00000000-0005-0000-0000-0000D8240000}"/>
    <cellStyle name="40% - Accent6 15" xfId="2576" xr:uid="{00000000-0005-0000-0000-0000D9240000}"/>
    <cellStyle name="40% - Accent6 15 2" xfId="2575" xr:uid="{00000000-0005-0000-0000-0000DA240000}"/>
    <cellStyle name="40% - Accent6 15 2 2" xfId="2574" xr:uid="{00000000-0005-0000-0000-0000DB240000}"/>
    <cellStyle name="40% - Accent6 15 2 2 2" xfId="2573" xr:uid="{00000000-0005-0000-0000-0000DC240000}"/>
    <cellStyle name="40% - Accent6 15 2 2 3" xfId="2572" xr:uid="{00000000-0005-0000-0000-0000DD240000}"/>
    <cellStyle name="40% - Accent6 15 2 3" xfId="2571" xr:uid="{00000000-0005-0000-0000-0000DE240000}"/>
    <cellStyle name="40% - Accent6 15 2 4" xfId="2570" xr:uid="{00000000-0005-0000-0000-0000DF240000}"/>
    <cellStyle name="40% - Accent6 15 3" xfId="2569" xr:uid="{00000000-0005-0000-0000-0000E0240000}"/>
    <cellStyle name="40% - Accent6 15 3 2" xfId="2568" xr:uid="{00000000-0005-0000-0000-0000E1240000}"/>
    <cellStyle name="40% - Accent6 15 3 3" xfId="2567" xr:uid="{00000000-0005-0000-0000-0000E2240000}"/>
    <cellStyle name="40% - Accent6 15 4" xfId="2566" xr:uid="{00000000-0005-0000-0000-0000E3240000}"/>
    <cellStyle name="40% - Accent6 15 4 2" xfId="2565" xr:uid="{00000000-0005-0000-0000-0000E4240000}"/>
    <cellStyle name="40% - Accent6 15 4 3" xfId="2564" xr:uid="{00000000-0005-0000-0000-0000E5240000}"/>
    <cellStyle name="40% - Accent6 15 5" xfId="2563" xr:uid="{00000000-0005-0000-0000-0000E6240000}"/>
    <cellStyle name="40% - Accent6 15 6" xfId="2562" xr:uid="{00000000-0005-0000-0000-0000E7240000}"/>
    <cellStyle name="40% - Accent6 16" xfId="2561" xr:uid="{00000000-0005-0000-0000-0000E8240000}"/>
    <cellStyle name="40% - Accent6 16 2" xfId="2560" xr:uid="{00000000-0005-0000-0000-0000E9240000}"/>
    <cellStyle name="40% - Accent6 16 2 2" xfId="2559" xr:uid="{00000000-0005-0000-0000-0000EA240000}"/>
    <cellStyle name="40% - Accent6 16 2 2 2" xfId="2558" xr:uid="{00000000-0005-0000-0000-0000EB240000}"/>
    <cellStyle name="40% - Accent6 16 2 2 3" xfId="2557" xr:uid="{00000000-0005-0000-0000-0000EC240000}"/>
    <cellStyle name="40% - Accent6 16 2 3" xfId="2556" xr:uid="{00000000-0005-0000-0000-0000ED240000}"/>
    <cellStyle name="40% - Accent6 16 2 4" xfId="2555" xr:uid="{00000000-0005-0000-0000-0000EE240000}"/>
    <cellStyle name="40% - Accent6 16 3" xfId="2554" xr:uid="{00000000-0005-0000-0000-0000EF240000}"/>
    <cellStyle name="40% - Accent6 16 3 2" xfId="2553" xr:uid="{00000000-0005-0000-0000-0000F0240000}"/>
    <cellStyle name="40% - Accent6 16 3 3" xfId="2552" xr:uid="{00000000-0005-0000-0000-0000F1240000}"/>
    <cellStyle name="40% - Accent6 16 4" xfId="2551" xr:uid="{00000000-0005-0000-0000-0000F2240000}"/>
    <cellStyle name="40% - Accent6 16 4 2" xfId="2550" xr:uid="{00000000-0005-0000-0000-0000F3240000}"/>
    <cellStyle name="40% - Accent6 16 4 3" xfId="2549" xr:uid="{00000000-0005-0000-0000-0000F4240000}"/>
    <cellStyle name="40% - Accent6 16 5" xfId="2548" xr:uid="{00000000-0005-0000-0000-0000F5240000}"/>
    <cellStyle name="40% - Accent6 16 6" xfId="2547" xr:uid="{00000000-0005-0000-0000-0000F6240000}"/>
    <cellStyle name="40% - Accent6 17" xfId="2546" xr:uid="{00000000-0005-0000-0000-0000F7240000}"/>
    <cellStyle name="40% - Accent6 17 2" xfId="2545" xr:uid="{00000000-0005-0000-0000-0000F8240000}"/>
    <cellStyle name="40% - Accent6 17 2 2" xfId="2544" xr:uid="{00000000-0005-0000-0000-0000F9240000}"/>
    <cellStyle name="40% - Accent6 17 2 2 2" xfId="2543" xr:uid="{00000000-0005-0000-0000-0000FA240000}"/>
    <cellStyle name="40% - Accent6 17 2 2 3" xfId="2542" xr:uid="{00000000-0005-0000-0000-0000FB240000}"/>
    <cellStyle name="40% - Accent6 17 2 3" xfId="2541" xr:uid="{00000000-0005-0000-0000-0000FC240000}"/>
    <cellStyle name="40% - Accent6 17 2 4" xfId="2540" xr:uid="{00000000-0005-0000-0000-0000FD240000}"/>
    <cellStyle name="40% - Accent6 17 3" xfId="2539" xr:uid="{00000000-0005-0000-0000-0000FE240000}"/>
    <cellStyle name="40% - Accent6 17 3 2" xfId="2538" xr:uid="{00000000-0005-0000-0000-0000FF240000}"/>
    <cellStyle name="40% - Accent6 17 3 3" xfId="2537" xr:uid="{00000000-0005-0000-0000-000000250000}"/>
    <cellStyle name="40% - Accent6 17 4" xfId="2536" xr:uid="{00000000-0005-0000-0000-000001250000}"/>
    <cellStyle name="40% - Accent6 17 4 2" xfId="2535" xr:uid="{00000000-0005-0000-0000-000002250000}"/>
    <cellStyle name="40% - Accent6 17 4 3" xfId="2534" xr:uid="{00000000-0005-0000-0000-000003250000}"/>
    <cellStyle name="40% - Accent6 17 5" xfId="2533" xr:uid="{00000000-0005-0000-0000-000004250000}"/>
    <cellStyle name="40% - Accent6 17 6" xfId="2532" xr:uid="{00000000-0005-0000-0000-000005250000}"/>
    <cellStyle name="40% - Accent6 18" xfId="2531" xr:uid="{00000000-0005-0000-0000-000006250000}"/>
    <cellStyle name="40% - Accent6 18 2" xfId="2530" xr:uid="{00000000-0005-0000-0000-000007250000}"/>
    <cellStyle name="40% - Accent6 18 2 2" xfId="2529" xr:uid="{00000000-0005-0000-0000-000008250000}"/>
    <cellStyle name="40% - Accent6 18 2 2 2" xfId="2528" xr:uid="{00000000-0005-0000-0000-000009250000}"/>
    <cellStyle name="40% - Accent6 18 2 2 3" xfId="2527" xr:uid="{00000000-0005-0000-0000-00000A250000}"/>
    <cellStyle name="40% - Accent6 18 2 3" xfId="2526" xr:uid="{00000000-0005-0000-0000-00000B250000}"/>
    <cellStyle name="40% - Accent6 18 2 4" xfId="2525" xr:uid="{00000000-0005-0000-0000-00000C250000}"/>
    <cellStyle name="40% - Accent6 18 3" xfId="2524" xr:uid="{00000000-0005-0000-0000-00000D250000}"/>
    <cellStyle name="40% - Accent6 18 3 2" xfId="2523" xr:uid="{00000000-0005-0000-0000-00000E250000}"/>
    <cellStyle name="40% - Accent6 18 3 3" xfId="2522" xr:uid="{00000000-0005-0000-0000-00000F250000}"/>
    <cellStyle name="40% - Accent6 18 4" xfId="2521" xr:uid="{00000000-0005-0000-0000-000010250000}"/>
    <cellStyle name="40% - Accent6 18 4 2" xfId="2520" xr:uid="{00000000-0005-0000-0000-000011250000}"/>
    <cellStyle name="40% - Accent6 18 4 3" xfId="2519" xr:uid="{00000000-0005-0000-0000-000012250000}"/>
    <cellStyle name="40% - Accent6 18 5" xfId="2518" xr:uid="{00000000-0005-0000-0000-000013250000}"/>
    <cellStyle name="40% - Accent6 18 6" xfId="2517" xr:uid="{00000000-0005-0000-0000-000014250000}"/>
    <cellStyle name="40% - Accent6 19" xfId="2516" xr:uid="{00000000-0005-0000-0000-000015250000}"/>
    <cellStyle name="40% - Accent6 19 2" xfId="2515" xr:uid="{00000000-0005-0000-0000-000016250000}"/>
    <cellStyle name="40% - Accent6 19 2 2" xfId="2514" xr:uid="{00000000-0005-0000-0000-000017250000}"/>
    <cellStyle name="40% - Accent6 19 2 2 2" xfId="2513" xr:uid="{00000000-0005-0000-0000-000018250000}"/>
    <cellStyle name="40% - Accent6 19 2 2 3" xfId="2512" xr:uid="{00000000-0005-0000-0000-000019250000}"/>
    <cellStyle name="40% - Accent6 19 2 3" xfId="2511" xr:uid="{00000000-0005-0000-0000-00001A250000}"/>
    <cellStyle name="40% - Accent6 19 2 4" xfId="2510" xr:uid="{00000000-0005-0000-0000-00001B250000}"/>
    <cellStyle name="40% - Accent6 19 3" xfId="2509" xr:uid="{00000000-0005-0000-0000-00001C250000}"/>
    <cellStyle name="40% - Accent6 19 3 2" xfId="2508" xr:uid="{00000000-0005-0000-0000-00001D250000}"/>
    <cellStyle name="40% - Accent6 19 3 3" xfId="2507" xr:uid="{00000000-0005-0000-0000-00001E250000}"/>
    <cellStyle name="40% - Accent6 19 4" xfId="2506" xr:uid="{00000000-0005-0000-0000-00001F250000}"/>
    <cellStyle name="40% - Accent6 19 4 2" xfId="2505" xr:uid="{00000000-0005-0000-0000-000020250000}"/>
    <cellStyle name="40% - Accent6 19 4 3" xfId="2504" xr:uid="{00000000-0005-0000-0000-000021250000}"/>
    <cellStyle name="40% - Accent6 19 5" xfId="2503" xr:uid="{00000000-0005-0000-0000-000022250000}"/>
    <cellStyle name="40% - Accent6 19 6" xfId="2502" xr:uid="{00000000-0005-0000-0000-000023250000}"/>
    <cellStyle name="40% - Accent6 2" xfId="2501" xr:uid="{00000000-0005-0000-0000-000024250000}"/>
    <cellStyle name="40% - Accent6 2 10" xfId="12016" xr:uid="{00000000-0005-0000-0000-000025250000}"/>
    <cellStyle name="40% - Accent6 2 10 2" xfId="12017" xr:uid="{00000000-0005-0000-0000-000026250000}"/>
    <cellStyle name="40% - Accent6 2 11" xfId="12018" xr:uid="{00000000-0005-0000-0000-000027250000}"/>
    <cellStyle name="40% - Accent6 2 12" xfId="12019" xr:uid="{00000000-0005-0000-0000-000028250000}"/>
    <cellStyle name="40% - Accent6 2 12 2" xfId="12020" xr:uid="{00000000-0005-0000-0000-000029250000}"/>
    <cellStyle name="40% - Accent6 2 12 2 2" xfId="12021" xr:uid="{00000000-0005-0000-0000-00002A250000}"/>
    <cellStyle name="40% - Accent6 2 12 3" xfId="12022" xr:uid="{00000000-0005-0000-0000-00002B250000}"/>
    <cellStyle name="40% - Accent6 2 12 4" xfId="12023" xr:uid="{00000000-0005-0000-0000-00002C250000}"/>
    <cellStyle name="40% - Accent6 2 12 4 2" xfId="12024" xr:uid="{00000000-0005-0000-0000-00002D250000}"/>
    <cellStyle name="40% - Accent6 2 12 5" xfId="12025" xr:uid="{00000000-0005-0000-0000-00002E250000}"/>
    <cellStyle name="40% - Accent6 2 13" xfId="12026" xr:uid="{00000000-0005-0000-0000-00002F250000}"/>
    <cellStyle name="40% - Accent6 2 13 2" xfId="12027" xr:uid="{00000000-0005-0000-0000-000030250000}"/>
    <cellStyle name="40% - Accent6 2 13 2 2" xfId="12028" xr:uid="{00000000-0005-0000-0000-000031250000}"/>
    <cellStyle name="40% - Accent6 2 13 3" xfId="12029" xr:uid="{00000000-0005-0000-0000-000032250000}"/>
    <cellStyle name="40% - Accent6 2 14" xfId="12030" xr:uid="{00000000-0005-0000-0000-000033250000}"/>
    <cellStyle name="40% - Accent6 2 15" xfId="12031" xr:uid="{00000000-0005-0000-0000-000034250000}"/>
    <cellStyle name="40% - Accent6 2 2" xfId="2500" xr:uid="{00000000-0005-0000-0000-000035250000}"/>
    <cellStyle name="40% - Accent6 2 2 10" xfId="12032" xr:uid="{00000000-0005-0000-0000-000036250000}"/>
    <cellStyle name="40% - Accent6 2 2 10 2" xfId="12033" xr:uid="{00000000-0005-0000-0000-000037250000}"/>
    <cellStyle name="40% - Accent6 2 2 11" xfId="12034" xr:uid="{00000000-0005-0000-0000-000038250000}"/>
    <cellStyle name="40% - Accent6 2 2 2" xfId="12035" xr:uid="{00000000-0005-0000-0000-000039250000}"/>
    <cellStyle name="40% - Accent6 2 2 2 2" xfId="12036" xr:uid="{00000000-0005-0000-0000-00003A250000}"/>
    <cellStyle name="40% - Accent6 2 2 2 2 2" xfId="12037" xr:uid="{00000000-0005-0000-0000-00003B250000}"/>
    <cellStyle name="40% - Accent6 2 2 2 2 3" xfId="12038" xr:uid="{00000000-0005-0000-0000-00003C250000}"/>
    <cellStyle name="40% - Accent6 2 2 2 3" xfId="12039" xr:uid="{00000000-0005-0000-0000-00003D250000}"/>
    <cellStyle name="40% - Accent6 2 2 2 3 2" xfId="12040" xr:uid="{00000000-0005-0000-0000-00003E250000}"/>
    <cellStyle name="40% - Accent6 2 2 2 4" xfId="12041" xr:uid="{00000000-0005-0000-0000-00003F250000}"/>
    <cellStyle name="40% - Accent6 2 2 2 5" xfId="12042" xr:uid="{00000000-0005-0000-0000-000040250000}"/>
    <cellStyle name="40% - Accent6 2 2 3" xfId="12043" xr:uid="{00000000-0005-0000-0000-000041250000}"/>
    <cellStyle name="40% - Accent6 2 2 3 2" xfId="12044" xr:uid="{00000000-0005-0000-0000-000042250000}"/>
    <cellStyle name="40% - Accent6 2 2 3 2 2" xfId="12045" xr:uid="{00000000-0005-0000-0000-000043250000}"/>
    <cellStyle name="40% - Accent6 2 2 3 2 3" xfId="12046" xr:uid="{00000000-0005-0000-0000-000044250000}"/>
    <cellStyle name="40% - Accent6 2 2 3 3" xfId="12047" xr:uid="{00000000-0005-0000-0000-000045250000}"/>
    <cellStyle name="40% - Accent6 2 2 3 3 2" xfId="12048" xr:uid="{00000000-0005-0000-0000-000046250000}"/>
    <cellStyle name="40% - Accent6 2 2 3 4" xfId="12049" xr:uid="{00000000-0005-0000-0000-000047250000}"/>
    <cellStyle name="40% - Accent6 2 2 3 5" xfId="12050" xr:uid="{00000000-0005-0000-0000-000048250000}"/>
    <cellStyle name="40% - Accent6 2 2 4" xfId="12051" xr:uid="{00000000-0005-0000-0000-000049250000}"/>
    <cellStyle name="40% - Accent6 2 2 4 2" xfId="12052" xr:uid="{00000000-0005-0000-0000-00004A250000}"/>
    <cellStyle name="40% - Accent6 2 2 4 2 2" xfId="12053" xr:uid="{00000000-0005-0000-0000-00004B250000}"/>
    <cellStyle name="40% - Accent6 2 2 4 3" xfId="12054" xr:uid="{00000000-0005-0000-0000-00004C250000}"/>
    <cellStyle name="40% - Accent6 2 2 4 4" xfId="12055" xr:uid="{00000000-0005-0000-0000-00004D250000}"/>
    <cellStyle name="40% - Accent6 2 2 5" xfId="12056" xr:uid="{00000000-0005-0000-0000-00004E250000}"/>
    <cellStyle name="40% - Accent6 2 2 5 2" xfId="12057" xr:uid="{00000000-0005-0000-0000-00004F250000}"/>
    <cellStyle name="40% - Accent6 2 2 6" xfId="12058" xr:uid="{00000000-0005-0000-0000-000050250000}"/>
    <cellStyle name="40% - Accent6 2 2 6 2" xfId="12059" xr:uid="{00000000-0005-0000-0000-000051250000}"/>
    <cellStyle name="40% - Accent6 2 2 7" xfId="12060" xr:uid="{00000000-0005-0000-0000-000052250000}"/>
    <cellStyle name="40% - Accent6 2 2 8" xfId="12061" xr:uid="{00000000-0005-0000-0000-000053250000}"/>
    <cellStyle name="40% - Accent6 2 2 9" xfId="12062" xr:uid="{00000000-0005-0000-0000-000054250000}"/>
    <cellStyle name="40% - Accent6 2 2 9 2" xfId="12063" xr:uid="{00000000-0005-0000-0000-000055250000}"/>
    <cellStyle name="40% - Accent6 2 3" xfId="2499" xr:uid="{00000000-0005-0000-0000-000056250000}"/>
    <cellStyle name="40% - Accent6 2 3 2" xfId="2498" xr:uid="{00000000-0005-0000-0000-000057250000}"/>
    <cellStyle name="40% - Accent6 2 3 2 2" xfId="2497" xr:uid="{00000000-0005-0000-0000-000058250000}"/>
    <cellStyle name="40% - Accent6 2 3 2 2 2" xfId="2496" xr:uid="{00000000-0005-0000-0000-000059250000}"/>
    <cellStyle name="40% - Accent6 2 3 2 2 3" xfId="2495" xr:uid="{00000000-0005-0000-0000-00005A250000}"/>
    <cellStyle name="40% - Accent6 2 3 2 3" xfId="2494" xr:uid="{00000000-0005-0000-0000-00005B250000}"/>
    <cellStyle name="40% - Accent6 2 3 2 3 2" xfId="12064" xr:uid="{00000000-0005-0000-0000-00005C250000}"/>
    <cellStyle name="40% - Accent6 2 3 2 4" xfId="2493" xr:uid="{00000000-0005-0000-0000-00005D250000}"/>
    <cellStyle name="40% - Accent6 2 3 2 5" xfId="12065" xr:uid="{00000000-0005-0000-0000-00005E250000}"/>
    <cellStyle name="40% - Accent6 2 3 3" xfId="2492" xr:uid="{00000000-0005-0000-0000-00005F250000}"/>
    <cellStyle name="40% - Accent6 2 3 3 2" xfId="2491" xr:uid="{00000000-0005-0000-0000-000060250000}"/>
    <cellStyle name="40% - Accent6 2 3 3 2 2" xfId="12066" xr:uid="{00000000-0005-0000-0000-000061250000}"/>
    <cellStyle name="40% - Accent6 2 3 3 3" xfId="2490" xr:uid="{00000000-0005-0000-0000-000062250000}"/>
    <cellStyle name="40% - Accent6 2 3 3 4" xfId="12067" xr:uid="{00000000-0005-0000-0000-000063250000}"/>
    <cellStyle name="40% - Accent6 2 3 4" xfId="2489" xr:uid="{00000000-0005-0000-0000-000064250000}"/>
    <cellStyle name="40% - Accent6 2 3 4 2" xfId="2488" xr:uid="{00000000-0005-0000-0000-000065250000}"/>
    <cellStyle name="40% - Accent6 2 3 4 3" xfId="2487" xr:uid="{00000000-0005-0000-0000-000066250000}"/>
    <cellStyle name="40% - Accent6 2 3 5" xfId="2486" xr:uid="{00000000-0005-0000-0000-000067250000}"/>
    <cellStyle name="40% - Accent6 2 3 5 2" xfId="12068" xr:uid="{00000000-0005-0000-0000-000068250000}"/>
    <cellStyle name="40% - Accent6 2 3 6" xfId="2485" xr:uid="{00000000-0005-0000-0000-000069250000}"/>
    <cellStyle name="40% - Accent6 2 3 7" xfId="12069" xr:uid="{00000000-0005-0000-0000-00006A250000}"/>
    <cellStyle name="40% - Accent6 2 3 8" xfId="12070" xr:uid="{00000000-0005-0000-0000-00006B250000}"/>
    <cellStyle name="40% - Accent6 2 4" xfId="12071" xr:uid="{00000000-0005-0000-0000-00006C250000}"/>
    <cellStyle name="40% - Accent6 2 4 2" xfId="12072" xr:uid="{00000000-0005-0000-0000-00006D250000}"/>
    <cellStyle name="40% - Accent6 2 4 2 2" xfId="12073" xr:uid="{00000000-0005-0000-0000-00006E250000}"/>
    <cellStyle name="40% - Accent6 2 4 2 2 2" xfId="12074" xr:uid="{00000000-0005-0000-0000-00006F250000}"/>
    <cellStyle name="40% - Accent6 2 4 2 3" xfId="12075" xr:uid="{00000000-0005-0000-0000-000070250000}"/>
    <cellStyle name="40% - Accent6 2 4 2 4" xfId="12076" xr:uid="{00000000-0005-0000-0000-000071250000}"/>
    <cellStyle name="40% - Accent6 2 4 3" xfId="12077" xr:uid="{00000000-0005-0000-0000-000072250000}"/>
    <cellStyle name="40% - Accent6 2 4 3 2" xfId="12078" xr:uid="{00000000-0005-0000-0000-000073250000}"/>
    <cellStyle name="40% - Accent6 2 4 4" xfId="12079" xr:uid="{00000000-0005-0000-0000-000074250000}"/>
    <cellStyle name="40% - Accent6 2 4 4 2" xfId="12080" xr:uid="{00000000-0005-0000-0000-000075250000}"/>
    <cellStyle name="40% - Accent6 2 4 5" xfId="12081" xr:uid="{00000000-0005-0000-0000-000076250000}"/>
    <cellStyle name="40% - Accent6 2 4 6" xfId="12082" xr:uid="{00000000-0005-0000-0000-000077250000}"/>
    <cellStyle name="40% - Accent6 2 5" xfId="12083" xr:uid="{00000000-0005-0000-0000-000078250000}"/>
    <cellStyle name="40% - Accent6 2 5 2" xfId="12084" xr:uid="{00000000-0005-0000-0000-000079250000}"/>
    <cellStyle name="40% - Accent6 2 5 2 2" xfId="12085" xr:uid="{00000000-0005-0000-0000-00007A250000}"/>
    <cellStyle name="40% - Accent6 2 5 3" xfId="12086" xr:uid="{00000000-0005-0000-0000-00007B250000}"/>
    <cellStyle name="40% - Accent6 2 5 4" xfId="12087" xr:uid="{00000000-0005-0000-0000-00007C250000}"/>
    <cellStyle name="40% - Accent6 2 6" xfId="12088" xr:uid="{00000000-0005-0000-0000-00007D250000}"/>
    <cellStyle name="40% - Accent6 2 6 10" xfId="12089" xr:uid="{00000000-0005-0000-0000-00007E250000}"/>
    <cellStyle name="40% - Accent6 2 6 2" xfId="12090" xr:uid="{00000000-0005-0000-0000-00007F250000}"/>
    <cellStyle name="40% - Accent6 2 6 2 2" xfId="12091" xr:uid="{00000000-0005-0000-0000-000080250000}"/>
    <cellStyle name="40% - Accent6 2 6 2 2 2" xfId="12092" xr:uid="{00000000-0005-0000-0000-000081250000}"/>
    <cellStyle name="40% - Accent6 2 6 2 2 2 2" xfId="12093" xr:uid="{00000000-0005-0000-0000-000082250000}"/>
    <cellStyle name="40% - Accent6 2 6 2 2 3" xfId="12094" xr:uid="{00000000-0005-0000-0000-000083250000}"/>
    <cellStyle name="40% - Accent6 2 6 2 2 3 2" xfId="12095" xr:uid="{00000000-0005-0000-0000-000084250000}"/>
    <cellStyle name="40% - Accent6 2 6 2 2 4" xfId="12096" xr:uid="{00000000-0005-0000-0000-000085250000}"/>
    <cellStyle name="40% - Accent6 2 6 2 2 5" xfId="12097" xr:uid="{00000000-0005-0000-0000-000086250000}"/>
    <cellStyle name="40% - Accent6 2 6 2 3" xfId="12098" xr:uid="{00000000-0005-0000-0000-000087250000}"/>
    <cellStyle name="40% - Accent6 2 6 2 3 2" xfId="12099" xr:uid="{00000000-0005-0000-0000-000088250000}"/>
    <cellStyle name="40% - Accent6 2 6 2 3 2 2" xfId="12100" xr:uid="{00000000-0005-0000-0000-000089250000}"/>
    <cellStyle name="40% - Accent6 2 6 2 3 3" xfId="12101" xr:uid="{00000000-0005-0000-0000-00008A250000}"/>
    <cellStyle name="40% - Accent6 2 6 2 4" xfId="12102" xr:uid="{00000000-0005-0000-0000-00008B250000}"/>
    <cellStyle name="40% - Accent6 2 6 2 4 2" xfId="12103" xr:uid="{00000000-0005-0000-0000-00008C250000}"/>
    <cellStyle name="40% - Accent6 2 6 2 5" xfId="12104" xr:uid="{00000000-0005-0000-0000-00008D250000}"/>
    <cellStyle name="40% - Accent6 2 6 2 5 2" xfId="12105" xr:uid="{00000000-0005-0000-0000-00008E250000}"/>
    <cellStyle name="40% - Accent6 2 6 2 6" xfId="12106" xr:uid="{00000000-0005-0000-0000-00008F250000}"/>
    <cellStyle name="40% - Accent6 2 6 3" xfId="12107" xr:uid="{00000000-0005-0000-0000-000090250000}"/>
    <cellStyle name="40% - Accent6 2 6 3 2" xfId="12108" xr:uid="{00000000-0005-0000-0000-000091250000}"/>
    <cellStyle name="40% - Accent6 2 6 3 2 2" xfId="12109" xr:uid="{00000000-0005-0000-0000-000092250000}"/>
    <cellStyle name="40% - Accent6 2 6 3 2 2 2" xfId="12110" xr:uid="{00000000-0005-0000-0000-000093250000}"/>
    <cellStyle name="40% - Accent6 2 6 3 2 3" xfId="12111" xr:uid="{00000000-0005-0000-0000-000094250000}"/>
    <cellStyle name="40% - Accent6 2 6 3 2 3 2" xfId="12112" xr:uid="{00000000-0005-0000-0000-000095250000}"/>
    <cellStyle name="40% - Accent6 2 6 3 2 4" xfId="12113" xr:uid="{00000000-0005-0000-0000-000096250000}"/>
    <cellStyle name="40% - Accent6 2 6 3 2 5" xfId="12114" xr:uid="{00000000-0005-0000-0000-000097250000}"/>
    <cellStyle name="40% - Accent6 2 6 3 3" xfId="12115" xr:uid="{00000000-0005-0000-0000-000098250000}"/>
    <cellStyle name="40% - Accent6 2 6 3 3 2" xfId="12116" xr:uid="{00000000-0005-0000-0000-000099250000}"/>
    <cellStyle name="40% - Accent6 2 6 3 3 2 2" xfId="12117" xr:uid="{00000000-0005-0000-0000-00009A250000}"/>
    <cellStyle name="40% - Accent6 2 6 3 3 3" xfId="12118" xr:uid="{00000000-0005-0000-0000-00009B250000}"/>
    <cellStyle name="40% - Accent6 2 6 3 4" xfId="12119" xr:uid="{00000000-0005-0000-0000-00009C250000}"/>
    <cellStyle name="40% - Accent6 2 6 3 4 2" xfId="12120" xr:uid="{00000000-0005-0000-0000-00009D250000}"/>
    <cellStyle name="40% - Accent6 2 6 3 5" xfId="12121" xr:uid="{00000000-0005-0000-0000-00009E250000}"/>
    <cellStyle name="40% - Accent6 2 6 3 5 2" xfId="12122" xr:uid="{00000000-0005-0000-0000-00009F250000}"/>
    <cellStyle name="40% - Accent6 2 6 3 6" xfId="12123" xr:uid="{00000000-0005-0000-0000-0000A0250000}"/>
    <cellStyle name="40% - Accent6 2 6 4" xfId="12124" xr:uid="{00000000-0005-0000-0000-0000A1250000}"/>
    <cellStyle name="40% - Accent6 2 6 4 2" xfId="12125" xr:uid="{00000000-0005-0000-0000-0000A2250000}"/>
    <cellStyle name="40% - Accent6 2 6 4 2 2" xfId="12126" xr:uid="{00000000-0005-0000-0000-0000A3250000}"/>
    <cellStyle name="40% - Accent6 2 6 4 2 2 2" xfId="12127" xr:uid="{00000000-0005-0000-0000-0000A4250000}"/>
    <cellStyle name="40% - Accent6 2 6 4 2 3" xfId="12128" xr:uid="{00000000-0005-0000-0000-0000A5250000}"/>
    <cellStyle name="40% - Accent6 2 6 4 3" xfId="12129" xr:uid="{00000000-0005-0000-0000-0000A6250000}"/>
    <cellStyle name="40% - Accent6 2 6 4 3 2" xfId="12130" xr:uid="{00000000-0005-0000-0000-0000A7250000}"/>
    <cellStyle name="40% - Accent6 2 6 4 4" xfId="12131" xr:uid="{00000000-0005-0000-0000-0000A8250000}"/>
    <cellStyle name="40% - Accent6 2 6 4 4 2" xfId="12132" xr:uid="{00000000-0005-0000-0000-0000A9250000}"/>
    <cellStyle name="40% - Accent6 2 6 4 5" xfId="12133" xr:uid="{00000000-0005-0000-0000-0000AA250000}"/>
    <cellStyle name="40% - Accent6 2 6 5" xfId="12134" xr:uid="{00000000-0005-0000-0000-0000AB250000}"/>
    <cellStyle name="40% - Accent6 2 6 5 2" xfId="12135" xr:uid="{00000000-0005-0000-0000-0000AC250000}"/>
    <cellStyle name="40% - Accent6 2 6 5 2 2" xfId="12136" xr:uid="{00000000-0005-0000-0000-0000AD250000}"/>
    <cellStyle name="40% - Accent6 2 6 5 3" xfId="12137" xr:uid="{00000000-0005-0000-0000-0000AE250000}"/>
    <cellStyle name="40% - Accent6 2 6 5 3 2" xfId="12138" xr:uid="{00000000-0005-0000-0000-0000AF250000}"/>
    <cellStyle name="40% - Accent6 2 6 5 4" xfId="12139" xr:uid="{00000000-0005-0000-0000-0000B0250000}"/>
    <cellStyle name="40% - Accent6 2 6 6" xfId="12140" xr:uid="{00000000-0005-0000-0000-0000B1250000}"/>
    <cellStyle name="40% - Accent6 2 6 6 2" xfId="12141" xr:uid="{00000000-0005-0000-0000-0000B2250000}"/>
    <cellStyle name="40% - Accent6 2 6 6 2 2" xfId="12142" xr:uid="{00000000-0005-0000-0000-0000B3250000}"/>
    <cellStyle name="40% - Accent6 2 6 6 3" xfId="12143" xr:uid="{00000000-0005-0000-0000-0000B4250000}"/>
    <cellStyle name="40% - Accent6 2 6 7" xfId="12144" xr:uid="{00000000-0005-0000-0000-0000B5250000}"/>
    <cellStyle name="40% - Accent6 2 6 7 2" xfId="12145" xr:uid="{00000000-0005-0000-0000-0000B6250000}"/>
    <cellStyle name="40% - Accent6 2 6 7 3" xfId="12146" xr:uid="{00000000-0005-0000-0000-0000B7250000}"/>
    <cellStyle name="40% - Accent6 2 6 8" xfId="12147" xr:uid="{00000000-0005-0000-0000-0000B8250000}"/>
    <cellStyle name="40% - Accent6 2 6 8 2" xfId="12148" xr:uid="{00000000-0005-0000-0000-0000B9250000}"/>
    <cellStyle name="40% - Accent6 2 6 9" xfId="12149" xr:uid="{00000000-0005-0000-0000-0000BA250000}"/>
    <cellStyle name="40% - Accent6 2 7" xfId="12150" xr:uid="{00000000-0005-0000-0000-0000BB250000}"/>
    <cellStyle name="40% - Accent6 2 7 2" xfId="12151" xr:uid="{00000000-0005-0000-0000-0000BC250000}"/>
    <cellStyle name="40% - Accent6 2 7 2 2" xfId="12152" xr:uid="{00000000-0005-0000-0000-0000BD250000}"/>
    <cellStyle name="40% - Accent6 2 7 3" xfId="12153" xr:uid="{00000000-0005-0000-0000-0000BE250000}"/>
    <cellStyle name="40% - Accent6 2 7 4" xfId="12154" xr:uid="{00000000-0005-0000-0000-0000BF250000}"/>
    <cellStyle name="40% - Accent6 2 8" xfId="12155" xr:uid="{00000000-0005-0000-0000-0000C0250000}"/>
    <cellStyle name="40% - Accent6 2 8 2" xfId="12156" xr:uid="{00000000-0005-0000-0000-0000C1250000}"/>
    <cellStyle name="40% - Accent6 2 9" xfId="12157" xr:uid="{00000000-0005-0000-0000-0000C2250000}"/>
    <cellStyle name="40% - Accent6 2 9 2" xfId="12158" xr:uid="{00000000-0005-0000-0000-0000C3250000}"/>
    <cellStyle name="40% - Accent6 20" xfId="2484" xr:uid="{00000000-0005-0000-0000-0000C4250000}"/>
    <cellStyle name="40% - Accent6 20 2" xfId="2483" xr:uid="{00000000-0005-0000-0000-0000C5250000}"/>
    <cellStyle name="40% - Accent6 20 2 2" xfId="2482" xr:uid="{00000000-0005-0000-0000-0000C6250000}"/>
    <cellStyle name="40% - Accent6 20 2 2 2" xfId="2481" xr:uid="{00000000-0005-0000-0000-0000C7250000}"/>
    <cellStyle name="40% - Accent6 20 2 2 3" xfId="2480" xr:uid="{00000000-0005-0000-0000-0000C8250000}"/>
    <cellStyle name="40% - Accent6 20 2 3" xfId="2479" xr:uid="{00000000-0005-0000-0000-0000C9250000}"/>
    <cellStyle name="40% - Accent6 20 2 4" xfId="2478" xr:uid="{00000000-0005-0000-0000-0000CA250000}"/>
    <cellStyle name="40% - Accent6 20 3" xfId="2477" xr:uid="{00000000-0005-0000-0000-0000CB250000}"/>
    <cellStyle name="40% - Accent6 20 3 2" xfId="2476" xr:uid="{00000000-0005-0000-0000-0000CC250000}"/>
    <cellStyle name="40% - Accent6 20 3 3" xfId="2475" xr:uid="{00000000-0005-0000-0000-0000CD250000}"/>
    <cellStyle name="40% - Accent6 20 4" xfId="2474" xr:uid="{00000000-0005-0000-0000-0000CE250000}"/>
    <cellStyle name="40% - Accent6 20 4 2" xfId="2473" xr:uid="{00000000-0005-0000-0000-0000CF250000}"/>
    <cellStyle name="40% - Accent6 20 4 3" xfId="2472" xr:uid="{00000000-0005-0000-0000-0000D0250000}"/>
    <cellStyle name="40% - Accent6 20 5" xfId="2471" xr:uid="{00000000-0005-0000-0000-0000D1250000}"/>
    <cellStyle name="40% - Accent6 20 6" xfId="2470" xr:uid="{00000000-0005-0000-0000-0000D2250000}"/>
    <cellStyle name="40% - Accent6 21" xfId="2469" xr:uid="{00000000-0005-0000-0000-0000D3250000}"/>
    <cellStyle name="40% - Accent6 22" xfId="2468" xr:uid="{00000000-0005-0000-0000-0000D4250000}"/>
    <cellStyle name="40% - Accent6 22 2" xfId="2467" xr:uid="{00000000-0005-0000-0000-0000D5250000}"/>
    <cellStyle name="40% - Accent6 22 2 2" xfId="2466" xr:uid="{00000000-0005-0000-0000-0000D6250000}"/>
    <cellStyle name="40% - Accent6 22 2 2 2" xfId="2465" xr:uid="{00000000-0005-0000-0000-0000D7250000}"/>
    <cellStyle name="40% - Accent6 22 2 2 3" xfId="2464" xr:uid="{00000000-0005-0000-0000-0000D8250000}"/>
    <cellStyle name="40% - Accent6 22 2 3" xfId="2463" xr:uid="{00000000-0005-0000-0000-0000D9250000}"/>
    <cellStyle name="40% - Accent6 22 2 4" xfId="2462" xr:uid="{00000000-0005-0000-0000-0000DA250000}"/>
    <cellStyle name="40% - Accent6 22 3" xfId="2461" xr:uid="{00000000-0005-0000-0000-0000DB250000}"/>
    <cellStyle name="40% - Accent6 22 3 2" xfId="2460" xr:uid="{00000000-0005-0000-0000-0000DC250000}"/>
    <cellStyle name="40% - Accent6 22 3 3" xfId="2459" xr:uid="{00000000-0005-0000-0000-0000DD250000}"/>
    <cellStyle name="40% - Accent6 22 4" xfId="2458" xr:uid="{00000000-0005-0000-0000-0000DE250000}"/>
    <cellStyle name="40% - Accent6 22 4 2" xfId="2457" xr:uid="{00000000-0005-0000-0000-0000DF250000}"/>
    <cellStyle name="40% - Accent6 22 4 3" xfId="2456" xr:uid="{00000000-0005-0000-0000-0000E0250000}"/>
    <cellStyle name="40% - Accent6 22 5" xfId="2455" xr:uid="{00000000-0005-0000-0000-0000E1250000}"/>
    <cellStyle name="40% - Accent6 22 6" xfId="2454" xr:uid="{00000000-0005-0000-0000-0000E2250000}"/>
    <cellStyle name="40% - Accent6 23" xfId="2453" xr:uid="{00000000-0005-0000-0000-0000E3250000}"/>
    <cellStyle name="40% - Accent6 23 2" xfId="2452" xr:uid="{00000000-0005-0000-0000-0000E4250000}"/>
    <cellStyle name="40% - Accent6 23 2 2" xfId="2451" xr:uid="{00000000-0005-0000-0000-0000E5250000}"/>
    <cellStyle name="40% - Accent6 23 2 3" xfId="2450" xr:uid="{00000000-0005-0000-0000-0000E6250000}"/>
    <cellStyle name="40% - Accent6 23 3" xfId="2449" xr:uid="{00000000-0005-0000-0000-0000E7250000}"/>
    <cellStyle name="40% - Accent6 23 4" xfId="2448" xr:uid="{00000000-0005-0000-0000-0000E8250000}"/>
    <cellStyle name="40% - Accent6 24" xfId="2447" xr:uid="{00000000-0005-0000-0000-0000E9250000}"/>
    <cellStyle name="40% - Accent6 24 2" xfId="2446" xr:uid="{00000000-0005-0000-0000-0000EA250000}"/>
    <cellStyle name="40% - Accent6 24 3" xfId="2445" xr:uid="{00000000-0005-0000-0000-0000EB250000}"/>
    <cellStyle name="40% - Accent6 25" xfId="2444" xr:uid="{00000000-0005-0000-0000-0000EC250000}"/>
    <cellStyle name="40% - Accent6 25 2" xfId="2443" xr:uid="{00000000-0005-0000-0000-0000ED250000}"/>
    <cellStyle name="40% - Accent6 25 3" xfId="2442" xr:uid="{00000000-0005-0000-0000-0000EE250000}"/>
    <cellStyle name="40% - Accent6 26" xfId="2441" xr:uid="{00000000-0005-0000-0000-0000EF250000}"/>
    <cellStyle name="40% - Accent6 27" xfId="2440" xr:uid="{00000000-0005-0000-0000-0000F0250000}"/>
    <cellStyle name="40% - Accent6 28" xfId="2439" xr:uid="{00000000-0005-0000-0000-0000F1250000}"/>
    <cellStyle name="40% - Accent6 29" xfId="2438" xr:uid="{00000000-0005-0000-0000-0000F2250000}"/>
    <cellStyle name="40% - Accent6 3" xfId="2437" xr:uid="{00000000-0005-0000-0000-0000F3250000}"/>
    <cellStyle name="40% - Accent6 3 10" xfId="12159" xr:uid="{00000000-0005-0000-0000-0000F4250000}"/>
    <cellStyle name="40% - Accent6 3 2" xfId="2436" xr:uid="{00000000-0005-0000-0000-0000F5250000}"/>
    <cellStyle name="40% - Accent6 3 2 2" xfId="12160" xr:uid="{00000000-0005-0000-0000-0000F6250000}"/>
    <cellStyle name="40% - Accent6 3 2 2 2" xfId="12161" xr:uid="{00000000-0005-0000-0000-0000F7250000}"/>
    <cellStyle name="40% - Accent6 3 2 2 2 2" xfId="12162" xr:uid="{00000000-0005-0000-0000-0000F8250000}"/>
    <cellStyle name="40% - Accent6 3 2 2 3" xfId="12163" xr:uid="{00000000-0005-0000-0000-0000F9250000}"/>
    <cellStyle name="40% - Accent6 3 2 2 4" xfId="12164" xr:uid="{00000000-0005-0000-0000-0000FA250000}"/>
    <cellStyle name="40% - Accent6 3 2 2 5" xfId="12165" xr:uid="{00000000-0005-0000-0000-0000FB250000}"/>
    <cellStyle name="40% - Accent6 3 2 3" xfId="12166" xr:uid="{00000000-0005-0000-0000-0000FC250000}"/>
    <cellStyle name="40% - Accent6 3 2 3 2" xfId="12167" xr:uid="{00000000-0005-0000-0000-0000FD250000}"/>
    <cellStyle name="40% - Accent6 3 2 3 2 2" xfId="12168" xr:uid="{00000000-0005-0000-0000-0000FE250000}"/>
    <cellStyle name="40% - Accent6 3 2 3 3" xfId="12169" xr:uid="{00000000-0005-0000-0000-0000FF250000}"/>
    <cellStyle name="40% - Accent6 3 2 3 4" xfId="12170" xr:uid="{00000000-0005-0000-0000-000000260000}"/>
    <cellStyle name="40% - Accent6 3 2 4" xfId="12171" xr:uid="{00000000-0005-0000-0000-000001260000}"/>
    <cellStyle name="40% - Accent6 3 2 4 2" xfId="12172" xr:uid="{00000000-0005-0000-0000-000002260000}"/>
    <cellStyle name="40% - Accent6 3 2 5" xfId="12173" xr:uid="{00000000-0005-0000-0000-000003260000}"/>
    <cellStyle name="40% - Accent6 3 2 5 2" xfId="12174" xr:uid="{00000000-0005-0000-0000-000004260000}"/>
    <cellStyle name="40% - Accent6 3 2 6" xfId="12175" xr:uid="{00000000-0005-0000-0000-000005260000}"/>
    <cellStyle name="40% - Accent6 3 2 7" xfId="12176" xr:uid="{00000000-0005-0000-0000-000006260000}"/>
    <cellStyle name="40% - Accent6 3 2 8" xfId="12177" xr:uid="{00000000-0005-0000-0000-000007260000}"/>
    <cellStyle name="40% - Accent6 3 3" xfId="2435" xr:uid="{00000000-0005-0000-0000-000008260000}"/>
    <cellStyle name="40% - Accent6 3 3 2" xfId="2434" xr:uid="{00000000-0005-0000-0000-000009260000}"/>
    <cellStyle name="40% - Accent6 3 3 2 2" xfId="2433" xr:uid="{00000000-0005-0000-0000-00000A260000}"/>
    <cellStyle name="40% - Accent6 3 3 2 2 2" xfId="2432" xr:uid="{00000000-0005-0000-0000-00000B260000}"/>
    <cellStyle name="40% - Accent6 3 3 2 2 3" xfId="2431" xr:uid="{00000000-0005-0000-0000-00000C260000}"/>
    <cellStyle name="40% - Accent6 3 3 2 3" xfId="2430" xr:uid="{00000000-0005-0000-0000-00000D260000}"/>
    <cellStyle name="40% - Accent6 3 3 2 4" xfId="2429" xr:uid="{00000000-0005-0000-0000-00000E260000}"/>
    <cellStyle name="40% - Accent6 3 3 3" xfId="2428" xr:uid="{00000000-0005-0000-0000-00000F260000}"/>
    <cellStyle name="40% - Accent6 3 3 3 2" xfId="2427" xr:uid="{00000000-0005-0000-0000-000010260000}"/>
    <cellStyle name="40% - Accent6 3 3 3 3" xfId="2426" xr:uid="{00000000-0005-0000-0000-000011260000}"/>
    <cellStyle name="40% - Accent6 3 3 4" xfId="2425" xr:uid="{00000000-0005-0000-0000-000012260000}"/>
    <cellStyle name="40% - Accent6 3 3 4 2" xfId="2424" xr:uid="{00000000-0005-0000-0000-000013260000}"/>
    <cellStyle name="40% - Accent6 3 3 4 3" xfId="2423" xr:uid="{00000000-0005-0000-0000-000014260000}"/>
    <cellStyle name="40% - Accent6 3 3 5" xfId="2422" xr:uid="{00000000-0005-0000-0000-000015260000}"/>
    <cellStyle name="40% - Accent6 3 3 6" xfId="2421" xr:uid="{00000000-0005-0000-0000-000016260000}"/>
    <cellStyle name="40% - Accent6 3 3 7" xfId="12178" xr:uid="{00000000-0005-0000-0000-000017260000}"/>
    <cellStyle name="40% - Accent6 3 4" xfId="12179" xr:uid="{00000000-0005-0000-0000-000018260000}"/>
    <cellStyle name="40% - Accent6 3 4 2" xfId="12180" xr:uid="{00000000-0005-0000-0000-000019260000}"/>
    <cellStyle name="40% - Accent6 3 4 2 2" xfId="12181" xr:uid="{00000000-0005-0000-0000-00001A260000}"/>
    <cellStyle name="40% - Accent6 3 4 3" xfId="12182" xr:uid="{00000000-0005-0000-0000-00001B260000}"/>
    <cellStyle name="40% - Accent6 3 4 4" xfId="12183" xr:uid="{00000000-0005-0000-0000-00001C260000}"/>
    <cellStyle name="40% - Accent6 3 5" xfId="12184" xr:uid="{00000000-0005-0000-0000-00001D260000}"/>
    <cellStyle name="40% - Accent6 3 5 2" xfId="12185" xr:uid="{00000000-0005-0000-0000-00001E260000}"/>
    <cellStyle name="40% - Accent6 3 6" xfId="12186" xr:uid="{00000000-0005-0000-0000-00001F260000}"/>
    <cellStyle name="40% - Accent6 3 7" xfId="12187" xr:uid="{00000000-0005-0000-0000-000020260000}"/>
    <cellStyle name="40% - Accent6 3 7 2" xfId="12188" xr:uid="{00000000-0005-0000-0000-000021260000}"/>
    <cellStyle name="40% - Accent6 3 8" xfId="12189" xr:uid="{00000000-0005-0000-0000-000022260000}"/>
    <cellStyle name="40% - Accent6 3 9" xfId="12190" xr:uid="{00000000-0005-0000-0000-000023260000}"/>
    <cellStyle name="40% - Accent6 3 9 2" xfId="12191" xr:uid="{00000000-0005-0000-0000-000024260000}"/>
    <cellStyle name="40% - Accent6 4" xfId="2420" xr:uid="{00000000-0005-0000-0000-000025260000}"/>
    <cellStyle name="40% - Accent6 4 2" xfId="2419" xr:uid="{00000000-0005-0000-0000-000026260000}"/>
    <cellStyle name="40% - Accent6 4 2 2" xfId="2418" xr:uid="{00000000-0005-0000-0000-000027260000}"/>
    <cellStyle name="40% - Accent6 4 2 2 2" xfId="2417" xr:uid="{00000000-0005-0000-0000-000028260000}"/>
    <cellStyle name="40% - Accent6 4 2 2 2 2" xfId="2416" xr:uid="{00000000-0005-0000-0000-000029260000}"/>
    <cellStyle name="40% - Accent6 4 2 2 2 3" xfId="2415" xr:uid="{00000000-0005-0000-0000-00002A260000}"/>
    <cellStyle name="40% - Accent6 4 2 2 3" xfId="2414" xr:uid="{00000000-0005-0000-0000-00002B260000}"/>
    <cellStyle name="40% - Accent6 4 2 2 4" xfId="2413" xr:uid="{00000000-0005-0000-0000-00002C260000}"/>
    <cellStyle name="40% - Accent6 4 2 3" xfId="2412" xr:uid="{00000000-0005-0000-0000-00002D260000}"/>
    <cellStyle name="40% - Accent6 4 2 3 2" xfId="2411" xr:uid="{00000000-0005-0000-0000-00002E260000}"/>
    <cellStyle name="40% - Accent6 4 2 3 3" xfId="2410" xr:uid="{00000000-0005-0000-0000-00002F260000}"/>
    <cellStyle name="40% - Accent6 4 2 4" xfId="2409" xr:uid="{00000000-0005-0000-0000-000030260000}"/>
    <cellStyle name="40% - Accent6 4 2 4 2" xfId="2408" xr:uid="{00000000-0005-0000-0000-000031260000}"/>
    <cellStyle name="40% - Accent6 4 2 4 3" xfId="2407" xr:uid="{00000000-0005-0000-0000-000032260000}"/>
    <cellStyle name="40% - Accent6 4 2 5" xfId="2406" xr:uid="{00000000-0005-0000-0000-000033260000}"/>
    <cellStyle name="40% - Accent6 4 2 6" xfId="2405" xr:uid="{00000000-0005-0000-0000-000034260000}"/>
    <cellStyle name="40% - Accent6 4 3" xfId="2404" xr:uid="{00000000-0005-0000-0000-000035260000}"/>
    <cellStyle name="40% - Accent6 4 3 2" xfId="2403" xr:uid="{00000000-0005-0000-0000-000036260000}"/>
    <cellStyle name="40% - Accent6 4 3 2 2" xfId="2402" xr:uid="{00000000-0005-0000-0000-000037260000}"/>
    <cellStyle name="40% - Accent6 4 3 2 3" xfId="2401" xr:uid="{00000000-0005-0000-0000-000038260000}"/>
    <cellStyle name="40% - Accent6 4 3 3" xfId="2400" xr:uid="{00000000-0005-0000-0000-000039260000}"/>
    <cellStyle name="40% - Accent6 4 3 3 2" xfId="12192" xr:uid="{00000000-0005-0000-0000-00003A260000}"/>
    <cellStyle name="40% - Accent6 4 3 4" xfId="2399" xr:uid="{00000000-0005-0000-0000-00003B260000}"/>
    <cellStyle name="40% - Accent6 4 4" xfId="2398" xr:uid="{00000000-0005-0000-0000-00003C260000}"/>
    <cellStyle name="40% - Accent6 4 4 2" xfId="2397" xr:uid="{00000000-0005-0000-0000-00003D260000}"/>
    <cellStyle name="40% - Accent6 4 4 2 2" xfId="12193" xr:uid="{00000000-0005-0000-0000-00003E260000}"/>
    <cellStyle name="40% - Accent6 4 4 3" xfId="2396" xr:uid="{00000000-0005-0000-0000-00003F260000}"/>
    <cellStyle name="40% - Accent6 4 4 4" xfId="12194" xr:uid="{00000000-0005-0000-0000-000040260000}"/>
    <cellStyle name="40% - Accent6 4 5" xfId="2395" xr:uid="{00000000-0005-0000-0000-000041260000}"/>
    <cellStyle name="40% - Accent6 4 5 2" xfId="2394" xr:uid="{00000000-0005-0000-0000-000042260000}"/>
    <cellStyle name="40% - Accent6 4 5 3" xfId="2393" xr:uid="{00000000-0005-0000-0000-000043260000}"/>
    <cellStyle name="40% - Accent6 4 6" xfId="2392" xr:uid="{00000000-0005-0000-0000-000044260000}"/>
    <cellStyle name="40% - Accent6 4 6 2" xfId="12195" xr:uid="{00000000-0005-0000-0000-000045260000}"/>
    <cellStyle name="40% - Accent6 4 7" xfId="2391" xr:uid="{00000000-0005-0000-0000-000046260000}"/>
    <cellStyle name="40% - Accent6 4 7 2" xfId="12196" xr:uid="{00000000-0005-0000-0000-000047260000}"/>
    <cellStyle name="40% - Accent6 4 8" xfId="12197" xr:uid="{00000000-0005-0000-0000-000048260000}"/>
    <cellStyle name="40% - Accent6 4 9" xfId="12198" xr:uid="{00000000-0005-0000-0000-000049260000}"/>
    <cellStyle name="40% - Accent6 5" xfId="2390" xr:uid="{00000000-0005-0000-0000-00004A260000}"/>
    <cellStyle name="40% - Accent6 5 10" xfId="12199" xr:uid="{00000000-0005-0000-0000-00004B260000}"/>
    <cellStyle name="40% - Accent6 5 11" xfId="12200" xr:uid="{00000000-0005-0000-0000-00004C260000}"/>
    <cellStyle name="40% - Accent6 5 2" xfId="2389" xr:uid="{00000000-0005-0000-0000-00004D260000}"/>
    <cellStyle name="40% - Accent6 5 2 2" xfId="2388" xr:uid="{00000000-0005-0000-0000-00004E260000}"/>
    <cellStyle name="40% - Accent6 5 2 2 2" xfId="2387" xr:uid="{00000000-0005-0000-0000-00004F260000}"/>
    <cellStyle name="40% - Accent6 5 2 2 2 2" xfId="12201" xr:uid="{00000000-0005-0000-0000-000050260000}"/>
    <cellStyle name="40% - Accent6 5 2 2 2 2 2" xfId="12202" xr:uid="{00000000-0005-0000-0000-000051260000}"/>
    <cellStyle name="40% - Accent6 5 2 2 2 3" xfId="12203" xr:uid="{00000000-0005-0000-0000-000052260000}"/>
    <cellStyle name="40% - Accent6 5 2 2 2 3 2" xfId="12204" xr:uid="{00000000-0005-0000-0000-000053260000}"/>
    <cellStyle name="40% - Accent6 5 2 2 2 4" xfId="12205" xr:uid="{00000000-0005-0000-0000-000054260000}"/>
    <cellStyle name="40% - Accent6 5 2 2 2 4 2" xfId="12206" xr:uid="{00000000-0005-0000-0000-000055260000}"/>
    <cellStyle name="40% - Accent6 5 2 2 2 5" xfId="12207" xr:uid="{00000000-0005-0000-0000-000056260000}"/>
    <cellStyle name="40% - Accent6 5 2 2 3" xfId="2386" xr:uid="{00000000-0005-0000-0000-000057260000}"/>
    <cellStyle name="40% - Accent6 5 2 2 3 2" xfId="12208" xr:uid="{00000000-0005-0000-0000-000058260000}"/>
    <cellStyle name="40% - Accent6 5 2 2 3 2 2" xfId="12209" xr:uid="{00000000-0005-0000-0000-000059260000}"/>
    <cellStyle name="40% - Accent6 5 2 2 3 3" xfId="12210" xr:uid="{00000000-0005-0000-0000-00005A260000}"/>
    <cellStyle name="40% - Accent6 5 2 2 3 3 2" xfId="12211" xr:uid="{00000000-0005-0000-0000-00005B260000}"/>
    <cellStyle name="40% - Accent6 5 2 2 3 4" xfId="12212" xr:uid="{00000000-0005-0000-0000-00005C260000}"/>
    <cellStyle name="40% - Accent6 5 2 2 4" xfId="12213" xr:uid="{00000000-0005-0000-0000-00005D260000}"/>
    <cellStyle name="40% - Accent6 5 2 2 4 2" xfId="12214" xr:uid="{00000000-0005-0000-0000-00005E260000}"/>
    <cellStyle name="40% - Accent6 5 2 2 4 2 2" xfId="12215" xr:uid="{00000000-0005-0000-0000-00005F260000}"/>
    <cellStyle name="40% - Accent6 5 2 2 4 3" xfId="12216" xr:uid="{00000000-0005-0000-0000-000060260000}"/>
    <cellStyle name="40% - Accent6 5 2 2 4 3 2" xfId="12217" xr:uid="{00000000-0005-0000-0000-000061260000}"/>
    <cellStyle name="40% - Accent6 5 2 2 4 4" xfId="12218" xr:uid="{00000000-0005-0000-0000-000062260000}"/>
    <cellStyle name="40% - Accent6 5 2 2 5" xfId="12219" xr:uid="{00000000-0005-0000-0000-000063260000}"/>
    <cellStyle name="40% - Accent6 5 2 2 5 2" xfId="12220" xr:uid="{00000000-0005-0000-0000-000064260000}"/>
    <cellStyle name="40% - Accent6 5 2 2 5 2 2" xfId="12221" xr:uid="{00000000-0005-0000-0000-000065260000}"/>
    <cellStyle name="40% - Accent6 5 2 2 5 3" xfId="12222" xr:uid="{00000000-0005-0000-0000-000066260000}"/>
    <cellStyle name="40% - Accent6 5 2 2 5 3 2" xfId="12223" xr:uid="{00000000-0005-0000-0000-000067260000}"/>
    <cellStyle name="40% - Accent6 5 2 2 5 4" xfId="12224" xr:uid="{00000000-0005-0000-0000-000068260000}"/>
    <cellStyle name="40% - Accent6 5 2 2 6" xfId="12225" xr:uid="{00000000-0005-0000-0000-000069260000}"/>
    <cellStyle name="40% - Accent6 5 2 2 7" xfId="12226" xr:uid="{00000000-0005-0000-0000-00006A260000}"/>
    <cellStyle name="40% - Accent6 5 2 3" xfId="2385" xr:uid="{00000000-0005-0000-0000-00006B260000}"/>
    <cellStyle name="40% - Accent6 5 2 4" xfId="2384" xr:uid="{00000000-0005-0000-0000-00006C260000}"/>
    <cellStyle name="40% - Accent6 5 2 5" xfId="12227" xr:uid="{00000000-0005-0000-0000-00006D260000}"/>
    <cellStyle name="40% - Accent6 5 2 5 2" xfId="12228" xr:uid="{00000000-0005-0000-0000-00006E260000}"/>
    <cellStyle name="40% - Accent6 5 2 6" xfId="12229" xr:uid="{00000000-0005-0000-0000-00006F260000}"/>
    <cellStyle name="40% - Accent6 5 3" xfId="2383" xr:uid="{00000000-0005-0000-0000-000070260000}"/>
    <cellStyle name="40% - Accent6 5 3 2" xfId="2382" xr:uid="{00000000-0005-0000-0000-000071260000}"/>
    <cellStyle name="40% - Accent6 5 3 2 2" xfId="12230" xr:uid="{00000000-0005-0000-0000-000072260000}"/>
    <cellStyle name="40% - Accent6 5 3 3" xfId="2381" xr:uid="{00000000-0005-0000-0000-000073260000}"/>
    <cellStyle name="40% - Accent6 5 3 4" xfId="12231" xr:uid="{00000000-0005-0000-0000-000074260000}"/>
    <cellStyle name="40% - Accent6 5 3 5" xfId="12232" xr:uid="{00000000-0005-0000-0000-000075260000}"/>
    <cellStyle name="40% - Accent6 5 3 5 2" xfId="12233" xr:uid="{00000000-0005-0000-0000-000076260000}"/>
    <cellStyle name="40% - Accent6 5 3 6" xfId="12234" xr:uid="{00000000-0005-0000-0000-000077260000}"/>
    <cellStyle name="40% - Accent6 5 4" xfId="2380" xr:uid="{00000000-0005-0000-0000-000078260000}"/>
    <cellStyle name="40% - Accent6 5 4 2" xfId="2379" xr:uid="{00000000-0005-0000-0000-000079260000}"/>
    <cellStyle name="40% - Accent6 5 4 3" xfId="2378" xr:uid="{00000000-0005-0000-0000-00007A260000}"/>
    <cellStyle name="40% - Accent6 5 5" xfId="2377" xr:uid="{00000000-0005-0000-0000-00007B260000}"/>
    <cellStyle name="40% - Accent6 5 5 2" xfId="12235" xr:uid="{00000000-0005-0000-0000-00007C260000}"/>
    <cellStyle name="40% - Accent6 5 5 2 2" xfId="12236" xr:uid="{00000000-0005-0000-0000-00007D260000}"/>
    <cellStyle name="40% - Accent6 5 5 2 2 2" xfId="12237" xr:uid="{00000000-0005-0000-0000-00007E260000}"/>
    <cellStyle name="40% - Accent6 5 5 2 3" xfId="12238" xr:uid="{00000000-0005-0000-0000-00007F260000}"/>
    <cellStyle name="40% - Accent6 5 5 2 3 2" xfId="12239" xr:uid="{00000000-0005-0000-0000-000080260000}"/>
    <cellStyle name="40% - Accent6 5 5 2 4" xfId="12240" xr:uid="{00000000-0005-0000-0000-000081260000}"/>
    <cellStyle name="40% - Accent6 5 5 2 4 2" xfId="12241" xr:uid="{00000000-0005-0000-0000-000082260000}"/>
    <cellStyle name="40% - Accent6 5 5 2 5" xfId="12242" xr:uid="{00000000-0005-0000-0000-000083260000}"/>
    <cellStyle name="40% - Accent6 5 5 3" xfId="12243" xr:uid="{00000000-0005-0000-0000-000084260000}"/>
    <cellStyle name="40% - Accent6 5 5 3 2" xfId="12244" xr:uid="{00000000-0005-0000-0000-000085260000}"/>
    <cellStyle name="40% - Accent6 5 5 3 2 2" xfId="12245" xr:uid="{00000000-0005-0000-0000-000086260000}"/>
    <cellStyle name="40% - Accent6 5 5 3 3" xfId="12246" xr:uid="{00000000-0005-0000-0000-000087260000}"/>
    <cellStyle name="40% - Accent6 5 5 3 3 2" xfId="12247" xr:uid="{00000000-0005-0000-0000-000088260000}"/>
    <cellStyle name="40% - Accent6 5 5 3 4" xfId="12248" xr:uid="{00000000-0005-0000-0000-000089260000}"/>
    <cellStyle name="40% - Accent6 5 5 4" xfId="12249" xr:uid="{00000000-0005-0000-0000-00008A260000}"/>
    <cellStyle name="40% - Accent6 5 5 4 2" xfId="12250" xr:uid="{00000000-0005-0000-0000-00008B260000}"/>
    <cellStyle name="40% - Accent6 5 5 4 2 2" xfId="12251" xr:uid="{00000000-0005-0000-0000-00008C260000}"/>
    <cellStyle name="40% - Accent6 5 5 4 3" xfId="12252" xr:uid="{00000000-0005-0000-0000-00008D260000}"/>
    <cellStyle name="40% - Accent6 5 5 4 3 2" xfId="12253" xr:uid="{00000000-0005-0000-0000-00008E260000}"/>
    <cellStyle name="40% - Accent6 5 5 4 4" xfId="12254" xr:uid="{00000000-0005-0000-0000-00008F260000}"/>
    <cellStyle name="40% - Accent6 5 5 5" xfId="12255" xr:uid="{00000000-0005-0000-0000-000090260000}"/>
    <cellStyle name="40% - Accent6 5 5 5 2" xfId="12256" xr:uid="{00000000-0005-0000-0000-000091260000}"/>
    <cellStyle name="40% - Accent6 5 5 5 2 2" xfId="12257" xr:uid="{00000000-0005-0000-0000-000092260000}"/>
    <cellStyle name="40% - Accent6 5 5 5 3" xfId="12258" xr:uid="{00000000-0005-0000-0000-000093260000}"/>
    <cellStyle name="40% - Accent6 5 5 5 3 2" xfId="12259" xr:uid="{00000000-0005-0000-0000-000094260000}"/>
    <cellStyle name="40% - Accent6 5 5 5 4" xfId="12260" xr:uid="{00000000-0005-0000-0000-000095260000}"/>
    <cellStyle name="40% - Accent6 5 5 6" xfId="12261" xr:uid="{00000000-0005-0000-0000-000096260000}"/>
    <cellStyle name="40% - Accent6 5 6" xfId="2376" xr:uid="{00000000-0005-0000-0000-000097260000}"/>
    <cellStyle name="40% - Accent6 5 6 2" xfId="12262" xr:uid="{00000000-0005-0000-0000-000098260000}"/>
    <cellStyle name="40% - Accent6 5 6 2 2" xfId="12263" xr:uid="{00000000-0005-0000-0000-000099260000}"/>
    <cellStyle name="40% - Accent6 5 6 2 2 2" xfId="12264" xr:uid="{00000000-0005-0000-0000-00009A260000}"/>
    <cellStyle name="40% - Accent6 5 6 2 2 2 2" xfId="12265" xr:uid="{00000000-0005-0000-0000-00009B260000}"/>
    <cellStyle name="40% - Accent6 5 6 2 2 3" xfId="12266" xr:uid="{00000000-0005-0000-0000-00009C260000}"/>
    <cellStyle name="40% - Accent6 5 6 2 2 3 2" xfId="12267" xr:uid="{00000000-0005-0000-0000-00009D260000}"/>
    <cellStyle name="40% - Accent6 5 6 2 2 4" xfId="12268" xr:uid="{00000000-0005-0000-0000-00009E260000}"/>
    <cellStyle name="40% - Accent6 5 6 2 2 5" xfId="12269" xr:uid="{00000000-0005-0000-0000-00009F260000}"/>
    <cellStyle name="40% - Accent6 5 6 2 3" xfId="12270" xr:uid="{00000000-0005-0000-0000-0000A0260000}"/>
    <cellStyle name="40% - Accent6 5 6 2 3 2" xfId="12271" xr:uid="{00000000-0005-0000-0000-0000A1260000}"/>
    <cellStyle name="40% - Accent6 5 6 2 3 2 2" xfId="12272" xr:uid="{00000000-0005-0000-0000-0000A2260000}"/>
    <cellStyle name="40% - Accent6 5 6 2 3 3" xfId="12273" xr:uid="{00000000-0005-0000-0000-0000A3260000}"/>
    <cellStyle name="40% - Accent6 5 6 2 4" xfId="12274" xr:uid="{00000000-0005-0000-0000-0000A4260000}"/>
    <cellStyle name="40% - Accent6 5 6 2 4 2" xfId="12275" xr:uid="{00000000-0005-0000-0000-0000A5260000}"/>
    <cellStyle name="40% - Accent6 5 6 2 5" xfId="12276" xr:uid="{00000000-0005-0000-0000-0000A6260000}"/>
    <cellStyle name="40% - Accent6 5 6 2 5 2" xfId="12277" xr:uid="{00000000-0005-0000-0000-0000A7260000}"/>
    <cellStyle name="40% - Accent6 5 6 2 6" xfId="12278" xr:uid="{00000000-0005-0000-0000-0000A8260000}"/>
    <cellStyle name="40% - Accent6 5 6 3" xfId="12279" xr:uid="{00000000-0005-0000-0000-0000A9260000}"/>
    <cellStyle name="40% - Accent6 5 6 3 2" xfId="12280" xr:uid="{00000000-0005-0000-0000-0000AA260000}"/>
    <cellStyle name="40% - Accent6 5 6 3 2 2" xfId="12281" xr:uid="{00000000-0005-0000-0000-0000AB260000}"/>
    <cellStyle name="40% - Accent6 5 6 3 2 2 2" xfId="12282" xr:uid="{00000000-0005-0000-0000-0000AC260000}"/>
    <cellStyle name="40% - Accent6 5 6 3 2 3" xfId="12283" xr:uid="{00000000-0005-0000-0000-0000AD260000}"/>
    <cellStyle name="40% - Accent6 5 6 3 2 3 2" xfId="12284" xr:uid="{00000000-0005-0000-0000-0000AE260000}"/>
    <cellStyle name="40% - Accent6 5 6 3 2 4" xfId="12285" xr:uid="{00000000-0005-0000-0000-0000AF260000}"/>
    <cellStyle name="40% - Accent6 5 6 3 2 5" xfId="12286" xr:uid="{00000000-0005-0000-0000-0000B0260000}"/>
    <cellStyle name="40% - Accent6 5 6 3 3" xfId="12287" xr:uid="{00000000-0005-0000-0000-0000B1260000}"/>
    <cellStyle name="40% - Accent6 5 6 3 3 2" xfId="12288" xr:uid="{00000000-0005-0000-0000-0000B2260000}"/>
    <cellStyle name="40% - Accent6 5 6 3 3 2 2" xfId="12289" xr:uid="{00000000-0005-0000-0000-0000B3260000}"/>
    <cellStyle name="40% - Accent6 5 6 3 3 3" xfId="12290" xr:uid="{00000000-0005-0000-0000-0000B4260000}"/>
    <cellStyle name="40% - Accent6 5 6 3 4" xfId="12291" xr:uid="{00000000-0005-0000-0000-0000B5260000}"/>
    <cellStyle name="40% - Accent6 5 6 3 4 2" xfId="12292" xr:uid="{00000000-0005-0000-0000-0000B6260000}"/>
    <cellStyle name="40% - Accent6 5 6 3 5" xfId="12293" xr:uid="{00000000-0005-0000-0000-0000B7260000}"/>
    <cellStyle name="40% - Accent6 5 6 3 5 2" xfId="12294" xr:uid="{00000000-0005-0000-0000-0000B8260000}"/>
    <cellStyle name="40% - Accent6 5 6 3 6" xfId="12295" xr:uid="{00000000-0005-0000-0000-0000B9260000}"/>
    <cellStyle name="40% - Accent6 5 6 4" xfId="12296" xr:uid="{00000000-0005-0000-0000-0000BA260000}"/>
    <cellStyle name="40% - Accent6 5 6 4 2" xfId="12297" xr:uid="{00000000-0005-0000-0000-0000BB260000}"/>
    <cellStyle name="40% - Accent6 5 6 4 2 2" xfId="12298" xr:uid="{00000000-0005-0000-0000-0000BC260000}"/>
    <cellStyle name="40% - Accent6 5 6 4 3" xfId="12299" xr:uid="{00000000-0005-0000-0000-0000BD260000}"/>
    <cellStyle name="40% - Accent6 5 6 4 3 2" xfId="12300" xr:uid="{00000000-0005-0000-0000-0000BE260000}"/>
    <cellStyle name="40% - Accent6 5 6 4 4" xfId="12301" xr:uid="{00000000-0005-0000-0000-0000BF260000}"/>
    <cellStyle name="40% - Accent6 5 6 5" xfId="12302" xr:uid="{00000000-0005-0000-0000-0000C0260000}"/>
    <cellStyle name="40% - Accent6 5 6 5 2" xfId="12303" xr:uid="{00000000-0005-0000-0000-0000C1260000}"/>
    <cellStyle name="40% - Accent6 5 6 5 3" xfId="12304" xr:uid="{00000000-0005-0000-0000-0000C2260000}"/>
    <cellStyle name="40% - Accent6 5 6 6" xfId="12305" xr:uid="{00000000-0005-0000-0000-0000C3260000}"/>
    <cellStyle name="40% - Accent6 5 6 6 2" xfId="12306" xr:uid="{00000000-0005-0000-0000-0000C4260000}"/>
    <cellStyle name="40% - Accent6 5 6 6 3" xfId="12307" xr:uid="{00000000-0005-0000-0000-0000C5260000}"/>
    <cellStyle name="40% - Accent6 5 6 7" xfId="12308" xr:uid="{00000000-0005-0000-0000-0000C6260000}"/>
    <cellStyle name="40% - Accent6 5 6 7 2" xfId="12309" xr:uid="{00000000-0005-0000-0000-0000C7260000}"/>
    <cellStyle name="40% - Accent6 5 6 7 3" xfId="12310" xr:uid="{00000000-0005-0000-0000-0000C8260000}"/>
    <cellStyle name="40% - Accent6 5 6 8" xfId="12311" xr:uid="{00000000-0005-0000-0000-0000C9260000}"/>
    <cellStyle name="40% - Accent6 5 7" xfId="12312" xr:uid="{00000000-0005-0000-0000-0000CA260000}"/>
    <cellStyle name="40% - Accent6 5 7 2" xfId="12313" xr:uid="{00000000-0005-0000-0000-0000CB260000}"/>
    <cellStyle name="40% - Accent6 5 7 2 2" xfId="12314" xr:uid="{00000000-0005-0000-0000-0000CC260000}"/>
    <cellStyle name="40% - Accent6 5 7 2 2 2" xfId="12315" xr:uid="{00000000-0005-0000-0000-0000CD260000}"/>
    <cellStyle name="40% - Accent6 5 7 2 3" xfId="12316" xr:uid="{00000000-0005-0000-0000-0000CE260000}"/>
    <cellStyle name="40% - Accent6 5 7 2 3 2" xfId="12317" xr:uid="{00000000-0005-0000-0000-0000CF260000}"/>
    <cellStyle name="40% - Accent6 5 7 2 4" xfId="12318" xr:uid="{00000000-0005-0000-0000-0000D0260000}"/>
    <cellStyle name="40% - Accent6 5 7 2 4 2" xfId="12319" xr:uid="{00000000-0005-0000-0000-0000D1260000}"/>
    <cellStyle name="40% - Accent6 5 7 2 5" xfId="12320" xr:uid="{00000000-0005-0000-0000-0000D2260000}"/>
    <cellStyle name="40% - Accent6 5 7 3" xfId="12321" xr:uid="{00000000-0005-0000-0000-0000D3260000}"/>
    <cellStyle name="40% - Accent6 5 7 3 2" xfId="12322" xr:uid="{00000000-0005-0000-0000-0000D4260000}"/>
    <cellStyle name="40% - Accent6 5 7 3 2 2" xfId="12323" xr:uid="{00000000-0005-0000-0000-0000D5260000}"/>
    <cellStyle name="40% - Accent6 5 7 3 3" xfId="12324" xr:uid="{00000000-0005-0000-0000-0000D6260000}"/>
    <cellStyle name="40% - Accent6 5 7 3 3 2" xfId="12325" xr:uid="{00000000-0005-0000-0000-0000D7260000}"/>
    <cellStyle name="40% - Accent6 5 7 3 4" xfId="12326" xr:uid="{00000000-0005-0000-0000-0000D8260000}"/>
    <cellStyle name="40% - Accent6 5 7 4" xfId="12327" xr:uid="{00000000-0005-0000-0000-0000D9260000}"/>
    <cellStyle name="40% - Accent6 5 7 4 2" xfId="12328" xr:uid="{00000000-0005-0000-0000-0000DA260000}"/>
    <cellStyle name="40% - Accent6 5 7 5" xfId="12329" xr:uid="{00000000-0005-0000-0000-0000DB260000}"/>
    <cellStyle name="40% - Accent6 5 7 5 2" xfId="12330" xr:uid="{00000000-0005-0000-0000-0000DC260000}"/>
    <cellStyle name="40% - Accent6 5 7 6" xfId="12331" xr:uid="{00000000-0005-0000-0000-0000DD260000}"/>
    <cellStyle name="40% - Accent6 5 7 7" xfId="12332" xr:uid="{00000000-0005-0000-0000-0000DE260000}"/>
    <cellStyle name="40% - Accent6 5 8" xfId="12333" xr:uid="{00000000-0005-0000-0000-0000DF260000}"/>
    <cellStyle name="40% - Accent6 5 8 2" xfId="12334" xr:uid="{00000000-0005-0000-0000-0000E0260000}"/>
    <cellStyle name="40% - Accent6 5 8 2 2" xfId="12335" xr:uid="{00000000-0005-0000-0000-0000E1260000}"/>
    <cellStyle name="40% - Accent6 5 8 2 2 2" xfId="12336" xr:uid="{00000000-0005-0000-0000-0000E2260000}"/>
    <cellStyle name="40% - Accent6 5 8 2 3" xfId="12337" xr:uid="{00000000-0005-0000-0000-0000E3260000}"/>
    <cellStyle name="40% - Accent6 5 8 2 3 2" xfId="12338" xr:uid="{00000000-0005-0000-0000-0000E4260000}"/>
    <cellStyle name="40% - Accent6 5 8 2 4" xfId="12339" xr:uid="{00000000-0005-0000-0000-0000E5260000}"/>
    <cellStyle name="40% - Accent6 5 8 3" xfId="12340" xr:uid="{00000000-0005-0000-0000-0000E6260000}"/>
    <cellStyle name="40% - Accent6 5 8 3 2" xfId="12341" xr:uid="{00000000-0005-0000-0000-0000E7260000}"/>
    <cellStyle name="40% - Accent6 5 8 4" xfId="12342" xr:uid="{00000000-0005-0000-0000-0000E8260000}"/>
    <cellStyle name="40% - Accent6 5 9" xfId="12343" xr:uid="{00000000-0005-0000-0000-0000E9260000}"/>
    <cellStyle name="40% - Accent6 5 9 2" xfId="12344" xr:uid="{00000000-0005-0000-0000-0000EA260000}"/>
    <cellStyle name="40% - Accent6 6" xfId="2375" xr:uid="{00000000-0005-0000-0000-0000EB260000}"/>
    <cellStyle name="40% - Accent6 6 10" xfId="12345" xr:uid="{00000000-0005-0000-0000-0000EC260000}"/>
    <cellStyle name="40% - Accent6 6 2" xfId="2374" xr:uid="{00000000-0005-0000-0000-0000ED260000}"/>
    <cellStyle name="40% - Accent6 6 2 2" xfId="2373" xr:uid="{00000000-0005-0000-0000-0000EE260000}"/>
    <cellStyle name="40% - Accent6 6 2 2 2" xfId="2372" xr:uid="{00000000-0005-0000-0000-0000EF260000}"/>
    <cellStyle name="40% - Accent6 6 2 2 3" xfId="2371" xr:uid="{00000000-0005-0000-0000-0000F0260000}"/>
    <cellStyle name="40% - Accent6 6 2 3" xfId="2370" xr:uid="{00000000-0005-0000-0000-0000F1260000}"/>
    <cellStyle name="40% - Accent6 6 2 4" xfId="2369" xr:uid="{00000000-0005-0000-0000-0000F2260000}"/>
    <cellStyle name="40% - Accent6 6 2 5" xfId="12346" xr:uid="{00000000-0005-0000-0000-0000F3260000}"/>
    <cellStyle name="40% - Accent6 6 2 5 2" xfId="12347" xr:uid="{00000000-0005-0000-0000-0000F4260000}"/>
    <cellStyle name="40% - Accent6 6 2 5 2 2" xfId="12348" xr:uid="{00000000-0005-0000-0000-0000F5260000}"/>
    <cellStyle name="40% - Accent6 6 2 5 3" xfId="12349" xr:uid="{00000000-0005-0000-0000-0000F6260000}"/>
    <cellStyle name="40% - Accent6 6 2 5 3 2" xfId="12350" xr:uid="{00000000-0005-0000-0000-0000F7260000}"/>
    <cellStyle name="40% - Accent6 6 2 5 4" xfId="12351" xr:uid="{00000000-0005-0000-0000-0000F8260000}"/>
    <cellStyle name="40% - Accent6 6 2 5 5" xfId="12352" xr:uid="{00000000-0005-0000-0000-0000F9260000}"/>
    <cellStyle name="40% - Accent6 6 2 6" xfId="12353" xr:uid="{00000000-0005-0000-0000-0000FA260000}"/>
    <cellStyle name="40% - Accent6 6 2 6 2" xfId="12354" xr:uid="{00000000-0005-0000-0000-0000FB260000}"/>
    <cellStyle name="40% - Accent6 6 2 7" xfId="12355" xr:uid="{00000000-0005-0000-0000-0000FC260000}"/>
    <cellStyle name="40% - Accent6 6 2 7 2" xfId="12356" xr:uid="{00000000-0005-0000-0000-0000FD260000}"/>
    <cellStyle name="40% - Accent6 6 2 8" xfId="12357" xr:uid="{00000000-0005-0000-0000-0000FE260000}"/>
    <cellStyle name="40% - Accent6 6 2 8 2" xfId="12358" xr:uid="{00000000-0005-0000-0000-0000FF260000}"/>
    <cellStyle name="40% - Accent6 6 2 9" xfId="12359" xr:uid="{00000000-0005-0000-0000-000000270000}"/>
    <cellStyle name="40% - Accent6 6 3" xfId="2368" xr:uid="{00000000-0005-0000-0000-000001270000}"/>
    <cellStyle name="40% - Accent6 6 3 2" xfId="2367" xr:uid="{00000000-0005-0000-0000-000002270000}"/>
    <cellStyle name="40% - Accent6 6 3 3" xfId="2366" xr:uid="{00000000-0005-0000-0000-000003270000}"/>
    <cellStyle name="40% - Accent6 6 3 4" xfId="12360" xr:uid="{00000000-0005-0000-0000-000004270000}"/>
    <cellStyle name="40% - Accent6 6 3 4 2" xfId="12361" xr:uid="{00000000-0005-0000-0000-000005270000}"/>
    <cellStyle name="40% - Accent6 6 3 5" xfId="12362" xr:uid="{00000000-0005-0000-0000-000006270000}"/>
    <cellStyle name="40% - Accent6 6 3 5 2" xfId="12363" xr:uid="{00000000-0005-0000-0000-000007270000}"/>
    <cellStyle name="40% - Accent6 6 4" xfId="2365" xr:uid="{00000000-0005-0000-0000-000008270000}"/>
    <cellStyle name="40% - Accent6 6 4 2" xfId="2364" xr:uid="{00000000-0005-0000-0000-000009270000}"/>
    <cellStyle name="40% - Accent6 6 4 2 2" xfId="12364" xr:uid="{00000000-0005-0000-0000-00000A270000}"/>
    <cellStyle name="40% - Accent6 6 4 2 2 2" xfId="12365" xr:uid="{00000000-0005-0000-0000-00000B270000}"/>
    <cellStyle name="40% - Accent6 6 4 2 2 2 2" xfId="12366" xr:uid="{00000000-0005-0000-0000-00000C270000}"/>
    <cellStyle name="40% - Accent6 6 4 2 2 3" xfId="12367" xr:uid="{00000000-0005-0000-0000-00000D270000}"/>
    <cellStyle name="40% - Accent6 6 4 2 2 3 2" xfId="12368" xr:uid="{00000000-0005-0000-0000-00000E270000}"/>
    <cellStyle name="40% - Accent6 6 4 2 2 4" xfId="12369" xr:uid="{00000000-0005-0000-0000-00000F270000}"/>
    <cellStyle name="40% - Accent6 6 4 2 2 5" xfId="12370" xr:uid="{00000000-0005-0000-0000-000010270000}"/>
    <cellStyle name="40% - Accent6 6 4 2 3" xfId="12371" xr:uid="{00000000-0005-0000-0000-000011270000}"/>
    <cellStyle name="40% - Accent6 6 4 2 3 2" xfId="12372" xr:uid="{00000000-0005-0000-0000-000012270000}"/>
    <cellStyle name="40% - Accent6 6 4 2 3 2 2" xfId="12373" xr:uid="{00000000-0005-0000-0000-000013270000}"/>
    <cellStyle name="40% - Accent6 6 4 2 3 3" xfId="12374" xr:uid="{00000000-0005-0000-0000-000014270000}"/>
    <cellStyle name="40% - Accent6 6 4 2 4" xfId="12375" xr:uid="{00000000-0005-0000-0000-000015270000}"/>
    <cellStyle name="40% - Accent6 6 4 2 4 2" xfId="12376" xr:uid="{00000000-0005-0000-0000-000016270000}"/>
    <cellStyle name="40% - Accent6 6 4 2 5" xfId="12377" xr:uid="{00000000-0005-0000-0000-000017270000}"/>
    <cellStyle name="40% - Accent6 6 4 2 5 2" xfId="12378" xr:uid="{00000000-0005-0000-0000-000018270000}"/>
    <cellStyle name="40% - Accent6 6 4 2 6" xfId="12379" xr:uid="{00000000-0005-0000-0000-000019270000}"/>
    <cellStyle name="40% - Accent6 6 4 3" xfId="2363" xr:uid="{00000000-0005-0000-0000-00001A270000}"/>
    <cellStyle name="40% - Accent6 6 4 3 2" xfId="12380" xr:uid="{00000000-0005-0000-0000-00001B270000}"/>
    <cellStyle name="40% - Accent6 6 4 3 2 2" xfId="12381" xr:uid="{00000000-0005-0000-0000-00001C270000}"/>
    <cellStyle name="40% - Accent6 6 4 3 3" xfId="12382" xr:uid="{00000000-0005-0000-0000-00001D270000}"/>
    <cellStyle name="40% - Accent6 6 4 3 3 2" xfId="12383" xr:uid="{00000000-0005-0000-0000-00001E270000}"/>
    <cellStyle name="40% - Accent6 6 4 3 4" xfId="12384" xr:uid="{00000000-0005-0000-0000-00001F270000}"/>
    <cellStyle name="40% - Accent6 6 4 4" xfId="12385" xr:uid="{00000000-0005-0000-0000-000020270000}"/>
    <cellStyle name="40% - Accent6 6 4 4 2" xfId="12386" xr:uid="{00000000-0005-0000-0000-000021270000}"/>
    <cellStyle name="40% - Accent6 6 4 4 3" xfId="12387" xr:uid="{00000000-0005-0000-0000-000022270000}"/>
    <cellStyle name="40% - Accent6 6 4 5" xfId="12388" xr:uid="{00000000-0005-0000-0000-000023270000}"/>
    <cellStyle name="40% - Accent6 6 4 5 2" xfId="12389" xr:uid="{00000000-0005-0000-0000-000024270000}"/>
    <cellStyle name="40% - Accent6 6 4 5 3" xfId="12390" xr:uid="{00000000-0005-0000-0000-000025270000}"/>
    <cellStyle name="40% - Accent6 6 4 6" xfId="12391" xr:uid="{00000000-0005-0000-0000-000026270000}"/>
    <cellStyle name="40% - Accent6 6 4 6 2" xfId="12392" xr:uid="{00000000-0005-0000-0000-000027270000}"/>
    <cellStyle name="40% - Accent6 6 4 6 3" xfId="12393" xr:uid="{00000000-0005-0000-0000-000028270000}"/>
    <cellStyle name="40% - Accent6 6 4 7" xfId="12394" xr:uid="{00000000-0005-0000-0000-000029270000}"/>
    <cellStyle name="40% - Accent6 6 4 8" xfId="12395" xr:uid="{00000000-0005-0000-0000-00002A270000}"/>
    <cellStyle name="40% - Accent6 6 5" xfId="2362" xr:uid="{00000000-0005-0000-0000-00002B270000}"/>
    <cellStyle name="40% - Accent6 6 5 2" xfId="12396" xr:uid="{00000000-0005-0000-0000-00002C270000}"/>
    <cellStyle name="40% - Accent6 6 5 2 2" xfId="12397" xr:uid="{00000000-0005-0000-0000-00002D270000}"/>
    <cellStyle name="40% - Accent6 6 5 2 2 2" xfId="12398" xr:uid="{00000000-0005-0000-0000-00002E270000}"/>
    <cellStyle name="40% - Accent6 6 5 2 3" xfId="12399" xr:uid="{00000000-0005-0000-0000-00002F270000}"/>
    <cellStyle name="40% - Accent6 6 5 2 3 2" xfId="12400" xr:uid="{00000000-0005-0000-0000-000030270000}"/>
    <cellStyle name="40% - Accent6 6 5 2 4" xfId="12401" xr:uid="{00000000-0005-0000-0000-000031270000}"/>
    <cellStyle name="40% - Accent6 6 5 3" xfId="12402" xr:uid="{00000000-0005-0000-0000-000032270000}"/>
    <cellStyle name="40% - Accent6 6 5 3 2" xfId="12403" xr:uid="{00000000-0005-0000-0000-000033270000}"/>
    <cellStyle name="40% - Accent6 6 5 3 3" xfId="12404" xr:uid="{00000000-0005-0000-0000-000034270000}"/>
    <cellStyle name="40% - Accent6 6 5 4" xfId="12405" xr:uid="{00000000-0005-0000-0000-000035270000}"/>
    <cellStyle name="40% - Accent6 6 5 4 2" xfId="12406" xr:uid="{00000000-0005-0000-0000-000036270000}"/>
    <cellStyle name="40% - Accent6 6 5 4 3" xfId="12407" xr:uid="{00000000-0005-0000-0000-000037270000}"/>
    <cellStyle name="40% - Accent6 6 5 5" xfId="12408" xr:uid="{00000000-0005-0000-0000-000038270000}"/>
    <cellStyle name="40% - Accent6 6 5 5 2" xfId="12409" xr:uid="{00000000-0005-0000-0000-000039270000}"/>
    <cellStyle name="40% - Accent6 6 5 5 3" xfId="12410" xr:uid="{00000000-0005-0000-0000-00003A270000}"/>
    <cellStyle name="40% - Accent6 6 5 6" xfId="12411" xr:uid="{00000000-0005-0000-0000-00003B270000}"/>
    <cellStyle name="40% - Accent6 6 6" xfId="2361" xr:uid="{00000000-0005-0000-0000-00003C270000}"/>
    <cellStyle name="40% - Accent6 6 7" xfId="12412" xr:uid="{00000000-0005-0000-0000-00003D270000}"/>
    <cellStyle name="40% - Accent6 6 7 2" xfId="12413" xr:uid="{00000000-0005-0000-0000-00003E270000}"/>
    <cellStyle name="40% - Accent6 6 7 2 2" xfId="12414" xr:uid="{00000000-0005-0000-0000-00003F270000}"/>
    <cellStyle name="40% - Accent6 6 7 3" xfId="12415" xr:uid="{00000000-0005-0000-0000-000040270000}"/>
    <cellStyle name="40% - Accent6 6 7 3 2" xfId="12416" xr:uid="{00000000-0005-0000-0000-000041270000}"/>
    <cellStyle name="40% - Accent6 6 7 4" xfId="12417" xr:uid="{00000000-0005-0000-0000-000042270000}"/>
    <cellStyle name="40% - Accent6 6 7 5" xfId="12418" xr:uid="{00000000-0005-0000-0000-000043270000}"/>
    <cellStyle name="40% - Accent6 6 8" xfId="12419" xr:uid="{00000000-0005-0000-0000-000044270000}"/>
    <cellStyle name="40% - Accent6 6 8 2" xfId="12420" xr:uid="{00000000-0005-0000-0000-000045270000}"/>
    <cellStyle name="40% - Accent6 6 8 2 2" xfId="12421" xr:uid="{00000000-0005-0000-0000-000046270000}"/>
    <cellStyle name="40% - Accent6 6 8 3" xfId="12422" xr:uid="{00000000-0005-0000-0000-000047270000}"/>
    <cellStyle name="40% - Accent6 6 9" xfId="12423" xr:uid="{00000000-0005-0000-0000-000048270000}"/>
    <cellStyle name="40% - Accent6 6 9 2" xfId="12424" xr:uid="{00000000-0005-0000-0000-000049270000}"/>
    <cellStyle name="40% - Accent6 7" xfId="2360" xr:uid="{00000000-0005-0000-0000-00004A270000}"/>
    <cellStyle name="40% - Accent6 7 2" xfId="2359" xr:uid="{00000000-0005-0000-0000-00004B270000}"/>
    <cellStyle name="40% - Accent6 7 2 2" xfId="2358" xr:uid="{00000000-0005-0000-0000-00004C270000}"/>
    <cellStyle name="40% - Accent6 7 2 2 2" xfId="2357" xr:uid="{00000000-0005-0000-0000-00004D270000}"/>
    <cellStyle name="40% - Accent6 7 2 2 2 2" xfId="12425" xr:uid="{00000000-0005-0000-0000-00004E270000}"/>
    <cellStyle name="40% - Accent6 7 2 2 3" xfId="2356" xr:uid="{00000000-0005-0000-0000-00004F270000}"/>
    <cellStyle name="40% - Accent6 7 2 2 3 2" xfId="12426" xr:uid="{00000000-0005-0000-0000-000050270000}"/>
    <cellStyle name="40% - Accent6 7 2 2 4" xfId="12427" xr:uid="{00000000-0005-0000-0000-000051270000}"/>
    <cellStyle name="40% - Accent6 7 2 3" xfId="2355" xr:uid="{00000000-0005-0000-0000-000052270000}"/>
    <cellStyle name="40% - Accent6 7 2 3 2" xfId="12428" xr:uid="{00000000-0005-0000-0000-000053270000}"/>
    <cellStyle name="40% - Accent6 7 2 3 2 2" xfId="12429" xr:uid="{00000000-0005-0000-0000-000054270000}"/>
    <cellStyle name="40% - Accent6 7 2 3 3" xfId="12430" xr:uid="{00000000-0005-0000-0000-000055270000}"/>
    <cellStyle name="40% - Accent6 7 2 4" xfId="2354" xr:uid="{00000000-0005-0000-0000-000056270000}"/>
    <cellStyle name="40% - Accent6 7 2 4 2" xfId="12431" xr:uid="{00000000-0005-0000-0000-000057270000}"/>
    <cellStyle name="40% - Accent6 7 2 4 2 2" xfId="12432" xr:uid="{00000000-0005-0000-0000-000058270000}"/>
    <cellStyle name="40% - Accent6 7 2 4 3" xfId="12433" xr:uid="{00000000-0005-0000-0000-000059270000}"/>
    <cellStyle name="40% - Accent6 7 2 4 3 2" xfId="12434" xr:uid="{00000000-0005-0000-0000-00005A270000}"/>
    <cellStyle name="40% - Accent6 7 2 4 4" xfId="12435" xr:uid="{00000000-0005-0000-0000-00005B270000}"/>
    <cellStyle name="40% - Accent6 7 2 5" xfId="12436" xr:uid="{00000000-0005-0000-0000-00005C270000}"/>
    <cellStyle name="40% - Accent6 7 2 5 2" xfId="12437" xr:uid="{00000000-0005-0000-0000-00005D270000}"/>
    <cellStyle name="40% - Accent6 7 2 5 2 2" xfId="12438" xr:uid="{00000000-0005-0000-0000-00005E270000}"/>
    <cellStyle name="40% - Accent6 7 2 6" xfId="12439" xr:uid="{00000000-0005-0000-0000-00005F270000}"/>
    <cellStyle name="40% - Accent6 7 3" xfId="2353" xr:uid="{00000000-0005-0000-0000-000060270000}"/>
    <cellStyle name="40% - Accent6 7 3 2" xfId="2352" xr:uid="{00000000-0005-0000-0000-000061270000}"/>
    <cellStyle name="40% - Accent6 7 3 2 2" xfId="12440" xr:uid="{00000000-0005-0000-0000-000062270000}"/>
    <cellStyle name="40% - Accent6 7 3 2 2 2" xfId="12441" xr:uid="{00000000-0005-0000-0000-000063270000}"/>
    <cellStyle name="40% - Accent6 7 3 2 3" xfId="12442" xr:uid="{00000000-0005-0000-0000-000064270000}"/>
    <cellStyle name="40% - Accent6 7 3 2 3 2" xfId="12443" xr:uid="{00000000-0005-0000-0000-000065270000}"/>
    <cellStyle name="40% - Accent6 7 3 2 4" xfId="12444" xr:uid="{00000000-0005-0000-0000-000066270000}"/>
    <cellStyle name="40% - Accent6 7 3 3" xfId="2351" xr:uid="{00000000-0005-0000-0000-000067270000}"/>
    <cellStyle name="40% - Accent6 7 3 3 2" xfId="12445" xr:uid="{00000000-0005-0000-0000-000068270000}"/>
    <cellStyle name="40% - Accent6 7 3 3 2 2" xfId="12446" xr:uid="{00000000-0005-0000-0000-000069270000}"/>
    <cellStyle name="40% - Accent6 7 3 3 3" xfId="12447" xr:uid="{00000000-0005-0000-0000-00006A270000}"/>
    <cellStyle name="40% - Accent6 7 3 3 3 2" xfId="12448" xr:uid="{00000000-0005-0000-0000-00006B270000}"/>
    <cellStyle name="40% - Accent6 7 3 3 4" xfId="12449" xr:uid="{00000000-0005-0000-0000-00006C270000}"/>
    <cellStyle name="40% - Accent6 7 3 4" xfId="12450" xr:uid="{00000000-0005-0000-0000-00006D270000}"/>
    <cellStyle name="40% - Accent6 7 4" xfId="2350" xr:uid="{00000000-0005-0000-0000-00006E270000}"/>
    <cellStyle name="40% - Accent6 7 4 2" xfId="2349" xr:uid="{00000000-0005-0000-0000-00006F270000}"/>
    <cellStyle name="40% - Accent6 7 4 2 2" xfId="12451" xr:uid="{00000000-0005-0000-0000-000070270000}"/>
    <cellStyle name="40% - Accent6 7 4 3" xfId="2348" xr:uid="{00000000-0005-0000-0000-000071270000}"/>
    <cellStyle name="40% - Accent6 7 4 3 2" xfId="12452" xr:uid="{00000000-0005-0000-0000-000072270000}"/>
    <cellStyle name="40% - Accent6 7 4 4" xfId="12453" xr:uid="{00000000-0005-0000-0000-000073270000}"/>
    <cellStyle name="40% - Accent6 7 4 4 2" xfId="12454" xr:uid="{00000000-0005-0000-0000-000074270000}"/>
    <cellStyle name="40% - Accent6 7 4 5" xfId="12455" xr:uid="{00000000-0005-0000-0000-000075270000}"/>
    <cellStyle name="40% - Accent6 7 5" xfId="2347" xr:uid="{00000000-0005-0000-0000-000076270000}"/>
    <cellStyle name="40% - Accent6 7 5 2" xfId="12456" xr:uid="{00000000-0005-0000-0000-000077270000}"/>
    <cellStyle name="40% - Accent6 7 5 2 2" xfId="12457" xr:uid="{00000000-0005-0000-0000-000078270000}"/>
    <cellStyle name="40% - Accent6 7 5 2 2 2" xfId="12458" xr:uid="{00000000-0005-0000-0000-000079270000}"/>
    <cellStyle name="40% - Accent6 7 5 3" xfId="12459" xr:uid="{00000000-0005-0000-0000-00007A270000}"/>
    <cellStyle name="40% - Accent6 7 5 3 2" xfId="12460" xr:uid="{00000000-0005-0000-0000-00007B270000}"/>
    <cellStyle name="40% - Accent6 7 5 4" xfId="12461" xr:uid="{00000000-0005-0000-0000-00007C270000}"/>
    <cellStyle name="40% - Accent6 7 6" xfId="2346" xr:uid="{00000000-0005-0000-0000-00007D270000}"/>
    <cellStyle name="40% - Accent6 7 6 2" xfId="12462" xr:uid="{00000000-0005-0000-0000-00007E270000}"/>
    <cellStyle name="40% - Accent6 7 7" xfId="12463" xr:uid="{00000000-0005-0000-0000-00007F270000}"/>
    <cellStyle name="40% - Accent6 7 7 2" xfId="12464" xr:uid="{00000000-0005-0000-0000-000080270000}"/>
    <cellStyle name="40% - Accent6 7 8" xfId="12465" xr:uid="{00000000-0005-0000-0000-000081270000}"/>
    <cellStyle name="40% - Accent6 7 8 2" xfId="12466" xr:uid="{00000000-0005-0000-0000-000082270000}"/>
    <cellStyle name="40% - Accent6 7 9" xfId="12467" xr:uid="{00000000-0005-0000-0000-000083270000}"/>
    <cellStyle name="40% - Accent6 8" xfId="2345" xr:uid="{00000000-0005-0000-0000-000084270000}"/>
    <cellStyle name="40% - Accent6 8 2" xfId="2344" xr:uid="{00000000-0005-0000-0000-000085270000}"/>
    <cellStyle name="40% - Accent6 8 2 2" xfId="2343" xr:uid="{00000000-0005-0000-0000-000086270000}"/>
    <cellStyle name="40% - Accent6 8 2 2 2" xfId="2342" xr:uid="{00000000-0005-0000-0000-000087270000}"/>
    <cellStyle name="40% - Accent6 8 2 2 2 2" xfId="12468" xr:uid="{00000000-0005-0000-0000-000088270000}"/>
    <cellStyle name="40% - Accent6 8 2 2 3" xfId="2341" xr:uid="{00000000-0005-0000-0000-000089270000}"/>
    <cellStyle name="40% - Accent6 8 2 2 3 2" xfId="12469" xr:uid="{00000000-0005-0000-0000-00008A270000}"/>
    <cellStyle name="40% - Accent6 8 2 2 4" xfId="12470" xr:uid="{00000000-0005-0000-0000-00008B270000}"/>
    <cellStyle name="40% - Accent6 8 2 3" xfId="2340" xr:uid="{00000000-0005-0000-0000-00008C270000}"/>
    <cellStyle name="40% - Accent6 8 2 3 2" xfId="12471" xr:uid="{00000000-0005-0000-0000-00008D270000}"/>
    <cellStyle name="40% - Accent6 8 2 3 2 2" xfId="12472" xr:uid="{00000000-0005-0000-0000-00008E270000}"/>
    <cellStyle name="40% - Accent6 8 2 3 3" xfId="12473" xr:uid="{00000000-0005-0000-0000-00008F270000}"/>
    <cellStyle name="40% - Accent6 8 2 4" xfId="2339" xr:uid="{00000000-0005-0000-0000-000090270000}"/>
    <cellStyle name="40% - Accent6 8 2 4 2" xfId="12474" xr:uid="{00000000-0005-0000-0000-000091270000}"/>
    <cellStyle name="40% - Accent6 8 2 4 2 2" xfId="12475" xr:uid="{00000000-0005-0000-0000-000092270000}"/>
    <cellStyle name="40% - Accent6 8 2 4 3" xfId="12476" xr:uid="{00000000-0005-0000-0000-000093270000}"/>
    <cellStyle name="40% - Accent6 8 2 4 3 2" xfId="12477" xr:uid="{00000000-0005-0000-0000-000094270000}"/>
    <cellStyle name="40% - Accent6 8 2 4 4" xfId="12478" xr:uid="{00000000-0005-0000-0000-000095270000}"/>
    <cellStyle name="40% - Accent6 8 2 5" xfId="12479" xr:uid="{00000000-0005-0000-0000-000096270000}"/>
    <cellStyle name="40% - Accent6 8 2 5 2" xfId="12480" xr:uid="{00000000-0005-0000-0000-000097270000}"/>
    <cellStyle name="40% - Accent6 8 2 6" xfId="12481" xr:uid="{00000000-0005-0000-0000-000098270000}"/>
    <cellStyle name="40% - Accent6 8 3" xfId="2338" xr:uid="{00000000-0005-0000-0000-000099270000}"/>
    <cellStyle name="40% - Accent6 8 3 2" xfId="2337" xr:uid="{00000000-0005-0000-0000-00009A270000}"/>
    <cellStyle name="40% - Accent6 8 3 2 2" xfId="12482" xr:uid="{00000000-0005-0000-0000-00009B270000}"/>
    <cellStyle name="40% - Accent6 8 3 2 2 2" xfId="12483" xr:uid="{00000000-0005-0000-0000-00009C270000}"/>
    <cellStyle name="40% - Accent6 8 3 2 3" xfId="12484" xr:uid="{00000000-0005-0000-0000-00009D270000}"/>
    <cellStyle name="40% - Accent6 8 3 2 3 2" xfId="12485" xr:uid="{00000000-0005-0000-0000-00009E270000}"/>
    <cellStyle name="40% - Accent6 8 3 2 4" xfId="12486" xr:uid="{00000000-0005-0000-0000-00009F270000}"/>
    <cellStyle name="40% - Accent6 8 3 3" xfId="2336" xr:uid="{00000000-0005-0000-0000-0000A0270000}"/>
    <cellStyle name="40% - Accent6 8 3 3 2" xfId="12487" xr:uid="{00000000-0005-0000-0000-0000A1270000}"/>
    <cellStyle name="40% - Accent6 8 3 3 2 2" xfId="12488" xr:uid="{00000000-0005-0000-0000-0000A2270000}"/>
    <cellStyle name="40% - Accent6 8 3 3 3" xfId="12489" xr:uid="{00000000-0005-0000-0000-0000A3270000}"/>
    <cellStyle name="40% - Accent6 8 3 3 3 2" xfId="12490" xr:uid="{00000000-0005-0000-0000-0000A4270000}"/>
    <cellStyle name="40% - Accent6 8 3 3 4" xfId="12491" xr:uid="{00000000-0005-0000-0000-0000A5270000}"/>
    <cellStyle name="40% - Accent6 8 3 4" xfId="12492" xr:uid="{00000000-0005-0000-0000-0000A6270000}"/>
    <cellStyle name="40% - Accent6 8 3 4 2" xfId="12493" xr:uid="{00000000-0005-0000-0000-0000A7270000}"/>
    <cellStyle name="40% - Accent6 8 3 5" xfId="12494" xr:uid="{00000000-0005-0000-0000-0000A8270000}"/>
    <cellStyle name="40% - Accent6 8 3 5 2" xfId="12495" xr:uid="{00000000-0005-0000-0000-0000A9270000}"/>
    <cellStyle name="40% - Accent6 8 3 6" xfId="12496" xr:uid="{00000000-0005-0000-0000-0000AA270000}"/>
    <cellStyle name="40% - Accent6 8 4" xfId="2335" xr:uid="{00000000-0005-0000-0000-0000AB270000}"/>
    <cellStyle name="40% - Accent6 8 4 2" xfId="2334" xr:uid="{00000000-0005-0000-0000-0000AC270000}"/>
    <cellStyle name="40% - Accent6 8 4 2 2" xfId="12497" xr:uid="{00000000-0005-0000-0000-0000AD270000}"/>
    <cellStyle name="40% - Accent6 8 4 3" xfId="2333" xr:uid="{00000000-0005-0000-0000-0000AE270000}"/>
    <cellStyle name="40% - Accent6 8 5" xfId="2332" xr:uid="{00000000-0005-0000-0000-0000AF270000}"/>
    <cellStyle name="40% - Accent6 8 5 2" xfId="12498" xr:uid="{00000000-0005-0000-0000-0000B0270000}"/>
    <cellStyle name="40% - Accent6 8 6" xfId="2331" xr:uid="{00000000-0005-0000-0000-0000B1270000}"/>
    <cellStyle name="40% - Accent6 8 6 2" xfId="12499" xr:uid="{00000000-0005-0000-0000-0000B2270000}"/>
    <cellStyle name="40% - Accent6 8 7" xfId="12500" xr:uid="{00000000-0005-0000-0000-0000B3270000}"/>
    <cellStyle name="40% - Accent6 9" xfId="2330" xr:uid="{00000000-0005-0000-0000-0000B4270000}"/>
    <cellStyle name="40% - Accent6 9 2" xfId="2329" xr:uid="{00000000-0005-0000-0000-0000B5270000}"/>
    <cellStyle name="40% - Accent6 9 2 2" xfId="2328" xr:uid="{00000000-0005-0000-0000-0000B6270000}"/>
    <cellStyle name="40% - Accent6 9 2 2 2" xfId="2327" xr:uid="{00000000-0005-0000-0000-0000B7270000}"/>
    <cellStyle name="40% - Accent6 9 2 2 3" xfId="2326" xr:uid="{00000000-0005-0000-0000-0000B8270000}"/>
    <cellStyle name="40% - Accent6 9 2 3" xfId="2325" xr:uid="{00000000-0005-0000-0000-0000B9270000}"/>
    <cellStyle name="40% - Accent6 9 2 3 2" xfId="12501" xr:uid="{00000000-0005-0000-0000-0000BA270000}"/>
    <cellStyle name="40% - Accent6 9 2 4" xfId="2324" xr:uid="{00000000-0005-0000-0000-0000BB270000}"/>
    <cellStyle name="40% - Accent6 9 2 4 2" xfId="12502" xr:uid="{00000000-0005-0000-0000-0000BC270000}"/>
    <cellStyle name="40% - Accent6 9 2 5" xfId="12503" xr:uid="{00000000-0005-0000-0000-0000BD270000}"/>
    <cellStyle name="40% - Accent6 9 3" xfId="2323" xr:uid="{00000000-0005-0000-0000-0000BE270000}"/>
    <cellStyle name="40% - Accent6 9 3 2" xfId="2322" xr:uid="{00000000-0005-0000-0000-0000BF270000}"/>
    <cellStyle name="40% - Accent6 9 3 2 2" xfId="12504" xr:uid="{00000000-0005-0000-0000-0000C0270000}"/>
    <cellStyle name="40% - Accent6 9 3 3" xfId="2321" xr:uid="{00000000-0005-0000-0000-0000C1270000}"/>
    <cellStyle name="40% - Accent6 9 3 3 2" xfId="12505" xr:uid="{00000000-0005-0000-0000-0000C2270000}"/>
    <cellStyle name="40% - Accent6 9 3 4" xfId="12506" xr:uid="{00000000-0005-0000-0000-0000C3270000}"/>
    <cellStyle name="40% - Accent6 9 4" xfId="2320" xr:uid="{00000000-0005-0000-0000-0000C4270000}"/>
    <cellStyle name="40% - Accent6 9 4 2" xfId="2319" xr:uid="{00000000-0005-0000-0000-0000C5270000}"/>
    <cellStyle name="40% - Accent6 9 4 2 2" xfId="12507" xr:uid="{00000000-0005-0000-0000-0000C6270000}"/>
    <cellStyle name="40% - Accent6 9 4 3" xfId="2318" xr:uid="{00000000-0005-0000-0000-0000C7270000}"/>
    <cellStyle name="40% - Accent6 9 5" xfId="2317" xr:uid="{00000000-0005-0000-0000-0000C8270000}"/>
    <cellStyle name="40% - Accent6 9 5 2" xfId="12508" xr:uid="{00000000-0005-0000-0000-0000C9270000}"/>
    <cellStyle name="40% - Accent6 9 6" xfId="2316" xr:uid="{00000000-0005-0000-0000-0000CA270000}"/>
    <cellStyle name="40% - Accent6 9 7" xfId="12509" xr:uid="{00000000-0005-0000-0000-0000CB270000}"/>
    <cellStyle name="60% - Accent1 10" xfId="2315" xr:uid="{00000000-0005-0000-0000-0000CC270000}"/>
    <cellStyle name="60% - Accent1 11" xfId="2314" xr:uid="{00000000-0005-0000-0000-0000CD270000}"/>
    <cellStyle name="60% - Accent1 2" xfId="2313" xr:uid="{00000000-0005-0000-0000-0000CE270000}"/>
    <cellStyle name="60% - Accent1 2 2" xfId="2312" xr:uid="{00000000-0005-0000-0000-0000CF270000}"/>
    <cellStyle name="60% - Accent1 2 2 2" xfId="12510" xr:uid="{00000000-0005-0000-0000-0000D0270000}"/>
    <cellStyle name="60% - Accent1 2 2 3" xfId="12511" xr:uid="{00000000-0005-0000-0000-0000D1270000}"/>
    <cellStyle name="60% - Accent1 2 2 4" xfId="12512" xr:uid="{00000000-0005-0000-0000-0000D2270000}"/>
    <cellStyle name="60% - Accent1 2 3" xfId="12513" xr:uid="{00000000-0005-0000-0000-0000D3270000}"/>
    <cellStyle name="60% - Accent1 2 3 2" xfId="12514" xr:uid="{00000000-0005-0000-0000-0000D4270000}"/>
    <cellStyle name="60% - Accent1 2 3 3" xfId="12515" xr:uid="{00000000-0005-0000-0000-0000D5270000}"/>
    <cellStyle name="60% - Accent1 2 4" xfId="12516" xr:uid="{00000000-0005-0000-0000-0000D6270000}"/>
    <cellStyle name="60% - Accent1 2 4 2" xfId="12517" xr:uid="{00000000-0005-0000-0000-0000D7270000}"/>
    <cellStyle name="60% - Accent1 2 4 3" xfId="12518" xr:uid="{00000000-0005-0000-0000-0000D8270000}"/>
    <cellStyle name="60% - Accent1 2 5" xfId="12519" xr:uid="{00000000-0005-0000-0000-0000D9270000}"/>
    <cellStyle name="60% - Accent1 2 6" xfId="12520" xr:uid="{00000000-0005-0000-0000-0000DA270000}"/>
    <cellStyle name="60% - Accent1 3" xfId="2311" xr:uid="{00000000-0005-0000-0000-0000DB270000}"/>
    <cellStyle name="60% - Accent1 3 2" xfId="12521" xr:uid="{00000000-0005-0000-0000-0000DC270000}"/>
    <cellStyle name="60% - Accent1 3 2 2" xfId="12522" xr:uid="{00000000-0005-0000-0000-0000DD270000}"/>
    <cellStyle name="60% - Accent1 3 2 3" xfId="12523" xr:uid="{00000000-0005-0000-0000-0000DE270000}"/>
    <cellStyle name="60% - Accent1 3 3" xfId="12524" xr:uid="{00000000-0005-0000-0000-0000DF270000}"/>
    <cellStyle name="60% - Accent1 3 4" xfId="12525" xr:uid="{00000000-0005-0000-0000-0000E0270000}"/>
    <cellStyle name="60% - Accent1 3 5" xfId="12526" xr:uid="{00000000-0005-0000-0000-0000E1270000}"/>
    <cellStyle name="60% - Accent1 4" xfId="2310" xr:uid="{00000000-0005-0000-0000-0000E2270000}"/>
    <cellStyle name="60% - Accent1 4 2" xfId="12527" xr:uid="{00000000-0005-0000-0000-0000E3270000}"/>
    <cellStyle name="60% - Accent1 4 3" xfId="12528" xr:uid="{00000000-0005-0000-0000-0000E4270000}"/>
    <cellStyle name="60% - Accent1 5" xfId="2309" xr:uid="{00000000-0005-0000-0000-0000E5270000}"/>
    <cellStyle name="60% - Accent1 5 2" xfId="12529" xr:uid="{00000000-0005-0000-0000-0000E6270000}"/>
    <cellStyle name="60% - Accent1 5 3" xfId="12530" xr:uid="{00000000-0005-0000-0000-0000E7270000}"/>
    <cellStyle name="60% - Accent1 6" xfId="2308" xr:uid="{00000000-0005-0000-0000-0000E8270000}"/>
    <cellStyle name="60% - Accent1 6 2" xfId="12531" xr:uid="{00000000-0005-0000-0000-0000E9270000}"/>
    <cellStyle name="60% - Accent1 6 3" xfId="12532" xr:uid="{00000000-0005-0000-0000-0000EA270000}"/>
    <cellStyle name="60% - Accent1 6 4" xfId="12533" xr:uid="{00000000-0005-0000-0000-0000EB270000}"/>
    <cellStyle name="60% - Accent1 7" xfId="2307" xr:uid="{00000000-0005-0000-0000-0000EC270000}"/>
    <cellStyle name="60% - Accent1 8" xfId="2306" xr:uid="{00000000-0005-0000-0000-0000ED270000}"/>
    <cellStyle name="60% - Accent1 9" xfId="2305" xr:uid="{00000000-0005-0000-0000-0000EE270000}"/>
    <cellStyle name="60% - Accent2 10" xfId="2304" xr:uid="{00000000-0005-0000-0000-0000EF270000}"/>
    <cellStyle name="60% - Accent2 11" xfId="2303" xr:uid="{00000000-0005-0000-0000-0000F0270000}"/>
    <cellStyle name="60% - Accent2 2" xfId="2302" xr:uid="{00000000-0005-0000-0000-0000F1270000}"/>
    <cellStyle name="60% - Accent2 2 2" xfId="2301" xr:uid="{00000000-0005-0000-0000-0000F2270000}"/>
    <cellStyle name="60% - Accent2 2 2 2" xfId="12534" xr:uid="{00000000-0005-0000-0000-0000F3270000}"/>
    <cellStyle name="60% - Accent2 2 2 3" xfId="12535" xr:uid="{00000000-0005-0000-0000-0000F4270000}"/>
    <cellStyle name="60% - Accent2 2 2 4" xfId="12536" xr:uid="{00000000-0005-0000-0000-0000F5270000}"/>
    <cellStyle name="60% - Accent2 2 3" xfId="12537" xr:uid="{00000000-0005-0000-0000-0000F6270000}"/>
    <cellStyle name="60% - Accent2 2 3 2" xfId="12538" xr:uid="{00000000-0005-0000-0000-0000F7270000}"/>
    <cellStyle name="60% - Accent2 2 3 3" xfId="12539" xr:uid="{00000000-0005-0000-0000-0000F8270000}"/>
    <cellStyle name="60% - Accent2 2 4" xfId="12540" xr:uid="{00000000-0005-0000-0000-0000F9270000}"/>
    <cellStyle name="60% - Accent2 2 4 2" xfId="12541" xr:uid="{00000000-0005-0000-0000-0000FA270000}"/>
    <cellStyle name="60% - Accent2 2 4 3" xfId="12542" xr:uid="{00000000-0005-0000-0000-0000FB270000}"/>
    <cellStyle name="60% - Accent2 2 5" xfId="12543" xr:uid="{00000000-0005-0000-0000-0000FC270000}"/>
    <cellStyle name="60% - Accent2 2 6" xfId="12544" xr:uid="{00000000-0005-0000-0000-0000FD270000}"/>
    <cellStyle name="60% - Accent2 3" xfId="2300" xr:uid="{00000000-0005-0000-0000-0000FE270000}"/>
    <cellStyle name="60% - Accent2 3 2" xfId="12545" xr:uid="{00000000-0005-0000-0000-0000FF270000}"/>
    <cellStyle name="60% - Accent2 3 2 2" xfId="12546" xr:uid="{00000000-0005-0000-0000-000000280000}"/>
    <cellStyle name="60% - Accent2 3 2 3" xfId="12547" xr:uid="{00000000-0005-0000-0000-000001280000}"/>
    <cellStyle name="60% - Accent2 3 3" xfId="12548" xr:uid="{00000000-0005-0000-0000-000002280000}"/>
    <cellStyle name="60% - Accent2 3 4" xfId="12549" xr:uid="{00000000-0005-0000-0000-000003280000}"/>
    <cellStyle name="60% - Accent2 3 5" xfId="12550" xr:uid="{00000000-0005-0000-0000-000004280000}"/>
    <cellStyle name="60% - Accent2 4" xfId="2299" xr:uid="{00000000-0005-0000-0000-000005280000}"/>
    <cellStyle name="60% - Accent2 4 2" xfId="12551" xr:uid="{00000000-0005-0000-0000-000006280000}"/>
    <cellStyle name="60% - Accent2 4 3" xfId="12552" xr:uid="{00000000-0005-0000-0000-000007280000}"/>
    <cellStyle name="60% - Accent2 5" xfId="2298" xr:uid="{00000000-0005-0000-0000-000008280000}"/>
    <cellStyle name="60% - Accent2 5 2" xfId="12553" xr:uid="{00000000-0005-0000-0000-000009280000}"/>
    <cellStyle name="60% - Accent2 5 3" xfId="12554" xr:uid="{00000000-0005-0000-0000-00000A280000}"/>
    <cellStyle name="60% - Accent2 6" xfId="2297" xr:uid="{00000000-0005-0000-0000-00000B280000}"/>
    <cellStyle name="60% - Accent2 6 2" xfId="12555" xr:uid="{00000000-0005-0000-0000-00000C280000}"/>
    <cellStyle name="60% - Accent2 6 3" xfId="12556" xr:uid="{00000000-0005-0000-0000-00000D280000}"/>
    <cellStyle name="60% - Accent2 6 4" xfId="12557" xr:uid="{00000000-0005-0000-0000-00000E280000}"/>
    <cellStyle name="60% - Accent2 7" xfId="2296" xr:uid="{00000000-0005-0000-0000-00000F280000}"/>
    <cellStyle name="60% - Accent2 8" xfId="2295" xr:uid="{00000000-0005-0000-0000-000010280000}"/>
    <cellStyle name="60% - Accent2 9" xfId="2294" xr:uid="{00000000-0005-0000-0000-000011280000}"/>
    <cellStyle name="60% - Accent3 10" xfId="2293" xr:uid="{00000000-0005-0000-0000-000012280000}"/>
    <cellStyle name="60% - Accent3 11" xfId="2292" xr:uid="{00000000-0005-0000-0000-000013280000}"/>
    <cellStyle name="60% - Accent3 2" xfId="2291" xr:uid="{00000000-0005-0000-0000-000014280000}"/>
    <cellStyle name="60% - Accent3 2 2" xfId="2290" xr:uid="{00000000-0005-0000-0000-000015280000}"/>
    <cellStyle name="60% - Accent3 2 2 2" xfId="12558" xr:uid="{00000000-0005-0000-0000-000016280000}"/>
    <cellStyle name="60% - Accent3 2 2 3" xfId="12559" xr:uid="{00000000-0005-0000-0000-000017280000}"/>
    <cellStyle name="60% - Accent3 2 2 4" xfId="12560" xr:uid="{00000000-0005-0000-0000-000018280000}"/>
    <cellStyle name="60% - Accent3 2 3" xfId="12561" xr:uid="{00000000-0005-0000-0000-000019280000}"/>
    <cellStyle name="60% - Accent3 2 3 2" xfId="12562" xr:uid="{00000000-0005-0000-0000-00001A280000}"/>
    <cellStyle name="60% - Accent3 2 3 3" xfId="12563" xr:uid="{00000000-0005-0000-0000-00001B280000}"/>
    <cellStyle name="60% - Accent3 2 4" xfId="12564" xr:uid="{00000000-0005-0000-0000-00001C280000}"/>
    <cellStyle name="60% - Accent3 2 4 2" xfId="12565" xr:uid="{00000000-0005-0000-0000-00001D280000}"/>
    <cellStyle name="60% - Accent3 2 4 3" xfId="12566" xr:uid="{00000000-0005-0000-0000-00001E280000}"/>
    <cellStyle name="60% - Accent3 2 5" xfId="12567" xr:uid="{00000000-0005-0000-0000-00001F280000}"/>
    <cellStyle name="60% - Accent3 2 6" xfId="12568" xr:uid="{00000000-0005-0000-0000-000020280000}"/>
    <cellStyle name="60% - Accent3 3" xfId="2289" xr:uid="{00000000-0005-0000-0000-000021280000}"/>
    <cellStyle name="60% - Accent3 3 2" xfId="12569" xr:uid="{00000000-0005-0000-0000-000022280000}"/>
    <cellStyle name="60% - Accent3 3 2 2" xfId="12570" xr:uid="{00000000-0005-0000-0000-000023280000}"/>
    <cellStyle name="60% - Accent3 3 2 3" xfId="12571" xr:uid="{00000000-0005-0000-0000-000024280000}"/>
    <cellStyle name="60% - Accent3 3 3" xfId="12572" xr:uid="{00000000-0005-0000-0000-000025280000}"/>
    <cellStyle name="60% - Accent3 3 4" xfId="12573" xr:uid="{00000000-0005-0000-0000-000026280000}"/>
    <cellStyle name="60% - Accent3 3 5" xfId="12574" xr:uid="{00000000-0005-0000-0000-000027280000}"/>
    <cellStyle name="60% - Accent3 4" xfId="2288" xr:uid="{00000000-0005-0000-0000-000028280000}"/>
    <cellStyle name="60% - Accent3 4 2" xfId="12575" xr:uid="{00000000-0005-0000-0000-000029280000}"/>
    <cellStyle name="60% - Accent3 4 3" xfId="12576" xr:uid="{00000000-0005-0000-0000-00002A280000}"/>
    <cellStyle name="60% - Accent3 5" xfId="2287" xr:uid="{00000000-0005-0000-0000-00002B280000}"/>
    <cellStyle name="60% - Accent3 5 2" xfId="12577" xr:uid="{00000000-0005-0000-0000-00002C280000}"/>
    <cellStyle name="60% - Accent3 5 3" xfId="12578" xr:uid="{00000000-0005-0000-0000-00002D280000}"/>
    <cellStyle name="60% - Accent3 6" xfId="2286" xr:uid="{00000000-0005-0000-0000-00002E280000}"/>
    <cellStyle name="60% - Accent3 6 2" xfId="12579" xr:uid="{00000000-0005-0000-0000-00002F280000}"/>
    <cellStyle name="60% - Accent3 6 3" xfId="12580" xr:uid="{00000000-0005-0000-0000-000030280000}"/>
    <cellStyle name="60% - Accent3 6 4" xfId="12581" xr:uid="{00000000-0005-0000-0000-000031280000}"/>
    <cellStyle name="60% - Accent3 7" xfId="2285" xr:uid="{00000000-0005-0000-0000-000032280000}"/>
    <cellStyle name="60% - Accent3 8" xfId="2284" xr:uid="{00000000-0005-0000-0000-000033280000}"/>
    <cellStyle name="60% - Accent3 9" xfId="2283" xr:uid="{00000000-0005-0000-0000-000034280000}"/>
    <cellStyle name="60% - Accent4 10" xfId="2282" xr:uid="{00000000-0005-0000-0000-000035280000}"/>
    <cellStyle name="60% - Accent4 11" xfId="2281" xr:uid="{00000000-0005-0000-0000-000036280000}"/>
    <cellStyle name="60% - Accent4 2" xfId="2280" xr:uid="{00000000-0005-0000-0000-000037280000}"/>
    <cellStyle name="60% - Accent4 2 2" xfId="2279" xr:uid="{00000000-0005-0000-0000-000038280000}"/>
    <cellStyle name="60% - Accent4 2 2 2" xfId="12582" xr:uid="{00000000-0005-0000-0000-000039280000}"/>
    <cellStyle name="60% - Accent4 2 2 3" xfId="12583" xr:uid="{00000000-0005-0000-0000-00003A280000}"/>
    <cellStyle name="60% - Accent4 2 2 4" xfId="12584" xr:uid="{00000000-0005-0000-0000-00003B280000}"/>
    <cellStyle name="60% - Accent4 2 3" xfId="12585" xr:uid="{00000000-0005-0000-0000-00003C280000}"/>
    <cellStyle name="60% - Accent4 2 3 2" xfId="12586" xr:uid="{00000000-0005-0000-0000-00003D280000}"/>
    <cellStyle name="60% - Accent4 2 3 3" xfId="12587" xr:uid="{00000000-0005-0000-0000-00003E280000}"/>
    <cellStyle name="60% - Accent4 2 4" xfId="12588" xr:uid="{00000000-0005-0000-0000-00003F280000}"/>
    <cellStyle name="60% - Accent4 2 4 2" xfId="12589" xr:uid="{00000000-0005-0000-0000-000040280000}"/>
    <cellStyle name="60% - Accent4 2 4 3" xfId="12590" xr:uid="{00000000-0005-0000-0000-000041280000}"/>
    <cellStyle name="60% - Accent4 2 5" xfId="12591" xr:uid="{00000000-0005-0000-0000-000042280000}"/>
    <cellStyle name="60% - Accent4 2 6" xfId="12592" xr:uid="{00000000-0005-0000-0000-000043280000}"/>
    <cellStyle name="60% - Accent4 3" xfId="2278" xr:uid="{00000000-0005-0000-0000-000044280000}"/>
    <cellStyle name="60% - Accent4 3 2" xfId="12593" xr:uid="{00000000-0005-0000-0000-000045280000}"/>
    <cellStyle name="60% - Accent4 3 2 2" xfId="12594" xr:uid="{00000000-0005-0000-0000-000046280000}"/>
    <cellStyle name="60% - Accent4 3 2 3" xfId="12595" xr:uid="{00000000-0005-0000-0000-000047280000}"/>
    <cellStyle name="60% - Accent4 3 3" xfId="12596" xr:uid="{00000000-0005-0000-0000-000048280000}"/>
    <cellStyle name="60% - Accent4 3 4" xfId="12597" xr:uid="{00000000-0005-0000-0000-000049280000}"/>
    <cellStyle name="60% - Accent4 3 5" xfId="12598" xr:uid="{00000000-0005-0000-0000-00004A280000}"/>
    <cellStyle name="60% - Accent4 4" xfId="2277" xr:uid="{00000000-0005-0000-0000-00004B280000}"/>
    <cellStyle name="60% - Accent4 4 2" xfId="12599" xr:uid="{00000000-0005-0000-0000-00004C280000}"/>
    <cellStyle name="60% - Accent4 4 3" xfId="12600" xr:uid="{00000000-0005-0000-0000-00004D280000}"/>
    <cellStyle name="60% - Accent4 5" xfId="2276" xr:uid="{00000000-0005-0000-0000-00004E280000}"/>
    <cellStyle name="60% - Accent4 5 2" xfId="12601" xr:uid="{00000000-0005-0000-0000-00004F280000}"/>
    <cellStyle name="60% - Accent4 5 3" xfId="12602" xr:uid="{00000000-0005-0000-0000-000050280000}"/>
    <cellStyle name="60% - Accent4 6" xfId="2275" xr:uid="{00000000-0005-0000-0000-000051280000}"/>
    <cellStyle name="60% - Accent4 6 2" xfId="12603" xr:uid="{00000000-0005-0000-0000-000052280000}"/>
    <cellStyle name="60% - Accent4 6 3" xfId="12604" xr:uid="{00000000-0005-0000-0000-000053280000}"/>
    <cellStyle name="60% - Accent4 6 4" xfId="12605" xr:uid="{00000000-0005-0000-0000-000054280000}"/>
    <cellStyle name="60% - Accent4 7" xfId="2274" xr:uid="{00000000-0005-0000-0000-000055280000}"/>
    <cellStyle name="60% - Accent4 8" xfId="2273" xr:uid="{00000000-0005-0000-0000-000056280000}"/>
    <cellStyle name="60% - Accent4 9" xfId="2272" xr:uid="{00000000-0005-0000-0000-000057280000}"/>
    <cellStyle name="60% - Accent5 10" xfId="2271" xr:uid="{00000000-0005-0000-0000-000058280000}"/>
    <cellStyle name="60% - Accent5 11" xfId="2270" xr:uid="{00000000-0005-0000-0000-000059280000}"/>
    <cellStyle name="60% - Accent5 2" xfId="2269" xr:uid="{00000000-0005-0000-0000-00005A280000}"/>
    <cellStyle name="60% - Accent5 2 2" xfId="2268" xr:uid="{00000000-0005-0000-0000-00005B280000}"/>
    <cellStyle name="60% - Accent5 2 2 2" xfId="12606" xr:uid="{00000000-0005-0000-0000-00005C280000}"/>
    <cellStyle name="60% - Accent5 2 2 3" xfId="12607" xr:uid="{00000000-0005-0000-0000-00005D280000}"/>
    <cellStyle name="60% - Accent5 2 2 4" xfId="12608" xr:uid="{00000000-0005-0000-0000-00005E280000}"/>
    <cellStyle name="60% - Accent5 2 3" xfId="12609" xr:uid="{00000000-0005-0000-0000-00005F280000}"/>
    <cellStyle name="60% - Accent5 2 3 2" xfId="12610" xr:uid="{00000000-0005-0000-0000-000060280000}"/>
    <cellStyle name="60% - Accent5 2 3 3" xfId="12611" xr:uid="{00000000-0005-0000-0000-000061280000}"/>
    <cellStyle name="60% - Accent5 2 4" xfId="12612" xr:uid="{00000000-0005-0000-0000-000062280000}"/>
    <cellStyle name="60% - Accent5 2 4 2" xfId="12613" xr:uid="{00000000-0005-0000-0000-000063280000}"/>
    <cellStyle name="60% - Accent5 2 4 3" xfId="12614" xr:uid="{00000000-0005-0000-0000-000064280000}"/>
    <cellStyle name="60% - Accent5 2 5" xfId="12615" xr:uid="{00000000-0005-0000-0000-000065280000}"/>
    <cellStyle name="60% - Accent5 2 6" xfId="12616" xr:uid="{00000000-0005-0000-0000-000066280000}"/>
    <cellStyle name="60% - Accent5 3" xfId="2267" xr:uid="{00000000-0005-0000-0000-000067280000}"/>
    <cellStyle name="60% - Accent5 3 2" xfId="12617" xr:uid="{00000000-0005-0000-0000-000068280000}"/>
    <cellStyle name="60% - Accent5 3 2 2" xfId="12618" xr:uid="{00000000-0005-0000-0000-000069280000}"/>
    <cellStyle name="60% - Accent5 3 2 3" xfId="12619" xr:uid="{00000000-0005-0000-0000-00006A280000}"/>
    <cellStyle name="60% - Accent5 3 3" xfId="12620" xr:uid="{00000000-0005-0000-0000-00006B280000}"/>
    <cellStyle name="60% - Accent5 3 4" xfId="12621" xr:uid="{00000000-0005-0000-0000-00006C280000}"/>
    <cellStyle name="60% - Accent5 3 5" xfId="12622" xr:uid="{00000000-0005-0000-0000-00006D280000}"/>
    <cellStyle name="60% - Accent5 4" xfId="2266" xr:uid="{00000000-0005-0000-0000-00006E280000}"/>
    <cellStyle name="60% - Accent5 4 2" xfId="12623" xr:uid="{00000000-0005-0000-0000-00006F280000}"/>
    <cellStyle name="60% - Accent5 4 3" xfId="12624" xr:uid="{00000000-0005-0000-0000-000070280000}"/>
    <cellStyle name="60% - Accent5 5" xfId="2265" xr:uid="{00000000-0005-0000-0000-000071280000}"/>
    <cellStyle name="60% - Accent5 5 2" xfId="12625" xr:uid="{00000000-0005-0000-0000-000072280000}"/>
    <cellStyle name="60% - Accent5 5 3" xfId="12626" xr:uid="{00000000-0005-0000-0000-000073280000}"/>
    <cellStyle name="60% - Accent5 6" xfId="2264" xr:uid="{00000000-0005-0000-0000-000074280000}"/>
    <cellStyle name="60% - Accent5 6 2" xfId="12627" xr:uid="{00000000-0005-0000-0000-000075280000}"/>
    <cellStyle name="60% - Accent5 6 3" xfId="12628" xr:uid="{00000000-0005-0000-0000-000076280000}"/>
    <cellStyle name="60% - Accent5 6 4" xfId="12629" xr:uid="{00000000-0005-0000-0000-000077280000}"/>
    <cellStyle name="60% - Accent5 7" xfId="2263" xr:uid="{00000000-0005-0000-0000-000078280000}"/>
    <cellStyle name="60% - Accent5 8" xfId="2262" xr:uid="{00000000-0005-0000-0000-000079280000}"/>
    <cellStyle name="60% - Accent5 9" xfId="2261" xr:uid="{00000000-0005-0000-0000-00007A280000}"/>
    <cellStyle name="60% - Accent6 10" xfId="2260" xr:uid="{00000000-0005-0000-0000-00007B280000}"/>
    <cellStyle name="60% - Accent6 11" xfId="2259" xr:uid="{00000000-0005-0000-0000-00007C280000}"/>
    <cellStyle name="60% - Accent6 2" xfId="2258" xr:uid="{00000000-0005-0000-0000-00007D280000}"/>
    <cellStyle name="60% - Accent6 2 2" xfId="2257" xr:uid="{00000000-0005-0000-0000-00007E280000}"/>
    <cellStyle name="60% - Accent6 2 2 2" xfId="12630" xr:uid="{00000000-0005-0000-0000-00007F280000}"/>
    <cellStyle name="60% - Accent6 2 2 3" xfId="12631" xr:uid="{00000000-0005-0000-0000-000080280000}"/>
    <cellStyle name="60% - Accent6 2 2 4" xfId="12632" xr:uid="{00000000-0005-0000-0000-000081280000}"/>
    <cellStyle name="60% - Accent6 2 3" xfId="12633" xr:uid="{00000000-0005-0000-0000-000082280000}"/>
    <cellStyle name="60% - Accent6 2 3 2" xfId="12634" xr:uid="{00000000-0005-0000-0000-000083280000}"/>
    <cellStyle name="60% - Accent6 2 3 3" xfId="12635" xr:uid="{00000000-0005-0000-0000-000084280000}"/>
    <cellStyle name="60% - Accent6 2 4" xfId="12636" xr:uid="{00000000-0005-0000-0000-000085280000}"/>
    <cellStyle name="60% - Accent6 2 4 2" xfId="12637" xr:uid="{00000000-0005-0000-0000-000086280000}"/>
    <cellStyle name="60% - Accent6 2 4 3" xfId="12638" xr:uid="{00000000-0005-0000-0000-000087280000}"/>
    <cellStyle name="60% - Accent6 2 5" xfId="12639" xr:uid="{00000000-0005-0000-0000-000088280000}"/>
    <cellStyle name="60% - Accent6 2 6" xfId="12640" xr:uid="{00000000-0005-0000-0000-000089280000}"/>
    <cellStyle name="60% - Accent6 3" xfId="2256" xr:uid="{00000000-0005-0000-0000-00008A280000}"/>
    <cellStyle name="60% - Accent6 3 2" xfId="12641" xr:uid="{00000000-0005-0000-0000-00008B280000}"/>
    <cellStyle name="60% - Accent6 3 2 2" xfId="12642" xr:uid="{00000000-0005-0000-0000-00008C280000}"/>
    <cellStyle name="60% - Accent6 3 2 3" xfId="12643" xr:uid="{00000000-0005-0000-0000-00008D280000}"/>
    <cellStyle name="60% - Accent6 3 3" xfId="12644" xr:uid="{00000000-0005-0000-0000-00008E280000}"/>
    <cellStyle name="60% - Accent6 3 4" xfId="12645" xr:uid="{00000000-0005-0000-0000-00008F280000}"/>
    <cellStyle name="60% - Accent6 3 5" xfId="12646" xr:uid="{00000000-0005-0000-0000-000090280000}"/>
    <cellStyle name="60% - Accent6 4" xfId="2255" xr:uid="{00000000-0005-0000-0000-000091280000}"/>
    <cellStyle name="60% - Accent6 4 2" xfId="12647" xr:uid="{00000000-0005-0000-0000-000092280000}"/>
    <cellStyle name="60% - Accent6 4 3" xfId="12648" xr:uid="{00000000-0005-0000-0000-000093280000}"/>
    <cellStyle name="60% - Accent6 5" xfId="2254" xr:uid="{00000000-0005-0000-0000-000094280000}"/>
    <cellStyle name="60% - Accent6 5 2" xfId="12649" xr:uid="{00000000-0005-0000-0000-000095280000}"/>
    <cellStyle name="60% - Accent6 5 3" xfId="12650" xr:uid="{00000000-0005-0000-0000-000096280000}"/>
    <cellStyle name="60% - Accent6 6" xfId="2253" xr:uid="{00000000-0005-0000-0000-000097280000}"/>
    <cellStyle name="60% - Accent6 6 2" xfId="12651" xr:uid="{00000000-0005-0000-0000-000098280000}"/>
    <cellStyle name="60% - Accent6 6 3" xfId="12652" xr:uid="{00000000-0005-0000-0000-000099280000}"/>
    <cellStyle name="60% - Accent6 6 4" xfId="12653" xr:uid="{00000000-0005-0000-0000-00009A280000}"/>
    <cellStyle name="60% - Accent6 7" xfId="2252" xr:uid="{00000000-0005-0000-0000-00009B280000}"/>
    <cellStyle name="60% - Accent6 8" xfId="2251" xr:uid="{00000000-0005-0000-0000-00009C280000}"/>
    <cellStyle name="60% - Accent6 9" xfId="2250" xr:uid="{00000000-0005-0000-0000-00009D280000}"/>
    <cellStyle name="Accent1 - 20%" xfId="2249" xr:uid="{00000000-0005-0000-0000-00009E280000}"/>
    <cellStyle name="Accent1 - 40%" xfId="2248" xr:uid="{00000000-0005-0000-0000-00009F280000}"/>
    <cellStyle name="Accent1 - 60%" xfId="2247" xr:uid="{00000000-0005-0000-0000-0000A0280000}"/>
    <cellStyle name="Accent1 10" xfId="2246" xr:uid="{00000000-0005-0000-0000-0000A1280000}"/>
    <cellStyle name="Accent1 11" xfId="2245" xr:uid="{00000000-0005-0000-0000-0000A2280000}"/>
    <cellStyle name="Accent1 12" xfId="2244" xr:uid="{00000000-0005-0000-0000-0000A3280000}"/>
    <cellStyle name="Accent1 13" xfId="2243" xr:uid="{00000000-0005-0000-0000-0000A4280000}"/>
    <cellStyle name="Accent1 14" xfId="2242" xr:uid="{00000000-0005-0000-0000-0000A5280000}"/>
    <cellStyle name="Accent1 15" xfId="2241" xr:uid="{00000000-0005-0000-0000-0000A6280000}"/>
    <cellStyle name="Accent1 16" xfId="2240" xr:uid="{00000000-0005-0000-0000-0000A7280000}"/>
    <cellStyle name="Accent1 17" xfId="2239" xr:uid="{00000000-0005-0000-0000-0000A8280000}"/>
    <cellStyle name="Accent1 18" xfId="2238" xr:uid="{00000000-0005-0000-0000-0000A9280000}"/>
    <cellStyle name="Accent1 19" xfId="2237" xr:uid="{00000000-0005-0000-0000-0000AA280000}"/>
    <cellStyle name="Accent1 2" xfId="2236" xr:uid="{00000000-0005-0000-0000-0000AB280000}"/>
    <cellStyle name="Accent1 2 2" xfId="2235" xr:uid="{00000000-0005-0000-0000-0000AC280000}"/>
    <cellStyle name="Accent1 2 2 2" xfId="12654" xr:uid="{00000000-0005-0000-0000-0000AD280000}"/>
    <cellStyle name="Accent1 2 2 3" xfId="12655" xr:uid="{00000000-0005-0000-0000-0000AE280000}"/>
    <cellStyle name="Accent1 2 2 4" xfId="12656" xr:uid="{00000000-0005-0000-0000-0000AF280000}"/>
    <cellStyle name="Accent1 2 3" xfId="12657" xr:uid="{00000000-0005-0000-0000-0000B0280000}"/>
    <cellStyle name="Accent1 2 3 2" xfId="12658" xr:uid="{00000000-0005-0000-0000-0000B1280000}"/>
    <cellStyle name="Accent1 2 3 3" xfId="12659" xr:uid="{00000000-0005-0000-0000-0000B2280000}"/>
    <cellStyle name="Accent1 2 4" xfId="12660" xr:uid="{00000000-0005-0000-0000-0000B3280000}"/>
    <cellStyle name="Accent1 2 4 2" xfId="12661" xr:uid="{00000000-0005-0000-0000-0000B4280000}"/>
    <cellStyle name="Accent1 2 4 3" xfId="12662" xr:uid="{00000000-0005-0000-0000-0000B5280000}"/>
    <cellStyle name="Accent1 2 5" xfId="12663" xr:uid="{00000000-0005-0000-0000-0000B6280000}"/>
    <cellStyle name="Accent1 2 6" xfId="12664" xr:uid="{00000000-0005-0000-0000-0000B7280000}"/>
    <cellStyle name="Accent1 20" xfId="2234" xr:uid="{00000000-0005-0000-0000-0000B8280000}"/>
    <cellStyle name="Accent1 21" xfId="2233" xr:uid="{00000000-0005-0000-0000-0000B9280000}"/>
    <cellStyle name="Accent1 22" xfId="2232" xr:uid="{00000000-0005-0000-0000-0000BA280000}"/>
    <cellStyle name="Accent1 23" xfId="2231" xr:uid="{00000000-0005-0000-0000-0000BB280000}"/>
    <cellStyle name="Accent1 24" xfId="2230" xr:uid="{00000000-0005-0000-0000-0000BC280000}"/>
    <cellStyle name="Accent1 25" xfId="2229" xr:uid="{00000000-0005-0000-0000-0000BD280000}"/>
    <cellStyle name="Accent1 26" xfId="2228" xr:uid="{00000000-0005-0000-0000-0000BE280000}"/>
    <cellStyle name="Accent1 27" xfId="2227" xr:uid="{00000000-0005-0000-0000-0000BF280000}"/>
    <cellStyle name="Accent1 28" xfId="2226" xr:uid="{00000000-0005-0000-0000-0000C0280000}"/>
    <cellStyle name="Accent1 29" xfId="2225" xr:uid="{00000000-0005-0000-0000-0000C1280000}"/>
    <cellStyle name="Accent1 3" xfId="2224" xr:uid="{00000000-0005-0000-0000-0000C2280000}"/>
    <cellStyle name="Accent1 3 2" xfId="12665" xr:uid="{00000000-0005-0000-0000-0000C3280000}"/>
    <cellStyle name="Accent1 3 2 2" xfId="12666" xr:uid="{00000000-0005-0000-0000-0000C4280000}"/>
    <cellStyle name="Accent1 3 2 3" xfId="12667" xr:uid="{00000000-0005-0000-0000-0000C5280000}"/>
    <cellStyle name="Accent1 3 3" xfId="12668" xr:uid="{00000000-0005-0000-0000-0000C6280000}"/>
    <cellStyle name="Accent1 3 4" xfId="12669" xr:uid="{00000000-0005-0000-0000-0000C7280000}"/>
    <cellStyle name="Accent1 3 5" xfId="12670" xr:uid="{00000000-0005-0000-0000-0000C8280000}"/>
    <cellStyle name="Accent1 30" xfId="2223" xr:uid="{00000000-0005-0000-0000-0000C9280000}"/>
    <cellStyle name="Accent1 31" xfId="2222" xr:uid="{00000000-0005-0000-0000-0000CA280000}"/>
    <cellStyle name="Accent1 32" xfId="2221" xr:uid="{00000000-0005-0000-0000-0000CB280000}"/>
    <cellStyle name="Accent1 33" xfId="2220" xr:uid="{00000000-0005-0000-0000-0000CC280000}"/>
    <cellStyle name="Accent1 34" xfId="2219" xr:uid="{00000000-0005-0000-0000-0000CD280000}"/>
    <cellStyle name="Accent1 35" xfId="2218" xr:uid="{00000000-0005-0000-0000-0000CE280000}"/>
    <cellStyle name="Accent1 36" xfId="2217" xr:uid="{00000000-0005-0000-0000-0000CF280000}"/>
    <cellStyle name="Accent1 37" xfId="2216" xr:uid="{00000000-0005-0000-0000-0000D0280000}"/>
    <cellStyle name="Accent1 38" xfId="2215" xr:uid="{00000000-0005-0000-0000-0000D1280000}"/>
    <cellStyle name="Accent1 39" xfId="2214" xr:uid="{00000000-0005-0000-0000-0000D2280000}"/>
    <cellStyle name="Accent1 4" xfId="2213" xr:uid="{00000000-0005-0000-0000-0000D3280000}"/>
    <cellStyle name="Accent1 4 2" xfId="12671" xr:uid="{00000000-0005-0000-0000-0000D4280000}"/>
    <cellStyle name="Accent1 4 3" xfId="12672" xr:uid="{00000000-0005-0000-0000-0000D5280000}"/>
    <cellStyle name="Accent1 40" xfId="2212" xr:uid="{00000000-0005-0000-0000-0000D6280000}"/>
    <cellStyle name="Accent1 41" xfId="2211" xr:uid="{00000000-0005-0000-0000-0000D7280000}"/>
    <cellStyle name="Accent1 42" xfId="2210" xr:uid="{00000000-0005-0000-0000-0000D8280000}"/>
    <cellStyle name="Accent1 43" xfId="2209" xr:uid="{00000000-0005-0000-0000-0000D9280000}"/>
    <cellStyle name="Accent1 44" xfId="2208" xr:uid="{00000000-0005-0000-0000-0000DA280000}"/>
    <cellStyle name="Accent1 45" xfId="2207" xr:uid="{00000000-0005-0000-0000-0000DB280000}"/>
    <cellStyle name="Accent1 46" xfId="2206" xr:uid="{00000000-0005-0000-0000-0000DC280000}"/>
    <cellStyle name="Accent1 47" xfId="2205" xr:uid="{00000000-0005-0000-0000-0000DD280000}"/>
    <cellStyle name="Accent1 5" xfId="2204" xr:uid="{00000000-0005-0000-0000-0000DE280000}"/>
    <cellStyle name="Accent1 5 2" xfId="12673" xr:uid="{00000000-0005-0000-0000-0000DF280000}"/>
    <cellStyle name="Accent1 5 3" xfId="12674" xr:uid="{00000000-0005-0000-0000-0000E0280000}"/>
    <cellStyle name="Accent1 6" xfId="2203" xr:uid="{00000000-0005-0000-0000-0000E1280000}"/>
    <cellStyle name="Accent1 6 2" xfId="12675" xr:uid="{00000000-0005-0000-0000-0000E2280000}"/>
    <cellStyle name="Accent1 6 3" xfId="12676" xr:uid="{00000000-0005-0000-0000-0000E3280000}"/>
    <cellStyle name="Accent1 6 4" xfId="12677" xr:uid="{00000000-0005-0000-0000-0000E4280000}"/>
    <cellStyle name="Accent1 7" xfId="2202" xr:uid="{00000000-0005-0000-0000-0000E5280000}"/>
    <cellStyle name="Accent1 8" xfId="2201" xr:uid="{00000000-0005-0000-0000-0000E6280000}"/>
    <cellStyle name="Accent1 9" xfId="2200" xr:uid="{00000000-0005-0000-0000-0000E7280000}"/>
    <cellStyle name="Accent2 - 20%" xfId="2199" xr:uid="{00000000-0005-0000-0000-0000E8280000}"/>
    <cellStyle name="Accent2 - 40%" xfId="2198" xr:uid="{00000000-0005-0000-0000-0000E9280000}"/>
    <cellStyle name="Accent2 - 60%" xfId="2197" xr:uid="{00000000-0005-0000-0000-0000EA280000}"/>
    <cellStyle name="Accent2 10" xfId="2196" xr:uid="{00000000-0005-0000-0000-0000EB280000}"/>
    <cellStyle name="Accent2 11" xfId="2195" xr:uid="{00000000-0005-0000-0000-0000EC280000}"/>
    <cellStyle name="Accent2 12" xfId="2194" xr:uid="{00000000-0005-0000-0000-0000ED280000}"/>
    <cellStyle name="Accent2 13" xfId="2193" xr:uid="{00000000-0005-0000-0000-0000EE280000}"/>
    <cellStyle name="Accent2 14" xfId="2192" xr:uid="{00000000-0005-0000-0000-0000EF280000}"/>
    <cellStyle name="Accent2 15" xfId="2191" xr:uid="{00000000-0005-0000-0000-0000F0280000}"/>
    <cellStyle name="Accent2 16" xfId="2190" xr:uid="{00000000-0005-0000-0000-0000F1280000}"/>
    <cellStyle name="Accent2 17" xfId="2189" xr:uid="{00000000-0005-0000-0000-0000F2280000}"/>
    <cellStyle name="Accent2 18" xfId="2188" xr:uid="{00000000-0005-0000-0000-0000F3280000}"/>
    <cellStyle name="Accent2 19" xfId="2187" xr:uid="{00000000-0005-0000-0000-0000F4280000}"/>
    <cellStyle name="Accent2 2" xfId="2186" xr:uid="{00000000-0005-0000-0000-0000F5280000}"/>
    <cellStyle name="Accent2 2 2" xfId="2185" xr:uid="{00000000-0005-0000-0000-0000F6280000}"/>
    <cellStyle name="Accent2 2 2 2" xfId="12678" xr:uid="{00000000-0005-0000-0000-0000F7280000}"/>
    <cellStyle name="Accent2 2 2 3" xfId="12679" xr:uid="{00000000-0005-0000-0000-0000F8280000}"/>
    <cellStyle name="Accent2 2 2 4" xfId="12680" xr:uid="{00000000-0005-0000-0000-0000F9280000}"/>
    <cellStyle name="Accent2 2 3" xfId="12681" xr:uid="{00000000-0005-0000-0000-0000FA280000}"/>
    <cellStyle name="Accent2 2 3 2" xfId="12682" xr:uid="{00000000-0005-0000-0000-0000FB280000}"/>
    <cellStyle name="Accent2 2 3 3" xfId="12683" xr:uid="{00000000-0005-0000-0000-0000FC280000}"/>
    <cellStyle name="Accent2 2 4" xfId="12684" xr:uid="{00000000-0005-0000-0000-0000FD280000}"/>
    <cellStyle name="Accent2 2 4 2" xfId="12685" xr:uid="{00000000-0005-0000-0000-0000FE280000}"/>
    <cellStyle name="Accent2 2 4 3" xfId="12686" xr:uid="{00000000-0005-0000-0000-0000FF280000}"/>
    <cellStyle name="Accent2 2 5" xfId="12687" xr:uid="{00000000-0005-0000-0000-000000290000}"/>
    <cellStyle name="Accent2 2 6" xfId="12688" xr:uid="{00000000-0005-0000-0000-000001290000}"/>
    <cellStyle name="Accent2 20" xfId="2184" xr:uid="{00000000-0005-0000-0000-000002290000}"/>
    <cellStyle name="Accent2 21" xfId="2183" xr:uid="{00000000-0005-0000-0000-000003290000}"/>
    <cellStyle name="Accent2 22" xfId="2182" xr:uid="{00000000-0005-0000-0000-000004290000}"/>
    <cellStyle name="Accent2 23" xfId="2181" xr:uid="{00000000-0005-0000-0000-000005290000}"/>
    <cellStyle name="Accent2 24" xfId="2180" xr:uid="{00000000-0005-0000-0000-000006290000}"/>
    <cellStyle name="Accent2 25" xfId="2179" xr:uid="{00000000-0005-0000-0000-000007290000}"/>
    <cellStyle name="Accent2 26" xfId="2178" xr:uid="{00000000-0005-0000-0000-000008290000}"/>
    <cellStyle name="Accent2 27" xfId="2177" xr:uid="{00000000-0005-0000-0000-000009290000}"/>
    <cellStyle name="Accent2 28" xfId="2176" xr:uid="{00000000-0005-0000-0000-00000A290000}"/>
    <cellStyle name="Accent2 29" xfId="2175" xr:uid="{00000000-0005-0000-0000-00000B290000}"/>
    <cellStyle name="Accent2 3" xfId="2174" xr:uid="{00000000-0005-0000-0000-00000C290000}"/>
    <cellStyle name="Accent2 3 2" xfId="12689" xr:uid="{00000000-0005-0000-0000-00000D290000}"/>
    <cellStyle name="Accent2 3 2 2" xfId="12690" xr:uid="{00000000-0005-0000-0000-00000E290000}"/>
    <cellStyle name="Accent2 3 2 3" xfId="12691" xr:uid="{00000000-0005-0000-0000-00000F290000}"/>
    <cellStyle name="Accent2 3 3" xfId="12692" xr:uid="{00000000-0005-0000-0000-000010290000}"/>
    <cellStyle name="Accent2 3 4" xfId="12693" xr:uid="{00000000-0005-0000-0000-000011290000}"/>
    <cellStyle name="Accent2 3 5" xfId="12694" xr:uid="{00000000-0005-0000-0000-000012290000}"/>
    <cellStyle name="Accent2 30" xfId="2173" xr:uid="{00000000-0005-0000-0000-000013290000}"/>
    <cellStyle name="Accent2 31" xfId="2172" xr:uid="{00000000-0005-0000-0000-000014290000}"/>
    <cellStyle name="Accent2 32" xfId="2171" xr:uid="{00000000-0005-0000-0000-000015290000}"/>
    <cellStyle name="Accent2 33" xfId="2170" xr:uid="{00000000-0005-0000-0000-000016290000}"/>
    <cellStyle name="Accent2 34" xfId="2169" xr:uid="{00000000-0005-0000-0000-000017290000}"/>
    <cellStyle name="Accent2 35" xfId="2168" xr:uid="{00000000-0005-0000-0000-000018290000}"/>
    <cellStyle name="Accent2 36" xfId="2167" xr:uid="{00000000-0005-0000-0000-000019290000}"/>
    <cellStyle name="Accent2 37" xfId="2166" xr:uid="{00000000-0005-0000-0000-00001A290000}"/>
    <cellStyle name="Accent2 38" xfId="2165" xr:uid="{00000000-0005-0000-0000-00001B290000}"/>
    <cellStyle name="Accent2 39" xfId="2164" xr:uid="{00000000-0005-0000-0000-00001C290000}"/>
    <cellStyle name="Accent2 4" xfId="2163" xr:uid="{00000000-0005-0000-0000-00001D290000}"/>
    <cellStyle name="Accent2 4 2" xfId="12695" xr:uid="{00000000-0005-0000-0000-00001E290000}"/>
    <cellStyle name="Accent2 4 3" xfId="12696" xr:uid="{00000000-0005-0000-0000-00001F290000}"/>
    <cellStyle name="Accent2 40" xfId="2162" xr:uid="{00000000-0005-0000-0000-000020290000}"/>
    <cellStyle name="Accent2 41" xfId="2161" xr:uid="{00000000-0005-0000-0000-000021290000}"/>
    <cellStyle name="Accent2 42" xfId="2160" xr:uid="{00000000-0005-0000-0000-000022290000}"/>
    <cellStyle name="Accent2 43" xfId="2159" xr:uid="{00000000-0005-0000-0000-000023290000}"/>
    <cellStyle name="Accent2 44" xfId="2158" xr:uid="{00000000-0005-0000-0000-000024290000}"/>
    <cellStyle name="Accent2 45" xfId="2157" xr:uid="{00000000-0005-0000-0000-000025290000}"/>
    <cellStyle name="Accent2 46" xfId="2156" xr:uid="{00000000-0005-0000-0000-000026290000}"/>
    <cellStyle name="Accent2 47" xfId="2155" xr:uid="{00000000-0005-0000-0000-000027290000}"/>
    <cellStyle name="Accent2 5" xfId="2154" xr:uid="{00000000-0005-0000-0000-000028290000}"/>
    <cellStyle name="Accent2 5 2" xfId="12697" xr:uid="{00000000-0005-0000-0000-000029290000}"/>
    <cellStyle name="Accent2 5 3" xfId="12698" xr:uid="{00000000-0005-0000-0000-00002A290000}"/>
    <cellStyle name="Accent2 6" xfId="2153" xr:uid="{00000000-0005-0000-0000-00002B290000}"/>
    <cellStyle name="Accent2 6 2" xfId="12699" xr:uid="{00000000-0005-0000-0000-00002C290000}"/>
    <cellStyle name="Accent2 6 3" xfId="12700" xr:uid="{00000000-0005-0000-0000-00002D290000}"/>
    <cellStyle name="Accent2 6 4" xfId="12701" xr:uid="{00000000-0005-0000-0000-00002E290000}"/>
    <cellStyle name="Accent2 7" xfId="2152" xr:uid="{00000000-0005-0000-0000-00002F290000}"/>
    <cellStyle name="Accent2 8" xfId="2151" xr:uid="{00000000-0005-0000-0000-000030290000}"/>
    <cellStyle name="Accent2 9" xfId="2150" xr:uid="{00000000-0005-0000-0000-000031290000}"/>
    <cellStyle name="Accent3 - 20%" xfId="2149" xr:uid="{00000000-0005-0000-0000-000032290000}"/>
    <cellStyle name="Accent3 - 40%" xfId="2148" xr:uid="{00000000-0005-0000-0000-000033290000}"/>
    <cellStyle name="Accent3 - 60%" xfId="2147" xr:uid="{00000000-0005-0000-0000-000034290000}"/>
    <cellStyle name="Accent3 10" xfId="2146" xr:uid="{00000000-0005-0000-0000-000035290000}"/>
    <cellStyle name="Accent3 11" xfId="2145" xr:uid="{00000000-0005-0000-0000-000036290000}"/>
    <cellStyle name="Accent3 12" xfId="2144" xr:uid="{00000000-0005-0000-0000-000037290000}"/>
    <cellStyle name="Accent3 13" xfId="2143" xr:uid="{00000000-0005-0000-0000-000038290000}"/>
    <cellStyle name="Accent3 14" xfId="2142" xr:uid="{00000000-0005-0000-0000-000039290000}"/>
    <cellStyle name="Accent3 15" xfId="2141" xr:uid="{00000000-0005-0000-0000-00003A290000}"/>
    <cellStyle name="Accent3 16" xfId="2140" xr:uid="{00000000-0005-0000-0000-00003B290000}"/>
    <cellStyle name="Accent3 17" xfId="2139" xr:uid="{00000000-0005-0000-0000-00003C290000}"/>
    <cellStyle name="Accent3 18" xfId="2138" xr:uid="{00000000-0005-0000-0000-00003D290000}"/>
    <cellStyle name="Accent3 19" xfId="2137" xr:uid="{00000000-0005-0000-0000-00003E290000}"/>
    <cellStyle name="Accent3 2" xfId="2136" xr:uid="{00000000-0005-0000-0000-00003F290000}"/>
    <cellStyle name="Accent3 2 2" xfId="2135" xr:uid="{00000000-0005-0000-0000-000040290000}"/>
    <cellStyle name="Accent3 2 2 2" xfId="12702" xr:uid="{00000000-0005-0000-0000-000041290000}"/>
    <cellStyle name="Accent3 2 2 3" xfId="12703" xr:uid="{00000000-0005-0000-0000-000042290000}"/>
    <cellStyle name="Accent3 2 2 4" xfId="12704" xr:uid="{00000000-0005-0000-0000-000043290000}"/>
    <cellStyle name="Accent3 2 3" xfId="12705" xr:uid="{00000000-0005-0000-0000-000044290000}"/>
    <cellStyle name="Accent3 2 3 2" xfId="12706" xr:uid="{00000000-0005-0000-0000-000045290000}"/>
    <cellStyle name="Accent3 2 3 3" xfId="12707" xr:uid="{00000000-0005-0000-0000-000046290000}"/>
    <cellStyle name="Accent3 2 4" xfId="12708" xr:uid="{00000000-0005-0000-0000-000047290000}"/>
    <cellStyle name="Accent3 2 4 2" xfId="12709" xr:uid="{00000000-0005-0000-0000-000048290000}"/>
    <cellStyle name="Accent3 2 4 3" xfId="12710" xr:uid="{00000000-0005-0000-0000-000049290000}"/>
    <cellStyle name="Accent3 2 5" xfId="12711" xr:uid="{00000000-0005-0000-0000-00004A290000}"/>
    <cellStyle name="Accent3 2 6" xfId="12712" xr:uid="{00000000-0005-0000-0000-00004B290000}"/>
    <cellStyle name="Accent3 20" xfId="2134" xr:uid="{00000000-0005-0000-0000-00004C290000}"/>
    <cellStyle name="Accent3 21" xfId="2133" xr:uid="{00000000-0005-0000-0000-00004D290000}"/>
    <cellStyle name="Accent3 22" xfId="2132" xr:uid="{00000000-0005-0000-0000-00004E290000}"/>
    <cellStyle name="Accent3 23" xfId="2131" xr:uid="{00000000-0005-0000-0000-00004F290000}"/>
    <cellStyle name="Accent3 24" xfId="2130" xr:uid="{00000000-0005-0000-0000-000050290000}"/>
    <cellStyle name="Accent3 25" xfId="2129" xr:uid="{00000000-0005-0000-0000-000051290000}"/>
    <cellStyle name="Accent3 26" xfId="2128" xr:uid="{00000000-0005-0000-0000-000052290000}"/>
    <cellStyle name="Accent3 27" xfId="2127" xr:uid="{00000000-0005-0000-0000-000053290000}"/>
    <cellStyle name="Accent3 28" xfId="2126" xr:uid="{00000000-0005-0000-0000-000054290000}"/>
    <cellStyle name="Accent3 29" xfId="2125" xr:uid="{00000000-0005-0000-0000-000055290000}"/>
    <cellStyle name="Accent3 3" xfId="2124" xr:uid="{00000000-0005-0000-0000-000056290000}"/>
    <cellStyle name="Accent3 3 2" xfId="12713" xr:uid="{00000000-0005-0000-0000-000057290000}"/>
    <cellStyle name="Accent3 3 2 2" xfId="12714" xr:uid="{00000000-0005-0000-0000-000058290000}"/>
    <cellStyle name="Accent3 3 2 3" xfId="12715" xr:uid="{00000000-0005-0000-0000-000059290000}"/>
    <cellStyle name="Accent3 3 3" xfId="12716" xr:uid="{00000000-0005-0000-0000-00005A290000}"/>
    <cellStyle name="Accent3 3 4" xfId="12717" xr:uid="{00000000-0005-0000-0000-00005B290000}"/>
    <cellStyle name="Accent3 3 5" xfId="12718" xr:uid="{00000000-0005-0000-0000-00005C290000}"/>
    <cellStyle name="Accent3 30" xfId="2123" xr:uid="{00000000-0005-0000-0000-00005D290000}"/>
    <cellStyle name="Accent3 31" xfId="2122" xr:uid="{00000000-0005-0000-0000-00005E290000}"/>
    <cellStyle name="Accent3 32" xfId="2121" xr:uid="{00000000-0005-0000-0000-00005F290000}"/>
    <cellStyle name="Accent3 33" xfId="2120" xr:uid="{00000000-0005-0000-0000-000060290000}"/>
    <cellStyle name="Accent3 34" xfId="2119" xr:uid="{00000000-0005-0000-0000-000061290000}"/>
    <cellStyle name="Accent3 35" xfId="2118" xr:uid="{00000000-0005-0000-0000-000062290000}"/>
    <cellStyle name="Accent3 36" xfId="2117" xr:uid="{00000000-0005-0000-0000-000063290000}"/>
    <cellStyle name="Accent3 37" xfId="2116" xr:uid="{00000000-0005-0000-0000-000064290000}"/>
    <cellStyle name="Accent3 38" xfId="2115" xr:uid="{00000000-0005-0000-0000-000065290000}"/>
    <cellStyle name="Accent3 39" xfId="2114" xr:uid="{00000000-0005-0000-0000-000066290000}"/>
    <cellStyle name="Accent3 4" xfId="2113" xr:uid="{00000000-0005-0000-0000-000067290000}"/>
    <cellStyle name="Accent3 4 2" xfId="12719" xr:uid="{00000000-0005-0000-0000-000068290000}"/>
    <cellStyle name="Accent3 4 3" xfId="12720" xr:uid="{00000000-0005-0000-0000-000069290000}"/>
    <cellStyle name="Accent3 40" xfId="2112" xr:uid="{00000000-0005-0000-0000-00006A290000}"/>
    <cellStyle name="Accent3 41" xfId="2111" xr:uid="{00000000-0005-0000-0000-00006B290000}"/>
    <cellStyle name="Accent3 42" xfId="2110" xr:uid="{00000000-0005-0000-0000-00006C290000}"/>
    <cellStyle name="Accent3 43" xfId="2109" xr:uid="{00000000-0005-0000-0000-00006D290000}"/>
    <cellStyle name="Accent3 44" xfId="2108" xr:uid="{00000000-0005-0000-0000-00006E290000}"/>
    <cellStyle name="Accent3 45" xfId="2107" xr:uid="{00000000-0005-0000-0000-00006F290000}"/>
    <cellStyle name="Accent3 46" xfId="2106" xr:uid="{00000000-0005-0000-0000-000070290000}"/>
    <cellStyle name="Accent3 47" xfId="2105" xr:uid="{00000000-0005-0000-0000-000071290000}"/>
    <cellStyle name="Accent3 5" xfId="2104" xr:uid="{00000000-0005-0000-0000-000072290000}"/>
    <cellStyle name="Accent3 5 2" xfId="12721" xr:uid="{00000000-0005-0000-0000-000073290000}"/>
    <cellStyle name="Accent3 5 3" xfId="12722" xr:uid="{00000000-0005-0000-0000-000074290000}"/>
    <cellStyle name="Accent3 6" xfId="2103" xr:uid="{00000000-0005-0000-0000-000075290000}"/>
    <cellStyle name="Accent3 6 2" xfId="12723" xr:uid="{00000000-0005-0000-0000-000076290000}"/>
    <cellStyle name="Accent3 6 3" xfId="12724" xr:uid="{00000000-0005-0000-0000-000077290000}"/>
    <cellStyle name="Accent3 6 4" xfId="12725" xr:uid="{00000000-0005-0000-0000-000078290000}"/>
    <cellStyle name="Accent3 7" xfId="2102" xr:uid="{00000000-0005-0000-0000-000079290000}"/>
    <cellStyle name="Accent3 8" xfId="2101" xr:uid="{00000000-0005-0000-0000-00007A290000}"/>
    <cellStyle name="Accent3 9" xfId="2100" xr:uid="{00000000-0005-0000-0000-00007B290000}"/>
    <cellStyle name="Accent4 - 20%" xfId="2099" xr:uid="{00000000-0005-0000-0000-00007C290000}"/>
    <cellStyle name="Accent4 - 40%" xfId="2098" xr:uid="{00000000-0005-0000-0000-00007D290000}"/>
    <cellStyle name="Accent4 - 60%" xfId="2097" xr:uid="{00000000-0005-0000-0000-00007E290000}"/>
    <cellStyle name="Accent4 10" xfId="2096" xr:uid="{00000000-0005-0000-0000-00007F290000}"/>
    <cellStyle name="Accent4 11" xfId="2095" xr:uid="{00000000-0005-0000-0000-000080290000}"/>
    <cellStyle name="Accent4 12" xfId="2094" xr:uid="{00000000-0005-0000-0000-000081290000}"/>
    <cellStyle name="Accent4 13" xfId="2093" xr:uid="{00000000-0005-0000-0000-000082290000}"/>
    <cellStyle name="Accent4 14" xfId="2092" xr:uid="{00000000-0005-0000-0000-000083290000}"/>
    <cellStyle name="Accent4 15" xfId="2091" xr:uid="{00000000-0005-0000-0000-000084290000}"/>
    <cellStyle name="Accent4 16" xfId="2090" xr:uid="{00000000-0005-0000-0000-000085290000}"/>
    <cellStyle name="Accent4 17" xfId="2089" xr:uid="{00000000-0005-0000-0000-000086290000}"/>
    <cellStyle name="Accent4 18" xfId="2088" xr:uid="{00000000-0005-0000-0000-000087290000}"/>
    <cellStyle name="Accent4 19" xfId="2087" xr:uid="{00000000-0005-0000-0000-000088290000}"/>
    <cellStyle name="Accent4 2" xfId="2086" xr:uid="{00000000-0005-0000-0000-000089290000}"/>
    <cellStyle name="Accent4 2 2" xfId="2085" xr:uid="{00000000-0005-0000-0000-00008A290000}"/>
    <cellStyle name="Accent4 2 2 2" xfId="12726" xr:uid="{00000000-0005-0000-0000-00008B290000}"/>
    <cellStyle name="Accent4 2 2 3" xfId="12727" xr:uid="{00000000-0005-0000-0000-00008C290000}"/>
    <cellStyle name="Accent4 2 2 4" xfId="12728" xr:uid="{00000000-0005-0000-0000-00008D290000}"/>
    <cellStyle name="Accent4 2 3" xfId="12729" xr:uid="{00000000-0005-0000-0000-00008E290000}"/>
    <cellStyle name="Accent4 2 3 2" xfId="12730" xr:uid="{00000000-0005-0000-0000-00008F290000}"/>
    <cellStyle name="Accent4 2 3 3" xfId="12731" xr:uid="{00000000-0005-0000-0000-000090290000}"/>
    <cellStyle name="Accent4 2 4" xfId="12732" xr:uid="{00000000-0005-0000-0000-000091290000}"/>
    <cellStyle name="Accent4 2 4 2" xfId="12733" xr:uid="{00000000-0005-0000-0000-000092290000}"/>
    <cellStyle name="Accent4 2 4 3" xfId="12734" xr:uid="{00000000-0005-0000-0000-000093290000}"/>
    <cellStyle name="Accent4 2 5" xfId="12735" xr:uid="{00000000-0005-0000-0000-000094290000}"/>
    <cellStyle name="Accent4 2 6" xfId="12736" xr:uid="{00000000-0005-0000-0000-000095290000}"/>
    <cellStyle name="Accent4 20" xfId="2084" xr:uid="{00000000-0005-0000-0000-000096290000}"/>
    <cellStyle name="Accent4 21" xfId="2083" xr:uid="{00000000-0005-0000-0000-000097290000}"/>
    <cellStyle name="Accent4 22" xfId="2082" xr:uid="{00000000-0005-0000-0000-000098290000}"/>
    <cellStyle name="Accent4 23" xfId="2081" xr:uid="{00000000-0005-0000-0000-000099290000}"/>
    <cellStyle name="Accent4 24" xfId="2080" xr:uid="{00000000-0005-0000-0000-00009A290000}"/>
    <cellStyle name="Accent4 25" xfId="2079" xr:uid="{00000000-0005-0000-0000-00009B290000}"/>
    <cellStyle name="Accent4 26" xfId="2078" xr:uid="{00000000-0005-0000-0000-00009C290000}"/>
    <cellStyle name="Accent4 27" xfId="2077" xr:uid="{00000000-0005-0000-0000-00009D290000}"/>
    <cellStyle name="Accent4 28" xfId="2076" xr:uid="{00000000-0005-0000-0000-00009E290000}"/>
    <cellStyle name="Accent4 29" xfId="2075" xr:uid="{00000000-0005-0000-0000-00009F290000}"/>
    <cellStyle name="Accent4 3" xfId="2074" xr:uid="{00000000-0005-0000-0000-0000A0290000}"/>
    <cellStyle name="Accent4 3 2" xfId="12737" xr:uid="{00000000-0005-0000-0000-0000A1290000}"/>
    <cellStyle name="Accent4 3 2 2" xfId="12738" xr:uid="{00000000-0005-0000-0000-0000A2290000}"/>
    <cellStyle name="Accent4 3 2 3" xfId="12739" xr:uid="{00000000-0005-0000-0000-0000A3290000}"/>
    <cellStyle name="Accent4 3 3" xfId="12740" xr:uid="{00000000-0005-0000-0000-0000A4290000}"/>
    <cellStyle name="Accent4 3 4" xfId="12741" xr:uid="{00000000-0005-0000-0000-0000A5290000}"/>
    <cellStyle name="Accent4 3 5" xfId="12742" xr:uid="{00000000-0005-0000-0000-0000A6290000}"/>
    <cellStyle name="Accent4 30" xfId="2073" xr:uid="{00000000-0005-0000-0000-0000A7290000}"/>
    <cellStyle name="Accent4 31" xfId="2072" xr:uid="{00000000-0005-0000-0000-0000A8290000}"/>
    <cellStyle name="Accent4 32" xfId="2071" xr:uid="{00000000-0005-0000-0000-0000A9290000}"/>
    <cellStyle name="Accent4 33" xfId="2070" xr:uid="{00000000-0005-0000-0000-0000AA290000}"/>
    <cellStyle name="Accent4 34" xfId="2069" xr:uid="{00000000-0005-0000-0000-0000AB290000}"/>
    <cellStyle name="Accent4 35" xfId="2068" xr:uid="{00000000-0005-0000-0000-0000AC290000}"/>
    <cellStyle name="Accent4 36" xfId="2067" xr:uid="{00000000-0005-0000-0000-0000AD290000}"/>
    <cellStyle name="Accent4 37" xfId="2066" xr:uid="{00000000-0005-0000-0000-0000AE290000}"/>
    <cellStyle name="Accent4 38" xfId="2065" xr:uid="{00000000-0005-0000-0000-0000AF290000}"/>
    <cellStyle name="Accent4 39" xfId="2064" xr:uid="{00000000-0005-0000-0000-0000B0290000}"/>
    <cellStyle name="Accent4 4" xfId="2063" xr:uid="{00000000-0005-0000-0000-0000B1290000}"/>
    <cellStyle name="Accent4 4 2" xfId="12743" xr:uid="{00000000-0005-0000-0000-0000B2290000}"/>
    <cellStyle name="Accent4 4 3" xfId="12744" xr:uid="{00000000-0005-0000-0000-0000B3290000}"/>
    <cellStyle name="Accent4 40" xfId="2062" xr:uid="{00000000-0005-0000-0000-0000B4290000}"/>
    <cellStyle name="Accent4 41" xfId="2061" xr:uid="{00000000-0005-0000-0000-0000B5290000}"/>
    <cellStyle name="Accent4 42" xfId="2060" xr:uid="{00000000-0005-0000-0000-0000B6290000}"/>
    <cellStyle name="Accent4 43" xfId="2059" xr:uid="{00000000-0005-0000-0000-0000B7290000}"/>
    <cellStyle name="Accent4 44" xfId="2058" xr:uid="{00000000-0005-0000-0000-0000B8290000}"/>
    <cellStyle name="Accent4 45" xfId="2057" xr:uid="{00000000-0005-0000-0000-0000B9290000}"/>
    <cellStyle name="Accent4 46" xfId="2056" xr:uid="{00000000-0005-0000-0000-0000BA290000}"/>
    <cellStyle name="Accent4 47" xfId="2055" xr:uid="{00000000-0005-0000-0000-0000BB290000}"/>
    <cellStyle name="Accent4 5" xfId="2054" xr:uid="{00000000-0005-0000-0000-0000BC290000}"/>
    <cellStyle name="Accent4 5 2" xfId="12745" xr:uid="{00000000-0005-0000-0000-0000BD290000}"/>
    <cellStyle name="Accent4 5 3" xfId="12746" xr:uid="{00000000-0005-0000-0000-0000BE290000}"/>
    <cellStyle name="Accent4 6" xfId="2053" xr:uid="{00000000-0005-0000-0000-0000BF290000}"/>
    <cellStyle name="Accent4 6 2" xfId="12747" xr:uid="{00000000-0005-0000-0000-0000C0290000}"/>
    <cellStyle name="Accent4 6 3" xfId="12748" xr:uid="{00000000-0005-0000-0000-0000C1290000}"/>
    <cellStyle name="Accent4 6 4" xfId="12749" xr:uid="{00000000-0005-0000-0000-0000C2290000}"/>
    <cellStyle name="Accent4 7" xfId="2052" xr:uid="{00000000-0005-0000-0000-0000C3290000}"/>
    <cellStyle name="Accent4 8" xfId="2051" xr:uid="{00000000-0005-0000-0000-0000C4290000}"/>
    <cellStyle name="Accent4 9" xfId="2050" xr:uid="{00000000-0005-0000-0000-0000C5290000}"/>
    <cellStyle name="Accent5 - 20%" xfId="2049" xr:uid="{00000000-0005-0000-0000-0000C6290000}"/>
    <cellStyle name="Accent5 - 40%" xfId="2048" xr:uid="{00000000-0005-0000-0000-0000C7290000}"/>
    <cellStyle name="Accent5 - 60%" xfId="2047" xr:uid="{00000000-0005-0000-0000-0000C8290000}"/>
    <cellStyle name="Accent5 10" xfId="2046" xr:uid="{00000000-0005-0000-0000-0000C9290000}"/>
    <cellStyle name="Accent5 11" xfId="2045" xr:uid="{00000000-0005-0000-0000-0000CA290000}"/>
    <cellStyle name="Accent5 12" xfId="2044" xr:uid="{00000000-0005-0000-0000-0000CB290000}"/>
    <cellStyle name="Accent5 13" xfId="2043" xr:uid="{00000000-0005-0000-0000-0000CC290000}"/>
    <cellStyle name="Accent5 14" xfId="2042" xr:uid="{00000000-0005-0000-0000-0000CD290000}"/>
    <cellStyle name="Accent5 15" xfId="2041" xr:uid="{00000000-0005-0000-0000-0000CE290000}"/>
    <cellStyle name="Accent5 16" xfId="2040" xr:uid="{00000000-0005-0000-0000-0000CF290000}"/>
    <cellStyle name="Accent5 17" xfId="2039" xr:uid="{00000000-0005-0000-0000-0000D0290000}"/>
    <cellStyle name="Accent5 18" xfId="2038" xr:uid="{00000000-0005-0000-0000-0000D1290000}"/>
    <cellStyle name="Accent5 19" xfId="2037" xr:uid="{00000000-0005-0000-0000-0000D2290000}"/>
    <cellStyle name="Accent5 2" xfId="2036" xr:uid="{00000000-0005-0000-0000-0000D3290000}"/>
    <cellStyle name="Accent5 2 2" xfId="2035" xr:uid="{00000000-0005-0000-0000-0000D4290000}"/>
    <cellStyle name="Accent5 2 2 2" xfId="12750" xr:uid="{00000000-0005-0000-0000-0000D5290000}"/>
    <cellStyle name="Accent5 2 2 3" xfId="12751" xr:uid="{00000000-0005-0000-0000-0000D6290000}"/>
    <cellStyle name="Accent5 2 3" xfId="12752" xr:uid="{00000000-0005-0000-0000-0000D7290000}"/>
    <cellStyle name="Accent5 2 4" xfId="12753" xr:uid="{00000000-0005-0000-0000-0000D8290000}"/>
    <cellStyle name="Accent5 2 4 2" xfId="12754" xr:uid="{00000000-0005-0000-0000-0000D9290000}"/>
    <cellStyle name="Accent5 2 5" xfId="12755" xr:uid="{00000000-0005-0000-0000-0000DA290000}"/>
    <cellStyle name="Accent5 2 6" xfId="12756" xr:uid="{00000000-0005-0000-0000-0000DB290000}"/>
    <cellStyle name="Accent5 2 7" xfId="12757" xr:uid="{00000000-0005-0000-0000-0000DC290000}"/>
    <cellStyle name="Accent5 2 8" xfId="12758" xr:uid="{00000000-0005-0000-0000-0000DD290000}"/>
    <cellStyle name="Accent5 20" xfId="2034" xr:uid="{00000000-0005-0000-0000-0000DE290000}"/>
    <cellStyle name="Accent5 21" xfId="2033" xr:uid="{00000000-0005-0000-0000-0000DF290000}"/>
    <cellStyle name="Accent5 22" xfId="2032" xr:uid="{00000000-0005-0000-0000-0000E0290000}"/>
    <cellStyle name="Accent5 23" xfId="2031" xr:uid="{00000000-0005-0000-0000-0000E1290000}"/>
    <cellStyle name="Accent5 24" xfId="2030" xr:uid="{00000000-0005-0000-0000-0000E2290000}"/>
    <cellStyle name="Accent5 25" xfId="2029" xr:uid="{00000000-0005-0000-0000-0000E3290000}"/>
    <cellStyle name="Accent5 26" xfId="2028" xr:uid="{00000000-0005-0000-0000-0000E4290000}"/>
    <cellStyle name="Accent5 27" xfId="2027" xr:uid="{00000000-0005-0000-0000-0000E5290000}"/>
    <cellStyle name="Accent5 28" xfId="2026" xr:uid="{00000000-0005-0000-0000-0000E6290000}"/>
    <cellStyle name="Accent5 29" xfId="2025" xr:uid="{00000000-0005-0000-0000-0000E7290000}"/>
    <cellStyle name="Accent5 3" xfId="2024" xr:uid="{00000000-0005-0000-0000-0000E8290000}"/>
    <cellStyle name="Accent5 3 2" xfId="12759" xr:uid="{00000000-0005-0000-0000-0000E9290000}"/>
    <cellStyle name="Accent5 3 3" xfId="12760" xr:uid="{00000000-0005-0000-0000-0000EA290000}"/>
    <cellStyle name="Accent5 3 4" xfId="12761" xr:uid="{00000000-0005-0000-0000-0000EB290000}"/>
    <cellStyle name="Accent5 30" xfId="2023" xr:uid="{00000000-0005-0000-0000-0000EC290000}"/>
    <cellStyle name="Accent5 31" xfId="2022" xr:uid="{00000000-0005-0000-0000-0000ED290000}"/>
    <cellStyle name="Accent5 32" xfId="2021" xr:uid="{00000000-0005-0000-0000-0000EE290000}"/>
    <cellStyle name="Accent5 33" xfId="2020" xr:uid="{00000000-0005-0000-0000-0000EF290000}"/>
    <cellStyle name="Accent5 34" xfId="2019" xr:uid="{00000000-0005-0000-0000-0000F0290000}"/>
    <cellStyle name="Accent5 35" xfId="2018" xr:uid="{00000000-0005-0000-0000-0000F1290000}"/>
    <cellStyle name="Accent5 36" xfId="2017" xr:uid="{00000000-0005-0000-0000-0000F2290000}"/>
    <cellStyle name="Accent5 37" xfId="2016" xr:uid="{00000000-0005-0000-0000-0000F3290000}"/>
    <cellStyle name="Accent5 38" xfId="2015" xr:uid="{00000000-0005-0000-0000-0000F4290000}"/>
    <cellStyle name="Accent5 39" xfId="2014" xr:uid="{00000000-0005-0000-0000-0000F5290000}"/>
    <cellStyle name="Accent5 4" xfId="2013" xr:uid="{00000000-0005-0000-0000-0000F6290000}"/>
    <cellStyle name="Accent5 4 2" xfId="12762" xr:uid="{00000000-0005-0000-0000-0000F7290000}"/>
    <cellStyle name="Accent5 4 3" xfId="12763" xr:uid="{00000000-0005-0000-0000-0000F8290000}"/>
    <cellStyle name="Accent5 40" xfId="2012" xr:uid="{00000000-0005-0000-0000-0000F9290000}"/>
    <cellStyle name="Accent5 41" xfId="2011" xr:uid="{00000000-0005-0000-0000-0000FA290000}"/>
    <cellStyle name="Accent5 42" xfId="2010" xr:uid="{00000000-0005-0000-0000-0000FB290000}"/>
    <cellStyle name="Accent5 43" xfId="2009" xr:uid="{00000000-0005-0000-0000-0000FC290000}"/>
    <cellStyle name="Accent5 44" xfId="2008" xr:uid="{00000000-0005-0000-0000-0000FD290000}"/>
    <cellStyle name="Accent5 45" xfId="2007" xr:uid="{00000000-0005-0000-0000-0000FE290000}"/>
    <cellStyle name="Accent5 46" xfId="2006" xr:uid="{00000000-0005-0000-0000-0000FF290000}"/>
    <cellStyle name="Accent5 47" xfId="2005" xr:uid="{00000000-0005-0000-0000-0000002A0000}"/>
    <cellStyle name="Accent5 5" xfId="2004" xr:uid="{00000000-0005-0000-0000-0000012A0000}"/>
    <cellStyle name="Accent5 5 2" xfId="12764" xr:uid="{00000000-0005-0000-0000-0000022A0000}"/>
    <cellStyle name="Accent5 5 3" xfId="12765" xr:uid="{00000000-0005-0000-0000-0000032A0000}"/>
    <cellStyle name="Accent5 6" xfId="2003" xr:uid="{00000000-0005-0000-0000-0000042A0000}"/>
    <cellStyle name="Accent5 6 2" xfId="12766" xr:uid="{00000000-0005-0000-0000-0000052A0000}"/>
    <cellStyle name="Accent5 7" xfId="2002" xr:uid="{00000000-0005-0000-0000-0000062A0000}"/>
    <cellStyle name="Accent5 8" xfId="2001" xr:uid="{00000000-0005-0000-0000-0000072A0000}"/>
    <cellStyle name="Accent5 9" xfId="2000" xr:uid="{00000000-0005-0000-0000-0000082A0000}"/>
    <cellStyle name="Accent6 - 20%" xfId="1999" xr:uid="{00000000-0005-0000-0000-0000092A0000}"/>
    <cellStyle name="Accent6 - 40%" xfId="1998" xr:uid="{00000000-0005-0000-0000-00000A2A0000}"/>
    <cellStyle name="Accent6 - 60%" xfId="1997" xr:uid="{00000000-0005-0000-0000-00000B2A0000}"/>
    <cellStyle name="Accent6 10" xfId="1996" xr:uid="{00000000-0005-0000-0000-00000C2A0000}"/>
    <cellStyle name="Accent6 11" xfId="1995" xr:uid="{00000000-0005-0000-0000-00000D2A0000}"/>
    <cellStyle name="Accent6 12" xfId="1994" xr:uid="{00000000-0005-0000-0000-00000E2A0000}"/>
    <cellStyle name="Accent6 13" xfId="1993" xr:uid="{00000000-0005-0000-0000-00000F2A0000}"/>
    <cellStyle name="Accent6 14" xfId="1992" xr:uid="{00000000-0005-0000-0000-0000102A0000}"/>
    <cellStyle name="Accent6 15" xfId="1991" xr:uid="{00000000-0005-0000-0000-0000112A0000}"/>
    <cellStyle name="Accent6 16" xfId="1990" xr:uid="{00000000-0005-0000-0000-0000122A0000}"/>
    <cellStyle name="Accent6 17" xfId="1989" xr:uid="{00000000-0005-0000-0000-0000132A0000}"/>
    <cellStyle name="Accent6 18" xfId="1988" xr:uid="{00000000-0005-0000-0000-0000142A0000}"/>
    <cellStyle name="Accent6 19" xfId="1987" xr:uid="{00000000-0005-0000-0000-0000152A0000}"/>
    <cellStyle name="Accent6 2" xfId="1986" xr:uid="{00000000-0005-0000-0000-0000162A0000}"/>
    <cellStyle name="Accent6 2 2" xfId="1985" xr:uid="{00000000-0005-0000-0000-0000172A0000}"/>
    <cellStyle name="Accent6 2 2 2" xfId="12767" xr:uid="{00000000-0005-0000-0000-0000182A0000}"/>
    <cellStyle name="Accent6 2 2 3" xfId="12768" xr:uid="{00000000-0005-0000-0000-0000192A0000}"/>
    <cellStyle name="Accent6 2 2 4" xfId="12769" xr:uid="{00000000-0005-0000-0000-00001A2A0000}"/>
    <cellStyle name="Accent6 2 3" xfId="12770" xr:uid="{00000000-0005-0000-0000-00001B2A0000}"/>
    <cellStyle name="Accent6 2 3 2" xfId="12771" xr:uid="{00000000-0005-0000-0000-00001C2A0000}"/>
    <cellStyle name="Accent6 2 3 3" xfId="12772" xr:uid="{00000000-0005-0000-0000-00001D2A0000}"/>
    <cellStyle name="Accent6 2 4" xfId="12773" xr:uid="{00000000-0005-0000-0000-00001E2A0000}"/>
    <cellStyle name="Accent6 2 4 2" xfId="12774" xr:uid="{00000000-0005-0000-0000-00001F2A0000}"/>
    <cellStyle name="Accent6 2 4 3" xfId="12775" xr:uid="{00000000-0005-0000-0000-0000202A0000}"/>
    <cellStyle name="Accent6 2 5" xfId="12776" xr:uid="{00000000-0005-0000-0000-0000212A0000}"/>
    <cellStyle name="Accent6 2 6" xfId="12777" xr:uid="{00000000-0005-0000-0000-0000222A0000}"/>
    <cellStyle name="Accent6 20" xfId="1984" xr:uid="{00000000-0005-0000-0000-0000232A0000}"/>
    <cellStyle name="Accent6 21" xfId="1983" xr:uid="{00000000-0005-0000-0000-0000242A0000}"/>
    <cellStyle name="Accent6 22" xfId="1982" xr:uid="{00000000-0005-0000-0000-0000252A0000}"/>
    <cellStyle name="Accent6 23" xfId="1981" xr:uid="{00000000-0005-0000-0000-0000262A0000}"/>
    <cellStyle name="Accent6 24" xfId="1980" xr:uid="{00000000-0005-0000-0000-0000272A0000}"/>
    <cellStyle name="Accent6 25" xfId="1979" xr:uid="{00000000-0005-0000-0000-0000282A0000}"/>
    <cellStyle name="Accent6 26" xfId="1978" xr:uid="{00000000-0005-0000-0000-0000292A0000}"/>
    <cellStyle name="Accent6 27" xfId="1977" xr:uid="{00000000-0005-0000-0000-00002A2A0000}"/>
    <cellStyle name="Accent6 28" xfId="1976" xr:uid="{00000000-0005-0000-0000-00002B2A0000}"/>
    <cellStyle name="Accent6 29" xfId="1975" xr:uid="{00000000-0005-0000-0000-00002C2A0000}"/>
    <cellStyle name="Accent6 3" xfId="1974" xr:uid="{00000000-0005-0000-0000-00002D2A0000}"/>
    <cellStyle name="Accent6 3 2" xfId="12778" xr:uid="{00000000-0005-0000-0000-00002E2A0000}"/>
    <cellStyle name="Accent6 3 2 2" xfId="12779" xr:uid="{00000000-0005-0000-0000-00002F2A0000}"/>
    <cellStyle name="Accent6 3 2 3" xfId="12780" xr:uid="{00000000-0005-0000-0000-0000302A0000}"/>
    <cellStyle name="Accent6 3 3" xfId="12781" xr:uid="{00000000-0005-0000-0000-0000312A0000}"/>
    <cellStyle name="Accent6 3 4" xfId="12782" xr:uid="{00000000-0005-0000-0000-0000322A0000}"/>
    <cellStyle name="Accent6 3 5" xfId="12783" xr:uid="{00000000-0005-0000-0000-0000332A0000}"/>
    <cellStyle name="Accent6 30" xfId="1973" xr:uid="{00000000-0005-0000-0000-0000342A0000}"/>
    <cellStyle name="Accent6 31" xfId="1972" xr:uid="{00000000-0005-0000-0000-0000352A0000}"/>
    <cellStyle name="Accent6 32" xfId="1971" xr:uid="{00000000-0005-0000-0000-0000362A0000}"/>
    <cellStyle name="Accent6 33" xfId="1970" xr:uid="{00000000-0005-0000-0000-0000372A0000}"/>
    <cellStyle name="Accent6 34" xfId="1969" xr:uid="{00000000-0005-0000-0000-0000382A0000}"/>
    <cellStyle name="Accent6 35" xfId="1968" xr:uid="{00000000-0005-0000-0000-0000392A0000}"/>
    <cellStyle name="Accent6 36" xfId="1967" xr:uid="{00000000-0005-0000-0000-00003A2A0000}"/>
    <cellStyle name="Accent6 37" xfId="1966" xr:uid="{00000000-0005-0000-0000-00003B2A0000}"/>
    <cellStyle name="Accent6 38" xfId="1965" xr:uid="{00000000-0005-0000-0000-00003C2A0000}"/>
    <cellStyle name="Accent6 39" xfId="1964" xr:uid="{00000000-0005-0000-0000-00003D2A0000}"/>
    <cellStyle name="Accent6 4" xfId="1963" xr:uid="{00000000-0005-0000-0000-00003E2A0000}"/>
    <cellStyle name="Accent6 4 2" xfId="12784" xr:uid="{00000000-0005-0000-0000-00003F2A0000}"/>
    <cellStyle name="Accent6 4 3" xfId="12785" xr:uid="{00000000-0005-0000-0000-0000402A0000}"/>
    <cellStyle name="Accent6 40" xfId="1962" xr:uid="{00000000-0005-0000-0000-0000412A0000}"/>
    <cellStyle name="Accent6 41" xfId="1961" xr:uid="{00000000-0005-0000-0000-0000422A0000}"/>
    <cellStyle name="Accent6 42" xfId="1960" xr:uid="{00000000-0005-0000-0000-0000432A0000}"/>
    <cellStyle name="Accent6 43" xfId="1959" xr:uid="{00000000-0005-0000-0000-0000442A0000}"/>
    <cellStyle name="Accent6 44" xfId="1958" xr:uid="{00000000-0005-0000-0000-0000452A0000}"/>
    <cellStyle name="Accent6 45" xfId="1957" xr:uid="{00000000-0005-0000-0000-0000462A0000}"/>
    <cellStyle name="Accent6 46" xfId="1956" xr:uid="{00000000-0005-0000-0000-0000472A0000}"/>
    <cellStyle name="Accent6 47" xfId="1955" xr:uid="{00000000-0005-0000-0000-0000482A0000}"/>
    <cellStyle name="Accent6 5" xfId="1954" xr:uid="{00000000-0005-0000-0000-0000492A0000}"/>
    <cellStyle name="Accent6 5 2" xfId="12786" xr:uid="{00000000-0005-0000-0000-00004A2A0000}"/>
    <cellStyle name="Accent6 5 3" xfId="12787" xr:uid="{00000000-0005-0000-0000-00004B2A0000}"/>
    <cellStyle name="Accent6 6" xfId="1953" xr:uid="{00000000-0005-0000-0000-00004C2A0000}"/>
    <cellStyle name="Accent6 6 2" xfId="12788" xr:uid="{00000000-0005-0000-0000-00004D2A0000}"/>
    <cellStyle name="Accent6 6 3" xfId="12789" xr:uid="{00000000-0005-0000-0000-00004E2A0000}"/>
    <cellStyle name="Accent6 6 4" xfId="12790" xr:uid="{00000000-0005-0000-0000-00004F2A0000}"/>
    <cellStyle name="Accent6 7" xfId="1952" xr:uid="{00000000-0005-0000-0000-0000502A0000}"/>
    <cellStyle name="Accent6 8" xfId="1951" xr:uid="{00000000-0005-0000-0000-0000512A0000}"/>
    <cellStyle name="Accent6 9" xfId="1950" xr:uid="{00000000-0005-0000-0000-0000522A0000}"/>
    <cellStyle name="Bad 10" xfId="1949" xr:uid="{00000000-0005-0000-0000-0000532A0000}"/>
    <cellStyle name="Bad 11" xfId="1948" xr:uid="{00000000-0005-0000-0000-0000542A0000}"/>
    <cellStyle name="Bad 2" xfId="1947" xr:uid="{00000000-0005-0000-0000-0000552A0000}"/>
    <cellStyle name="Bad 2 2" xfId="1946" xr:uid="{00000000-0005-0000-0000-0000562A0000}"/>
    <cellStyle name="Bad 2 2 2" xfId="12791" xr:uid="{00000000-0005-0000-0000-0000572A0000}"/>
    <cellStyle name="Bad 2 2 3" xfId="12792" xr:uid="{00000000-0005-0000-0000-0000582A0000}"/>
    <cellStyle name="Bad 2 2 4" xfId="12793" xr:uid="{00000000-0005-0000-0000-0000592A0000}"/>
    <cellStyle name="Bad 2 3" xfId="12794" xr:uid="{00000000-0005-0000-0000-00005A2A0000}"/>
    <cellStyle name="Bad 2 3 2" xfId="12795" xr:uid="{00000000-0005-0000-0000-00005B2A0000}"/>
    <cellStyle name="Bad 2 3 3" xfId="12796" xr:uid="{00000000-0005-0000-0000-00005C2A0000}"/>
    <cellStyle name="Bad 2 4" xfId="12797" xr:uid="{00000000-0005-0000-0000-00005D2A0000}"/>
    <cellStyle name="Bad 2 4 2" xfId="12798" xr:uid="{00000000-0005-0000-0000-00005E2A0000}"/>
    <cellStyle name="Bad 2 4 3" xfId="12799" xr:uid="{00000000-0005-0000-0000-00005F2A0000}"/>
    <cellStyle name="Bad 2 5" xfId="12800" xr:uid="{00000000-0005-0000-0000-0000602A0000}"/>
    <cellStyle name="Bad 2 6" xfId="12801" xr:uid="{00000000-0005-0000-0000-0000612A0000}"/>
    <cellStyle name="Bad 3" xfId="1945" xr:uid="{00000000-0005-0000-0000-0000622A0000}"/>
    <cellStyle name="Bad 3 2" xfId="12802" xr:uid="{00000000-0005-0000-0000-0000632A0000}"/>
    <cellStyle name="Bad 3 2 2" xfId="12803" xr:uid="{00000000-0005-0000-0000-0000642A0000}"/>
    <cellStyle name="Bad 3 2 3" xfId="12804" xr:uid="{00000000-0005-0000-0000-0000652A0000}"/>
    <cellStyle name="Bad 3 3" xfId="12805" xr:uid="{00000000-0005-0000-0000-0000662A0000}"/>
    <cellStyle name="Bad 3 4" xfId="12806" xr:uid="{00000000-0005-0000-0000-0000672A0000}"/>
    <cellStyle name="Bad 3 5" xfId="12807" xr:uid="{00000000-0005-0000-0000-0000682A0000}"/>
    <cellStyle name="Bad 4" xfId="1944" xr:uid="{00000000-0005-0000-0000-0000692A0000}"/>
    <cellStyle name="Bad 4 2" xfId="12808" xr:uid="{00000000-0005-0000-0000-00006A2A0000}"/>
    <cellStyle name="Bad 4 3" xfId="12809" xr:uid="{00000000-0005-0000-0000-00006B2A0000}"/>
    <cellStyle name="Bad 5" xfId="1943" xr:uid="{00000000-0005-0000-0000-00006C2A0000}"/>
    <cellStyle name="Bad 5 2" xfId="12810" xr:uid="{00000000-0005-0000-0000-00006D2A0000}"/>
    <cellStyle name="Bad 5 3" xfId="12811" xr:uid="{00000000-0005-0000-0000-00006E2A0000}"/>
    <cellStyle name="Bad 6" xfId="1942" xr:uid="{00000000-0005-0000-0000-00006F2A0000}"/>
    <cellStyle name="Bad 6 2" xfId="12812" xr:uid="{00000000-0005-0000-0000-0000702A0000}"/>
    <cellStyle name="Bad 6 3" xfId="12813" xr:uid="{00000000-0005-0000-0000-0000712A0000}"/>
    <cellStyle name="Bad 6 4" xfId="12814" xr:uid="{00000000-0005-0000-0000-0000722A0000}"/>
    <cellStyle name="Bad 7" xfId="1941" xr:uid="{00000000-0005-0000-0000-0000732A0000}"/>
    <cellStyle name="Bad 8" xfId="1940" xr:uid="{00000000-0005-0000-0000-0000742A0000}"/>
    <cellStyle name="Bad 9" xfId="1939" xr:uid="{00000000-0005-0000-0000-0000752A0000}"/>
    <cellStyle name="blank" xfId="1938" xr:uid="{00000000-0005-0000-0000-0000762A0000}"/>
    <cellStyle name="Calc Currency (0)" xfId="1937" xr:uid="{00000000-0005-0000-0000-0000772A0000}"/>
    <cellStyle name="Calculation 10" xfId="1936" xr:uid="{00000000-0005-0000-0000-0000782A0000}"/>
    <cellStyle name="Calculation 11" xfId="1935" xr:uid="{00000000-0005-0000-0000-0000792A0000}"/>
    <cellStyle name="Calculation 2" xfId="1934" xr:uid="{00000000-0005-0000-0000-00007A2A0000}"/>
    <cellStyle name="Calculation 2 2" xfId="1933" xr:uid="{00000000-0005-0000-0000-00007B2A0000}"/>
    <cellStyle name="Calculation 2 2 2" xfId="12815" xr:uid="{00000000-0005-0000-0000-00007C2A0000}"/>
    <cellStyle name="Calculation 2 2 3" xfId="12816" xr:uid="{00000000-0005-0000-0000-00007D2A0000}"/>
    <cellStyle name="Calculation 2 2 4" xfId="12817" xr:uid="{00000000-0005-0000-0000-00007E2A0000}"/>
    <cellStyle name="Calculation 2 3" xfId="12818" xr:uid="{00000000-0005-0000-0000-00007F2A0000}"/>
    <cellStyle name="Calculation 2 3 2" xfId="12819" xr:uid="{00000000-0005-0000-0000-0000802A0000}"/>
    <cellStyle name="Calculation 2 3 3" xfId="12820" xr:uid="{00000000-0005-0000-0000-0000812A0000}"/>
    <cellStyle name="Calculation 2 4" xfId="12821" xr:uid="{00000000-0005-0000-0000-0000822A0000}"/>
    <cellStyle name="Calculation 2 4 2" xfId="12822" xr:uid="{00000000-0005-0000-0000-0000832A0000}"/>
    <cellStyle name="Calculation 2 4 3" xfId="12823" xr:uid="{00000000-0005-0000-0000-0000842A0000}"/>
    <cellStyle name="Calculation 2 5" xfId="12824" xr:uid="{00000000-0005-0000-0000-0000852A0000}"/>
    <cellStyle name="Calculation 2 6" xfId="12825" xr:uid="{00000000-0005-0000-0000-0000862A0000}"/>
    <cellStyle name="Calculation 3" xfId="1932" xr:uid="{00000000-0005-0000-0000-0000872A0000}"/>
    <cellStyle name="Calculation 3 2" xfId="12826" xr:uid="{00000000-0005-0000-0000-0000882A0000}"/>
    <cellStyle name="Calculation 3 2 2" xfId="12827" xr:uid="{00000000-0005-0000-0000-0000892A0000}"/>
    <cellStyle name="Calculation 3 2 3" xfId="12828" xr:uid="{00000000-0005-0000-0000-00008A2A0000}"/>
    <cellStyle name="Calculation 3 3" xfId="12829" xr:uid="{00000000-0005-0000-0000-00008B2A0000}"/>
    <cellStyle name="Calculation 3 4" xfId="12830" xr:uid="{00000000-0005-0000-0000-00008C2A0000}"/>
    <cellStyle name="Calculation 3 5" xfId="12831" xr:uid="{00000000-0005-0000-0000-00008D2A0000}"/>
    <cellStyle name="Calculation 4" xfId="1931" xr:uid="{00000000-0005-0000-0000-00008E2A0000}"/>
    <cellStyle name="Calculation 4 2" xfId="12832" xr:uid="{00000000-0005-0000-0000-00008F2A0000}"/>
    <cellStyle name="Calculation 4 3" xfId="12833" xr:uid="{00000000-0005-0000-0000-0000902A0000}"/>
    <cellStyle name="Calculation 5" xfId="1930" xr:uid="{00000000-0005-0000-0000-0000912A0000}"/>
    <cellStyle name="Calculation 5 2" xfId="12834" xr:uid="{00000000-0005-0000-0000-0000922A0000}"/>
    <cellStyle name="Calculation 5 3" xfId="12835" xr:uid="{00000000-0005-0000-0000-0000932A0000}"/>
    <cellStyle name="Calculation 6" xfId="1929" xr:uid="{00000000-0005-0000-0000-0000942A0000}"/>
    <cellStyle name="Calculation 6 2" xfId="12836" xr:uid="{00000000-0005-0000-0000-0000952A0000}"/>
    <cellStyle name="Calculation 6 3" xfId="12837" xr:uid="{00000000-0005-0000-0000-0000962A0000}"/>
    <cellStyle name="Calculation 6 4" xfId="12838" xr:uid="{00000000-0005-0000-0000-0000972A0000}"/>
    <cellStyle name="Calculation 7" xfId="1928" xr:uid="{00000000-0005-0000-0000-0000982A0000}"/>
    <cellStyle name="Calculation 8" xfId="1927" xr:uid="{00000000-0005-0000-0000-0000992A0000}"/>
    <cellStyle name="Calculation 9" xfId="1926" xr:uid="{00000000-0005-0000-0000-00009A2A0000}"/>
    <cellStyle name="Check Cell 10" xfId="1925" xr:uid="{00000000-0005-0000-0000-00009B2A0000}"/>
    <cellStyle name="Check Cell 2" xfId="1924" xr:uid="{00000000-0005-0000-0000-00009C2A0000}"/>
    <cellStyle name="Check Cell 2 2" xfId="1923" xr:uid="{00000000-0005-0000-0000-00009D2A0000}"/>
    <cellStyle name="Check Cell 2 2 2" xfId="12839" xr:uid="{00000000-0005-0000-0000-00009E2A0000}"/>
    <cellStyle name="Check Cell 2 2 3" xfId="12840" xr:uid="{00000000-0005-0000-0000-00009F2A0000}"/>
    <cellStyle name="Check Cell 2 3" xfId="12841" xr:uid="{00000000-0005-0000-0000-0000A02A0000}"/>
    <cellStyle name="Check Cell 2 4" xfId="12842" xr:uid="{00000000-0005-0000-0000-0000A12A0000}"/>
    <cellStyle name="Check Cell 2 4 2" xfId="12843" xr:uid="{00000000-0005-0000-0000-0000A22A0000}"/>
    <cellStyle name="Check Cell 2 5" xfId="12844" xr:uid="{00000000-0005-0000-0000-0000A32A0000}"/>
    <cellStyle name="Check Cell 2 6" xfId="12845" xr:uid="{00000000-0005-0000-0000-0000A42A0000}"/>
    <cellStyle name="Check Cell 2 7" xfId="12846" xr:uid="{00000000-0005-0000-0000-0000A52A0000}"/>
    <cellStyle name="Check Cell 2 8" xfId="12847" xr:uid="{00000000-0005-0000-0000-0000A62A0000}"/>
    <cellStyle name="Check Cell 3" xfId="1922" xr:uid="{00000000-0005-0000-0000-0000A72A0000}"/>
    <cellStyle name="Check Cell 3 2" xfId="12848" xr:uid="{00000000-0005-0000-0000-0000A82A0000}"/>
    <cellStyle name="Check Cell 3 3" xfId="12849" xr:uid="{00000000-0005-0000-0000-0000A92A0000}"/>
    <cellStyle name="Check Cell 3 4" xfId="12850" xr:uid="{00000000-0005-0000-0000-0000AA2A0000}"/>
    <cellStyle name="Check Cell 4" xfId="1921" xr:uid="{00000000-0005-0000-0000-0000AB2A0000}"/>
    <cellStyle name="Check Cell 4 2" xfId="12851" xr:uid="{00000000-0005-0000-0000-0000AC2A0000}"/>
    <cellStyle name="Check Cell 4 3" xfId="12852" xr:uid="{00000000-0005-0000-0000-0000AD2A0000}"/>
    <cellStyle name="Check Cell 5" xfId="1920" xr:uid="{00000000-0005-0000-0000-0000AE2A0000}"/>
    <cellStyle name="Check Cell 5 2" xfId="12853" xr:uid="{00000000-0005-0000-0000-0000AF2A0000}"/>
    <cellStyle name="Check Cell 5 3" xfId="12854" xr:uid="{00000000-0005-0000-0000-0000B02A0000}"/>
    <cellStyle name="Check Cell 6" xfId="1919" xr:uid="{00000000-0005-0000-0000-0000B12A0000}"/>
    <cellStyle name="Check Cell 6 2" xfId="12855" xr:uid="{00000000-0005-0000-0000-0000B22A0000}"/>
    <cellStyle name="Check Cell 7" xfId="1918" xr:uid="{00000000-0005-0000-0000-0000B32A0000}"/>
    <cellStyle name="Check Cell 8" xfId="1917" xr:uid="{00000000-0005-0000-0000-0000B42A0000}"/>
    <cellStyle name="Check Cell 9" xfId="1916" xr:uid="{00000000-0005-0000-0000-0000B52A0000}"/>
    <cellStyle name="CheckCell" xfId="1915" xr:uid="{00000000-0005-0000-0000-0000B62A0000}"/>
    <cellStyle name="Comma [0] 2" xfId="1914" xr:uid="{00000000-0005-0000-0000-0000B72A0000}"/>
    <cellStyle name="Comma [0] 2 2" xfId="1913" xr:uid="{00000000-0005-0000-0000-0000B82A0000}"/>
    <cellStyle name="Comma [0] 3" xfId="1912" xr:uid="{00000000-0005-0000-0000-0000B92A0000}"/>
    <cellStyle name="Comma 10" xfId="1911" xr:uid="{00000000-0005-0000-0000-0000BA2A0000}"/>
    <cellStyle name="Comma 10 10" xfId="12856" xr:uid="{00000000-0005-0000-0000-0000BB2A0000}"/>
    <cellStyle name="Comma 10 2" xfId="12857" xr:uid="{00000000-0005-0000-0000-0000BC2A0000}"/>
    <cellStyle name="Comma 10 2 2" xfId="12858" xr:uid="{00000000-0005-0000-0000-0000BD2A0000}"/>
    <cellStyle name="Comma 10 2 2 2" xfId="12859" xr:uid="{00000000-0005-0000-0000-0000BE2A0000}"/>
    <cellStyle name="Comma 10 2 2 2 2" xfId="12860" xr:uid="{00000000-0005-0000-0000-0000BF2A0000}"/>
    <cellStyle name="Comma 10 2 2 3" xfId="6522" xr:uid="{00000000-0005-0000-0000-0000C02A0000}"/>
    <cellStyle name="Comma 10 2 2 3 2" xfId="12861" xr:uid="{00000000-0005-0000-0000-0000C12A0000}"/>
    <cellStyle name="Comma 10 2 2 4" xfId="12862" xr:uid="{00000000-0005-0000-0000-0000C22A0000}"/>
    <cellStyle name="Comma 10 2 2 5" xfId="12863" xr:uid="{00000000-0005-0000-0000-0000C32A0000}"/>
    <cellStyle name="Comma 10 2 3" xfId="12864" xr:uid="{00000000-0005-0000-0000-0000C42A0000}"/>
    <cellStyle name="Comma 10 2 3 2" xfId="12865" xr:uid="{00000000-0005-0000-0000-0000C52A0000}"/>
    <cellStyle name="Comma 10 2 3 2 2" xfId="12866" xr:uid="{00000000-0005-0000-0000-0000C62A0000}"/>
    <cellStyle name="Comma 10 2 3 3" xfId="12867" xr:uid="{00000000-0005-0000-0000-0000C72A0000}"/>
    <cellStyle name="Comma 10 2 4" xfId="12868" xr:uid="{00000000-0005-0000-0000-0000C82A0000}"/>
    <cellStyle name="Comma 10 2 4 2" xfId="12869" xr:uid="{00000000-0005-0000-0000-0000C92A0000}"/>
    <cellStyle name="Comma 10 2 5" xfId="12870" xr:uid="{00000000-0005-0000-0000-0000CA2A0000}"/>
    <cellStyle name="Comma 10 2 5 2" xfId="12871" xr:uid="{00000000-0005-0000-0000-0000CB2A0000}"/>
    <cellStyle name="Comma 10 2 6" xfId="12872" xr:uid="{00000000-0005-0000-0000-0000CC2A0000}"/>
    <cellStyle name="Comma 10 3" xfId="12873" xr:uid="{00000000-0005-0000-0000-0000CD2A0000}"/>
    <cellStyle name="Comma 10 3 2" xfId="12874" xr:uid="{00000000-0005-0000-0000-0000CE2A0000}"/>
    <cellStyle name="Comma 10 3 2 2" xfId="12875" xr:uid="{00000000-0005-0000-0000-0000CF2A0000}"/>
    <cellStyle name="Comma 10 3 2 2 2" xfId="12876" xr:uid="{00000000-0005-0000-0000-0000D02A0000}"/>
    <cellStyle name="Comma 10 3 2 3" xfId="12877" xr:uid="{00000000-0005-0000-0000-0000D12A0000}"/>
    <cellStyle name="Comma 10 3 2 3 2" xfId="12878" xr:uid="{00000000-0005-0000-0000-0000D22A0000}"/>
    <cellStyle name="Comma 10 3 2 4" xfId="12879" xr:uid="{00000000-0005-0000-0000-0000D32A0000}"/>
    <cellStyle name="Comma 10 3 2 5" xfId="12880" xr:uid="{00000000-0005-0000-0000-0000D42A0000}"/>
    <cellStyle name="Comma 10 3 3" xfId="12881" xr:uid="{00000000-0005-0000-0000-0000D52A0000}"/>
    <cellStyle name="Comma 10 3 3 2" xfId="12882" xr:uid="{00000000-0005-0000-0000-0000D62A0000}"/>
    <cellStyle name="Comma 10 3 3 2 2" xfId="12883" xr:uid="{00000000-0005-0000-0000-0000D72A0000}"/>
    <cellStyle name="Comma 10 3 3 3" xfId="12884" xr:uid="{00000000-0005-0000-0000-0000D82A0000}"/>
    <cellStyle name="Comma 10 3 4" xfId="12885" xr:uid="{00000000-0005-0000-0000-0000D92A0000}"/>
    <cellStyle name="Comma 10 3 4 2" xfId="12886" xr:uid="{00000000-0005-0000-0000-0000DA2A0000}"/>
    <cellStyle name="Comma 10 3 5" xfId="12887" xr:uid="{00000000-0005-0000-0000-0000DB2A0000}"/>
    <cellStyle name="Comma 10 3 5 2" xfId="12888" xr:uid="{00000000-0005-0000-0000-0000DC2A0000}"/>
    <cellStyle name="Comma 10 3 6" xfId="12889" xr:uid="{00000000-0005-0000-0000-0000DD2A0000}"/>
    <cellStyle name="Comma 10 4" xfId="12890" xr:uid="{00000000-0005-0000-0000-0000DE2A0000}"/>
    <cellStyle name="Comma 10 4 2" xfId="12891" xr:uid="{00000000-0005-0000-0000-0000DF2A0000}"/>
    <cellStyle name="Comma 10 4 2 2" xfId="12892" xr:uid="{00000000-0005-0000-0000-0000E02A0000}"/>
    <cellStyle name="Comma 10 4 2 2 2" xfId="12893" xr:uid="{00000000-0005-0000-0000-0000E12A0000}"/>
    <cellStyle name="Comma 10 4 2 3" xfId="12894" xr:uid="{00000000-0005-0000-0000-0000E22A0000}"/>
    <cellStyle name="Comma 10 4 3" xfId="12895" xr:uid="{00000000-0005-0000-0000-0000E32A0000}"/>
    <cellStyle name="Comma 10 4 3 2" xfId="12896" xr:uid="{00000000-0005-0000-0000-0000E42A0000}"/>
    <cellStyle name="Comma 10 4 4" xfId="12897" xr:uid="{00000000-0005-0000-0000-0000E52A0000}"/>
    <cellStyle name="Comma 10 4 4 2" xfId="12898" xr:uid="{00000000-0005-0000-0000-0000E62A0000}"/>
    <cellStyle name="Comma 10 4 5" xfId="12899" xr:uid="{00000000-0005-0000-0000-0000E72A0000}"/>
    <cellStyle name="Comma 10 5" xfId="12900" xr:uid="{00000000-0005-0000-0000-0000E82A0000}"/>
    <cellStyle name="Comma 10 5 2" xfId="12901" xr:uid="{00000000-0005-0000-0000-0000E92A0000}"/>
    <cellStyle name="Comma 10 5 2 2" xfId="12902" xr:uid="{00000000-0005-0000-0000-0000EA2A0000}"/>
    <cellStyle name="Comma 10 5 3" xfId="12903" xr:uid="{00000000-0005-0000-0000-0000EB2A0000}"/>
    <cellStyle name="Comma 10 5 3 2" xfId="12904" xr:uid="{00000000-0005-0000-0000-0000EC2A0000}"/>
    <cellStyle name="Comma 10 5 4" xfId="12905" xr:uid="{00000000-0005-0000-0000-0000ED2A0000}"/>
    <cellStyle name="Comma 10 5 4 2" xfId="12906" xr:uid="{00000000-0005-0000-0000-0000EE2A0000}"/>
    <cellStyle name="Comma 10 5 5" xfId="12907" xr:uid="{00000000-0005-0000-0000-0000EF2A0000}"/>
    <cellStyle name="Comma 10 6" xfId="12908" xr:uid="{00000000-0005-0000-0000-0000F02A0000}"/>
    <cellStyle name="Comma 10 6 2" xfId="12909" xr:uid="{00000000-0005-0000-0000-0000F12A0000}"/>
    <cellStyle name="Comma 10 6 2 2" xfId="12910" xr:uid="{00000000-0005-0000-0000-0000F22A0000}"/>
    <cellStyle name="Comma 10 6 3" xfId="12911" xr:uid="{00000000-0005-0000-0000-0000F32A0000}"/>
    <cellStyle name="Comma 10 7" xfId="12912" xr:uid="{00000000-0005-0000-0000-0000F42A0000}"/>
    <cellStyle name="Comma 10 7 2" xfId="12913" xr:uid="{00000000-0005-0000-0000-0000F52A0000}"/>
    <cellStyle name="Comma 10 7 2 2" xfId="12914" xr:uid="{00000000-0005-0000-0000-0000F62A0000}"/>
    <cellStyle name="Comma 10 7 3" xfId="12915" xr:uid="{00000000-0005-0000-0000-0000F72A0000}"/>
    <cellStyle name="Comma 10 8" xfId="12916" xr:uid="{00000000-0005-0000-0000-0000F82A0000}"/>
    <cellStyle name="Comma 10 8 2" xfId="12917" xr:uid="{00000000-0005-0000-0000-0000F92A0000}"/>
    <cellStyle name="Comma 10 9" xfId="12918" xr:uid="{00000000-0005-0000-0000-0000FA2A0000}"/>
    <cellStyle name="Comma 11" xfId="1910" xr:uid="{00000000-0005-0000-0000-0000FB2A0000}"/>
    <cellStyle name="Comma 11 2" xfId="12919" xr:uid="{00000000-0005-0000-0000-0000FC2A0000}"/>
    <cellStyle name="Comma 11 3" xfId="12920" xr:uid="{00000000-0005-0000-0000-0000FD2A0000}"/>
    <cellStyle name="Comma 11 3 2" xfId="12921" xr:uid="{00000000-0005-0000-0000-0000FE2A0000}"/>
    <cellStyle name="Comma 11 4" xfId="12922" xr:uid="{00000000-0005-0000-0000-0000FF2A0000}"/>
    <cellStyle name="Comma 11 4 2" xfId="12923" xr:uid="{00000000-0005-0000-0000-0000002B0000}"/>
    <cellStyle name="Comma 11 5" xfId="12924" xr:uid="{00000000-0005-0000-0000-0000012B0000}"/>
    <cellStyle name="Comma 12" xfId="1909" xr:uid="{00000000-0005-0000-0000-0000022B0000}"/>
    <cellStyle name="Comma 12 2" xfId="12925" xr:uid="{00000000-0005-0000-0000-0000032B0000}"/>
    <cellStyle name="Comma 12 3" xfId="12926" xr:uid="{00000000-0005-0000-0000-0000042B0000}"/>
    <cellStyle name="Comma 12 3 2" xfId="12927" xr:uid="{00000000-0005-0000-0000-0000052B0000}"/>
    <cellStyle name="Comma 12 4" xfId="12928" xr:uid="{00000000-0005-0000-0000-0000062B0000}"/>
    <cellStyle name="Comma 12 4 2" xfId="12929" xr:uid="{00000000-0005-0000-0000-0000072B0000}"/>
    <cellStyle name="Comma 13" xfId="1908" xr:uid="{00000000-0005-0000-0000-0000082B0000}"/>
    <cellStyle name="Comma 13 2" xfId="1907" xr:uid="{00000000-0005-0000-0000-0000092B0000}"/>
    <cellStyle name="Comma 13 2 2" xfId="1906" xr:uid="{00000000-0005-0000-0000-00000A2B0000}"/>
    <cellStyle name="Comma 13 2 2 2" xfId="1905" xr:uid="{00000000-0005-0000-0000-00000B2B0000}"/>
    <cellStyle name="Comma 13 2 2 2 2" xfId="12930" xr:uid="{00000000-0005-0000-0000-00000C2B0000}"/>
    <cellStyle name="Comma 13 2 2 3" xfId="1904" xr:uid="{00000000-0005-0000-0000-00000D2B0000}"/>
    <cellStyle name="Comma 13 2 2 3 2" xfId="12931" xr:uid="{00000000-0005-0000-0000-00000E2B0000}"/>
    <cellStyle name="Comma 13 2 2 4" xfId="12932" xr:uid="{00000000-0005-0000-0000-00000F2B0000}"/>
    <cellStyle name="Comma 13 2 2 5" xfId="12933" xr:uid="{00000000-0005-0000-0000-0000102B0000}"/>
    <cellStyle name="Comma 13 2 3" xfId="1903" xr:uid="{00000000-0005-0000-0000-0000112B0000}"/>
    <cellStyle name="Comma 13 2 3 2" xfId="12934" xr:uid="{00000000-0005-0000-0000-0000122B0000}"/>
    <cellStyle name="Comma 13 2 3 2 2" xfId="12935" xr:uid="{00000000-0005-0000-0000-0000132B0000}"/>
    <cellStyle name="Comma 13 2 3 3" xfId="12936" xr:uid="{00000000-0005-0000-0000-0000142B0000}"/>
    <cellStyle name="Comma 13 2 4" xfId="1902" xr:uid="{00000000-0005-0000-0000-0000152B0000}"/>
    <cellStyle name="Comma 13 2 4 2" xfId="12937" xr:uid="{00000000-0005-0000-0000-0000162B0000}"/>
    <cellStyle name="Comma 13 2 5" xfId="12938" xr:uid="{00000000-0005-0000-0000-0000172B0000}"/>
    <cellStyle name="Comma 13 2 5 2" xfId="12939" xr:uid="{00000000-0005-0000-0000-0000182B0000}"/>
    <cellStyle name="Comma 13 2 6" xfId="12940" xr:uid="{00000000-0005-0000-0000-0000192B0000}"/>
    <cellStyle name="Comma 13 3" xfId="1901" xr:uid="{00000000-0005-0000-0000-00001A2B0000}"/>
    <cellStyle name="Comma 13 3 2" xfId="1900" xr:uid="{00000000-0005-0000-0000-00001B2B0000}"/>
    <cellStyle name="Comma 13 3 2 2" xfId="12941" xr:uid="{00000000-0005-0000-0000-00001C2B0000}"/>
    <cellStyle name="Comma 13 3 2 2 2" xfId="12942" xr:uid="{00000000-0005-0000-0000-00001D2B0000}"/>
    <cellStyle name="Comma 13 3 2 3" xfId="12943" xr:uid="{00000000-0005-0000-0000-00001E2B0000}"/>
    <cellStyle name="Comma 13 3 3" xfId="1899" xr:uid="{00000000-0005-0000-0000-00001F2B0000}"/>
    <cellStyle name="Comma 13 3 3 2" xfId="12944" xr:uid="{00000000-0005-0000-0000-0000202B0000}"/>
    <cellStyle name="Comma 13 3 4" xfId="12945" xr:uid="{00000000-0005-0000-0000-0000212B0000}"/>
    <cellStyle name="Comma 13 3 4 2" xfId="12946" xr:uid="{00000000-0005-0000-0000-0000222B0000}"/>
    <cellStyle name="Comma 13 3 5" xfId="12947" xr:uid="{00000000-0005-0000-0000-0000232B0000}"/>
    <cellStyle name="Comma 13 4" xfId="1898" xr:uid="{00000000-0005-0000-0000-0000242B0000}"/>
    <cellStyle name="Comma 13 4 2" xfId="1897" xr:uid="{00000000-0005-0000-0000-0000252B0000}"/>
    <cellStyle name="Comma 13 4 2 2" xfId="12948" xr:uid="{00000000-0005-0000-0000-0000262B0000}"/>
    <cellStyle name="Comma 13 4 3" xfId="1896" xr:uid="{00000000-0005-0000-0000-0000272B0000}"/>
    <cellStyle name="Comma 13 4 3 2" xfId="12949" xr:uid="{00000000-0005-0000-0000-0000282B0000}"/>
    <cellStyle name="Comma 13 4 4" xfId="12950" xr:uid="{00000000-0005-0000-0000-0000292B0000}"/>
    <cellStyle name="Comma 13 5" xfId="1895" xr:uid="{00000000-0005-0000-0000-00002A2B0000}"/>
    <cellStyle name="Comma 13 5 2" xfId="12951" xr:uid="{00000000-0005-0000-0000-00002B2B0000}"/>
    <cellStyle name="Comma 13 5 2 2" xfId="12952" xr:uid="{00000000-0005-0000-0000-00002C2B0000}"/>
    <cellStyle name="Comma 13 5 3" xfId="12953" xr:uid="{00000000-0005-0000-0000-00002D2B0000}"/>
    <cellStyle name="Comma 13 6" xfId="1894" xr:uid="{00000000-0005-0000-0000-00002E2B0000}"/>
    <cellStyle name="Comma 13 6 2" xfId="12954" xr:uid="{00000000-0005-0000-0000-00002F2B0000}"/>
    <cellStyle name="Comma 13 6 3" xfId="12955" xr:uid="{00000000-0005-0000-0000-0000302B0000}"/>
    <cellStyle name="Comma 13 7" xfId="12956" xr:uid="{00000000-0005-0000-0000-0000312B0000}"/>
    <cellStyle name="Comma 13 7 2" xfId="12957" xr:uid="{00000000-0005-0000-0000-0000322B0000}"/>
    <cellStyle name="Comma 13 8" xfId="12958" xr:uid="{00000000-0005-0000-0000-0000332B0000}"/>
    <cellStyle name="Comma 13 9" xfId="12959" xr:uid="{00000000-0005-0000-0000-0000342B0000}"/>
    <cellStyle name="Comma 14" xfId="1893" xr:uid="{00000000-0005-0000-0000-0000352B0000}"/>
    <cellStyle name="Comma 14 2" xfId="1892" xr:uid="{00000000-0005-0000-0000-0000362B0000}"/>
    <cellStyle name="Comma 14 2 2" xfId="1891" xr:uid="{00000000-0005-0000-0000-0000372B0000}"/>
    <cellStyle name="Comma 14 2 2 2" xfId="1890" xr:uid="{00000000-0005-0000-0000-0000382B0000}"/>
    <cellStyle name="Comma 14 2 2 2 2" xfId="12960" xr:uid="{00000000-0005-0000-0000-0000392B0000}"/>
    <cellStyle name="Comma 14 2 2 3" xfId="1889" xr:uid="{00000000-0005-0000-0000-00003A2B0000}"/>
    <cellStyle name="Comma 14 2 3" xfId="1888" xr:uid="{00000000-0005-0000-0000-00003B2B0000}"/>
    <cellStyle name="Comma 14 2 3 2" xfId="12961" xr:uid="{00000000-0005-0000-0000-00003C2B0000}"/>
    <cellStyle name="Comma 14 2 4" xfId="1887" xr:uid="{00000000-0005-0000-0000-00003D2B0000}"/>
    <cellStyle name="Comma 14 2 4 2" xfId="12962" xr:uid="{00000000-0005-0000-0000-00003E2B0000}"/>
    <cellStyle name="Comma 14 2 5" xfId="12963" xr:uid="{00000000-0005-0000-0000-00003F2B0000}"/>
    <cellStyle name="Comma 14 3" xfId="1886" xr:uid="{00000000-0005-0000-0000-0000402B0000}"/>
    <cellStyle name="Comma 14 3 2" xfId="1885" xr:uid="{00000000-0005-0000-0000-0000412B0000}"/>
    <cellStyle name="Comma 14 3 2 2" xfId="12964" xr:uid="{00000000-0005-0000-0000-0000422B0000}"/>
    <cellStyle name="Comma 14 3 3" xfId="1884" xr:uid="{00000000-0005-0000-0000-0000432B0000}"/>
    <cellStyle name="Comma 14 3 3 2" xfId="12965" xr:uid="{00000000-0005-0000-0000-0000442B0000}"/>
    <cellStyle name="Comma 14 3 4" xfId="12966" xr:uid="{00000000-0005-0000-0000-0000452B0000}"/>
    <cellStyle name="Comma 14 4" xfId="1883" xr:uid="{00000000-0005-0000-0000-0000462B0000}"/>
    <cellStyle name="Comma 14 4 2" xfId="1882" xr:uid="{00000000-0005-0000-0000-0000472B0000}"/>
    <cellStyle name="Comma 14 4 2 2" xfId="12967" xr:uid="{00000000-0005-0000-0000-0000482B0000}"/>
    <cellStyle name="Comma 14 4 3" xfId="1881" xr:uid="{00000000-0005-0000-0000-0000492B0000}"/>
    <cellStyle name="Comma 14 5" xfId="1880" xr:uid="{00000000-0005-0000-0000-00004A2B0000}"/>
    <cellStyle name="Comma 14 5 2" xfId="12968" xr:uid="{00000000-0005-0000-0000-00004B2B0000}"/>
    <cellStyle name="Comma 14 5 3" xfId="12969" xr:uid="{00000000-0005-0000-0000-00004C2B0000}"/>
    <cellStyle name="Comma 14 6" xfId="1879" xr:uid="{00000000-0005-0000-0000-00004D2B0000}"/>
    <cellStyle name="Comma 14 6 2" xfId="12970" xr:uid="{00000000-0005-0000-0000-00004E2B0000}"/>
    <cellStyle name="Comma 14 7" xfId="12971" xr:uid="{00000000-0005-0000-0000-00004F2B0000}"/>
    <cellStyle name="Comma 14 8" xfId="12972" xr:uid="{00000000-0005-0000-0000-0000502B0000}"/>
    <cellStyle name="Comma 15" xfId="1878" xr:uid="{00000000-0005-0000-0000-0000512B0000}"/>
    <cellStyle name="Comma 15 2" xfId="12973" xr:uid="{00000000-0005-0000-0000-0000522B0000}"/>
    <cellStyle name="Comma 15 2 2" xfId="12974" xr:uid="{00000000-0005-0000-0000-0000532B0000}"/>
    <cellStyle name="Comma 15 2 2 2" xfId="12975" xr:uid="{00000000-0005-0000-0000-0000542B0000}"/>
    <cellStyle name="Comma 15 2 3" xfId="12976" xr:uid="{00000000-0005-0000-0000-0000552B0000}"/>
    <cellStyle name="Comma 15 3" xfId="12977" xr:uid="{00000000-0005-0000-0000-0000562B0000}"/>
    <cellStyle name="Comma 15 3 2" xfId="12978" xr:uid="{00000000-0005-0000-0000-0000572B0000}"/>
    <cellStyle name="Comma 15 3 3" xfId="12979" xr:uid="{00000000-0005-0000-0000-0000582B0000}"/>
    <cellStyle name="Comma 15 4" xfId="12980" xr:uid="{00000000-0005-0000-0000-0000592B0000}"/>
    <cellStyle name="Comma 15 4 2" xfId="12981" xr:uid="{00000000-0005-0000-0000-00005A2B0000}"/>
    <cellStyle name="Comma 15 4 3" xfId="12982" xr:uid="{00000000-0005-0000-0000-00005B2B0000}"/>
    <cellStyle name="Comma 15 5" xfId="12983" xr:uid="{00000000-0005-0000-0000-00005C2B0000}"/>
    <cellStyle name="Comma 15 5 2" xfId="12984" xr:uid="{00000000-0005-0000-0000-00005D2B0000}"/>
    <cellStyle name="Comma 15 6" xfId="12985" xr:uid="{00000000-0005-0000-0000-00005E2B0000}"/>
    <cellStyle name="Comma 15 7" xfId="12986" xr:uid="{00000000-0005-0000-0000-00005F2B0000}"/>
    <cellStyle name="Comma 16" xfId="1877" xr:uid="{00000000-0005-0000-0000-0000602B0000}"/>
    <cellStyle name="Comma 16 2" xfId="12987" xr:uid="{00000000-0005-0000-0000-0000612B0000}"/>
    <cellStyle name="Comma 16 3" xfId="12988" xr:uid="{00000000-0005-0000-0000-0000622B0000}"/>
    <cellStyle name="Comma 17" xfId="1876" xr:uid="{00000000-0005-0000-0000-0000632B0000}"/>
    <cellStyle name="Comma 18" xfId="1875" xr:uid="{00000000-0005-0000-0000-0000642B0000}"/>
    <cellStyle name="Comma 19" xfId="1874" xr:uid="{00000000-0005-0000-0000-0000652B0000}"/>
    <cellStyle name="Comma 2" xfId="6518" xr:uid="{00000000-0005-0000-0000-0000662B0000}"/>
    <cellStyle name="Comma 2 2" xfId="1873" xr:uid="{00000000-0005-0000-0000-0000672B0000}"/>
    <cellStyle name="Comma 2 2 2" xfId="1872" xr:uid="{00000000-0005-0000-0000-0000682B0000}"/>
    <cellStyle name="Comma 2 3" xfId="1871" xr:uid="{00000000-0005-0000-0000-0000692B0000}"/>
    <cellStyle name="Comma 2 4" xfId="1870" xr:uid="{00000000-0005-0000-0000-00006A2B0000}"/>
    <cellStyle name="Comma 2 5" xfId="1869" xr:uid="{00000000-0005-0000-0000-00006B2B0000}"/>
    <cellStyle name="Comma 2 5 2" xfId="1868" xr:uid="{00000000-0005-0000-0000-00006C2B0000}"/>
    <cellStyle name="Comma 2 5 2 2" xfId="1867" xr:uid="{00000000-0005-0000-0000-00006D2B0000}"/>
    <cellStyle name="Comma 2 5 2 2 2" xfId="1866" xr:uid="{00000000-0005-0000-0000-00006E2B0000}"/>
    <cellStyle name="Comma 2 5 2 2 3" xfId="1865" xr:uid="{00000000-0005-0000-0000-00006F2B0000}"/>
    <cellStyle name="Comma 2 5 2 3" xfId="1864" xr:uid="{00000000-0005-0000-0000-0000702B0000}"/>
    <cellStyle name="Comma 2 5 2 4" xfId="1863" xr:uid="{00000000-0005-0000-0000-0000712B0000}"/>
    <cellStyle name="Comma 2 5 3" xfId="1862" xr:uid="{00000000-0005-0000-0000-0000722B0000}"/>
    <cellStyle name="Comma 2 5 3 2" xfId="1861" xr:uid="{00000000-0005-0000-0000-0000732B0000}"/>
    <cellStyle name="Comma 2 5 3 3" xfId="1860" xr:uid="{00000000-0005-0000-0000-0000742B0000}"/>
    <cellStyle name="Comma 2 5 4" xfId="1859" xr:uid="{00000000-0005-0000-0000-0000752B0000}"/>
    <cellStyle name="Comma 2 5 4 2" xfId="1858" xr:uid="{00000000-0005-0000-0000-0000762B0000}"/>
    <cellStyle name="Comma 2 5 4 3" xfId="1857" xr:uid="{00000000-0005-0000-0000-0000772B0000}"/>
    <cellStyle name="Comma 2 5 5" xfId="1856" xr:uid="{00000000-0005-0000-0000-0000782B0000}"/>
    <cellStyle name="Comma 2 5 6" xfId="1855" xr:uid="{00000000-0005-0000-0000-0000792B0000}"/>
    <cellStyle name="Comma 2 6" xfId="12989" xr:uid="{00000000-0005-0000-0000-00007A2B0000}"/>
    <cellStyle name="Comma 20" xfId="1854" xr:uid="{00000000-0005-0000-0000-00007B2B0000}"/>
    <cellStyle name="Comma 20 2" xfId="1853" xr:uid="{00000000-0005-0000-0000-00007C2B0000}"/>
    <cellStyle name="Comma 21" xfId="1852" xr:uid="{00000000-0005-0000-0000-00007D2B0000}"/>
    <cellStyle name="Comma 22" xfId="1851" xr:uid="{00000000-0005-0000-0000-00007E2B0000}"/>
    <cellStyle name="Comma 23" xfId="1850" xr:uid="{00000000-0005-0000-0000-00007F2B0000}"/>
    <cellStyle name="Comma 24" xfId="1849" xr:uid="{00000000-0005-0000-0000-0000802B0000}"/>
    <cellStyle name="Comma 25" xfId="1848" xr:uid="{00000000-0005-0000-0000-0000812B0000}"/>
    <cellStyle name="Comma 26" xfId="1847" xr:uid="{00000000-0005-0000-0000-0000822B0000}"/>
    <cellStyle name="Comma 27" xfId="1846" xr:uid="{00000000-0005-0000-0000-0000832B0000}"/>
    <cellStyle name="Comma 28" xfId="1845" xr:uid="{00000000-0005-0000-0000-0000842B0000}"/>
    <cellStyle name="Comma 28 2" xfId="1844" xr:uid="{00000000-0005-0000-0000-0000852B0000}"/>
    <cellStyle name="Comma 29" xfId="1843" xr:uid="{00000000-0005-0000-0000-0000862B0000}"/>
    <cellStyle name="Comma 3" xfId="1842" xr:uid="{00000000-0005-0000-0000-0000872B0000}"/>
    <cellStyle name="Comma 3 10" xfId="12990" xr:uid="{00000000-0005-0000-0000-0000882B0000}"/>
    <cellStyle name="Comma 3 10 2" xfId="12991" xr:uid="{00000000-0005-0000-0000-0000892B0000}"/>
    <cellStyle name="Comma 3 10 3" xfId="12992" xr:uid="{00000000-0005-0000-0000-00008A2B0000}"/>
    <cellStyle name="Comma 3 11" xfId="12993" xr:uid="{00000000-0005-0000-0000-00008B2B0000}"/>
    <cellStyle name="Comma 3 11 2" xfId="12994" xr:uid="{00000000-0005-0000-0000-00008C2B0000}"/>
    <cellStyle name="Comma 3 11 3" xfId="12995" xr:uid="{00000000-0005-0000-0000-00008D2B0000}"/>
    <cellStyle name="Comma 3 12" xfId="12996" xr:uid="{00000000-0005-0000-0000-00008E2B0000}"/>
    <cellStyle name="Comma 3 12 2" xfId="12997" xr:uid="{00000000-0005-0000-0000-00008F2B0000}"/>
    <cellStyle name="Comma 3 13" xfId="12998" xr:uid="{00000000-0005-0000-0000-0000902B0000}"/>
    <cellStyle name="Comma 3 14" xfId="12999" xr:uid="{00000000-0005-0000-0000-0000912B0000}"/>
    <cellStyle name="Comma 3 2" xfId="1841" xr:uid="{00000000-0005-0000-0000-0000922B0000}"/>
    <cellStyle name="Comma 3 2 2" xfId="13000" xr:uid="{00000000-0005-0000-0000-0000932B0000}"/>
    <cellStyle name="Comma 3 3" xfId="1840" xr:uid="{00000000-0005-0000-0000-0000942B0000}"/>
    <cellStyle name="Comma 3 3 10" xfId="13001" xr:uid="{00000000-0005-0000-0000-0000952B0000}"/>
    <cellStyle name="Comma 3 3 2" xfId="1839" xr:uid="{00000000-0005-0000-0000-0000962B0000}"/>
    <cellStyle name="Comma 3 3 2 2" xfId="13002" xr:uid="{00000000-0005-0000-0000-0000972B0000}"/>
    <cellStyle name="Comma 3 3 2 2 2" xfId="13003" xr:uid="{00000000-0005-0000-0000-0000982B0000}"/>
    <cellStyle name="Comma 3 3 2 2 2 2" xfId="13004" xr:uid="{00000000-0005-0000-0000-0000992B0000}"/>
    <cellStyle name="Comma 3 3 2 2 3" xfId="13005" xr:uid="{00000000-0005-0000-0000-00009A2B0000}"/>
    <cellStyle name="Comma 3 3 2 2 3 2" xfId="13006" xr:uid="{00000000-0005-0000-0000-00009B2B0000}"/>
    <cellStyle name="Comma 3 3 2 2 4" xfId="13007" xr:uid="{00000000-0005-0000-0000-00009C2B0000}"/>
    <cellStyle name="Comma 3 3 2 2 5" xfId="13008" xr:uid="{00000000-0005-0000-0000-00009D2B0000}"/>
    <cellStyle name="Comma 3 3 2 3" xfId="13009" xr:uid="{00000000-0005-0000-0000-00009E2B0000}"/>
    <cellStyle name="Comma 3 3 2 3 2" xfId="13010" xr:uid="{00000000-0005-0000-0000-00009F2B0000}"/>
    <cellStyle name="Comma 3 3 2 3 2 2" xfId="13011" xr:uid="{00000000-0005-0000-0000-0000A02B0000}"/>
    <cellStyle name="Comma 3 3 2 3 3" xfId="13012" xr:uid="{00000000-0005-0000-0000-0000A12B0000}"/>
    <cellStyle name="Comma 3 3 2 4" xfId="13013" xr:uid="{00000000-0005-0000-0000-0000A22B0000}"/>
    <cellStyle name="Comma 3 3 2 4 2" xfId="13014" xr:uid="{00000000-0005-0000-0000-0000A32B0000}"/>
    <cellStyle name="Comma 3 3 2 5" xfId="13015" xr:uid="{00000000-0005-0000-0000-0000A42B0000}"/>
    <cellStyle name="Comma 3 3 2 5 2" xfId="13016" xr:uid="{00000000-0005-0000-0000-0000A52B0000}"/>
    <cellStyle name="Comma 3 3 2 6" xfId="13017" xr:uid="{00000000-0005-0000-0000-0000A62B0000}"/>
    <cellStyle name="Comma 3 3 3" xfId="13018" xr:uid="{00000000-0005-0000-0000-0000A72B0000}"/>
    <cellStyle name="Comma 3 3 3 2" xfId="13019" xr:uid="{00000000-0005-0000-0000-0000A82B0000}"/>
    <cellStyle name="Comma 3 3 3 2 2" xfId="13020" xr:uid="{00000000-0005-0000-0000-0000A92B0000}"/>
    <cellStyle name="Comma 3 3 3 2 2 2" xfId="13021" xr:uid="{00000000-0005-0000-0000-0000AA2B0000}"/>
    <cellStyle name="Comma 3 3 3 2 3" xfId="13022" xr:uid="{00000000-0005-0000-0000-0000AB2B0000}"/>
    <cellStyle name="Comma 3 3 3 2 3 2" xfId="13023" xr:uid="{00000000-0005-0000-0000-0000AC2B0000}"/>
    <cellStyle name="Comma 3 3 3 2 4" xfId="13024" xr:uid="{00000000-0005-0000-0000-0000AD2B0000}"/>
    <cellStyle name="Comma 3 3 3 2 5" xfId="13025" xr:uid="{00000000-0005-0000-0000-0000AE2B0000}"/>
    <cellStyle name="Comma 3 3 3 3" xfId="13026" xr:uid="{00000000-0005-0000-0000-0000AF2B0000}"/>
    <cellStyle name="Comma 3 3 3 3 2" xfId="13027" xr:uid="{00000000-0005-0000-0000-0000B02B0000}"/>
    <cellStyle name="Comma 3 3 3 3 2 2" xfId="13028" xr:uid="{00000000-0005-0000-0000-0000B12B0000}"/>
    <cellStyle name="Comma 3 3 3 3 3" xfId="13029" xr:uid="{00000000-0005-0000-0000-0000B22B0000}"/>
    <cellStyle name="Comma 3 3 3 4" xfId="13030" xr:uid="{00000000-0005-0000-0000-0000B32B0000}"/>
    <cellStyle name="Comma 3 3 3 4 2" xfId="13031" xr:uid="{00000000-0005-0000-0000-0000B42B0000}"/>
    <cellStyle name="Comma 3 3 3 5" xfId="13032" xr:uid="{00000000-0005-0000-0000-0000B52B0000}"/>
    <cellStyle name="Comma 3 3 3 5 2" xfId="13033" xr:uid="{00000000-0005-0000-0000-0000B62B0000}"/>
    <cellStyle name="Comma 3 3 3 6" xfId="13034" xr:uid="{00000000-0005-0000-0000-0000B72B0000}"/>
    <cellStyle name="Comma 3 3 4" xfId="13035" xr:uid="{00000000-0005-0000-0000-0000B82B0000}"/>
    <cellStyle name="Comma 3 3 4 2" xfId="13036" xr:uid="{00000000-0005-0000-0000-0000B92B0000}"/>
    <cellStyle name="Comma 3 3 4 2 2" xfId="13037" xr:uid="{00000000-0005-0000-0000-0000BA2B0000}"/>
    <cellStyle name="Comma 3 3 4 2 2 2" xfId="13038" xr:uid="{00000000-0005-0000-0000-0000BB2B0000}"/>
    <cellStyle name="Comma 3 3 4 2 3" xfId="13039" xr:uid="{00000000-0005-0000-0000-0000BC2B0000}"/>
    <cellStyle name="Comma 3 3 4 3" xfId="13040" xr:uid="{00000000-0005-0000-0000-0000BD2B0000}"/>
    <cellStyle name="Comma 3 3 4 3 2" xfId="13041" xr:uid="{00000000-0005-0000-0000-0000BE2B0000}"/>
    <cellStyle name="Comma 3 3 4 4" xfId="13042" xr:uid="{00000000-0005-0000-0000-0000BF2B0000}"/>
    <cellStyle name="Comma 3 3 4 4 2" xfId="13043" xr:uid="{00000000-0005-0000-0000-0000C02B0000}"/>
    <cellStyle name="Comma 3 3 4 5" xfId="13044" xr:uid="{00000000-0005-0000-0000-0000C12B0000}"/>
    <cellStyle name="Comma 3 3 5" xfId="13045" xr:uid="{00000000-0005-0000-0000-0000C22B0000}"/>
    <cellStyle name="Comma 3 3 5 2" xfId="13046" xr:uid="{00000000-0005-0000-0000-0000C32B0000}"/>
    <cellStyle name="Comma 3 3 5 2 2" xfId="13047" xr:uid="{00000000-0005-0000-0000-0000C42B0000}"/>
    <cellStyle name="Comma 3 3 5 3" xfId="13048" xr:uid="{00000000-0005-0000-0000-0000C52B0000}"/>
    <cellStyle name="Comma 3 3 5 3 2" xfId="13049" xr:uid="{00000000-0005-0000-0000-0000C62B0000}"/>
    <cellStyle name="Comma 3 3 5 4" xfId="13050" xr:uid="{00000000-0005-0000-0000-0000C72B0000}"/>
    <cellStyle name="Comma 3 3 5 4 2" xfId="13051" xr:uid="{00000000-0005-0000-0000-0000C82B0000}"/>
    <cellStyle name="Comma 3 3 5 5" xfId="13052" xr:uid="{00000000-0005-0000-0000-0000C92B0000}"/>
    <cellStyle name="Comma 3 3 6" xfId="13053" xr:uid="{00000000-0005-0000-0000-0000CA2B0000}"/>
    <cellStyle name="Comma 3 3 6 2" xfId="13054" xr:uid="{00000000-0005-0000-0000-0000CB2B0000}"/>
    <cellStyle name="Comma 3 3 6 2 2" xfId="13055" xr:uid="{00000000-0005-0000-0000-0000CC2B0000}"/>
    <cellStyle name="Comma 3 3 6 3" xfId="13056" xr:uid="{00000000-0005-0000-0000-0000CD2B0000}"/>
    <cellStyle name="Comma 3 3 7" xfId="13057" xr:uid="{00000000-0005-0000-0000-0000CE2B0000}"/>
    <cellStyle name="Comma 3 3 7 2" xfId="13058" xr:uid="{00000000-0005-0000-0000-0000CF2B0000}"/>
    <cellStyle name="Comma 3 3 7 2 2" xfId="13059" xr:uid="{00000000-0005-0000-0000-0000D02B0000}"/>
    <cellStyle name="Comma 3 3 7 3" xfId="13060" xr:uid="{00000000-0005-0000-0000-0000D12B0000}"/>
    <cellStyle name="Comma 3 3 8" xfId="13061" xr:uid="{00000000-0005-0000-0000-0000D22B0000}"/>
    <cellStyle name="Comma 3 3 8 2" xfId="13062" xr:uid="{00000000-0005-0000-0000-0000D32B0000}"/>
    <cellStyle name="Comma 3 3 9" xfId="13063" xr:uid="{00000000-0005-0000-0000-0000D42B0000}"/>
    <cellStyle name="Comma 3 4" xfId="1838" xr:uid="{00000000-0005-0000-0000-0000D52B0000}"/>
    <cellStyle name="Comma 3 4 2" xfId="1837" xr:uid="{00000000-0005-0000-0000-0000D62B0000}"/>
    <cellStyle name="Comma 3 4 2 2" xfId="1836" xr:uid="{00000000-0005-0000-0000-0000D72B0000}"/>
    <cellStyle name="Comma 3 4 2 2 2" xfId="1835" xr:uid="{00000000-0005-0000-0000-0000D82B0000}"/>
    <cellStyle name="Comma 3 4 2 2 3" xfId="1834" xr:uid="{00000000-0005-0000-0000-0000D92B0000}"/>
    <cellStyle name="Comma 3 4 2 3" xfId="1833" xr:uid="{00000000-0005-0000-0000-0000DA2B0000}"/>
    <cellStyle name="Comma 3 4 2 4" xfId="1832" xr:uid="{00000000-0005-0000-0000-0000DB2B0000}"/>
    <cellStyle name="Comma 3 4 3" xfId="1831" xr:uid="{00000000-0005-0000-0000-0000DC2B0000}"/>
    <cellStyle name="Comma 3 4 3 2" xfId="1830" xr:uid="{00000000-0005-0000-0000-0000DD2B0000}"/>
    <cellStyle name="Comma 3 4 3 3" xfId="1829" xr:uid="{00000000-0005-0000-0000-0000DE2B0000}"/>
    <cellStyle name="Comma 3 4 4" xfId="1828" xr:uid="{00000000-0005-0000-0000-0000DF2B0000}"/>
    <cellStyle name="Comma 3 4 4 2" xfId="1827" xr:uid="{00000000-0005-0000-0000-0000E02B0000}"/>
    <cellStyle name="Comma 3 4 4 3" xfId="1826" xr:uid="{00000000-0005-0000-0000-0000E12B0000}"/>
    <cellStyle name="Comma 3 4 5" xfId="1825" xr:uid="{00000000-0005-0000-0000-0000E22B0000}"/>
    <cellStyle name="Comma 3 4 6" xfId="1824" xr:uid="{00000000-0005-0000-0000-0000E32B0000}"/>
    <cellStyle name="Comma 3 5" xfId="13064" xr:uid="{00000000-0005-0000-0000-0000E42B0000}"/>
    <cellStyle name="Comma 3 5 2" xfId="13065" xr:uid="{00000000-0005-0000-0000-0000E52B0000}"/>
    <cellStyle name="Comma 3 5 2 2" xfId="13066" xr:uid="{00000000-0005-0000-0000-0000E62B0000}"/>
    <cellStyle name="Comma 3 5 2 2 2" xfId="13067" xr:uid="{00000000-0005-0000-0000-0000E72B0000}"/>
    <cellStyle name="Comma 3 5 2 3" xfId="13068" xr:uid="{00000000-0005-0000-0000-0000E82B0000}"/>
    <cellStyle name="Comma 3 5 2 3 2" xfId="13069" xr:uid="{00000000-0005-0000-0000-0000E92B0000}"/>
    <cellStyle name="Comma 3 5 2 4" xfId="13070" xr:uid="{00000000-0005-0000-0000-0000EA2B0000}"/>
    <cellStyle name="Comma 3 5 2 5" xfId="13071" xr:uid="{00000000-0005-0000-0000-0000EB2B0000}"/>
    <cellStyle name="Comma 3 5 3" xfId="13072" xr:uid="{00000000-0005-0000-0000-0000EC2B0000}"/>
    <cellStyle name="Comma 3 5 3 2" xfId="13073" xr:uid="{00000000-0005-0000-0000-0000ED2B0000}"/>
    <cellStyle name="Comma 3 5 3 2 2" xfId="13074" xr:uid="{00000000-0005-0000-0000-0000EE2B0000}"/>
    <cellStyle name="Comma 3 5 3 3" xfId="13075" xr:uid="{00000000-0005-0000-0000-0000EF2B0000}"/>
    <cellStyle name="Comma 3 5 4" xfId="13076" xr:uid="{00000000-0005-0000-0000-0000F02B0000}"/>
    <cellStyle name="Comma 3 5 4 2" xfId="13077" xr:uid="{00000000-0005-0000-0000-0000F12B0000}"/>
    <cellStyle name="Comma 3 5 5" xfId="13078" xr:uid="{00000000-0005-0000-0000-0000F22B0000}"/>
    <cellStyle name="Comma 3 5 5 2" xfId="13079" xr:uid="{00000000-0005-0000-0000-0000F32B0000}"/>
    <cellStyle name="Comma 3 5 6" xfId="13080" xr:uid="{00000000-0005-0000-0000-0000F42B0000}"/>
    <cellStyle name="Comma 3 6" xfId="13081" xr:uid="{00000000-0005-0000-0000-0000F52B0000}"/>
    <cellStyle name="Comma 3 6 2" xfId="13082" xr:uid="{00000000-0005-0000-0000-0000F62B0000}"/>
    <cellStyle name="Comma 3 6 2 2" xfId="13083" xr:uid="{00000000-0005-0000-0000-0000F72B0000}"/>
    <cellStyle name="Comma 3 6 2 2 2" xfId="13084" xr:uid="{00000000-0005-0000-0000-0000F82B0000}"/>
    <cellStyle name="Comma 3 6 2 3" xfId="13085" xr:uid="{00000000-0005-0000-0000-0000F92B0000}"/>
    <cellStyle name="Comma 3 6 2 3 2" xfId="13086" xr:uid="{00000000-0005-0000-0000-0000FA2B0000}"/>
    <cellStyle name="Comma 3 6 2 4" xfId="13087" xr:uid="{00000000-0005-0000-0000-0000FB2B0000}"/>
    <cellStyle name="Comma 3 6 2 5" xfId="13088" xr:uid="{00000000-0005-0000-0000-0000FC2B0000}"/>
    <cellStyle name="Comma 3 6 3" xfId="13089" xr:uid="{00000000-0005-0000-0000-0000FD2B0000}"/>
    <cellStyle name="Comma 3 6 3 2" xfId="13090" xr:uid="{00000000-0005-0000-0000-0000FE2B0000}"/>
    <cellStyle name="Comma 3 6 3 2 2" xfId="13091" xr:uid="{00000000-0005-0000-0000-0000FF2B0000}"/>
    <cellStyle name="Comma 3 6 3 3" xfId="13092" xr:uid="{00000000-0005-0000-0000-0000002C0000}"/>
    <cellStyle name="Comma 3 6 4" xfId="13093" xr:uid="{00000000-0005-0000-0000-0000012C0000}"/>
    <cellStyle name="Comma 3 6 4 2" xfId="13094" xr:uid="{00000000-0005-0000-0000-0000022C0000}"/>
    <cellStyle name="Comma 3 6 5" xfId="13095" xr:uid="{00000000-0005-0000-0000-0000032C0000}"/>
    <cellStyle name="Comma 3 6 5 2" xfId="13096" xr:uid="{00000000-0005-0000-0000-0000042C0000}"/>
    <cellStyle name="Comma 3 6 6" xfId="13097" xr:uid="{00000000-0005-0000-0000-0000052C0000}"/>
    <cellStyle name="Comma 3 7" xfId="13098" xr:uid="{00000000-0005-0000-0000-0000062C0000}"/>
    <cellStyle name="Comma 3 7 2" xfId="13099" xr:uid="{00000000-0005-0000-0000-0000072C0000}"/>
    <cellStyle name="Comma 3 7 2 2" xfId="13100" xr:uid="{00000000-0005-0000-0000-0000082C0000}"/>
    <cellStyle name="Comma 3 7 3" xfId="13101" xr:uid="{00000000-0005-0000-0000-0000092C0000}"/>
    <cellStyle name="Comma 3 7 3 2" xfId="13102" xr:uid="{00000000-0005-0000-0000-00000A2C0000}"/>
    <cellStyle name="Comma 3 7 4" xfId="13103" xr:uid="{00000000-0005-0000-0000-00000B2C0000}"/>
    <cellStyle name="Comma 3 8" xfId="13104" xr:uid="{00000000-0005-0000-0000-00000C2C0000}"/>
    <cellStyle name="Comma 3 8 2" xfId="13105" xr:uid="{00000000-0005-0000-0000-00000D2C0000}"/>
    <cellStyle name="Comma 3 8 2 2" xfId="13106" xr:uid="{00000000-0005-0000-0000-00000E2C0000}"/>
    <cellStyle name="Comma 3 8 3" xfId="13107" xr:uid="{00000000-0005-0000-0000-00000F2C0000}"/>
    <cellStyle name="Comma 3 8 3 2" xfId="13108" xr:uid="{00000000-0005-0000-0000-0000102C0000}"/>
    <cellStyle name="Comma 3 8 4" xfId="13109" xr:uid="{00000000-0005-0000-0000-0000112C0000}"/>
    <cellStyle name="Comma 3 9" xfId="13110" xr:uid="{00000000-0005-0000-0000-0000122C0000}"/>
    <cellStyle name="Comma 3 9 2" xfId="13111" xr:uid="{00000000-0005-0000-0000-0000132C0000}"/>
    <cellStyle name="Comma 3 9 3" xfId="13112" xr:uid="{00000000-0005-0000-0000-0000142C0000}"/>
    <cellStyle name="Comma 30" xfId="1823" xr:uid="{00000000-0005-0000-0000-0000152C0000}"/>
    <cellStyle name="Comma 31 2" xfId="6521" xr:uid="{00000000-0005-0000-0000-0000162C0000}"/>
    <cellStyle name="Comma 4" xfId="1822" xr:uid="{00000000-0005-0000-0000-0000172C0000}"/>
    <cellStyle name="Comma 4 2" xfId="1821" xr:uid="{00000000-0005-0000-0000-0000182C0000}"/>
    <cellStyle name="Comma 4 2 2" xfId="13113" xr:uid="{00000000-0005-0000-0000-0000192C0000}"/>
    <cellStyle name="Comma 4 3" xfId="1820" xr:uid="{00000000-0005-0000-0000-00001A2C0000}"/>
    <cellStyle name="Comma 4 3 2" xfId="1819" xr:uid="{00000000-0005-0000-0000-00001B2C0000}"/>
    <cellStyle name="Comma 4 3 2 2" xfId="1818" xr:uid="{00000000-0005-0000-0000-00001C2C0000}"/>
    <cellStyle name="Comma 4 3 2 2 2" xfId="1817" xr:uid="{00000000-0005-0000-0000-00001D2C0000}"/>
    <cellStyle name="Comma 4 3 2 2 3" xfId="1816" xr:uid="{00000000-0005-0000-0000-00001E2C0000}"/>
    <cellStyle name="Comma 4 3 2 3" xfId="1815" xr:uid="{00000000-0005-0000-0000-00001F2C0000}"/>
    <cellStyle name="Comma 4 3 2 4" xfId="1814" xr:uid="{00000000-0005-0000-0000-0000202C0000}"/>
    <cellStyle name="Comma 4 3 3" xfId="1813" xr:uid="{00000000-0005-0000-0000-0000212C0000}"/>
    <cellStyle name="Comma 4 3 3 2" xfId="1812" xr:uid="{00000000-0005-0000-0000-0000222C0000}"/>
    <cellStyle name="Comma 4 3 3 3" xfId="1811" xr:uid="{00000000-0005-0000-0000-0000232C0000}"/>
    <cellStyle name="Comma 4 3 4" xfId="1810" xr:uid="{00000000-0005-0000-0000-0000242C0000}"/>
    <cellStyle name="Comma 4 3 4 2" xfId="1809" xr:uid="{00000000-0005-0000-0000-0000252C0000}"/>
    <cellStyle name="Comma 4 3 4 3" xfId="1808" xr:uid="{00000000-0005-0000-0000-0000262C0000}"/>
    <cellStyle name="Comma 4 3 5" xfId="1807" xr:uid="{00000000-0005-0000-0000-0000272C0000}"/>
    <cellStyle name="Comma 4 3 6" xfId="1806" xr:uid="{00000000-0005-0000-0000-0000282C0000}"/>
    <cellStyle name="Comma 4 4" xfId="13114" xr:uid="{00000000-0005-0000-0000-0000292C0000}"/>
    <cellStyle name="Comma 4 5" xfId="13115" xr:uid="{00000000-0005-0000-0000-00002A2C0000}"/>
    <cellStyle name="Comma 5" xfId="1805" xr:uid="{00000000-0005-0000-0000-00002B2C0000}"/>
    <cellStyle name="Comma 5 2" xfId="1804" xr:uid="{00000000-0005-0000-0000-00002C2C0000}"/>
    <cellStyle name="Comma 5 2 2" xfId="13116" xr:uid="{00000000-0005-0000-0000-00002D2C0000}"/>
    <cellStyle name="Comma 5 3" xfId="1803" xr:uid="{00000000-0005-0000-0000-00002E2C0000}"/>
    <cellStyle name="Comma 5 3 2" xfId="1802" xr:uid="{00000000-0005-0000-0000-00002F2C0000}"/>
    <cellStyle name="Comma 5 3 2 2" xfId="1801" xr:uid="{00000000-0005-0000-0000-0000302C0000}"/>
    <cellStyle name="Comma 5 3 2 2 2" xfId="1800" xr:uid="{00000000-0005-0000-0000-0000312C0000}"/>
    <cellStyle name="Comma 5 3 2 2 3" xfId="1799" xr:uid="{00000000-0005-0000-0000-0000322C0000}"/>
    <cellStyle name="Comma 5 3 2 3" xfId="1798" xr:uid="{00000000-0005-0000-0000-0000332C0000}"/>
    <cellStyle name="Comma 5 3 2 4" xfId="1797" xr:uid="{00000000-0005-0000-0000-0000342C0000}"/>
    <cellStyle name="Comma 5 3 3" xfId="1796" xr:uid="{00000000-0005-0000-0000-0000352C0000}"/>
    <cellStyle name="Comma 5 3 3 2" xfId="1795" xr:uid="{00000000-0005-0000-0000-0000362C0000}"/>
    <cellStyle name="Comma 5 3 3 3" xfId="1794" xr:uid="{00000000-0005-0000-0000-0000372C0000}"/>
    <cellStyle name="Comma 5 3 4" xfId="1793" xr:uid="{00000000-0005-0000-0000-0000382C0000}"/>
    <cellStyle name="Comma 5 3 4 2" xfId="1792" xr:uid="{00000000-0005-0000-0000-0000392C0000}"/>
    <cellStyle name="Comma 5 3 4 3" xfId="1791" xr:uid="{00000000-0005-0000-0000-00003A2C0000}"/>
    <cellStyle name="Comma 5 3 5" xfId="1790" xr:uid="{00000000-0005-0000-0000-00003B2C0000}"/>
    <cellStyle name="Comma 5 3 6" xfId="1789" xr:uid="{00000000-0005-0000-0000-00003C2C0000}"/>
    <cellStyle name="Comma 6" xfId="1788" xr:uid="{00000000-0005-0000-0000-00003D2C0000}"/>
    <cellStyle name="Comma 6 2" xfId="1787" xr:uid="{00000000-0005-0000-0000-00003E2C0000}"/>
    <cellStyle name="Comma 6 2 2" xfId="13117" xr:uid="{00000000-0005-0000-0000-00003F2C0000}"/>
    <cellStyle name="Comma 6 3" xfId="1786" xr:uid="{00000000-0005-0000-0000-0000402C0000}"/>
    <cellStyle name="Comma 6 3 2" xfId="1785" xr:uid="{00000000-0005-0000-0000-0000412C0000}"/>
    <cellStyle name="Comma 6 3 2 2" xfId="1784" xr:uid="{00000000-0005-0000-0000-0000422C0000}"/>
    <cellStyle name="Comma 6 3 2 2 2" xfId="1783" xr:uid="{00000000-0005-0000-0000-0000432C0000}"/>
    <cellStyle name="Comma 6 3 2 2 3" xfId="1782" xr:uid="{00000000-0005-0000-0000-0000442C0000}"/>
    <cellStyle name="Comma 6 3 2 3" xfId="1781" xr:uid="{00000000-0005-0000-0000-0000452C0000}"/>
    <cellStyle name="Comma 6 3 2 4" xfId="1780" xr:uid="{00000000-0005-0000-0000-0000462C0000}"/>
    <cellStyle name="Comma 6 3 3" xfId="1779" xr:uid="{00000000-0005-0000-0000-0000472C0000}"/>
    <cellStyle name="Comma 6 3 3 2" xfId="1778" xr:uid="{00000000-0005-0000-0000-0000482C0000}"/>
    <cellStyle name="Comma 6 3 3 3" xfId="1777" xr:uid="{00000000-0005-0000-0000-0000492C0000}"/>
    <cellStyle name="Comma 6 3 4" xfId="1776" xr:uid="{00000000-0005-0000-0000-00004A2C0000}"/>
    <cellStyle name="Comma 6 3 4 2" xfId="1775" xr:uid="{00000000-0005-0000-0000-00004B2C0000}"/>
    <cellStyle name="Comma 6 3 4 3" xfId="1774" xr:uid="{00000000-0005-0000-0000-00004C2C0000}"/>
    <cellStyle name="Comma 6 3 5" xfId="1773" xr:uid="{00000000-0005-0000-0000-00004D2C0000}"/>
    <cellStyle name="Comma 6 3 6" xfId="1772" xr:uid="{00000000-0005-0000-0000-00004E2C0000}"/>
    <cellStyle name="Comma 6 4" xfId="13118" xr:uid="{00000000-0005-0000-0000-00004F2C0000}"/>
    <cellStyle name="Comma 6 5" xfId="13119" xr:uid="{00000000-0005-0000-0000-0000502C0000}"/>
    <cellStyle name="Comma 7" xfId="1771" xr:uid="{00000000-0005-0000-0000-0000512C0000}"/>
    <cellStyle name="Comma 7 10" xfId="13120" xr:uid="{00000000-0005-0000-0000-0000522C0000}"/>
    <cellStyle name="Comma 7 10 2" xfId="13121" xr:uid="{00000000-0005-0000-0000-0000532C0000}"/>
    <cellStyle name="Comma 7 11" xfId="13122" xr:uid="{00000000-0005-0000-0000-0000542C0000}"/>
    <cellStyle name="Comma 7 12" xfId="13123" xr:uid="{00000000-0005-0000-0000-0000552C0000}"/>
    <cellStyle name="Comma 7 2" xfId="1770" xr:uid="{00000000-0005-0000-0000-0000562C0000}"/>
    <cellStyle name="Comma 7 2 10" xfId="13124" xr:uid="{00000000-0005-0000-0000-0000572C0000}"/>
    <cellStyle name="Comma 7 2 2" xfId="13125" xr:uid="{00000000-0005-0000-0000-0000582C0000}"/>
    <cellStyle name="Comma 7 2 2 2" xfId="13126" xr:uid="{00000000-0005-0000-0000-0000592C0000}"/>
    <cellStyle name="Comma 7 2 2 2 2" xfId="13127" xr:uid="{00000000-0005-0000-0000-00005A2C0000}"/>
    <cellStyle name="Comma 7 2 2 2 2 2" xfId="13128" xr:uid="{00000000-0005-0000-0000-00005B2C0000}"/>
    <cellStyle name="Comma 7 2 2 2 3" xfId="13129" xr:uid="{00000000-0005-0000-0000-00005C2C0000}"/>
    <cellStyle name="Comma 7 2 2 2 3 2" xfId="13130" xr:uid="{00000000-0005-0000-0000-00005D2C0000}"/>
    <cellStyle name="Comma 7 2 2 2 4" xfId="13131" xr:uid="{00000000-0005-0000-0000-00005E2C0000}"/>
    <cellStyle name="Comma 7 2 2 2 4 2" xfId="13132" xr:uid="{00000000-0005-0000-0000-00005F2C0000}"/>
    <cellStyle name="Comma 7 2 2 2 5" xfId="13133" xr:uid="{00000000-0005-0000-0000-0000602C0000}"/>
    <cellStyle name="Comma 7 2 2 3" xfId="13134" xr:uid="{00000000-0005-0000-0000-0000612C0000}"/>
    <cellStyle name="Comma 7 2 2 3 2" xfId="13135" xr:uid="{00000000-0005-0000-0000-0000622C0000}"/>
    <cellStyle name="Comma 7 2 2 3 2 2" xfId="13136" xr:uid="{00000000-0005-0000-0000-0000632C0000}"/>
    <cellStyle name="Comma 7 2 2 3 3" xfId="13137" xr:uid="{00000000-0005-0000-0000-0000642C0000}"/>
    <cellStyle name="Comma 7 2 2 4" xfId="13138" xr:uid="{00000000-0005-0000-0000-0000652C0000}"/>
    <cellStyle name="Comma 7 2 2 4 2" xfId="13139" xr:uid="{00000000-0005-0000-0000-0000662C0000}"/>
    <cellStyle name="Comma 7 2 2 5" xfId="13140" xr:uid="{00000000-0005-0000-0000-0000672C0000}"/>
    <cellStyle name="Comma 7 2 2 5 2" xfId="13141" xr:uid="{00000000-0005-0000-0000-0000682C0000}"/>
    <cellStyle name="Comma 7 2 2 6" xfId="13142" xr:uid="{00000000-0005-0000-0000-0000692C0000}"/>
    <cellStyle name="Comma 7 2 3" xfId="13143" xr:uid="{00000000-0005-0000-0000-00006A2C0000}"/>
    <cellStyle name="Comma 7 2 3 2" xfId="13144" xr:uid="{00000000-0005-0000-0000-00006B2C0000}"/>
    <cellStyle name="Comma 7 2 3 2 2" xfId="13145" xr:uid="{00000000-0005-0000-0000-00006C2C0000}"/>
    <cellStyle name="Comma 7 2 3 2 2 2" xfId="13146" xr:uid="{00000000-0005-0000-0000-00006D2C0000}"/>
    <cellStyle name="Comma 7 2 3 2 3" xfId="13147" xr:uid="{00000000-0005-0000-0000-00006E2C0000}"/>
    <cellStyle name="Comma 7 2 3 2 3 2" xfId="13148" xr:uid="{00000000-0005-0000-0000-00006F2C0000}"/>
    <cellStyle name="Comma 7 2 3 2 4" xfId="13149" xr:uid="{00000000-0005-0000-0000-0000702C0000}"/>
    <cellStyle name="Comma 7 2 3 2 5" xfId="13150" xr:uid="{00000000-0005-0000-0000-0000712C0000}"/>
    <cellStyle name="Comma 7 2 3 3" xfId="13151" xr:uid="{00000000-0005-0000-0000-0000722C0000}"/>
    <cellStyle name="Comma 7 2 3 3 2" xfId="13152" xr:uid="{00000000-0005-0000-0000-0000732C0000}"/>
    <cellStyle name="Comma 7 2 3 3 2 2" xfId="13153" xr:uid="{00000000-0005-0000-0000-0000742C0000}"/>
    <cellStyle name="Comma 7 2 3 3 3" xfId="13154" xr:uid="{00000000-0005-0000-0000-0000752C0000}"/>
    <cellStyle name="Comma 7 2 3 4" xfId="13155" xr:uid="{00000000-0005-0000-0000-0000762C0000}"/>
    <cellStyle name="Comma 7 2 3 4 2" xfId="13156" xr:uid="{00000000-0005-0000-0000-0000772C0000}"/>
    <cellStyle name="Comma 7 2 3 5" xfId="13157" xr:uid="{00000000-0005-0000-0000-0000782C0000}"/>
    <cellStyle name="Comma 7 2 3 5 2" xfId="13158" xr:uid="{00000000-0005-0000-0000-0000792C0000}"/>
    <cellStyle name="Comma 7 2 3 6" xfId="13159" xr:uid="{00000000-0005-0000-0000-00007A2C0000}"/>
    <cellStyle name="Comma 7 2 4" xfId="13160" xr:uid="{00000000-0005-0000-0000-00007B2C0000}"/>
    <cellStyle name="Comma 7 2 4 2" xfId="13161" xr:uid="{00000000-0005-0000-0000-00007C2C0000}"/>
    <cellStyle name="Comma 7 2 4 2 2" xfId="13162" xr:uid="{00000000-0005-0000-0000-00007D2C0000}"/>
    <cellStyle name="Comma 7 2 4 2 2 2" xfId="13163" xr:uid="{00000000-0005-0000-0000-00007E2C0000}"/>
    <cellStyle name="Comma 7 2 4 2 3" xfId="13164" xr:uid="{00000000-0005-0000-0000-00007F2C0000}"/>
    <cellStyle name="Comma 7 2 4 2 3 2" xfId="13165" xr:uid="{00000000-0005-0000-0000-0000802C0000}"/>
    <cellStyle name="Comma 7 2 4 2 4" xfId="13166" xr:uid="{00000000-0005-0000-0000-0000812C0000}"/>
    <cellStyle name="Comma 7 2 4 3" xfId="13167" xr:uid="{00000000-0005-0000-0000-0000822C0000}"/>
    <cellStyle name="Comma 7 2 4 3 2" xfId="13168" xr:uid="{00000000-0005-0000-0000-0000832C0000}"/>
    <cellStyle name="Comma 7 2 4 4" xfId="13169" xr:uid="{00000000-0005-0000-0000-0000842C0000}"/>
    <cellStyle name="Comma 7 2 4 4 2" xfId="13170" xr:uid="{00000000-0005-0000-0000-0000852C0000}"/>
    <cellStyle name="Comma 7 2 4 5" xfId="13171" xr:uid="{00000000-0005-0000-0000-0000862C0000}"/>
    <cellStyle name="Comma 7 2 4 5 2" xfId="13172" xr:uid="{00000000-0005-0000-0000-0000872C0000}"/>
    <cellStyle name="Comma 7 2 4 6" xfId="13173" xr:uid="{00000000-0005-0000-0000-0000882C0000}"/>
    <cellStyle name="Comma 7 2 5" xfId="13174" xr:uid="{00000000-0005-0000-0000-0000892C0000}"/>
    <cellStyle name="Comma 7 2 5 2" xfId="13175" xr:uid="{00000000-0005-0000-0000-00008A2C0000}"/>
    <cellStyle name="Comma 7 2 5 2 2" xfId="13176" xr:uid="{00000000-0005-0000-0000-00008B2C0000}"/>
    <cellStyle name="Comma 7 2 5 3" xfId="13177" xr:uid="{00000000-0005-0000-0000-00008C2C0000}"/>
    <cellStyle name="Comma 7 2 5 3 2" xfId="13178" xr:uid="{00000000-0005-0000-0000-00008D2C0000}"/>
    <cellStyle name="Comma 7 2 5 4" xfId="13179" xr:uid="{00000000-0005-0000-0000-00008E2C0000}"/>
    <cellStyle name="Comma 7 2 5 4 2" xfId="13180" xr:uid="{00000000-0005-0000-0000-00008F2C0000}"/>
    <cellStyle name="Comma 7 2 5 5" xfId="13181" xr:uid="{00000000-0005-0000-0000-0000902C0000}"/>
    <cellStyle name="Comma 7 2 6" xfId="13182" xr:uid="{00000000-0005-0000-0000-0000912C0000}"/>
    <cellStyle name="Comma 7 2 6 2" xfId="13183" xr:uid="{00000000-0005-0000-0000-0000922C0000}"/>
    <cellStyle name="Comma 7 2 6 2 2" xfId="13184" xr:uid="{00000000-0005-0000-0000-0000932C0000}"/>
    <cellStyle name="Comma 7 2 6 3" xfId="13185" xr:uid="{00000000-0005-0000-0000-0000942C0000}"/>
    <cellStyle name="Comma 7 2 6 3 2" xfId="13186" xr:uid="{00000000-0005-0000-0000-0000952C0000}"/>
    <cellStyle name="Comma 7 2 6 4" xfId="13187" xr:uid="{00000000-0005-0000-0000-0000962C0000}"/>
    <cellStyle name="Comma 7 2 7" xfId="13188" xr:uid="{00000000-0005-0000-0000-0000972C0000}"/>
    <cellStyle name="Comma 7 2 7 2" xfId="13189" xr:uid="{00000000-0005-0000-0000-0000982C0000}"/>
    <cellStyle name="Comma 7 2 7 2 2" xfId="13190" xr:uid="{00000000-0005-0000-0000-0000992C0000}"/>
    <cellStyle name="Comma 7 2 7 3" xfId="13191" xr:uid="{00000000-0005-0000-0000-00009A2C0000}"/>
    <cellStyle name="Comma 7 2 8" xfId="13192" xr:uid="{00000000-0005-0000-0000-00009B2C0000}"/>
    <cellStyle name="Comma 7 2 8 2" xfId="13193" xr:uid="{00000000-0005-0000-0000-00009C2C0000}"/>
    <cellStyle name="Comma 7 2 9" xfId="13194" xr:uid="{00000000-0005-0000-0000-00009D2C0000}"/>
    <cellStyle name="Comma 7 3" xfId="13195" xr:uid="{00000000-0005-0000-0000-00009E2C0000}"/>
    <cellStyle name="Comma 7 3 2" xfId="13196" xr:uid="{00000000-0005-0000-0000-00009F2C0000}"/>
    <cellStyle name="Comma 7 3 2 2" xfId="13197" xr:uid="{00000000-0005-0000-0000-0000A02C0000}"/>
    <cellStyle name="Comma 7 3 2 2 2" xfId="13198" xr:uid="{00000000-0005-0000-0000-0000A12C0000}"/>
    <cellStyle name="Comma 7 3 2 3" xfId="13199" xr:uid="{00000000-0005-0000-0000-0000A22C0000}"/>
    <cellStyle name="Comma 7 3 2 3 2" xfId="13200" xr:uid="{00000000-0005-0000-0000-0000A32C0000}"/>
    <cellStyle name="Comma 7 3 2 4" xfId="13201" xr:uid="{00000000-0005-0000-0000-0000A42C0000}"/>
    <cellStyle name="Comma 7 3 2 4 2" xfId="13202" xr:uid="{00000000-0005-0000-0000-0000A52C0000}"/>
    <cellStyle name="Comma 7 3 2 5" xfId="13203" xr:uid="{00000000-0005-0000-0000-0000A62C0000}"/>
    <cellStyle name="Comma 7 3 3" xfId="13204" xr:uid="{00000000-0005-0000-0000-0000A72C0000}"/>
    <cellStyle name="Comma 7 3 3 2" xfId="13205" xr:uid="{00000000-0005-0000-0000-0000A82C0000}"/>
    <cellStyle name="Comma 7 3 3 2 2" xfId="13206" xr:uid="{00000000-0005-0000-0000-0000A92C0000}"/>
    <cellStyle name="Comma 7 3 3 3" xfId="13207" xr:uid="{00000000-0005-0000-0000-0000AA2C0000}"/>
    <cellStyle name="Comma 7 3 4" xfId="13208" xr:uid="{00000000-0005-0000-0000-0000AB2C0000}"/>
    <cellStyle name="Comma 7 3 4 2" xfId="13209" xr:uid="{00000000-0005-0000-0000-0000AC2C0000}"/>
    <cellStyle name="Comma 7 3 5" xfId="13210" xr:uid="{00000000-0005-0000-0000-0000AD2C0000}"/>
    <cellStyle name="Comma 7 3 5 2" xfId="13211" xr:uid="{00000000-0005-0000-0000-0000AE2C0000}"/>
    <cellStyle name="Comma 7 3 6" xfId="13212" xr:uid="{00000000-0005-0000-0000-0000AF2C0000}"/>
    <cellStyle name="Comma 7 4" xfId="13213" xr:uid="{00000000-0005-0000-0000-0000B02C0000}"/>
    <cellStyle name="Comma 7 4 2" xfId="13214" xr:uid="{00000000-0005-0000-0000-0000B12C0000}"/>
    <cellStyle name="Comma 7 4 2 2" xfId="13215" xr:uid="{00000000-0005-0000-0000-0000B22C0000}"/>
    <cellStyle name="Comma 7 4 2 2 2" xfId="13216" xr:uid="{00000000-0005-0000-0000-0000B32C0000}"/>
    <cellStyle name="Comma 7 4 2 3" xfId="13217" xr:uid="{00000000-0005-0000-0000-0000B42C0000}"/>
    <cellStyle name="Comma 7 4 2 3 2" xfId="13218" xr:uid="{00000000-0005-0000-0000-0000B52C0000}"/>
    <cellStyle name="Comma 7 4 2 4" xfId="13219" xr:uid="{00000000-0005-0000-0000-0000B62C0000}"/>
    <cellStyle name="Comma 7 4 2 5" xfId="13220" xr:uid="{00000000-0005-0000-0000-0000B72C0000}"/>
    <cellStyle name="Comma 7 4 3" xfId="13221" xr:uid="{00000000-0005-0000-0000-0000B82C0000}"/>
    <cellStyle name="Comma 7 4 3 2" xfId="13222" xr:uid="{00000000-0005-0000-0000-0000B92C0000}"/>
    <cellStyle name="Comma 7 4 3 2 2" xfId="13223" xr:uid="{00000000-0005-0000-0000-0000BA2C0000}"/>
    <cellStyle name="Comma 7 4 3 3" xfId="13224" xr:uid="{00000000-0005-0000-0000-0000BB2C0000}"/>
    <cellStyle name="Comma 7 4 4" xfId="13225" xr:uid="{00000000-0005-0000-0000-0000BC2C0000}"/>
    <cellStyle name="Comma 7 4 4 2" xfId="13226" xr:uid="{00000000-0005-0000-0000-0000BD2C0000}"/>
    <cellStyle name="Comma 7 4 5" xfId="13227" xr:uid="{00000000-0005-0000-0000-0000BE2C0000}"/>
    <cellStyle name="Comma 7 4 5 2" xfId="13228" xr:uid="{00000000-0005-0000-0000-0000BF2C0000}"/>
    <cellStyle name="Comma 7 4 6" xfId="13229" xr:uid="{00000000-0005-0000-0000-0000C02C0000}"/>
    <cellStyle name="Comma 7 5" xfId="13230" xr:uid="{00000000-0005-0000-0000-0000C12C0000}"/>
    <cellStyle name="Comma 7 5 2" xfId="13231" xr:uid="{00000000-0005-0000-0000-0000C22C0000}"/>
    <cellStyle name="Comma 7 5 2 2" xfId="13232" xr:uid="{00000000-0005-0000-0000-0000C32C0000}"/>
    <cellStyle name="Comma 7 5 2 2 2" xfId="13233" xr:uid="{00000000-0005-0000-0000-0000C42C0000}"/>
    <cellStyle name="Comma 7 5 2 3" xfId="13234" xr:uid="{00000000-0005-0000-0000-0000C52C0000}"/>
    <cellStyle name="Comma 7 5 2 3 2" xfId="13235" xr:uid="{00000000-0005-0000-0000-0000C62C0000}"/>
    <cellStyle name="Comma 7 5 2 4" xfId="13236" xr:uid="{00000000-0005-0000-0000-0000C72C0000}"/>
    <cellStyle name="Comma 7 5 2 5" xfId="13237" xr:uid="{00000000-0005-0000-0000-0000C82C0000}"/>
    <cellStyle name="Comma 7 5 3" xfId="13238" xr:uid="{00000000-0005-0000-0000-0000C92C0000}"/>
    <cellStyle name="Comma 7 5 3 2" xfId="13239" xr:uid="{00000000-0005-0000-0000-0000CA2C0000}"/>
    <cellStyle name="Comma 7 5 3 2 2" xfId="13240" xr:uid="{00000000-0005-0000-0000-0000CB2C0000}"/>
    <cellStyle name="Comma 7 5 3 3" xfId="13241" xr:uid="{00000000-0005-0000-0000-0000CC2C0000}"/>
    <cellStyle name="Comma 7 5 4" xfId="13242" xr:uid="{00000000-0005-0000-0000-0000CD2C0000}"/>
    <cellStyle name="Comma 7 5 4 2" xfId="13243" xr:uid="{00000000-0005-0000-0000-0000CE2C0000}"/>
    <cellStyle name="Comma 7 5 5" xfId="13244" xr:uid="{00000000-0005-0000-0000-0000CF2C0000}"/>
    <cellStyle name="Comma 7 5 5 2" xfId="13245" xr:uid="{00000000-0005-0000-0000-0000D02C0000}"/>
    <cellStyle name="Comma 7 5 6" xfId="13246" xr:uid="{00000000-0005-0000-0000-0000D12C0000}"/>
    <cellStyle name="Comma 7 6" xfId="13247" xr:uid="{00000000-0005-0000-0000-0000D22C0000}"/>
    <cellStyle name="Comma 7 6 2" xfId="13248" xr:uid="{00000000-0005-0000-0000-0000D32C0000}"/>
    <cellStyle name="Comma 7 6 2 2" xfId="13249" xr:uid="{00000000-0005-0000-0000-0000D42C0000}"/>
    <cellStyle name="Comma 7 6 3" xfId="13250" xr:uid="{00000000-0005-0000-0000-0000D52C0000}"/>
    <cellStyle name="Comma 7 6 3 2" xfId="13251" xr:uid="{00000000-0005-0000-0000-0000D62C0000}"/>
    <cellStyle name="Comma 7 6 4" xfId="13252" xr:uid="{00000000-0005-0000-0000-0000D72C0000}"/>
    <cellStyle name="Comma 7 6 4 2" xfId="13253" xr:uid="{00000000-0005-0000-0000-0000D82C0000}"/>
    <cellStyle name="Comma 7 6 5" xfId="13254" xr:uid="{00000000-0005-0000-0000-0000D92C0000}"/>
    <cellStyle name="Comma 7 7" xfId="13255" xr:uid="{00000000-0005-0000-0000-0000DA2C0000}"/>
    <cellStyle name="Comma 7 7 2" xfId="13256" xr:uid="{00000000-0005-0000-0000-0000DB2C0000}"/>
    <cellStyle name="Comma 7 7 2 2" xfId="13257" xr:uid="{00000000-0005-0000-0000-0000DC2C0000}"/>
    <cellStyle name="Comma 7 7 3" xfId="13258" xr:uid="{00000000-0005-0000-0000-0000DD2C0000}"/>
    <cellStyle name="Comma 7 7 3 2" xfId="13259" xr:uid="{00000000-0005-0000-0000-0000DE2C0000}"/>
    <cellStyle name="Comma 7 7 4" xfId="13260" xr:uid="{00000000-0005-0000-0000-0000DF2C0000}"/>
    <cellStyle name="Comma 7 8" xfId="13261" xr:uid="{00000000-0005-0000-0000-0000E02C0000}"/>
    <cellStyle name="Comma 7 8 2" xfId="13262" xr:uid="{00000000-0005-0000-0000-0000E12C0000}"/>
    <cellStyle name="Comma 7 8 2 2" xfId="13263" xr:uid="{00000000-0005-0000-0000-0000E22C0000}"/>
    <cellStyle name="Comma 7 8 3" xfId="13264" xr:uid="{00000000-0005-0000-0000-0000E32C0000}"/>
    <cellStyle name="Comma 7 9" xfId="13265" xr:uid="{00000000-0005-0000-0000-0000E42C0000}"/>
    <cellStyle name="Comma 7 9 2" xfId="13266" xr:uid="{00000000-0005-0000-0000-0000E52C0000}"/>
    <cellStyle name="Comma 8" xfId="1769" xr:uid="{00000000-0005-0000-0000-0000E62C0000}"/>
    <cellStyle name="Comma 8 2" xfId="1768" xr:uid="{00000000-0005-0000-0000-0000E72C0000}"/>
    <cellStyle name="Comma 8 2 2" xfId="13267" xr:uid="{00000000-0005-0000-0000-0000E82C0000}"/>
    <cellStyle name="Comma 8 2 3" xfId="13268" xr:uid="{00000000-0005-0000-0000-0000E92C0000}"/>
    <cellStyle name="Comma 8 2 4" xfId="13269" xr:uid="{00000000-0005-0000-0000-0000EA2C0000}"/>
    <cellStyle name="Comma 8 3" xfId="13270" xr:uid="{00000000-0005-0000-0000-0000EB2C0000}"/>
    <cellStyle name="Comma 8 3 2" xfId="13271" xr:uid="{00000000-0005-0000-0000-0000EC2C0000}"/>
    <cellStyle name="Comma 8 3 2 2" xfId="13272" xr:uid="{00000000-0005-0000-0000-0000ED2C0000}"/>
    <cellStyle name="Comma 8 3 3" xfId="13273" xr:uid="{00000000-0005-0000-0000-0000EE2C0000}"/>
    <cellStyle name="Comma 8 3 3 2" xfId="13274" xr:uid="{00000000-0005-0000-0000-0000EF2C0000}"/>
    <cellStyle name="Comma 8 3 4" xfId="13275" xr:uid="{00000000-0005-0000-0000-0000F02C0000}"/>
    <cellStyle name="Comma 8 3 4 2" xfId="13276" xr:uid="{00000000-0005-0000-0000-0000F12C0000}"/>
    <cellStyle name="Comma 8 3 5" xfId="13277" xr:uid="{00000000-0005-0000-0000-0000F22C0000}"/>
    <cellStyle name="Comma 8 4" xfId="13278" xr:uid="{00000000-0005-0000-0000-0000F32C0000}"/>
    <cellStyle name="Comma 8 4 2" xfId="13279" xr:uid="{00000000-0005-0000-0000-0000F42C0000}"/>
    <cellStyle name="Comma 8 4 3" xfId="13280" xr:uid="{00000000-0005-0000-0000-0000F52C0000}"/>
    <cellStyle name="Comma 8 5" xfId="13281" xr:uid="{00000000-0005-0000-0000-0000F62C0000}"/>
    <cellStyle name="Comma 9" xfId="1767" xr:uid="{00000000-0005-0000-0000-0000F72C0000}"/>
    <cellStyle name="Comma 9 10" xfId="13282" xr:uid="{00000000-0005-0000-0000-0000F82C0000}"/>
    <cellStyle name="Comma 9 2" xfId="1766" xr:uid="{00000000-0005-0000-0000-0000F92C0000}"/>
    <cellStyle name="Comma 9 2 2" xfId="13283" xr:uid="{00000000-0005-0000-0000-0000FA2C0000}"/>
    <cellStyle name="Comma 9 2 2 2" xfId="13284" xr:uid="{00000000-0005-0000-0000-0000FB2C0000}"/>
    <cellStyle name="Comma 9 2 2 2 2" xfId="13285" xr:uid="{00000000-0005-0000-0000-0000FC2C0000}"/>
    <cellStyle name="Comma 9 2 2 3" xfId="13286" xr:uid="{00000000-0005-0000-0000-0000FD2C0000}"/>
    <cellStyle name="Comma 9 2 2 3 2" xfId="13287" xr:uid="{00000000-0005-0000-0000-0000FE2C0000}"/>
    <cellStyle name="Comma 9 2 2 4" xfId="13288" xr:uid="{00000000-0005-0000-0000-0000FF2C0000}"/>
    <cellStyle name="Comma 9 2 2 5" xfId="13289" xr:uid="{00000000-0005-0000-0000-0000002D0000}"/>
    <cellStyle name="Comma 9 2 3" xfId="13290" xr:uid="{00000000-0005-0000-0000-0000012D0000}"/>
    <cellStyle name="Comma 9 2 3 2" xfId="13291" xr:uid="{00000000-0005-0000-0000-0000022D0000}"/>
    <cellStyle name="Comma 9 2 3 2 2" xfId="13292" xr:uid="{00000000-0005-0000-0000-0000032D0000}"/>
    <cellStyle name="Comma 9 2 3 3" xfId="13293" xr:uid="{00000000-0005-0000-0000-0000042D0000}"/>
    <cellStyle name="Comma 9 2 4" xfId="13294" xr:uid="{00000000-0005-0000-0000-0000052D0000}"/>
    <cellStyle name="Comma 9 2 4 2" xfId="13295" xr:uid="{00000000-0005-0000-0000-0000062D0000}"/>
    <cellStyle name="Comma 9 2 5" xfId="13296" xr:uid="{00000000-0005-0000-0000-0000072D0000}"/>
    <cellStyle name="Comma 9 2 5 2" xfId="13297" xr:uid="{00000000-0005-0000-0000-0000082D0000}"/>
    <cellStyle name="Comma 9 2 6" xfId="13298" xr:uid="{00000000-0005-0000-0000-0000092D0000}"/>
    <cellStyle name="Comma 9 3" xfId="13299" xr:uid="{00000000-0005-0000-0000-00000A2D0000}"/>
    <cellStyle name="Comma 9 3 2" xfId="13300" xr:uid="{00000000-0005-0000-0000-00000B2D0000}"/>
    <cellStyle name="Comma 9 3 2 2" xfId="13301" xr:uid="{00000000-0005-0000-0000-00000C2D0000}"/>
    <cellStyle name="Comma 9 3 2 2 2" xfId="13302" xr:uid="{00000000-0005-0000-0000-00000D2D0000}"/>
    <cellStyle name="Comma 9 3 2 3" xfId="13303" xr:uid="{00000000-0005-0000-0000-00000E2D0000}"/>
    <cellStyle name="Comma 9 3 2 3 2" xfId="13304" xr:uid="{00000000-0005-0000-0000-00000F2D0000}"/>
    <cellStyle name="Comma 9 3 2 4" xfId="13305" xr:uid="{00000000-0005-0000-0000-0000102D0000}"/>
    <cellStyle name="Comma 9 3 2 5" xfId="13306" xr:uid="{00000000-0005-0000-0000-0000112D0000}"/>
    <cellStyle name="Comma 9 3 3" xfId="13307" xr:uid="{00000000-0005-0000-0000-0000122D0000}"/>
    <cellStyle name="Comma 9 3 3 2" xfId="13308" xr:uid="{00000000-0005-0000-0000-0000132D0000}"/>
    <cellStyle name="Comma 9 3 3 2 2" xfId="13309" xr:uid="{00000000-0005-0000-0000-0000142D0000}"/>
    <cellStyle name="Comma 9 3 3 3" xfId="13310" xr:uid="{00000000-0005-0000-0000-0000152D0000}"/>
    <cellStyle name="Comma 9 3 4" xfId="13311" xr:uid="{00000000-0005-0000-0000-0000162D0000}"/>
    <cellStyle name="Comma 9 3 4 2" xfId="13312" xr:uid="{00000000-0005-0000-0000-0000172D0000}"/>
    <cellStyle name="Comma 9 3 5" xfId="13313" xr:uid="{00000000-0005-0000-0000-0000182D0000}"/>
    <cellStyle name="Comma 9 3 5 2" xfId="13314" xr:uid="{00000000-0005-0000-0000-0000192D0000}"/>
    <cellStyle name="Comma 9 3 6" xfId="13315" xr:uid="{00000000-0005-0000-0000-00001A2D0000}"/>
    <cellStyle name="Comma 9 4" xfId="13316" xr:uid="{00000000-0005-0000-0000-00001B2D0000}"/>
    <cellStyle name="Comma 9 4 2" xfId="13317" xr:uid="{00000000-0005-0000-0000-00001C2D0000}"/>
    <cellStyle name="Comma 9 4 2 2" xfId="13318" xr:uid="{00000000-0005-0000-0000-00001D2D0000}"/>
    <cellStyle name="Comma 9 4 2 2 2" xfId="13319" xr:uid="{00000000-0005-0000-0000-00001E2D0000}"/>
    <cellStyle name="Comma 9 4 2 3" xfId="13320" xr:uid="{00000000-0005-0000-0000-00001F2D0000}"/>
    <cellStyle name="Comma 9 4 3" xfId="13321" xr:uid="{00000000-0005-0000-0000-0000202D0000}"/>
    <cellStyle name="Comma 9 4 3 2" xfId="13322" xr:uid="{00000000-0005-0000-0000-0000212D0000}"/>
    <cellStyle name="Comma 9 4 4" xfId="13323" xr:uid="{00000000-0005-0000-0000-0000222D0000}"/>
    <cellStyle name="Comma 9 4 4 2" xfId="13324" xr:uid="{00000000-0005-0000-0000-0000232D0000}"/>
    <cellStyle name="Comma 9 4 5" xfId="13325" xr:uid="{00000000-0005-0000-0000-0000242D0000}"/>
    <cellStyle name="Comma 9 5" xfId="13326" xr:uid="{00000000-0005-0000-0000-0000252D0000}"/>
    <cellStyle name="Comma 9 5 2" xfId="13327" xr:uid="{00000000-0005-0000-0000-0000262D0000}"/>
    <cellStyle name="Comma 9 5 2 2" xfId="13328" xr:uid="{00000000-0005-0000-0000-0000272D0000}"/>
    <cellStyle name="Comma 9 5 3" xfId="13329" xr:uid="{00000000-0005-0000-0000-0000282D0000}"/>
    <cellStyle name="Comma 9 5 3 2" xfId="13330" xr:uid="{00000000-0005-0000-0000-0000292D0000}"/>
    <cellStyle name="Comma 9 5 4" xfId="13331" xr:uid="{00000000-0005-0000-0000-00002A2D0000}"/>
    <cellStyle name="Comma 9 5 4 2" xfId="13332" xr:uid="{00000000-0005-0000-0000-00002B2D0000}"/>
    <cellStyle name="Comma 9 5 5" xfId="13333" xr:uid="{00000000-0005-0000-0000-00002C2D0000}"/>
    <cellStyle name="Comma 9 6" xfId="13334" xr:uid="{00000000-0005-0000-0000-00002D2D0000}"/>
    <cellStyle name="Comma 9 6 2" xfId="13335" xr:uid="{00000000-0005-0000-0000-00002E2D0000}"/>
    <cellStyle name="Comma 9 6 2 2" xfId="13336" xr:uid="{00000000-0005-0000-0000-00002F2D0000}"/>
    <cellStyle name="Comma 9 6 3" xfId="13337" xr:uid="{00000000-0005-0000-0000-0000302D0000}"/>
    <cellStyle name="Comma 9 6 3 2" xfId="13338" xr:uid="{00000000-0005-0000-0000-0000312D0000}"/>
    <cellStyle name="Comma 9 6 4" xfId="13339" xr:uid="{00000000-0005-0000-0000-0000322D0000}"/>
    <cellStyle name="Comma 9 7" xfId="13340" xr:uid="{00000000-0005-0000-0000-0000332D0000}"/>
    <cellStyle name="Comma 9 7 2" xfId="13341" xr:uid="{00000000-0005-0000-0000-0000342D0000}"/>
    <cellStyle name="Comma 9 7 2 2" xfId="13342" xr:uid="{00000000-0005-0000-0000-0000352D0000}"/>
    <cellStyle name="Comma 9 7 3" xfId="13343" xr:uid="{00000000-0005-0000-0000-0000362D0000}"/>
    <cellStyle name="Comma 9 8" xfId="13344" xr:uid="{00000000-0005-0000-0000-0000372D0000}"/>
    <cellStyle name="Comma 9 8 2" xfId="13345" xr:uid="{00000000-0005-0000-0000-0000382D0000}"/>
    <cellStyle name="Comma 9 9" xfId="13346" xr:uid="{00000000-0005-0000-0000-0000392D0000}"/>
    <cellStyle name="Comma0" xfId="1765" xr:uid="{00000000-0005-0000-0000-00003A2D0000}"/>
    <cellStyle name="Comma0 - Style2" xfId="1764" xr:uid="{00000000-0005-0000-0000-00003B2D0000}"/>
    <cellStyle name="Comma0 - Style4" xfId="1763" xr:uid="{00000000-0005-0000-0000-00003C2D0000}"/>
    <cellStyle name="Comma0 - Style5" xfId="1762" xr:uid="{00000000-0005-0000-0000-00003D2D0000}"/>
    <cellStyle name="Comma0 2" xfId="1761" xr:uid="{00000000-0005-0000-0000-00003E2D0000}"/>
    <cellStyle name="Comma0 3" xfId="1760" xr:uid="{00000000-0005-0000-0000-00003F2D0000}"/>
    <cellStyle name="Comma0 4" xfId="1759" xr:uid="{00000000-0005-0000-0000-0000402D0000}"/>
    <cellStyle name="Comma0_00COS Ind Allocators" xfId="1758" xr:uid="{00000000-0005-0000-0000-0000412D0000}"/>
    <cellStyle name="Comma1 - Style1" xfId="1757" xr:uid="{00000000-0005-0000-0000-0000422D0000}"/>
    <cellStyle name="Copied" xfId="1756" xr:uid="{00000000-0005-0000-0000-0000432D0000}"/>
    <cellStyle name="COST1" xfId="1755" xr:uid="{00000000-0005-0000-0000-0000442D0000}"/>
    <cellStyle name="Curren - Style1" xfId="1754" xr:uid="{00000000-0005-0000-0000-0000452D0000}"/>
    <cellStyle name="Curren - Style2" xfId="1753" xr:uid="{00000000-0005-0000-0000-0000462D0000}"/>
    <cellStyle name="Curren - Style5" xfId="1752" xr:uid="{00000000-0005-0000-0000-0000472D0000}"/>
    <cellStyle name="Curren - Style6" xfId="1751" xr:uid="{00000000-0005-0000-0000-0000482D0000}"/>
    <cellStyle name="Currency 10" xfId="1750" xr:uid="{00000000-0005-0000-0000-0000492D0000}"/>
    <cellStyle name="Currency 10 10" xfId="13347" xr:uid="{00000000-0005-0000-0000-00004A2D0000}"/>
    <cellStyle name="Currency 10 2" xfId="13348" xr:uid="{00000000-0005-0000-0000-00004B2D0000}"/>
    <cellStyle name="Currency 10 2 2" xfId="13349" xr:uid="{00000000-0005-0000-0000-00004C2D0000}"/>
    <cellStyle name="Currency 10 2 2 2" xfId="13350" xr:uid="{00000000-0005-0000-0000-00004D2D0000}"/>
    <cellStyle name="Currency 10 2 2 2 2" xfId="13351" xr:uid="{00000000-0005-0000-0000-00004E2D0000}"/>
    <cellStyle name="Currency 10 2 2 3" xfId="13352" xr:uid="{00000000-0005-0000-0000-00004F2D0000}"/>
    <cellStyle name="Currency 10 2 2 3 2" xfId="13353" xr:uid="{00000000-0005-0000-0000-0000502D0000}"/>
    <cellStyle name="Currency 10 2 2 4" xfId="13354" xr:uid="{00000000-0005-0000-0000-0000512D0000}"/>
    <cellStyle name="Currency 10 2 2 5" xfId="13355" xr:uid="{00000000-0005-0000-0000-0000522D0000}"/>
    <cellStyle name="Currency 10 2 3" xfId="13356" xr:uid="{00000000-0005-0000-0000-0000532D0000}"/>
    <cellStyle name="Currency 10 2 3 2" xfId="13357" xr:uid="{00000000-0005-0000-0000-0000542D0000}"/>
    <cellStyle name="Currency 10 2 3 2 2" xfId="13358" xr:uid="{00000000-0005-0000-0000-0000552D0000}"/>
    <cellStyle name="Currency 10 2 3 3" xfId="13359" xr:uid="{00000000-0005-0000-0000-0000562D0000}"/>
    <cellStyle name="Currency 10 2 4" xfId="13360" xr:uid="{00000000-0005-0000-0000-0000572D0000}"/>
    <cellStyle name="Currency 10 2 4 2" xfId="13361" xr:uid="{00000000-0005-0000-0000-0000582D0000}"/>
    <cellStyle name="Currency 10 2 5" xfId="13362" xr:uid="{00000000-0005-0000-0000-0000592D0000}"/>
    <cellStyle name="Currency 10 2 5 2" xfId="13363" xr:uid="{00000000-0005-0000-0000-00005A2D0000}"/>
    <cellStyle name="Currency 10 2 6" xfId="13364" xr:uid="{00000000-0005-0000-0000-00005B2D0000}"/>
    <cellStyle name="Currency 10 3" xfId="13365" xr:uid="{00000000-0005-0000-0000-00005C2D0000}"/>
    <cellStyle name="Currency 10 3 2" xfId="13366" xr:uid="{00000000-0005-0000-0000-00005D2D0000}"/>
    <cellStyle name="Currency 10 3 2 2" xfId="13367" xr:uid="{00000000-0005-0000-0000-00005E2D0000}"/>
    <cellStyle name="Currency 10 3 2 2 2" xfId="13368" xr:uid="{00000000-0005-0000-0000-00005F2D0000}"/>
    <cellStyle name="Currency 10 3 2 3" xfId="13369" xr:uid="{00000000-0005-0000-0000-0000602D0000}"/>
    <cellStyle name="Currency 10 3 2 3 2" xfId="13370" xr:uid="{00000000-0005-0000-0000-0000612D0000}"/>
    <cellStyle name="Currency 10 3 2 4" xfId="13371" xr:uid="{00000000-0005-0000-0000-0000622D0000}"/>
    <cellStyle name="Currency 10 3 2 5" xfId="13372" xr:uid="{00000000-0005-0000-0000-0000632D0000}"/>
    <cellStyle name="Currency 10 3 3" xfId="13373" xr:uid="{00000000-0005-0000-0000-0000642D0000}"/>
    <cellStyle name="Currency 10 3 3 2" xfId="13374" xr:uid="{00000000-0005-0000-0000-0000652D0000}"/>
    <cellStyle name="Currency 10 3 3 2 2" xfId="13375" xr:uid="{00000000-0005-0000-0000-0000662D0000}"/>
    <cellStyle name="Currency 10 3 3 3" xfId="13376" xr:uid="{00000000-0005-0000-0000-0000672D0000}"/>
    <cellStyle name="Currency 10 3 4" xfId="13377" xr:uid="{00000000-0005-0000-0000-0000682D0000}"/>
    <cellStyle name="Currency 10 3 4 2" xfId="13378" xr:uid="{00000000-0005-0000-0000-0000692D0000}"/>
    <cellStyle name="Currency 10 3 5" xfId="13379" xr:uid="{00000000-0005-0000-0000-00006A2D0000}"/>
    <cellStyle name="Currency 10 3 5 2" xfId="13380" xr:uid="{00000000-0005-0000-0000-00006B2D0000}"/>
    <cellStyle name="Currency 10 3 6" xfId="13381" xr:uid="{00000000-0005-0000-0000-00006C2D0000}"/>
    <cellStyle name="Currency 10 4" xfId="13382" xr:uid="{00000000-0005-0000-0000-00006D2D0000}"/>
    <cellStyle name="Currency 10 4 2" xfId="13383" xr:uid="{00000000-0005-0000-0000-00006E2D0000}"/>
    <cellStyle name="Currency 10 4 2 2" xfId="13384" xr:uid="{00000000-0005-0000-0000-00006F2D0000}"/>
    <cellStyle name="Currency 10 4 2 2 2" xfId="13385" xr:uid="{00000000-0005-0000-0000-0000702D0000}"/>
    <cellStyle name="Currency 10 4 2 3" xfId="13386" xr:uid="{00000000-0005-0000-0000-0000712D0000}"/>
    <cellStyle name="Currency 10 4 3" xfId="13387" xr:uid="{00000000-0005-0000-0000-0000722D0000}"/>
    <cellStyle name="Currency 10 4 3 2" xfId="13388" xr:uid="{00000000-0005-0000-0000-0000732D0000}"/>
    <cellStyle name="Currency 10 4 4" xfId="13389" xr:uid="{00000000-0005-0000-0000-0000742D0000}"/>
    <cellStyle name="Currency 10 4 4 2" xfId="13390" xr:uid="{00000000-0005-0000-0000-0000752D0000}"/>
    <cellStyle name="Currency 10 4 5" xfId="13391" xr:uid="{00000000-0005-0000-0000-0000762D0000}"/>
    <cellStyle name="Currency 10 5" xfId="13392" xr:uid="{00000000-0005-0000-0000-0000772D0000}"/>
    <cellStyle name="Currency 10 5 2" xfId="13393" xr:uid="{00000000-0005-0000-0000-0000782D0000}"/>
    <cellStyle name="Currency 10 5 2 2" xfId="13394" xr:uid="{00000000-0005-0000-0000-0000792D0000}"/>
    <cellStyle name="Currency 10 5 3" xfId="13395" xr:uid="{00000000-0005-0000-0000-00007A2D0000}"/>
    <cellStyle name="Currency 10 5 3 2" xfId="13396" xr:uid="{00000000-0005-0000-0000-00007B2D0000}"/>
    <cellStyle name="Currency 10 5 4" xfId="13397" xr:uid="{00000000-0005-0000-0000-00007C2D0000}"/>
    <cellStyle name="Currency 10 5 4 2" xfId="13398" xr:uid="{00000000-0005-0000-0000-00007D2D0000}"/>
    <cellStyle name="Currency 10 5 5" xfId="13399" xr:uid="{00000000-0005-0000-0000-00007E2D0000}"/>
    <cellStyle name="Currency 10 6" xfId="13400" xr:uid="{00000000-0005-0000-0000-00007F2D0000}"/>
    <cellStyle name="Currency 10 6 2" xfId="13401" xr:uid="{00000000-0005-0000-0000-0000802D0000}"/>
    <cellStyle name="Currency 10 6 2 2" xfId="13402" xr:uid="{00000000-0005-0000-0000-0000812D0000}"/>
    <cellStyle name="Currency 10 6 3" xfId="13403" xr:uid="{00000000-0005-0000-0000-0000822D0000}"/>
    <cellStyle name="Currency 10 7" xfId="13404" xr:uid="{00000000-0005-0000-0000-0000832D0000}"/>
    <cellStyle name="Currency 10 7 2" xfId="13405" xr:uid="{00000000-0005-0000-0000-0000842D0000}"/>
    <cellStyle name="Currency 10 7 2 2" xfId="13406" xr:uid="{00000000-0005-0000-0000-0000852D0000}"/>
    <cellStyle name="Currency 10 7 3" xfId="13407" xr:uid="{00000000-0005-0000-0000-0000862D0000}"/>
    <cellStyle name="Currency 10 8" xfId="13408" xr:uid="{00000000-0005-0000-0000-0000872D0000}"/>
    <cellStyle name="Currency 10 8 2" xfId="13409" xr:uid="{00000000-0005-0000-0000-0000882D0000}"/>
    <cellStyle name="Currency 10 9" xfId="13410" xr:uid="{00000000-0005-0000-0000-0000892D0000}"/>
    <cellStyle name="Currency 11" xfId="1749" xr:uid="{00000000-0005-0000-0000-00008A2D0000}"/>
    <cellStyle name="Currency 11 2" xfId="1748" xr:uid="{00000000-0005-0000-0000-00008B2D0000}"/>
    <cellStyle name="Currency 11 2 2" xfId="1747" xr:uid="{00000000-0005-0000-0000-00008C2D0000}"/>
    <cellStyle name="Currency 11 2 2 2" xfId="1746" xr:uid="{00000000-0005-0000-0000-00008D2D0000}"/>
    <cellStyle name="Currency 11 2 2 3" xfId="1745" xr:uid="{00000000-0005-0000-0000-00008E2D0000}"/>
    <cellStyle name="Currency 11 2 3" xfId="1744" xr:uid="{00000000-0005-0000-0000-00008F2D0000}"/>
    <cellStyle name="Currency 11 2 4" xfId="1743" xr:uid="{00000000-0005-0000-0000-0000902D0000}"/>
    <cellStyle name="Currency 11 3" xfId="1742" xr:uid="{00000000-0005-0000-0000-0000912D0000}"/>
    <cellStyle name="Currency 11 3 2" xfId="1741" xr:uid="{00000000-0005-0000-0000-0000922D0000}"/>
    <cellStyle name="Currency 11 3 3" xfId="1740" xr:uid="{00000000-0005-0000-0000-0000932D0000}"/>
    <cellStyle name="Currency 11 4" xfId="1739" xr:uid="{00000000-0005-0000-0000-0000942D0000}"/>
    <cellStyle name="Currency 11 4 2" xfId="1738" xr:uid="{00000000-0005-0000-0000-0000952D0000}"/>
    <cellStyle name="Currency 11 4 3" xfId="1737" xr:uid="{00000000-0005-0000-0000-0000962D0000}"/>
    <cellStyle name="Currency 11 5" xfId="1736" xr:uid="{00000000-0005-0000-0000-0000972D0000}"/>
    <cellStyle name="Currency 11 6" xfId="1735" xr:uid="{00000000-0005-0000-0000-0000982D0000}"/>
    <cellStyle name="Currency 12" xfId="1734" xr:uid="{00000000-0005-0000-0000-0000992D0000}"/>
    <cellStyle name="Currency 12 2" xfId="13411" xr:uid="{00000000-0005-0000-0000-00009A2D0000}"/>
    <cellStyle name="Currency 12 3" xfId="13412" xr:uid="{00000000-0005-0000-0000-00009B2D0000}"/>
    <cellStyle name="Currency 12 3 2" xfId="13413" xr:uid="{00000000-0005-0000-0000-00009C2D0000}"/>
    <cellStyle name="Currency 12 4" xfId="13414" xr:uid="{00000000-0005-0000-0000-00009D2D0000}"/>
    <cellStyle name="Currency 12 4 2" xfId="13415" xr:uid="{00000000-0005-0000-0000-00009E2D0000}"/>
    <cellStyle name="Currency 13" xfId="1733" xr:uid="{00000000-0005-0000-0000-00009F2D0000}"/>
    <cellStyle name="Currency 13 2" xfId="13416" xr:uid="{00000000-0005-0000-0000-0000A02D0000}"/>
    <cellStyle name="Currency 13 2 2" xfId="13417" xr:uid="{00000000-0005-0000-0000-0000A12D0000}"/>
    <cellStyle name="Currency 13 2 2 2" xfId="13418" xr:uid="{00000000-0005-0000-0000-0000A22D0000}"/>
    <cellStyle name="Currency 13 2 2 2 2" xfId="13419" xr:uid="{00000000-0005-0000-0000-0000A32D0000}"/>
    <cellStyle name="Currency 13 2 2 3" xfId="13420" xr:uid="{00000000-0005-0000-0000-0000A42D0000}"/>
    <cellStyle name="Currency 13 2 2 3 2" xfId="13421" xr:uid="{00000000-0005-0000-0000-0000A52D0000}"/>
    <cellStyle name="Currency 13 2 2 4" xfId="13422" xr:uid="{00000000-0005-0000-0000-0000A62D0000}"/>
    <cellStyle name="Currency 13 2 2 5" xfId="13423" xr:uid="{00000000-0005-0000-0000-0000A72D0000}"/>
    <cellStyle name="Currency 13 2 3" xfId="13424" xr:uid="{00000000-0005-0000-0000-0000A82D0000}"/>
    <cellStyle name="Currency 13 2 3 2" xfId="13425" xr:uid="{00000000-0005-0000-0000-0000A92D0000}"/>
    <cellStyle name="Currency 13 2 3 2 2" xfId="13426" xr:uid="{00000000-0005-0000-0000-0000AA2D0000}"/>
    <cellStyle name="Currency 13 2 3 3" xfId="13427" xr:uid="{00000000-0005-0000-0000-0000AB2D0000}"/>
    <cellStyle name="Currency 13 2 4" xfId="13428" xr:uid="{00000000-0005-0000-0000-0000AC2D0000}"/>
    <cellStyle name="Currency 13 2 4 2" xfId="13429" xr:uid="{00000000-0005-0000-0000-0000AD2D0000}"/>
    <cellStyle name="Currency 13 2 5" xfId="13430" xr:uid="{00000000-0005-0000-0000-0000AE2D0000}"/>
    <cellStyle name="Currency 13 2 5 2" xfId="13431" xr:uid="{00000000-0005-0000-0000-0000AF2D0000}"/>
    <cellStyle name="Currency 13 2 6" xfId="13432" xr:uid="{00000000-0005-0000-0000-0000B02D0000}"/>
    <cellStyle name="Currency 13 3" xfId="13433" xr:uid="{00000000-0005-0000-0000-0000B12D0000}"/>
    <cellStyle name="Currency 13 3 2" xfId="13434" xr:uid="{00000000-0005-0000-0000-0000B22D0000}"/>
    <cellStyle name="Currency 13 3 2 2" xfId="13435" xr:uid="{00000000-0005-0000-0000-0000B32D0000}"/>
    <cellStyle name="Currency 13 3 2 2 2" xfId="13436" xr:uid="{00000000-0005-0000-0000-0000B42D0000}"/>
    <cellStyle name="Currency 13 3 2 3" xfId="13437" xr:uid="{00000000-0005-0000-0000-0000B52D0000}"/>
    <cellStyle name="Currency 13 3 3" xfId="13438" xr:uid="{00000000-0005-0000-0000-0000B62D0000}"/>
    <cellStyle name="Currency 13 3 3 2" xfId="13439" xr:uid="{00000000-0005-0000-0000-0000B72D0000}"/>
    <cellStyle name="Currency 13 3 4" xfId="13440" xr:uid="{00000000-0005-0000-0000-0000B82D0000}"/>
    <cellStyle name="Currency 13 3 4 2" xfId="13441" xr:uid="{00000000-0005-0000-0000-0000B92D0000}"/>
    <cellStyle name="Currency 13 3 5" xfId="13442" xr:uid="{00000000-0005-0000-0000-0000BA2D0000}"/>
    <cellStyle name="Currency 13 4" xfId="13443" xr:uid="{00000000-0005-0000-0000-0000BB2D0000}"/>
    <cellStyle name="Currency 13 4 2" xfId="13444" xr:uid="{00000000-0005-0000-0000-0000BC2D0000}"/>
    <cellStyle name="Currency 13 4 2 2" xfId="13445" xr:uid="{00000000-0005-0000-0000-0000BD2D0000}"/>
    <cellStyle name="Currency 13 4 3" xfId="13446" xr:uid="{00000000-0005-0000-0000-0000BE2D0000}"/>
    <cellStyle name="Currency 13 4 3 2" xfId="13447" xr:uid="{00000000-0005-0000-0000-0000BF2D0000}"/>
    <cellStyle name="Currency 13 4 4" xfId="13448" xr:uid="{00000000-0005-0000-0000-0000C02D0000}"/>
    <cellStyle name="Currency 13 5" xfId="13449" xr:uid="{00000000-0005-0000-0000-0000C12D0000}"/>
    <cellStyle name="Currency 13 5 2" xfId="13450" xr:uid="{00000000-0005-0000-0000-0000C22D0000}"/>
    <cellStyle name="Currency 13 5 2 2" xfId="13451" xr:uid="{00000000-0005-0000-0000-0000C32D0000}"/>
    <cellStyle name="Currency 13 5 3" xfId="13452" xr:uid="{00000000-0005-0000-0000-0000C42D0000}"/>
    <cellStyle name="Currency 13 6" xfId="13453" xr:uid="{00000000-0005-0000-0000-0000C52D0000}"/>
    <cellStyle name="Currency 13 6 2" xfId="13454" xr:uid="{00000000-0005-0000-0000-0000C62D0000}"/>
    <cellStyle name="Currency 13 6 3" xfId="13455" xr:uid="{00000000-0005-0000-0000-0000C72D0000}"/>
    <cellStyle name="Currency 13 7" xfId="13456" xr:uid="{00000000-0005-0000-0000-0000C82D0000}"/>
    <cellStyle name="Currency 13 7 2" xfId="13457" xr:uid="{00000000-0005-0000-0000-0000C92D0000}"/>
    <cellStyle name="Currency 13 8" xfId="13458" xr:uid="{00000000-0005-0000-0000-0000CA2D0000}"/>
    <cellStyle name="Currency 13 9" xfId="13459" xr:uid="{00000000-0005-0000-0000-0000CB2D0000}"/>
    <cellStyle name="Currency 14" xfId="1732" xr:uid="{00000000-0005-0000-0000-0000CC2D0000}"/>
    <cellStyle name="Currency 14 2" xfId="13460" xr:uid="{00000000-0005-0000-0000-0000CD2D0000}"/>
    <cellStyle name="Currency 14 2 2" xfId="13461" xr:uid="{00000000-0005-0000-0000-0000CE2D0000}"/>
    <cellStyle name="Currency 14 2 2 2" xfId="13462" xr:uid="{00000000-0005-0000-0000-0000CF2D0000}"/>
    <cellStyle name="Currency 14 2 2 2 2" xfId="13463" xr:uid="{00000000-0005-0000-0000-0000D02D0000}"/>
    <cellStyle name="Currency 14 2 2 3" xfId="13464" xr:uid="{00000000-0005-0000-0000-0000D12D0000}"/>
    <cellStyle name="Currency 14 2 3" xfId="13465" xr:uid="{00000000-0005-0000-0000-0000D22D0000}"/>
    <cellStyle name="Currency 14 2 3 2" xfId="13466" xr:uid="{00000000-0005-0000-0000-0000D32D0000}"/>
    <cellStyle name="Currency 14 2 4" xfId="13467" xr:uid="{00000000-0005-0000-0000-0000D42D0000}"/>
    <cellStyle name="Currency 14 2 4 2" xfId="13468" xr:uid="{00000000-0005-0000-0000-0000D52D0000}"/>
    <cellStyle name="Currency 14 2 5" xfId="13469" xr:uid="{00000000-0005-0000-0000-0000D62D0000}"/>
    <cellStyle name="Currency 14 3" xfId="13470" xr:uid="{00000000-0005-0000-0000-0000D72D0000}"/>
    <cellStyle name="Currency 14 3 2" xfId="13471" xr:uid="{00000000-0005-0000-0000-0000D82D0000}"/>
    <cellStyle name="Currency 14 3 2 2" xfId="13472" xr:uid="{00000000-0005-0000-0000-0000D92D0000}"/>
    <cellStyle name="Currency 14 3 3" xfId="13473" xr:uid="{00000000-0005-0000-0000-0000DA2D0000}"/>
    <cellStyle name="Currency 14 3 3 2" xfId="13474" xr:uid="{00000000-0005-0000-0000-0000DB2D0000}"/>
    <cellStyle name="Currency 14 3 4" xfId="13475" xr:uid="{00000000-0005-0000-0000-0000DC2D0000}"/>
    <cellStyle name="Currency 14 4" xfId="13476" xr:uid="{00000000-0005-0000-0000-0000DD2D0000}"/>
    <cellStyle name="Currency 14 4 2" xfId="13477" xr:uid="{00000000-0005-0000-0000-0000DE2D0000}"/>
    <cellStyle name="Currency 14 4 2 2" xfId="13478" xr:uid="{00000000-0005-0000-0000-0000DF2D0000}"/>
    <cellStyle name="Currency 14 4 3" xfId="13479" xr:uid="{00000000-0005-0000-0000-0000E02D0000}"/>
    <cellStyle name="Currency 14 5" xfId="13480" xr:uid="{00000000-0005-0000-0000-0000E12D0000}"/>
    <cellStyle name="Currency 14 5 2" xfId="13481" xr:uid="{00000000-0005-0000-0000-0000E22D0000}"/>
    <cellStyle name="Currency 14 5 3" xfId="13482" xr:uid="{00000000-0005-0000-0000-0000E32D0000}"/>
    <cellStyle name="Currency 14 6" xfId="13483" xr:uid="{00000000-0005-0000-0000-0000E42D0000}"/>
    <cellStyle name="Currency 14 6 2" xfId="13484" xr:uid="{00000000-0005-0000-0000-0000E52D0000}"/>
    <cellStyle name="Currency 14 7" xfId="13485" xr:uid="{00000000-0005-0000-0000-0000E62D0000}"/>
    <cellStyle name="Currency 14 8" xfId="13486" xr:uid="{00000000-0005-0000-0000-0000E72D0000}"/>
    <cellStyle name="Currency 15" xfId="1731" xr:uid="{00000000-0005-0000-0000-0000E82D0000}"/>
    <cellStyle name="Currency 15 2" xfId="13487" xr:uid="{00000000-0005-0000-0000-0000E92D0000}"/>
    <cellStyle name="Currency 15 2 2" xfId="13488" xr:uid="{00000000-0005-0000-0000-0000EA2D0000}"/>
    <cellStyle name="Currency 15 2 2 2" xfId="13489" xr:uid="{00000000-0005-0000-0000-0000EB2D0000}"/>
    <cellStyle name="Currency 15 2 3" xfId="13490" xr:uid="{00000000-0005-0000-0000-0000EC2D0000}"/>
    <cellStyle name="Currency 15 3" xfId="13491" xr:uid="{00000000-0005-0000-0000-0000ED2D0000}"/>
    <cellStyle name="Currency 15 3 2" xfId="13492" xr:uid="{00000000-0005-0000-0000-0000EE2D0000}"/>
    <cellStyle name="Currency 15 3 3" xfId="13493" xr:uid="{00000000-0005-0000-0000-0000EF2D0000}"/>
    <cellStyle name="Currency 15 4" xfId="13494" xr:uid="{00000000-0005-0000-0000-0000F02D0000}"/>
    <cellStyle name="Currency 15 4 2" xfId="13495" xr:uid="{00000000-0005-0000-0000-0000F12D0000}"/>
    <cellStyle name="Currency 15 4 3" xfId="13496" xr:uid="{00000000-0005-0000-0000-0000F22D0000}"/>
    <cellStyle name="Currency 15 5" xfId="13497" xr:uid="{00000000-0005-0000-0000-0000F32D0000}"/>
    <cellStyle name="Currency 15 5 2" xfId="13498" xr:uid="{00000000-0005-0000-0000-0000F42D0000}"/>
    <cellStyle name="Currency 15 6" xfId="13499" xr:uid="{00000000-0005-0000-0000-0000F52D0000}"/>
    <cellStyle name="Currency 15 7" xfId="13500" xr:uid="{00000000-0005-0000-0000-0000F62D0000}"/>
    <cellStyle name="Currency 16" xfId="1730" xr:uid="{00000000-0005-0000-0000-0000F72D0000}"/>
    <cellStyle name="Currency 16 2" xfId="13501" xr:uid="{00000000-0005-0000-0000-0000F82D0000}"/>
    <cellStyle name="Currency 17" xfId="1729" xr:uid="{00000000-0005-0000-0000-0000F92D0000}"/>
    <cellStyle name="Currency 17 2" xfId="13502" xr:uid="{00000000-0005-0000-0000-0000FA2D0000}"/>
    <cellStyle name="Currency 17 3" xfId="13503" xr:uid="{00000000-0005-0000-0000-0000FB2D0000}"/>
    <cellStyle name="Currency 18" xfId="1728" xr:uid="{00000000-0005-0000-0000-0000FC2D0000}"/>
    <cellStyle name="Currency 19" xfId="13504" xr:uid="{00000000-0005-0000-0000-0000FD2D0000}"/>
    <cellStyle name="Currency 2" xfId="1727" xr:uid="{00000000-0005-0000-0000-0000FE2D0000}"/>
    <cellStyle name="Currency 2 12" xfId="13505" xr:uid="{00000000-0005-0000-0000-0000FF2D0000}"/>
    <cellStyle name="Currency 2 2" xfId="1726" xr:uid="{00000000-0005-0000-0000-0000002E0000}"/>
    <cellStyle name="Currency 2 2 2" xfId="13506" xr:uid="{00000000-0005-0000-0000-0000012E0000}"/>
    <cellStyle name="Currency 2 3" xfId="1725" xr:uid="{00000000-0005-0000-0000-0000022E0000}"/>
    <cellStyle name="Currency 2 4" xfId="1724" xr:uid="{00000000-0005-0000-0000-0000032E0000}"/>
    <cellStyle name="Currency 20" xfId="13507" xr:uid="{00000000-0005-0000-0000-0000042E0000}"/>
    <cellStyle name="Currency 3" xfId="1723" xr:uid="{00000000-0005-0000-0000-0000052E0000}"/>
    <cellStyle name="Currency 3 10" xfId="13508" xr:uid="{00000000-0005-0000-0000-0000062E0000}"/>
    <cellStyle name="Currency 3 10 2" xfId="13509" xr:uid="{00000000-0005-0000-0000-0000072E0000}"/>
    <cellStyle name="Currency 3 10 3" xfId="13510" xr:uid="{00000000-0005-0000-0000-0000082E0000}"/>
    <cellStyle name="Currency 3 11" xfId="13511" xr:uid="{00000000-0005-0000-0000-0000092E0000}"/>
    <cellStyle name="Currency 3 11 2" xfId="13512" xr:uid="{00000000-0005-0000-0000-00000A2E0000}"/>
    <cellStyle name="Currency 3 11 3" xfId="13513" xr:uid="{00000000-0005-0000-0000-00000B2E0000}"/>
    <cellStyle name="Currency 3 12" xfId="13514" xr:uid="{00000000-0005-0000-0000-00000C2E0000}"/>
    <cellStyle name="Currency 3 12 2" xfId="13515" xr:uid="{00000000-0005-0000-0000-00000D2E0000}"/>
    <cellStyle name="Currency 3 12 3" xfId="13516" xr:uid="{00000000-0005-0000-0000-00000E2E0000}"/>
    <cellStyle name="Currency 3 13" xfId="13517" xr:uid="{00000000-0005-0000-0000-00000F2E0000}"/>
    <cellStyle name="Currency 3 13 2" xfId="13518" xr:uid="{00000000-0005-0000-0000-0000102E0000}"/>
    <cellStyle name="Currency 3 14" xfId="13519" xr:uid="{00000000-0005-0000-0000-0000112E0000}"/>
    <cellStyle name="Currency 3 15" xfId="13520" xr:uid="{00000000-0005-0000-0000-0000122E0000}"/>
    <cellStyle name="Currency 3 16" xfId="13521" xr:uid="{00000000-0005-0000-0000-0000132E0000}"/>
    <cellStyle name="Currency 3 2" xfId="1722" xr:uid="{00000000-0005-0000-0000-0000142E0000}"/>
    <cellStyle name="Currency 3 2 2" xfId="13522" xr:uid="{00000000-0005-0000-0000-0000152E0000}"/>
    <cellStyle name="Currency 3 3" xfId="13523" xr:uid="{00000000-0005-0000-0000-0000162E0000}"/>
    <cellStyle name="Currency 3 3 10" xfId="13524" xr:uid="{00000000-0005-0000-0000-0000172E0000}"/>
    <cellStyle name="Currency 3 3 11" xfId="13525" xr:uid="{00000000-0005-0000-0000-0000182E0000}"/>
    <cellStyle name="Currency 3 3 2" xfId="13526" xr:uid="{00000000-0005-0000-0000-0000192E0000}"/>
    <cellStyle name="Currency 3 3 2 2" xfId="13527" xr:uid="{00000000-0005-0000-0000-00001A2E0000}"/>
    <cellStyle name="Currency 3 3 2 2 2" xfId="13528" xr:uid="{00000000-0005-0000-0000-00001B2E0000}"/>
    <cellStyle name="Currency 3 3 2 2 2 2" xfId="13529" xr:uid="{00000000-0005-0000-0000-00001C2E0000}"/>
    <cellStyle name="Currency 3 3 2 2 3" xfId="13530" xr:uid="{00000000-0005-0000-0000-00001D2E0000}"/>
    <cellStyle name="Currency 3 3 2 2 3 2" xfId="13531" xr:uid="{00000000-0005-0000-0000-00001E2E0000}"/>
    <cellStyle name="Currency 3 3 2 2 4" xfId="13532" xr:uid="{00000000-0005-0000-0000-00001F2E0000}"/>
    <cellStyle name="Currency 3 3 2 2 5" xfId="13533" xr:uid="{00000000-0005-0000-0000-0000202E0000}"/>
    <cellStyle name="Currency 3 3 2 3" xfId="13534" xr:uid="{00000000-0005-0000-0000-0000212E0000}"/>
    <cellStyle name="Currency 3 3 2 3 2" xfId="13535" xr:uid="{00000000-0005-0000-0000-0000222E0000}"/>
    <cellStyle name="Currency 3 3 2 3 2 2" xfId="13536" xr:uid="{00000000-0005-0000-0000-0000232E0000}"/>
    <cellStyle name="Currency 3 3 2 3 3" xfId="13537" xr:uid="{00000000-0005-0000-0000-0000242E0000}"/>
    <cellStyle name="Currency 3 3 2 4" xfId="13538" xr:uid="{00000000-0005-0000-0000-0000252E0000}"/>
    <cellStyle name="Currency 3 3 2 4 2" xfId="13539" xr:uid="{00000000-0005-0000-0000-0000262E0000}"/>
    <cellStyle name="Currency 3 3 2 5" xfId="13540" xr:uid="{00000000-0005-0000-0000-0000272E0000}"/>
    <cellStyle name="Currency 3 3 2 5 2" xfId="13541" xr:uid="{00000000-0005-0000-0000-0000282E0000}"/>
    <cellStyle name="Currency 3 3 2 6" xfId="13542" xr:uid="{00000000-0005-0000-0000-0000292E0000}"/>
    <cellStyle name="Currency 3 3 3" xfId="13543" xr:uid="{00000000-0005-0000-0000-00002A2E0000}"/>
    <cellStyle name="Currency 3 3 3 2" xfId="13544" xr:uid="{00000000-0005-0000-0000-00002B2E0000}"/>
    <cellStyle name="Currency 3 3 3 2 2" xfId="13545" xr:uid="{00000000-0005-0000-0000-00002C2E0000}"/>
    <cellStyle name="Currency 3 3 3 2 2 2" xfId="13546" xr:uid="{00000000-0005-0000-0000-00002D2E0000}"/>
    <cellStyle name="Currency 3 3 3 2 3" xfId="13547" xr:uid="{00000000-0005-0000-0000-00002E2E0000}"/>
    <cellStyle name="Currency 3 3 3 2 3 2" xfId="13548" xr:uid="{00000000-0005-0000-0000-00002F2E0000}"/>
    <cellStyle name="Currency 3 3 3 2 4" xfId="13549" xr:uid="{00000000-0005-0000-0000-0000302E0000}"/>
    <cellStyle name="Currency 3 3 3 2 5" xfId="13550" xr:uid="{00000000-0005-0000-0000-0000312E0000}"/>
    <cellStyle name="Currency 3 3 3 3" xfId="13551" xr:uid="{00000000-0005-0000-0000-0000322E0000}"/>
    <cellStyle name="Currency 3 3 3 3 2" xfId="13552" xr:uid="{00000000-0005-0000-0000-0000332E0000}"/>
    <cellStyle name="Currency 3 3 3 3 2 2" xfId="13553" xr:uid="{00000000-0005-0000-0000-0000342E0000}"/>
    <cellStyle name="Currency 3 3 3 3 3" xfId="13554" xr:uid="{00000000-0005-0000-0000-0000352E0000}"/>
    <cellStyle name="Currency 3 3 3 4" xfId="13555" xr:uid="{00000000-0005-0000-0000-0000362E0000}"/>
    <cellStyle name="Currency 3 3 3 4 2" xfId="13556" xr:uid="{00000000-0005-0000-0000-0000372E0000}"/>
    <cellStyle name="Currency 3 3 3 5" xfId="13557" xr:uid="{00000000-0005-0000-0000-0000382E0000}"/>
    <cellStyle name="Currency 3 3 3 5 2" xfId="13558" xr:uid="{00000000-0005-0000-0000-0000392E0000}"/>
    <cellStyle name="Currency 3 3 3 6" xfId="13559" xr:uid="{00000000-0005-0000-0000-00003A2E0000}"/>
    <cellStyle name="Currency 3 3 4" xfId="13560" xr:uid="{00000000-0005-0000-0000-00003B2E0000}"/>
    <cellStyle name="Currency 3 3 4 2" xfId="13561" xr:uid="{00000000-0005-0000-0000-00003C2E0000}"/>
    <cellStyle name="Currency 3 3 4 2 2" xfId="13562" xr:uid="{00000000-0005-0000-0000-00003D2E0000}"/>
    <cellStyle name="Currency 3 3 4 2 2 2" xfId="13563" xr:uid="{00000000-0005-0000-0000-00003E2E0000}"/>
    <cellStyle name="Currency 3 3 4 2 3" xfId="13564" xr:uid="{00000000-0005-0000-0000-00003F2E0000}"/>
    <cellStyle name="Currency 3 3 4 2 3 2" xfId="13565" xr:uid="{00000000-0005-0000-0000-0000402E0000}"/>
    <cellStyle name="Currency 3 3 4 2 4" xfId="13566" xr:uid="{00000000-0005-0000-0000-0000412E0000}"/>
    <cellStyle name="Currency 3 3 4 2 5" xfId="13567" xr:uid="{00000000-0005-0000-0000-0000422E0000}"/>
    <cellStyle name="Currency 3 3 4 3" xfId="13568" xr:uid="{00000000-0005-0000-0000-0000432E0000}"/>
    <cellStyle name="Currency 3 3 4 3 2" xfId="13569" xr:uid="{00000000-0005-0000-0000-0000442E0000}"/>
    <cellStyle name="Currency 3 3 4 3 2 2" xfId="13570" xr:uid="{00000000-0005-0000-0000-0000452E0000}"/>
    <cellStyle name="Currency 3 3 4 3 3" xfId="13571" xr:uid="{00000000-0005-0000-0000-0000462E0000}"/>
    <cellStyle name="Currency 3 3 4 4" xfId="13572" xr:uid="{00000000-0005-0000-0000-0000472E0000}"/>
    <cellStyle name="Currency 3 3 4 4 2" xfId="13573" xr:uid="{00000000-0005-0000-0000-0000482E0000}"/>
    <cellStyle name="Currency 3 3 4 5" xfId="13574" xr:uid="{00000000-0005-0000-0000-0000492E0000}"/>
    <cellStyle name="Currency 3 3 4 5 2" xfId="13575" xr:uid="{00000000-0005-0000-0000-00004A2E0000}"/>
    <cellStyle name="Currency 3 3 4 6" xfId="13576" xr:uid="{00000000-0005-0000-0000-00004B2E0000}"/>
    <cellStyle name="Currency 3 3 5" xfId="13577" xr:uid="{00000000-0005-0000-0000-00004C2E0000}"/>
    <cellStyle name="Currency 3 3 5 2" xfId="13578" xr:uid="{00000000-0005-0000-0000-00004D2E0000}"/>
    <cellStyle name="Currency 3 3 5 2 2" xfId="13579" xr:uid="{00000000-0005-0000-0000-00004E2E0000}"/>
    <cellStyle name="Currency 3 3 5 3" xfId="13580" xr:uid="{00000000-0005-0000-0000-00004F2E0000}"/>
    <cellStyle name="Currency 3 3 5 3 2" xfId="13581" xr:uid="{00000000-0005-0000-0000-0000502E0000}"/>
    <cellStyle name="Currency 3 3 5 4" xfId="13582" xr:uid="{00000000-0005-0000-0000-0000512E0000}"/>
    <cellStyle name="Currency 3 3 5 4 2" xfId="13583" xr:uid="{00000000-0005-0000-0000-0000522E0000}"/>
    <cellStyle name="Currency 3 3 5 5" xfId="13584" xr:uid="{00000000-0005-0000-0000-0000532E0000}"/>
    <cellStyle name="Currency 3 3 6" xfId="13585" xr:uid="{00000000-0005-0000-0000-0000542E0000}"/>
    <cellStyle name="Currency 3 3 6 2" xfId="13586" xr:uid="{00000000-0005-0000-0000-0000552E0000}"/>
    <cellStyle name="Currency 3 3 6 2 2" xfId="13587" xr:uid="{00000000-0005-0000-0000-0000562E0000}"/>
    <cellStyle name="Currency 3 3 6 3" xfId="13588" xr:uid="{00000000-0005-0000-0000-0000572E0000}"/>
    <cellStyle name="Currency 3 3 6 3 2" xfId="13589" xr:uid="{00000000-0005-0000-0000-0000582E0000}"/>
    <cellStyle name="Currency 3 3 6 4" xfId="13590" xr:uid="{00000000-0005-0000-0000-0000592E0000}"/>
    <cellStyle name="Currency 3 3 7" xfId="13591" xr:uid="{00000000-0005-0000-0000-00005A2E0000}"/>
    <cellStyle name="Currency 3 3 7 2" xfId="13592" xr:uid="{00000000-0005-0000-0000-00005B2E0000}"/>
    <cellStyle name="Currency 3 3 7 2 2" xfId="13593" xr:uid="{00000000-0005-0000-0000-00005C2E0000}"/>
    <cellStyle name="Currency 3 3 7 3" xfId="13594" xr:uid="{00000000-0005-0000-0000-00005D2E0000}"/>
    <cellStyle name="Currency 3 3 8" xfId="13595" xr:uid="{00000000-0005-0000-0000-00005E2E0000}"/>
    <cellStyle name="Currency 3 3 8 2" xfId="13596" xr:uid="{00000000-0005-0000-0000-00005F2E0000}"/>
    <cellStyle name="Currency 3 3 9" xfId="13597" xr:uid="{00000000-0005-0000-0000-0000602E0000}"/>
    <cellStyle name="Currency 3 4" xfId="13598" xr:uid="{00000000-0005-0000-0000-0000612E0000}"/>
    <cellStyle name="Currency 3 4 2" xfId="13599" xr:uid="{00000000-0005-0000-0000-0000622E0000}"/>
    <cellStyle name="Currency 3 4 3" xfId="13600" xr:uid="{00000000-0005-0000-0000-0000632E0000}"/>
    <cellStyle name="Currency 3 4 3 2" xfId="13601" xr:uid="{00000000-0005-0000-0000-0000642E0000}"/>
    <cellStyle name="Currency 3 4 3 2 2" xfId="13602" xr:uid="{00000000-0005-0000-0000-0000652E0000}"/>
    <cellStyle name="Currency 3 4 3 3" xfId="13603" xr:uid="{00000000-0005-0000-0000-0000662E0000}"/>
    <cellStyle name="Currency 3 4 3 3 2" xfId="13604" xr:uid="{00000000-0005-0000-0000-0000672E0000}"/>
    <cellStyle name="Currency 3 4 3 4" xfId="13605" xr:uid="{00000000-0005-0000-0000-0000682E0000}"/>
    <cellStyle name="Currency 3 4 3 5" xfId="13606" xr:uid="{00000000-0005-0000-0000-0000692E0000}"/>
    <cellStyle name="Currency 3 4 4" xfId="13607" xr:uid="{00000000-0005-0000-0000-00006A2E0000}"/>
    <cellStyle name="Currency 3 4 4 2" xfId="13608" xr:uid="{00000000-0005-0000-0000-00006B2E0000}"/>
    <cellStyle name="Currency 3 4 5" xfId="13609" xr:uid="{00000000-0005-0000-0000-00006C2E0000}"/>
    <cellStyle name="Currency 3 4 5 2" xfId="13610" xr:uid="{00000000-0005-0000-0000-00006D2E0000}"/>
    <cellStyle name="Currency 3 4 6" xfId="13611" xr:uid="{00000000-0005-0000-0000-00006E2E0000}"/>
    <cellStyle name="Currency 3 4 6 2" xfId="13612" xr:uid="{00000000-0005-0000-0000-00006F2E0000}"/>
    <cellStyle name="Currency 3 4 7" xfId="13613" xr:uid="{00000000-0005-0000-0000-0000702E0000}"/>
    <cellStyle name="Currency 3 5" xfId="13614" xr:uid="{00000000-0005-0000-0000-0000712E0000}"/>
    <cellStyle name="Currency 3 5 2" xfId="13615" xr:uid="{00000000-0005-0000-0000-0000722E0000}"/>
    <cellStyle name="Currency 3 5 2 2" xfId="13616" xr:uid="{00000000-0005-0000-0000-0000732E0000}"/>
    <cellStyle name="Currency 3 5 2 2 2" xfId="13617" xr:uid="{00000000-0005-0000-0000-0000742E0000}"/>
    <cellStyle name="Currency 3 5 2 2 2 2" xfId="13618" xr:uid="{00000000-0005-0000-0000-0000752E0000}"/>
    <cellStyle name="Currency 3 5 2 2 3" xfId="13619" xr:uid="{00000000-0005-0000-0000-0000762E0000}"/>
    <cellStyle name="Currency 3 5 2 2 3 2" xfId="13620" xr:uid="{00000000-0005-0000-0000-0000772E0000}"/>
    <cellStyle name="Currency 3 5 2 2 4" xfId="13621" xr:uid="{00000000-0005-0000-0000-0000782E0000}"/>
    <cellStyle name="Currency 3 5 2 2 5" xfId="13622" xr:uid="{00000000-0005-0000-0000-0000792E0000}"/>
    <cellStyle name="Currency 3 5 2 3" xfId="13623" xr:uid="{00000000-0005-0000-0000-00007A2E0000}"/>
    <cellStyle name="Currency 3 5 2 3 2" xfId="13624" xr:uid="{00000000-0005-0000-0000-00007B2E0000}"/>
    <cellStyle name="Currency 3 5 2 3 2 2" xfId="13625" xr:uid="{00000000-0005-0000-0000-00007C2E0000}"/>
    <cellStyle name="Currency 3 5 2 3 3" xfId="13626" xr:uid="{00000000-0005-0000-0000-00007D2E0000}"/>
    <cellStyle name="Currency 3 5 2 4" xfId="13627" xr:uid="{00000000-0005-0000-0000-00007E2E0000}"/>
    <cellStyle name="Currency 3 5 2 4 2" xfId="13628" xr:uid="{00000000-0005-0000-0000-00007F2E0000}"/>
    <cellStyle name="Currency 3 5 2 5" xfId="13629" xr:uid="{00000000-0005-0000-0000-0000802E0000}"/>
    <cellStyle name="Currency 3 5 2 5 2" xfId="13630" xr:uid="{00000000-0005-0000-0000-0000812E0000}"/>
    <cellStyle name="Currency 3 5 2 6" xfId="13631" xr:uid="{00000000-0005-0000-0000-0000822E0000}"/>
    <cellStyle name="Currency 3 5 3" xfId="13632" xr:uid="{00000000-0005-0000-0000-0000832E0000}"/>
    <cellStyle name="Currency 3 5 3 2" xfId="13633" xr:uid="{00000000-0005-0000-0000-0000842E0000}"/>
    <cellStyle name="Currency 3 5 3 2 2" xfId="13634" xr:uid="{00000000-0005-0000-0000-0000852E0000}"/>
    <cellStyle name="Currency 3 5 3 2 2 2" xfId="13635" xr:uid="{00000000-0005-0000-0000-0000862E0000}"/>
    <cellStyle name="Currency 3 5 3 2 3" xfId="13636" xr:uid="{00000000-0005-0000-0000-0000872E0000}"/>
    <cellStyle name="Currency 3 5 3 3" xfId="13637" xr:uid="{00000000-0005-0000-0000-0000882E0000}"/>
    <cellStyle name="Currency 3 5 3 3 2" xfId="13638" xr:uid="{00000000-0005-0000-0000-0000892E0000}"/>
    <cellStyle name="Currency 3 5 3 4" xfId="13639" xr:uid="{00000000-0005-0000-0000-00008A2E0000}"/>
    <cellStyle name="Currency 3 5 3 4 2" xfId="13640" xr:uid="{00000000-0005-0000-0000-00008B2E0000}"/>
    <cellStyle name="Currency 3 5 3 5" xfId="13641" xr:uid="{00000000-0005-0000-0000-00008C2E0000}"/>
    <cellStyle name="Currency 3 5 4" xfId="13642" xr:uid="{00000000-0005-0000-0000-00008D2E0000}"/>
    <cellStyle name="Currency 3 5 4 2" xfId="13643" xr:uid="{00000000-0005-0000-0000-00008E2E0000}"/>
    <cellStyle name="Currency 3 5 4 2 2" xfId="13644" xr:uid="{00000000-0005-0000-0000-00008F2E0000}"/>
    <cellStyle name="Currency 3 5 4 3" xfId="13645" xr:uid="{00000000-0005-0000-0000-0000902E0000}"/>
    <cellStyle name="Currency 3 5 4 3 2" xfId="13646" xr:uid="{00000000-0005-0000-0000-0000912E0000}"/>
    <cellStyle name="Currency 3 5 4 4" xfId="13647" xr:uid="{00000000-0005-0000-0000-0000922E0000}"/>
    <cellStyle name="Currency 3 5 5" xfId="13648" xr:uid="{00000000-0005-0000-0000-0000932E0000}"/>
    <cellStyle name="Currency 3 5 5 2" xfId="13649" xr:uid="{00000000-0005-0000-0000-0000942E0000}"/>
    <cellStyle name="Currency 3 5 5 2 2" xfId="13650" xr:uid="{00000000-0005-0000-0000-0000952E0000}"/>
    <cellStyle name="Currency 3 5 5 3" xfId="13651" xr:uid="{00000000-0005-0000-0000-0000962E0000}"/>
    <cellStyle name="Currency 3 5 6" xfId="13652" xr:uid="{00000000-0005-0000-0000-0000972E0000}"/>
    <cellStyle name="Currency 3 5 6 2" xfId="13653" xr:uid="{00000000-0005-0000-0000-0000982E0000}"/>
    <cellStyle name="Currency 3 5 6 3" xfId="13654" xr:uid="{00000000-0005-0000-0000-0000992E0000}"/>
    <cellStyle name="Currency 3 5 7" xfId="13655" xr:uid="{00000000-0005-0000-0000-00009A2E0000}"/>
    <cellStyle name="Currency 3 5 7 2" xfId="13656" xr:uid="{00000000-0005-0000-0000-00009B2E0000}"/>
    <cellStyle name="Currency 3 5 8" xfId="13657" xr:uid="{00000000-0005-0000-0000-00009C2E0000}"/>
    <cellStyle name="Currency 3 5 9" xfId="13658" xr:uid="{00000000-0005-0000-0000-00009D2E0000}"/>
    <cellStyle name="Currency 3 6" xfId="13659" xr:uid="{00000000-0005-0000-0000-00009E2E0000}"/>
    <cellStyle name="Currency 3 6 10" xfId="13660" xr:uid="{00000000-0005-0000-0000-00009F2E0000}"/>
    <cellStyle name="Currency 3 6 2" xfId="13661" xr:uid="{00000000-0005-0000-0000-0000A02E0000}"/>
    <cellStyle name="Currency 3 6 2 2" xfId="13662" xr:uid="{00000000-0005-0000-0000-0000A12E0000}"/>
    <cellStyle name="Currency 3 6 2 2 2" xfId="13663" xr:uid="{00000000-0005-0000-0000-0000A22E0000}"/>
    <cellStyle name="Currency 3 6 2 2 2 2" xfId="13664" xr:uid="{00000000-0005-0000-0000-0000A32E0000}"/>
    <cellStyle name="Currency 3 6 2 2 3" xfId="13665" xr:uid="{00000000-0005-0000-0000-0000A42E0000}"/>
    <cellStyle name="Currency 3 6 2 2 3 2" xfId="13666" xr:uid="{00000000-0005-0000-0000-0000A52E0000}"/>
    <cellStyle name="Currency 3 6 2 2 4" xfId="13667" xr:uid="{00000000-0005-0000-0000-0000A62E0000}"/>
    <cellStyle name="Currency 3 6 2 2 5" xfId="13668" xr:uid="{00000000-0005-0000-0000-0000A72E0000}"/>
    <cellStyle name="Currency 3 6 2 3" xfId="13669" xr:uid="{00000000-0005-0000-0000-0000A82E0000}"/>
    <cellStyle name="Currency 3 6 2 3 2" xfId="13670" xr:uid="{00000000-0005-0000-0000-0000A92E0000}"/>
    <cellStyle name="Currency 3 6 2 3 2 2" xfId="13671" xr:uid="{00000000-0005-0000-0000-0000AA2E0000}"/>
    <cellStyle name="Currency 3 6 2 3 3" xfId="13672" xr:uid="{00000000-0005-0000-0000-0000AB2E0000}"/>
    <cellStyle name="Currency 3 6 2 4" xfId="13673" xr:uid="{00000000-0005-0000-0000-0000AC2E0000}"/>
    <cellStyle name="Currency 3 6 2 4 2" xfId="13674" xr:uid="{00000000-0005-0000-0000-0000AD2E0000}"/>
    <cellStyle name="Currency 3 6 2 5" xfId="13675" xr:uid="{00000000-0005-0000-0000-0000AE2E0000}"/>
    <cellStyle name="Currency 3 6 2 5 2" xfId="13676" xr:uid="{00000000-0005-0000-0000-0000AF2E0000}"/>
    <cellStyle name="Currency 3 6 2 6" xfId="13677" xr:uid="{00000000-0005-0000-0000-0000B02E0000}"/>
    <cellStyle name="Currency 3 6 3" xfId="13678" xr:uid="{00000000-0005-0000-0000-0000B12E0000}"/>
    <cellStyle name="Currency 3 6 3 2" xfId="13679" xr:uid="{00000000-0005-0000-0000-0000B22E0000}"/>
    <cellStyle name="Currency 3 6 3 2 2" xfId="13680" xr:uid="{00000000-0005-0000-0000-0000B32E0000}"/>
    <cellStyle name="Currency 3 6 3 2 2 2" xfId="13681" xr:uid="{00000000-0005-0000-0000-0000B42E0000}"/>
    <cellStyle name="Currency 3 6 3 2 3" xfId="13682" xr:uid="{00000000-0005-0000-0000-0000B52E0000}"/>
    <cellStyle name="Currency 3 6 3 3" xfId="13683" xr:uid="{00000000-0005-0000-0000-0000B62E0000}"/>
    <cellStyle name="Currency 3 6 3 3 2" xfId="13684" xr:uid="{00000000-0005-0000-0000-0000B72E0000}"/>
    <cellStyle name="Currency 3 6 3 4" xfId="13685" xr:uid="{00000000-0005-0000-0000-0000B82E0000}"/>
    <cellStyle name="Currency 3 6 3 4 2" xfId="13686" xr:uid="{00000000-0005-0000-0000-0000B92E0000}"/>
    <cellStyle name="Currency 3 6 3 5" xfId="13687" xr:uid="{00000000-0005-0000-0000-0000BA2E0000}"/>
    <cellStyle name="Currency 3 6 4" xfId="13688" xr:uid="{00000000-0005-0000-0000-0000BB2E0000}"/>
    <cellStyle name="Currency 3 6 4 2" xfId="13689" xr:uid="{00000000-0005-0000-0000-0000BC2E0000}"/>
    <cellStyle name="Currency 3 6 4 2 2" xfId="13690" xr:uid="{00000000-0005-0000-0000-0000BD2E0000}"/>
    <cellStyle name="Currency 3 6 4 3" xfId="13691" xr:uid="{00000000-0005-0000-0000-0000BE2E0000}"/>
    <cellStyle name="Currency 3 6 4 3 2" xfId="13692" xr:uid="{00000000-0005-0000-0000-0000BF2E0000}"/>
    <cellStyle name="Currency 3 6 4 4" xfId="13693" xr:uid="{00000000-0005-0000-0000-0000C02E0000}"/>
    <cellStyle name="Currency 3 6 5" xfId="13694" xr:uid="{00000000-0005-0000-0000-0000C12E0000}"/>
    <cellStyle name="Currency 3 6 5 2" xfId="13695" xr:uid="{00000000-0005-0000-0000-0000C22E0000}"/>
    <cellStyle name="Currency 3 6 5 2 2" xfId="13696" xr:uid="{00000000-0005-0000-0000-0000C32E0000}"/>
    <cellStyle name="Currency 3 6 5 3" xfId="13697" xr:uid="{00000000-0005-0000-0000-0000C42E0000}"/>
    <cellStyle name="Currency 3 6 6" xfId="13698" xr:uid="{00000000-0005-0000-0000-0000C52E0000}"/>
    <cellStyle name="Currency 3 6 6 2" xfId="13699" xr:uid="{00000000-0005-0000-0000-0000C62E0000}"/>
    <cellStyle name="Currency 3 6 6 3" xfId="13700" xr:uid="{00000000-0005-0000-0000-0000C72E0000}"/>
    <cellStyle name="Currency 3 6 7" xfId="13701" xr:uid="{00000000-0005-0000-0000-0000C82E0000}"/>
    <cellStyle name="Currency 3 6 7 2" xfId="13702" xr:uid="{00000000-0005-0000-0000-0000C92E0000}"/>
    <cellStyle name="Currency 3 6 8" xfId="13703" xr:uid="{00000000-0005-0000-0000-0000CA2E0000}"/>
    <cellStyle name="Currency 3 6 9" xfId="13704" xr:uid="{00000000-0005-0000-0000-0000CB2E0000}"/>
    <cellStyle name="Currency 3 7" xfId="13705" xr:uid="{00000000-0005-0000-0000-0000CC2E0000}"/>
    <cellStyle name="Currency 3 7 2" xfId="13706" xr:uid="{00000000-0005-0000-0000-0000CD2E0000}"/>
    <cellStyle name="Currency 3 7 2 2" xfId="13707" xr:uid="{00000000-0005-0000-0000-0000CE2E0000}"/>
    <cellStyle name="Currency 3 7 2 2 2" xfId="13708" xr:uid="{00000000-0005-0000-0000-0000CF2E0000}"/>
    <cellStyle name="Currency 3 7 2 2 2 2" xfId="13709" xr:uid="{00000000-0005-0000-0000-0000D02E0000}"/>
    <cellStyle name="Currency 3 7 2 2 3" xfId="13710" xr:uid="{00000000-0005-0000-0000-0000D12E0000}"/>
    <cellStyle name="Currency 3 7 2 3" xfId="13711" xr:uid="{00000000-0005-0000-0000-0000D22E0000}"/>
    <cellStyle name="Currency 3 7 2 3 2" xfId="13712" xr:uid="{00000000-0005-0000-0000-0000D32E0000}"/>
    <cellStyle name="Currency 3 7 2 4" xfId="13713" xr:uid="{00000000-0005-0000-0000-0000D42E0000}"/>
    <cellStyle name="Currency 3 7 2 4 2" xfId="13714" xr:uid="{00000000-0005-0000-0000-0000D52E0000}"/>
    <cellStyle name="Currency 3 7 2 5" xfId="13715" xr:uid="{00000000-0005-0000-0000-0000D62E0000}"/>
    <cellStyle name="Currency 3 7 3" xfId="13716" xr:uid="{00000000-0005-0000-0000-0000D72E0000}"/>
    <cellStyle name="Currency 3 7 3 2" xfId="13717" xr:uid="{00000000-0005-0000-0000-0000D82E0000}"/>
    <cellStyle name="Currency 3 7 3 2 2" xfId="13718" xr:uid="{00000000-0005-0000-0000-0000D92E0000}"/>
    <cellStyle name="Currency 3 7 3 3" xfId="13719" xr:uid="{00000000-0005-0000-0000-0000DA2E0000}"/>
    <cellStyle name="Currency 3 7 3 3 2" xfId="13720" xr:uid="{00000000-0005-0000-0000-0000DB2E0000}"/>
    <cellStyle name="Currency 3 7 3 4" xfId="13721" xr:uid="{00000000-0005-0000-0000-0000DC2E0000}"/>
    <cellStyle name="Currency 3 7 4" xfId="13722" xr:uid="{00000000-0005-0000-0000-0000DD2E0000}"/>
    <cellStyle name="Currency 3 7 4 2" xfId="13723" xr:uid="{00000000-0005-0000-0000-0000DE2E0000}"/>
    <cellStyle name="Currency 3 7 4 2 2" xfId="13724" xr:uid="{00000000-0005-0000-0000-0000DF2E0000}"/>
    <cellStyle name="Currency 3 7 4 3" xfId="13725" xr:uid="{00000000-0005-0000-0000-0000E02E0000}"/>
    <cellStyle name="Currency 3 7 5" xfId="13726" xr:uid="{00000000-0005-0000-0000-0000E12E0000}"/>
    <cellStyle name="Currency 3 7 5 2" xfId="13727" xr:uid="{00000000-0005-0000-0000-0000E22E0000}"/>
    <cellStyle name="Currency 3 7 5 3" xfId="13728" xr:uid="{00000000-0005-0000-0000-0000E32E0000}"/>
    <cellStyle name="Currency 3 7 6" xfId="13729" xr:uid="{00000000-0005-0000-0000-0000E42E0000}"/>
    <cellStyle name="Currency 3 7 6 2" xfId="13730" xr:uid="{00000000-0005-0000-0000-0000E52E0000}"/>
    <cellStyle name="Currency 3 7 7" xfId="13731" xr:uid="{00000000-0005-0000-0000-0000E62E0000}"/>
    <cellStyle name="Currency 3 7 8" xfId="13732" xr:uid="{00000000-0005-0000-0000-0000E72E0000}"/>
    <cellStyle name="Currency 3 7 9" xfId="13733" xr:uid="{00000000-0005-0000-0000-0000E82E0000}"/>
    <cellStyle name="Currency 3 8" xfId="13734" xr:uid="{00000000-0005-0000-0000-0000E92E0000}"/>
    <cellStyle name="Currency 3 8 2" xfId="13735" xr:uid="{00000000-0005-0000-0000-0000EA2E0000}"/>
    <cellStyle name="Currency 3 8 2 2" xfId="13736" xr:uid="{00000000-0005-0000-0000-0000EB2E0000}"/>
    <cellStyle name="Currency 3 8 3" xfId="13737" xr:uid="{00000000-0005-0000-0000-0000EC2E0000}"/>
    <cellStyle name="Currency 3 8 3 2" xfId="13738" xr:uid="{00000000-0005-0000-0000-0000ED2E0000}"/>
    <cellStyle name="Currency 3 8 4" xfId="13739" xr:uid="{00000000-0005-0000-0000-0000EE2E0000}"/>
    <cellStyle name="Currency 3 9" xfId="13740" xr:uid="{00000000-0005-0000-0000-0000EF2E0000}"/>
    <cellStyle name="Currency 3 9 2" xfId="13741" xr:uid="{00000000-0005-0000-0000-0000F02E0000}"/>
    <cellStyle name="Currency 3 9 2 2" xfId="13742" xr:uid="{00000000-0005-0000-0000-0000F12E0000}"/>
    <cellStyle name="Currency 3 9 3" xfId="13743" xr:uid="{00000000-0005-0000-0000-0000F22E0000}"/>
    <cellStyle name="Currency 3 9 3 2" xfId="13744" xr:uid="{00000000-0005-0000-0000-0000F32E0000}"/>
    <cellStyle name="Currency 3 9 4" xfId="13745" xr:uid="{00000000-0005-0000-0000-0000F42E0000}"/>
    <cellStyle name="Currency 4" xfId="1721" xr:uid="{00000000-0005-0000-0000-0000F52E0000}"/>
    <cellStyle name="Currency 4 10" xfId="13746" xr:uid="{00000000-0005-0000-0000-0000F62E0000}"/>
    <cellStyle name="Currency 4 10 2" xfId="13747" xr:uid="{00000000-0005-0000-0000-0000F72E0000}"/>
    <cellStyle name="Currency 4 10 3" xfId="13748" xr:uid="{00000000-0005-0000-0000-0000F82E0000}"/>
    <cellStyle name="Currency 4 11" xfId="13749" xr:uid="{00000000-0005-0000-0000-0000F92E0000}"/>
    <cellStyle name="Currency 4 11 2" xfId="13750" xr:uid="{00000000-0005-0000-0000-0000FA2E0000}"/>
    <cellStyle name="Currency 4 11 3" xfId="13751" xr:uid="{00000000-0005-0000-0000-0000FB2E0000}"/>
    <cellStyle name="Currency 4 12" xfId="13752" xr:uid="{00000000-0005-0000-0000-0000FC2E0000}"/>
    <cellStyle name="Currency 4 12 2" xfId="13753" xr:uid="{00000000-0005-0000-0000-0000FD2E0000}"/>
    <cellStyle name="Currency 4 13" xfId="13754" xr:uid="{00000000-0005-0000-0000-0000FE2E0000}"/>
    <cellStyle name="Currency 4 14" xfId="13755" xr:uid="{00000000-0005-0000-0000-0000FF2E0000}"/>
    <cellStyle name="Currency 4 2" xfId="1720" xr:uid="{00000000-0005-0000-0000-0000002F0000}"/>
    <cellStyle name="Currency 4 2 2" xfId="13756" xr:uid="{00000000-0005-0000-0000-0000012F0000}"/>
    <cellStyle name="Currency 4 3" xfId="13757" xr:uid="{00000000-0005-0000-0000-0000022F0000}"/>
    <cellStyle name="Currency 4 3 10" xfId="13758" xr:uid="{00000000-0005-0000-0000-0000032F0000}"/>
    <cellStyle name="Currency 4 3 2" xfId="13759" xr:uid="{00000000-0005-0000-0000-0000042F0000}"/>
    <cellStyle name="Currency 4 3 2 2" xfId="13760" xr:uid="{00000000-0005-0000-0000-0000052F0000}"/>
    <cellStyle name="Currency 4 3 2 2 2" xfId="13761" xr:uid="{00000000-0005-0000-0000-0000062F0000}"/>
    <cellStyle name="Currency 4 3 2 2 2 2" xfId="13762" xr:uid="{00000000-0005-0000-0000-0000072F0000}"/>
    <cellStyle name="Currency 4 3 2 2 3" xfId="13763" xr:uid="{00000000-0005-0000-0000-0000082F0000}"/>
    <cellStyle name="Currency 4 3 2 2 3 2" xfId="13764" xr:uid="{00000000-0005-0000-0000-0000092F0000}"/>
    <cellStyle name="Currency 4 3 2 2 4" xfId="13765" xr:uid="{00000000-0005-0000-0000-00000A2F0000}"/>
    <cellStyle name="Currency 4 3 2 2 5" xfId="13766" xr:uid="{00000000-0005-0000-0000-00000B2F0000}"/>
    <cellStyle name="Currency 4 3 2 3" xfId="13767" xr:uid="{00000000-0005-0000-0000-00000C2F0000}"/>
    <cellStyle name="Currency 4 3 2 3 2" xfId="13768" xr:uid="{00000000-0005-0000-0000-00000D2F0000}"/>
    <cellStyle name="Currency 4 3 2 3 2 2" xfId="13769" xr:uid="{00000000-0005-0000-0000-00000E2F0000}"/>
    <cellStyle name="Currency 4 3 2 3 3" xfId="13770" xr:uid="{00000000-0005-0000-0000-00000F2F0000}"/>
    <cellStyle name="Currency 4 3 2 4" xfId="13771" xr:uid="{00000000-0005-0000-0000-0000102F0000}"/>
    <cellStyle name="Currency 4 3 2 4 2" xfId="13772" xr:uid="{00000000-0005-0000-0000-0000112F0000}"/>
    <cellStyle name="Currency 4 3 2 5" xfId="13773" xr:uid="{00000000-0005-0000-0000-0000122F0000}"/>
    <cellStyle name="Currency 4 3 2 5 2" xfId="13774" xr:uid="{00000000-0005-0000-0000-0000132F0000}"/>
    <cellStyle name="Currency 4 3 2 6" xfId="13775" xr:uid="{00000000-0005-0000-0000-0000142F0000}"/>
    <cellStyle name="Currency 4 3 3" xfId="13776" xr:uid="{00000000-0005-0000-0000-0000152F0000}"/>
    <cellStyle name="Currency 4 3 3 2" xfId="13777" xr:uid="{00000000-0005-0000-0000-0000162F0000}"/>
    <cellStyle name="Currency 4 3 3 2 2" xfId="13778" xr:uid="{00000000-0005-0000-0000-0000172F0000}"/>
    <cellStyle name="Currency 4 3 3 2 2 2" xfId="13779" xr:uid="{00000000-0005-0000-0000-0000182F0000}"/>
    <cellStyle name="Currency 4 3 3 2 3" xfId="13780" xr:uid="{00000000-0005-0000-0000-0000192F0000}"/>
    <cellStyle name="Currency 4 3 3 2 3 2" xfId="13781" xr:uid="{00000000-0005-0000-0000-00001A2F0000}"/>
    <cellStyle name="Currency 4 3 3 2 4" xfId="13782" xr:uid="{00000000-0005-0000-0000-00001B2F0000}"/>
    <cellStyle name="Currency 4 3 3 2 5" xfId="13783" xr:uid="{00000000-0005-0000-0000-00001C2F0000}"/>
    <cellStyle name="Currency 4 3 3 3" xfId="13784" xr:uid="{00000000-0005-0000-0000-00001D2F0000}"/>
    <cellStyle name="Currency 4 3 3 3 2" xfId="13785" xr:uid="{00000000-0005-0000-0000-00001E2F0000}"/>
    <cellStyle name="Currency 4 3 3 3 2 2" xfId="13786" xr:uid="{00000000-0005-0000-0000-00001F2F0000}"/>
    <cellStyle name="Currency 4 3 3 3 3" xfId="13787" xr:uid="{00000000-0005-0000-0000-0000202F0000}"/>
    <cellStyle name="Currency 4 3 3 4" xfId="13788" xr:uid="{00000000-0005-0000-0000-0000212F0000}"/>
    <cellStyle name="Currency 4 3 3 4 2" xfId="13789" xr:uid="{00000000-0005-0000-0000-0000222F0000}"/>
    <cellStyle name="Currency 4 3 3 5" xfId="13790" xr:uid="{00000000-0005-0000-0000-0000232F0000}"/>
    <cellStyle name="Currency 4 3 3 5 2" xfId="13791" xr:uid="{00000000-0005-0000-0000-0000242F0000}"/>
    <cellStyle name="Currency 4 3 3 6" xfId="13792" xr:uid="{00000000-0005-0000-0000-0000252F0000}"/>
    <cellStyle name="Currency 4 3 4" xfId="13793" xr:uid="{00000000-0005-0000-0000-0000262F0000}"/>
    <cellStyle name="Currency 4 3 4 2" xfId="13794" xr:uid="{00000000-0005-0000-0000-0000272F0000}"/>
    <cellStyle name="Currency 4 3 4 2 2" xfId="13795" xr:uid="{00000000-0005-0000-0000-0000282F0000}"/>
    <cellStyle name="Currency 4 3 4 2 2 2" xfId="13796" xr:uid="{00000000-0005-0000-0000-0000292F0000}"/>
    <cellStyle name="Currency 4 3 4 2 3" xfId="13797" xr:uid="{00000000-0005-0000-0000-00002A2F0000}"/>
    <cellStyle name="Currency 4 3 4 3" xfId="13798" xr:uid="{00000000-0005-0000-0000-00002B2F0000}"/>
    <cellStyle name="Currency 4 3 4 3 2" xfId="13799" xr:uid="{00000000-0005-0000-0000-00002C2F0000}"/>
    <cellStyle name="Currency 4 3 4 4" xfId="13800" xr:uid="{00000000-0005-0000-0000-00002D2F0000}"/>
    <cellStyle name="Currency 4 3 4 4 2" xfId="13801" xr:uid="{00000000-0005-0000-0000-00002E2F0000}"/>
    <cellStyle name="Currency 4 3 4 5" xfId="13802" xr:uid="{00000000-0005-0000-0000-00002F2F0000}"/>
    <cellStyle name="Currency 4 3 5" xfId="13803" xr:uid="{00000000-0005-0000-0000-0000302F0000}"/>
    <cellStyle name="Currency 4 3 5 2" xfId="13804" xr:uid="{00000000-0005-0000-0000-0000312F0000}"/>
    <cellStyle name="Currency 4 3 5 2 2" xfId="13805" xr:uid="{00000000-0005-0000-0000-0000322F0000}"/>
    <cellStyle name="Currency 4 3 5 3" xfId="13806" xr:uid="{00000000-0005-0000-0000-0000332F0000}"/>
    <cellStyle name="Currency 4 3 5 3 2" xfId="13807" xr:uid="{00000000-0005-0000-0000-0000342F0000}"/>
    <cellStyle name="Currency 4 3 5 4" xfId="13808" xr:uid="{00000000-0005-0000-0000-0000352F0000}"/>
    <cellStyle name="Currency 4 3 5 4 2" xfId="13809" xr:uid="{00000000-0005-0000-0000-0000362F0000}"/>
    <cellStyle name="Currency 4 3 5 5" xfId="13810" xr:uid="{00000000-0005-0000-0000-0000372F0000}"/>
    <cellStyle name="Currency 4 3 6" xfId="13811" xr:uid="{00000000-0005-0000-0000-0000382F0000}"/>
    <cellStyle name="Currency 4 3 6 2" xfId="13812" xr:uid="{00000000-0005-0000-0000-0000392F0000}"/>
    <cellStyle name="Currency 4 3 6 2 2" xfId="13813" xr:uid="{00000000-0005-0000-0000-00003A2F0000}"/>
    <cellStyle name="Currency 4 3 6 3" xfId="13814" xr:uid="{00000000-0005-0000-0000-00003B2F0000}"/>
    <cellStyle name="Currency 4 3 7" xfId="13815" xr:uid="{00000000-0005-0000-0000-00003C2F0000}"/>
    <cellStyle name="Currency 4 3 7 2" xfId="13816" xr:uid="{00000000-0005-0000-0000-00003D2F0000}"/>
    <cellStyle name="Currency 4 3 7 2 2" xfId="13817" xr:uid="{00000000-0005-0000-0000-00003E2F0000}"/>
    <cellStyle name="Currency 4 3 7 3" xfId="13818" xr:uid="{00000000-0005-0000-0000-00003F2F0000}"/>
    <cellStyle name="Currency 4 3 8" xfId="13819" xr:uid="{00000000-0005-0000-0000-0000402F0000}"/>
    <cellStyle name="Currency 4 3 8 2" xfId="13820" xr:uid="{00000000-0005-0000-0000-0000412F0000}"/>
    <cellStyle name="Currency 4 3 9" xfId="13821" xr:uid="{00000000-0005-0000-0000-0000422F0000}"/>
    <cellStyle name="Currency 4 4" xfId="13822" xr:uid="{00000000-0005-0000-0000-0000432F0000}"/>
    <cellStyle name="Currency 4 4 2" xfId="13823" xr:uid="{00000000-0005-0000-0000-0000442F0000}"/>
    <cellStyle name="Currency 4 5" xfId="13824" xr:uid="{00000000-0005-0000-0000-0000452F0000}"/>
    <cellStyle name="Currency 4 5 2" xfId="13825" xr:uid="{00000000-0005-0000-0000-0000462F0000}"/>
    <cellStyle name="Currency 4 5 2 2" xfId="13826" xr:uid="{00000000-0005-0000-0000-0000472F0000}"/>
    <cellStyle name="Currency 4 5 2 2 2" xfId="13827" xr:uid="{00000000-0005-0000-0000-0000482F0000}"/>
    <cellStyle name="Currency 4 5 2 3" xfId="13828" xr:uid="{00000000-0005-0000-0000-0000492F0000}"/>
    <cellStyle name="Currency 4 5 2 3 2" xfId="13829" xr:uid="{00000000-0005-0000-0000-00004A2F0000}"/>
    <cellStyle name="Currency 4 5 2 4" xfId="13830" xr:uid="{00000000-0005-0000-0000-00004B2F0000}"/>
    <cellStyle name="Currency 4 5 2 5" xfId="13831" xr:uid="{00000000-0005-0000-0000-00004C2F0000}"/>
    <cellStyle name="Currency 4 5 3" xfId="13832" xr:uid="{00000000-0005-0000-0000-00004D2F0000}"/>
    <cellStyle name="Currency 4 5 3 2" xfId="13833" xr:uid="{00000000-0005-0000-0000-00004E2F0000}"/>
    <cellStyle name="Currency 4 5 3 2 2" xfId="13834" xr:uid="{00000000-0005-0000-0000-00004F2F0000}"/>
    <cellStyle name="Currency 4 5 3 3" xfId="13835" xr:uid="{00000000-0005-0000-0000-0000502F0000}"/>
    <cellStyle name="Currency 4 5 4" xfId="13836" xr:uid="{00000000-0005-0000-0000-0000512F0000}"/>
    <cellStyle name="Currency 4 5 4 2" xfId="13837" xr:uid="{00000000-0005-0000-0000-0000522F0000}"/>
    <cellStyle name="Currency 4 5 5" xfId="13838" xr:uid="{00000000-0005-0000-0000-0000532F0000}"/>
    <cellStyle name="Currency 4 5 5 2" xfId="13839" xr:uid="{00000000-0005-0000-0000-0000542F0000}"/>
    <cellStyle name="Currency 4 5 6" xfId="13840" xr:uid="{00000000-0005-0000-0000-0000552F0000}"/>
    <cellStyle name="Currency 4 6" xfId="13841" xr:uid="{00000000-0005-0000-0000-0000562F0000}"/>
    <cellStyle name="Currency 4 6 2" xfId="13842" xr:uid="{00000000-0005-0000-0000-0000572F0000}"/>
    <cellStyle name="Currency 4 6 2 2" xfId="13843" xr:uid="{00000000-0005-0000-0000-0000582F0000}"/>
    <cellStyle name="Currency 4 6 2 2 2" xfId="13844" xr:uid="{00000000-0005-0000-0000-0000592F0000}"/>
    <cellStyle name="Currency 4 6 2 3" xfId="13845" xr:uid="{00000000-0005-0000-0000-00005A2F0000}"/>
    <cellStyle name="Currency 4 6 2 3 2" xfId="13846" xr:uid="{00000000-0005-0000-0000-00005B2F0000}"/>
    <cellStyle name="Currency 4 6 2 4" xfId="13847" xr:uid="{00000000-0005-0000-0000-00005C2F0000}"/>
    <cellStyle name="Currency 4 6 2 5" xfId="13848" xr:uid="{00000000-0005-0000-0000-00005D2F0000}"/>
    <cellStyle name="Currency 4 6 3" xfId="13849" xr:uid="{00000000-0005-0000-0000-00005E2F0000}"/>
    <cellStyle name="Currency 4 6 3 2" xfId="13850" xr:uid="{00000000-0005-0000-0000-00005F2F0000}"/>
    <cellStyle name="Currency 4 6 3 2 2" xfId="13851" xr:uid="{00000000-0005-0000-0000-0000602F0000}"/>
    <cellStyle name="Currency 4 6 3 3" xfId="13852" xr:uid="{00000000-0005-0000-0000-0000612F0000}"/>
    <cellStyle name="Currency 4 6 4" xfId="13853" xr:uid="{00000000-0005-0000-0000-0000622F0000}"/>
    <cellStyle name="Currency 4 6 4 2" xfId="13854" xr:uid="{00000000-0005-0000-0000-0000632F0000}"/>
    <cellStyle name="Currency 4 6 5" xfId="13855" xr:uid="{00000000-0005-0000-0000-0000642F0000}"/>
    <cellStyle name="Currency 4 6 5 2" xfId="13856" xr:uid="{00000000-0005-0000-0000-0000652F0000}"/>
    <cellStyle name="Currency 4 6 6" xfId="13857" xr:uid="{00000000-0005-0000-0000-0000662F0000}"/>
    <cellStyle name="Currency 4 7" xfId="13858" xr:uid="{00000000-0005-0000-0000-0000672F0000}"/>
    <cellStyle name="Currency 4 7 2" xfId="13859" xr:uid="{00000000-0005-0000-0000-0000682F0000}"/>
    <cellStyle name="Currency 4 7 2 2" xfId="13860" xr:uid="{00000000-0005-0000-0000-0000692F0000}"/>
    <cellStyle name="Currency 4 7 3" xfId="13861" xr:uid="{00000000-0005-0000-0000-00006A2F0000}"/>
    <cellStyle name="Currency 4 7 3 2" xfId="13862" xr:uid="{00000000-0005-0000-0000-00006B2F0000}"/>
    <cellStyle name="Currency 4 7 4" xfId="13863" xr:uid="{00000000-0005-0000-0000-00006C2F0000}"/>
    <cellStyle name="Currency 4 8" xfId="13864" xr:uid="{00000000-0005-0000-0000-00006D2F0000}"/>
    <cellStyle name="Currency 4 8 2" xfId="13865" xr:uid="{00000000-0005-0000-0000-00006E2F0000}"/>
    <cellStyle name="Currency 4 8 2 2" xfId="13866" xr:uid="{00000000-0005-0000-0000-00006F2F0000}"/>
    <cellStyle name="Currency 4 8 3" xfId="13867" xr:uid="{00000000-0005-0000-0000-0000702F0000}"/>
    <cellStyle name="Currency 4 8 3 2" xfId="13868" xr:uid="{00000000-0005-0000-0000-0000712F0000}"/>
    <cellStyle name="Currency 4 8 4" xfId="13869" xr:uid="{00000000-0005-0000-0000-0000722F0000}"/>
    <cellStyle name="Currency 4 9" xfId="13870" xr:uid="{00000000-0005-0000-0000-0000732F0000}"/>
    <cellStyle name="Currency 4 9 2" xfId="13871" xr:uid="{00000000-0005-0000-0000-0000742F0000}"/>
    <cellStyle name="Currency 4 9 2 2" xfId="13872" xr:uid="{00000000-0005-0000-0000-0000752F0000}"/>
    <cellStyle name="Currency 4 9 3" xfId="13873" xr:uid="{00000000-0005-0000-0000-0000762F0000}"/>
    <cellStyle name="Currency 4 9 4" xfId="13874" xr:uid="{00000000-0005-0000-0000-0000772F0000}"/>
    <cellStyle name="Currency 5" xfId="1719" xr:uid="{00000000-0005-0000-0000-0000782F0000}"/>
    <cellStyle name="Currency 5 2" xfId="1718" xr:uid="{00000000-0005-0000-0000-0000792F0000}"/>
    <cellStyle name="Currency 5 2 2" xfId="13875" xr:uid="{00000000-0005-0000-0000-00007A2F0000}"/>
    <cellStyle name="Currency 5 3" xfId="13876" xr:uid="{00000000-0005-0000-0000-00007B2F0000}"/>
    <cellStyle name="Currency 6" xfId="1717" xr:uid="{00000000-0005-0000-0000-00007C2F0000}"/>
    <cellStyle name="Currency 6 2" xfId="1716" xr:uid="{00000000-0005-0000-0000-00007D2F0000}"/>
    <cellStyle name="Currency 6 2 2" xfId="13877" xr:uid="{00000000-0005-0000-0000-00007E2F0000}"/>
    <cellStyle name="Currency 6 3" xfId="13878" xr:uid="{00000000-0005-0000-0000-00007F2F0000}"/>
    <cellStyle name="Currency 7" xfId="1715" xr:uid="{00000000-0005-0000-0000-0000802F0000}"/>
    <cellStyle name="Currency 7 10" xfId="13879" xr:uid="{00000000-0005-0000-0000-0000812F0000}"/>
    <cellStyle name="Currency 7 10 2" xfId="13880" xr:uid="{00000000-0005-0000-0000-0000822F0000}"/>
    <cellStyle name="Currency 7 11" xfId="13881" xr:uid="{00000000-0005-0000-0000-0000832F0000}"/>
    <cellStyle name="Currency 7 12" xfId="13882" xr:uid="{00000000-0005-0000-0000-0000842F0000}"/>
    <cellStyle name="Currency 7 2" xfId="1714" xr:uid="{00000000-0005-0000-0000-0000852F0000}"/>
    <cellStyle name="Currency 7 2 10" xfId="13883" xr:uid="{00000000-0005-0000-0000-0000862F0000}"/>
    <cellStyle name="Currency 7 2 2" xfId="13884" xr:uid="{00000000-0005-0000-0000-0000872F0000}"/>
    <cellStyle name="Currency 7 2 2 2" xfId="13885" xr:uid="{00000000-0005-0000-0000-0000882F0000}"/>
    <cellStyle name="Currency 7 2 2 2 2" xfId="13886" xr:uid="{00000000-0005-0000-0000-0000892F0000}"/>
    <cellStyle name="Currency 7 2 2 2 2 2" xfId="13887" xr:uid="{00000000-0005-0000-0000-00008A2F0000}"/>
    <cellStyle name="Currency 7 2 2 2 3" xfId="13888" xr:uid="{00000000-0005-0000-0000-00008B2F0000}"/>
    <cellStyle name="Currency 7 2 2 2 3 2" xfId="13889" xr:uid="{00000000-0005-0000-0000-00008C2F0000}"/>
    <cellStyle name="Currency 7 2 2 2 4" xfId="13890" xr:uid="{00000000-0005-0000-0000-00008D2F0000}"/>
    <cellStyle name="Currency 7 2 2 2 4 2" xfId="13891" xr:uid="{00000000-0005-0000-0000-00008E2F0000}"/>
    <cellStyle name="Currency 7 2 2 2 5" xfId="13892" xr:uid="{00000000-0005-0000-0000-00008F2F0000}"/>
    <cellStyle name="Currency 7 2 2 3" xfId="13893" xr:uid="{00000000-0005-0000-0000-0000902F0000}"/>
    <cellStyle name="Currency 7 2 2 3 2" xfId="13894" xr:uid="{00000000-0005-0000-0000-0000912F0000}"/>
    <cellStyle name="Currency 7 2 2 3 2 2" xfId="13895" xr:uid="{00000000-0005-0000-0000-0000922F0000}"/>
    <cellStyle name="Currency 7 2 2 3 3" xfId="13896" xr:uid="{00000000-0005-0000-0000-0000932F0000}"/>
    <cellStyle name="Currency 7 2 2 4" xfId="13897" xr:uid="{00000000-0005-0000-0000-0000942F0000}"/>
    <cellStyle name="Currency 7 2 2 4 2" xfId="13898" xr:uid="{00000000-0005-0000-0000-0000952F0000}"/>
    <cellStyle name="Currency 7 2 2 5" xfId="13899" xr:uid="{00000000-0005-0000-0000-0000962F0000}"/>
    <cellStyle name="Currency 7 2 2 5 2" xfId="13900" xr:uid="{00000000-0005-0000-0000-0000972F0000}"/>
    <cellStyle name="Currency 7 2 2 6" xfId="13901" xr:uid="{00000000-0005-0000-0000-0000982F0000}"/>
    <cellStyle name="Currency 7 2 3" xfId="13902" xr:uid="{00000000-0005-0000-0000-0000992F0000}"/>
    <cellStyle name="Currency 7 2 3 2" xfId="13903" xr:uid="{00000000-0005-0000-0000-00009A2F0000}"/>
    <cellStyle name="Currency 7 2 3 2 2" xfId="13904" xr:uid="{00000000-0005-0000-0000-00009B2F0000}"/>
    <cellStyle name="Currency 7 2 3 2 2 2" xfId="13905" xr:uid="{00000000-0005-0000-0000-00009C2F0000}"/>
    <cellStyle name="Currency 7 2 3 2 3" xfId="13906" xr:uid="{00000000-0005-0000-0000-00009D2F0000}"/>
    <cellStyle name="Currency 7 2 3 2 3 2" xfId="13907" xr:uid="{00000000-0005-0000-0000-00009E2F0000}"/>
    <cellStyle name="Currency 7 2 3 2 4" xfId="13908" xr:uid="{00000000-0005-0000-0000-00009F2F0000}"/>
    <cellStyle name="Currency 7 2 3 2 5" xfId="13909" xr:uid="{00000000-0005-0000-0000-0000A02F0000}"/>
    <cellStyle name="Currency 7 2 3 3" xfId="13910" xr:uid="{00000000-0005-0000-0000-0000A12F0000}"/>
    <cellStyle name="Currency 7 2 3 3 2" xfId="13911" xr:uid="{00000000-0005-0000-0000-0000A22F0000}"/>
    <cellStyle name="Currency 7 2 3 3 2 2" xfId="13912" xr:uid="{00000000-0005-0000-0000-0000A32F0000}"/>
    <cellStyle name="Currency 7 2 3 3 3" xfId="13913" xr:uid="{00000000-0005-0000-0000-0000A42F0000}"/>
    <cellStyle name="Currency 7 2 3 4" xfId="13914" xr:uid="{00000000-0005-0000-0000-0000A52F0000}"/>
    <cellStyle name="Currency 7 2 3 4 2" xfId="13915" xr:uid="{00000000-0005-0000-0000-0000A62F0000}"/>
    <cellStyle name="Currency 7 2 3 5" xfId="13916" xr:uid="{00000000-0005-0000-0000-0000A72F0000}"/>
    <cellStyle name="Currency 7 2 3 5 2" xfId="13917" xr:uid="{00000000-0005-0000-0000-0000A82F0000}"/>
    <cellStyle name="Currency 7 2 3 6" xfId="13918" xr:uid="{00000000-0005-0000-0000-0000A92F0000}"/>
    <cellStyle name="Currency 7 2 4" xfId="13919" xr:uid="{00000000-0005-0000-0000-0000AA2F0000}"/>
    <cellStyle name="Currency 7 2 4 2" xfId="13920" xr:uid="{00000000-0005-0000-0000-0000AB2F0000}"/>
    <cellStyle name="Currency 7 2 4 2 2" xfId="13921" xr:uid="{00000000-0005-0000-0000-0000AC2F0000}"/>
    <cellStyle name="Currency 7 2 4 2 2 2" xfId="13922" xr:uid="{00000000-0005-0000-0000-0000AD2F0000}"/>
    <cellStyle name="Currency 7 2 4 2 3" xfId="13923" xr:uid="{00000000-0005-0000-0000-0000AE2F0000}"/>
    <cellStyle name="Currency 7 2 4 2 3 2" xfId="13924" xr:uid="{00000000-0005-0000-0000-0000AF2F0000}"/>
    <cellStyle name="Currency 7 2 4 2 4" xfId="13925" xr:uid="{00000000-0005-0000-0000-0000B02F0000}"/>
    <cellStyle name="Currency 7 2 4 3" xfId="13926" xr:uid="{00000000-0005-0000-0000-0000B12F0000}"/>
    <cellStyle name="Currency 7 2 4 3 2" xfId="13927" xr:uid="{00000000-0005-0000-0000-0000B22F0000}"/>
    <cellStyle name="Currency 7 2 4 4" xfId="13928" xr:uid="{00000000-0005-0000-0000-0000B32F0000}"/>
    <cellStyle name="Currency 7 2 4 4 2" xfId="13929" xr:uid="{00000000-0005-0000-0000-0000B42F0000}"/>
    <cellStyle name="Currency 7 2 4 5" xfId="13930" xr:uid="{00000000-0005-0000-0000-0000B52F0000}"/>
    <cellStyle name="Currency 7 2 4 5 2" xfId="13931" xr:uid="{00000000-0005-0000-0000-0000B62F0000}"/>
    <cellStyle name="Currency 7 2 4 6" xfId="13932" xr:uid="{00000000-0005-0000-0000-0000B72F0000}"/>
    <cellStyle name="Currency 7 2 5" xfId="13933" xr:uid="{00000000-0005-0000-0000-0000B82F0000}"/>
    <cellStyle name="Currency 7 2 5 2" xfId="13934" xr:uid="{00000000-0005-0000-0000-0000B92F0000}"/>
    <cellStyle name="Currency 7 2 5 2 2" xfId="13935" xr:uid="{00000000-0005-0000-0000-0000BA2F0000}"/>
    <cellStyle name="Currency 7 2 5 3" xfId="13936" xr:uid="{00000000-0005-0000-0000-0000BB2F0000}"/>
    <cellStyle name="Currency 7 2 5 3 2" xfId="13937" xr:uid="{00000000-0005-0000-0000-0000BC2F0000}"/>
    <cellStyle name="Currency 7 2 5 4" xfId="13938" xr:uid="{00000000-0005-0000-0000-0000BD2F0000}"/>
    <cellStyle name="Currency 7 2 5 4 2" xfId="13939" xr:uid="{00000000-0005-0000-0000-0000BE2F0000}"/>
    <cellStyle name="Currency 7 2 5 5" xfId="13940" xr:uid="{00000000-0005-0000-0000-0000BF2F0000}"/>
    <cellStyle name="Currency 7 2 6" xfId="13941" xr:uid="{00000000-0005-0000-0000-0000C02F0000}"/>
    <cellStyle name="Currency 7 2 6 2" xfId="13942" xr:uid="{00000000-0005-0000-0000-0000C12F0000}"/>
    <cellStyle name="Currency 7 2 6 2 2" xfId="13943" xr:uid="{00000000-0005-0000-0000-0000C22F0000}"/>
    <cellStyle name="Currency 7 2 6 3" xfId="13944" xr:uid="{00000000-0005-0000-0000-0000C32F0000}"/>
    <cellStyle name="Currency 7 2 6 3 2" xfId="13945" xr:uid="{00000000-0005-0000-0000-0000C42F0000}"/>
    <cellStyle name="Currency 7 2 6 4" xfId="13946" xr:uid="{00000000-0005-0000-0000-0000C52F0000}"/>
    <cellStyle name="Currency 7 2 7" xfId="13947" xr:uid="{00000000-0005-0000-0000-0000C62F0000}"/>
    <cellStyle name="Currency 7 2 7 2" xfId="13948" xr:uid="{00000000-0005-0000-0000-0000C72F0000}"/>
    <cellStyle name="Currency 7 2 7 2 2" xfId="13949" xr:uid="{00000000-0005-0000-0000-0000C82F0000}"/>
    <cellStyle name="Currency 7 2 7 3" xfId="13950" xr:uid="{00000000-0005-0000-0000-0000C92F0000}"/>
    <cellStyle name="Currency 7 2 8" xfId="13951" xr:uid="{00000000-0005-0000-0000-0000CA2F0000}"/>
    <cellStyle name="Currency 7 2 8 2" xfId="13952" xr:uid="{00000000-0005-0000-0000-0000CB2F0000}"/>
    <cellStyle name="Currency 7 2 9" xfId="13953" xr:uid="{00000000-0005-0000-0000-0000CC2F0000}"/>
    <cellStyle name="Currency 7 3" xfId="13954" xr:uid="{00000000-0005-0000-0000-0000CD2F0000}"/>
    <cellStyle name="Currency 7 3 2" xfId="13955" xr:uid="{00000000-0005-0000-0000-0000CE2F0000}"/>
    <cellStyle name="Currency 7 3 2 2" xfId="13956" xr:uid="{00000000-0005-0000-0000-0000CF2F0000}"/>
    <cellStyle name="Currency 7 3 2 2 2" xfId="13957" xr:uid="{00000000-0005-0000-0000-0000D02F0000}"/>
    <cellStyle name="Currency 7 3 2 3" xfId="13958" xr:uid="{00000000-0005-0000-0000-0000D12F0000}"/>
    <cellStyle name="Currency 7 3 2 3 2" xfId="13959" xr:uid="{00000000-0005-0000-0000-0000D22F0000}"/>
    <cellStyle name="Currency 7 3 2 4" xfId="13960" xr:uid="{00000000-0005-0000-0000-0000D32F0000}"/>
    <cellStyle name="Currency 7 3 2 4 2" xfId="13961" xr:uid="{00000000-0005-0000-0000-0000D42F0000}"/>
    <cellStyle name="Currency 7 3 2 5" xfId="13962" xr:uid="{00000000-0005-0000-0000-0000D52F0000}"/>
    <cellStyle name="Currency 7 3 3" xfId="13963" xr:uid="{00000000-0005-0000-0000-0000D62F0000}"/>
    <cellStyle name="Currency 7 3 3 2" xfId="13964" xr:uid="{00000000-0005-0000-0000-0000D72F0000}"/>
    <cellStyle name="Currency 7 3 3 2 2" xfId="13965" xr:uid="{00000000-0005-0000-0000-0000D82F0000}"/>
    <cellStyle name="Currency 7 3 3 3" xfId="13966" xr:uid="{00000000-0005-0000-0000-0000D92F0000}"/>
    <cellStyle name="Currency 7 3 4" xfId="13967" xr:uid="{00000000-0005-0000-0000-0000DA2F0000}"/>
    <cellStyle name="Currency 7 3 4 2" xfId="13968" xr:uid="{00000000-0005-0000-0000-0000DB2F0000}"/>
    <cellStyle name="Currency 7 3 5" xfId="13969" xr:uid="{00000000-0005-0000-0000-0000DC2F0000}"/>
    <cellStyle name="Currency 7 3 5 2" xfId="13970" xr:uid="{00000000-0005-0000-0000-0000DD2F0000}"/>
    <cellStyle name="Currency 7 3 6" xfId="13971" xr:uid="{00000000-0005-0000-0000-0000DE2F0000}"/>
    <cellStyle name="Currency 7 4" xfId="13972" xr:uid="{00000000-0005-0000-0000-0000DF2F0000}"/>
    <cellStyle name="Currency 7 4 2" xfId="13973" xr:uid="{00000000-0005-0000-0000-0000E02F0000}"/>
    <cellStyle name="Currency 7 4 2 2" xfId="13974" xr:uid="{00000000-0005-0000-0000-0000E12F0000}"/>
    <cellStyle name="Currency 7 4 2 2 2" xfId="13975" xr:uid="{00000000-0005-0000-0000-0000E22F0000}"/>
    <cellStyle name="Currency 7 4 2 3" xfId="13976" xr:uid="{00000000-0005-0000-0000-0000E32F0000}"/>
    <cellStyle name="Currency 7 4 2 3 2" xfId="13977" xr:uid="{00000000-0005-0000-0000-0000E42F0000}"/>
    <cellStyle name="Currency 7 4 2 4" xfId="13978" xr:uid="{00000000-0005-0000-0000-0000E52F0000}"/>
    <cellStyle name="Currency 7 4 2 4 2" xfId="13979" xr:uid="{00000000-0005-0000-0000-0000E62F0000}"/>
    <cellStyle name="Currency 7 4 2 5" xfId="13980" xr:uid="{00000000-0005-0000-0000-0000E72F0000}"/>
    <cellStyle name="Currency 7 4 3" xfId="13981" xr:uid="{00000000-0005-0000-0000-0000E82F0000}"/>
    <cellStyle name="Currency 7 4 3 2" xfId="13982" xr:uid="{00000000-0005-0000-0000-0000E92F0000}"/>
    <cellStyle name="Currency 7 4 3 2 2" xfId="13983" xr:uid="{00000000-0005-0000-0000-0000EA2F0000}"/>
    <cellStyle name="Currency 7 4 3 3" xfId="13984" xr:uid="{00000000-0005-0000-0000-0000EB2F0000}"/>
    <cellStyle name="Currency 7 4 4" xfId="13985" xr:uid="{00000000-0005-0000-0000-0000EC2F0000}"/>
    <cellStyle name="Currency 7 4 4 2" xfId="13986" xr:uid="{00000000-0005-0000-0000-0000ED2F0000}"/>
    <cellStyle name="Currency 7 4 5" xfId="13987" xr:uid="{00000000-0005-0000-0000-0000EE2F0000}"/>
    <cellStyle name="Currency 7 4 5 2" xfId="13988" xr:uid="{00000000-0005-0000-0000-0000EF2F0000}"/>
    <cellStyle name="Currency 7 4 6" xfId="13989" xr:uid="{00000000-0005-0000-0000-0000F02F0000}"/>
    <cellStyle name="Currency 7 5" xfId="13990" xr:uid="{00000000-0005-0000-0000-0000F12F0000}"/>
    <cellStyle name="Currency 7 5 2" xfId="13991" xr:uid="{00000000-0005-0000-0000-0000F22F0000}"/>
    <cellStyle name="Currency 7 5 2 2" xfId="13992" xr:uid="{00000000-0005-0000-0000-0000F32F0000}"/>
    <cellStyle name="Currency 7 5 2 2 2" xfId="13993" xr:uid="{00000000-0005-0000-0000-0000F42F0000}"/>
    <cellStyle name="Currency 7 5 2 3" xfId="13994" xr:uid="{00000000-0005-0000-0000-0000F52F0000}"/>
    <cellStyle name="Currency 7 5 2 3 2" xfId="13995" xr:uid="{00000000-0005-0000-0000-0000F62F0000}"/>
    <cellStyle name="Currency 7 5 2 4" xfId="13996" xr:uid="{00000000-0005-0000-0000-0000F72F0000}"/>
    <cellStyle name="Currency 7 5 2 5" xfId="13997" xr:uid="{00000000-0005-0000-0000-0000F82F0000}"/>
    <cellStyle name="Currency 7 5 3" xfId="13998" xr:uid="{00000000-0005-0000-0000-0000F92F0000}"/>
    <cellStyle name="Currency 7 5 3 2" xfId="13999" xr:uid="{00000000-0005-0000-0000-0000FA2F0000}"/>
    <cellStyle name="Currency 7 5 3 2 2" xfId="14000" xr:uid="{00000000-0005-0000-0000-0000FB2F0000}"/>
    <cellStyle name="Currency 7 5 3 3" xfId="14001" xr:uid="{00000000-0005-0000-0000-0000FC2F0000}"/>
    <cellStyle name="Currency 7 5 4" xfId="14002" xr:uid="{00000000-0005-0000-0000-0000FD2F0000}"/>
    <cellStyle name="Currency 7 5 4 2" xfId="14003" xr:uid="{00000000-0005-0000-0000-0000FE2F0000}"/>
    <cellStyle name="Currency 7 5 5" xfId="14004" xr:uid="{00000000-0005-0000-0000-0000FF2F0000}"/>
    <cellStyle name="Currency 7 5 5 2" xfId="14005" xr:uid="{00000000-0005-0000-0000-000000300000}"/>
    <cellStyle name="Currency 7 5 6" xfId="14006" xr:uid="{00000000-0005-0000-0000-000001300000}"/>
    <cellStyle name="Currency 7 6" xfId="14007" xr:uid="{00000000-0005-0000-0000-000002300000}"/>
    <cellStyle name="Currency 7 6 2" xfId="14008" xr:uid="{00000000-0005-0000-0000-000003300000}"/>
    <cellStyle name="Currency 7 6 2 2" xfId="14009" xr:uid="{00000000-0005-0000-0000-000004300000}"/>
    <cellStyle name="Currency 7 6 2 2 2" xfId="14010" xr:uid="{00000000-0005-0000-0000-000005300000}"/>
    <cellStyle name="Currency 7 6 2 3" xfId="14011" xr:uid="{00000000-0005-0000-0000-000006300000}"/>
    <cellStyle name="Currency 7 6 3" xfId="14012" xr:uid="{00000000-0005-0000-0000-000007300000}"/>
    <cellStyle name="Currency 7 6 3 2" xfId="14013" xr:uid="{00000000-0005-0000-0000-000008300000}"/>
    <cellStyle name="Currency 7 6 4" xfId="14014" xr:uid="{00000000-0005-0000-0000-000009300000}"/>
    <cellStyle name="Currency 7 6 4 2" xfId="14015" xr:uid="{00000000-0005-0000-0000-00000A300000}"/>
    <cellStyle name="Currency 7 6 5" xfId="14016" xr:uid="{00000000-0005-0000-0000-00000B300000}"/>
    <cellStyle name="Currency 7 7" xfId="14017" xr:uid="{00000000-0005-0000-0000-00000C300000}"/>
    <cellStyle name="Currency 7 7 2" xfId="14018" xr:uid="{00000000-0005-0000-0000-00000D300000}"/>
    <cellStyle name="Currency 7 7 2 2" xfId="14019" xr:uid="{00000000-0005-0000-0000-00000E300000}"/>
    <cellStyle name="Currency 7 7 3" xfId="14020" xr:uid="{00000000-0005-0000-0000-00000F300000}"/>
    <cellStyle name="Currency 7 7 3 2" xfId="14021" xr:uid="{00000000-0005-0000-0000-000010300000}"/>
    <cellStyle name="Currency 7 7 4" xfId="14022" xr:uid="{00000000-0005-0000-0000-000011300000}"/>
    <cellStyle name="Currency 7 8" xfId="14023" xr:uid="{00000000-0005-0000-0000-000012300000}"/>
    <cellStyle name="Currency 7 8 2" xfId="14024" xr:uid="{00000000-0005-0000-0000-000013300000}"/>
    <cellStyle name="Currency 7 8 2 2" xfId="14025" xr:uid="{00000000-0005-0000-0000-000014300000}"/>
    <cellStyle name="Currency 7 8 3" xfId="14026" xr:uid="{00000000-0005-0000-0000-000015300000}"/>
    <cellStyle name="Currency 7 9" xfId="14027" xr:uid="{00000000-0005-0000-0000-000016300000}"/>
    <cellStyle name="Currency 7 9 2" xfId="14028" xr:uid="{00000000-0005-0000-0000-000017300000}"/>
    <cellStyle name="Currency 7 9 2 2" xfId="14029" xr:uid="{00000000-0005-0000-0000-000018300000}"/>
    <cellStyle name="Currency 7 9 3" xfId="14030" xr:uid="{00000000-0005-0000-0000-000019300000}"/>
    <cellStyle name="Currency 8" xfId="1713" xr:uid="{00000000-0005-0000-0000-00001A300000}"/>
    <cellStyle name="Currency 8 2" xfId="1712" xr:uid="{00000000-0005-0000-0000-00001B300000}"/>
    <cellStyle name="Currency 8 2 2" xfId="14031" xr:uid="{00000000-0005-0000-0000-00001C300000}"/>
    <cellStyle name="Currency 8 2 3" xfId="14032" xr:uid="{00000000-0005-0000-0000-00001D300000}"/>
    <cellStyle name="Currency 8 2 4" xfId="14033" xr:uid="{00000000-0005-0000-0000-00001E300000}"/>
    <cellStyle name="Currency 8 3" xfId="14034" xr:uid="{00000000-0005-0000-0000-00001F300000}"/>
    <cellStyle name="Currency 8 3 2" xfId="14035" xr:uid="{00000000-0005-0000-0000-000020300000}"/>
    <cellStyle name="Currency 8 3 2 2" xfId="14036" xr:uid="{00000000-0005-0000-0000-000021300000}"/>
    <cellStyle name="Currency 8 3 3" xfId="14037" xr:uid="{00000000-0005-0000-0000-000022300000}"/>
    <cellStyle name="Currency 8 3 3 2" xfId="14038" xr:uid="{00000000-0005-0000-0000-000023300000}"/>
    <cellStyle name="Currency 8 3 4" xfId="14039" xr:uid="{00000000-0005-0000-0000-000024300000}"/>
    <cellStyle name="Currency 8 3 4 2" xfId="14040" xr:uid="{00000000-0005-0000-0000-000025300000}"/>
    <cellStyle name="Currency 8 3 5" xfId="14041" xr:uid="{00000000-0005-0000-0000-000026300000}"/>
    <cellStyle name="Currency 8 4" xfId="14042" xr:uid="{00000000-0005-0000-0000-000027300000}"/>
    <cellStyle name="Currency 8 5" xfId="14043" xr:uid="{00000000-0005-0000-0000-000028300000}"/>
    <cellStyle name="Currency 9" xfId="1711" xr:uid="{00000000-0005-0000-0000-000029300000}"/>
    <cellStyle name="Currency 9 10" xfId="14044" xr:uid="{00000000-0005-0000-0000-00002A300000}"/>
    <cellStyle name="Currency 9 11" xfId="14045" xr:uid="{00000000-0005-0000-0000-00002B300000}"/>
    <cellStyle name="Currency 9 2" xfId="1710" xr:uid="{00000000-0005-0000-0000-00002C300000}"/>
    <cellStyle name="Currency 9 2 2" xfId="14046" xr:uid="{00000000-0005-0000-0000-00002D300000}"/>
    <cellStyle name="Currency 9 2 2 2" xfId="14047" xr:uid="{00000000-0005-0000-0000-00002E300000}"/>
    <cellStyle name="Currency 9 2 2 2 2" xfId="14048" xr:uid="{00000000-0005-0000-0000-00002F300000}"/>
    <cellStyle name="Currency 9 2 2 3" xfId="14049" xr:uid="{00000000-0005-0000-0000-000030300000}"/>
    <cellStyle name="Currency 9 2 2 3 2" xfId="14050" xr:uid="{00000000-0005-0000-0000-000031300000}"/>
    <cellStyle name="Currency 9 2 2 4" xfId="14051" xr:uid="{00000000-0005-0000-0000-000032300000}"/>
    <cellStyle name="Currency 9 2 2 5" xfId="14052" xr:uid="{00000000-0005-0000-0000-000033300000}"/>
    <cellStyle name="Currency 9 2 3" xfId="14053" xr:uid="{00000000-0005-0000-0000-000034300000}"/>
    <cellStyle name="Currency 9 2 3 2" xfId="14054" xr:uid="{00000000-0005-0000-0000-000035300000}"/>
    <cellStyle name="Currency 9 2 3 2 2" xfId="14055" xr:uid="{00000000-0005-0000-0000-000036300000}"/>
    <cellStyle name="Currency 9 2 3 3" xfId="14056" xr:uid="{00000000-0005-0000-0000-000037300000}"/>
    <cellStyle name="Currency 9 2 4" xfId="14057" xr:uid="{00000000-0005-0000-0000-000038300000}"/>
    <cellStyle name="Currency 9 2 4 2" xfId="14058" xr:uid="{00000000-0005-0000-0000-000039300000}"/>
    <cellStyle name="Currency 9 2 5" xfId="14059" xr:uid="{00000000-0005-0000-0000-00003A300000}"/>
    <cellStyle name="Currency 9 2 5 2" xfId="14060" xr:uid="{00000000-0005-0000-0000-00003B300000}"/>
    <cellStyle name="Currency 9 2 6" xfId="14061" xr:uid="{00000000-0005-0000-0000-00003C300000}"/>
    <cellStyle name="Currency 9 3" xfId="14062" xr:uid="{00000000-0005-0000-0000-00003D300000}"/>
    <cellStyle name="Currency 9 3 2" xfId="14063" xr:uid="{00000000-0005-0000-0000-00003E300000}"/>
    <cellStyle name="Currency 9 3 2 2" xfId="14064" xr:uid="{00000000-0005-0000-0000-00003F300000}"/>
    <cellStyle name="Currency 9 3 2 2 2" xfId="14065" xr:uid="{00000000-0005-0000-0000-000040300000}"/>
    <cellStyle name="Currency 9 3 2 3" xfId="14066" xr:uid="{00000000-0005-0000-0000-000041300000}"/>
    <cellStyle name="Currency 9 3 2 3 2" xfId="14067" xr:uid="{00000000-0005-0000-0000-000042300000}"/>
    <cellStyle name="Currency 9 3 2 4" xfId="14068" xr:uid="{00000000-0005-0000-0000-000043300000}"/>
    <cellStyle name="Currency 9 3 2 5" xfId="14069" xr:uid="{00000000-0005-0000-0000-000044300000}"/>
    <cellStyle name="Currency 9 3 3" xfId="14070" xr:uid="{00000000-0005-0000-0000-000045300000}"/>
    <cellStyle name="Currency 9 3 3 2" xfId="14071" xr:uid="{00000000-0005-0000-0000-000046300000}"/>
    <cellStyle name="Currency 9 3 3 2 2" xfId="14072" xr:uid="{00000000-0005-0000-0000-000047300000}"/>
    <cellStyle name="Currency 9 3 3 3" xfId="14073" xr:uid="{00000000-0005-0000-0000-000048300000}"/>
    <cellStyle name="Currency 9 3 4" xfId="14074" xr:uid="{00000000-0005-0000-0000-000049300000}"/>
    <cellStyle name="Currency 9 3 4 2" xfId="14075" xr:uid="{00000000-0005-0000-0000-00004A300000}"/>
    <cellStyle name="Currency 9 3 5" xfId="14076" xr:uid="{00000000-0005-0000-0000-00004B300000}"/>
    <cellStyle name="Currency 9 3 5 2" xfId="14077" xr:uid="{00000000-0005-0000-0000-00004C300000}"/>
    <cellStyle name="Currency 9 3 6" xfId="14078" xr:uid="{00000000-0005-0000-0000-00004D300000}"/>
    <cellStyle name="Currency 9 4" xfId="14079" xr:uid="{00000000-0005-0000-0000-00004E300000}"/>
    <cellStyle name="Currency 9 4 2" xfId="14080" xr:uid="{00000000-0005-0000-0000-00004F300000}"/>
    <cellStyle name="Currency 9 4 2 2" xfId="14081" xr:uid="{00000000-0005-0000-0000-000050300000}"/>
    <cellStyle name="Currency 9 4 2 2 2" xfId="14082" xr:uid="{00000000-0005-0000-0000-000051300000}"/>
    <cellStyle name="Currency 9 4 2 3" xfId="14083" xr:uid="{00000000-0005-0000-0000-000052300000}"/>
    <cellStyle name="Currency 9 4 3" xfId="14084" xr:uid="{00000000-0005-0000-0000-000053300000}"/>
    <cellStyle name="Currency 9 4 3 2" xfId="14085" xr:uid="{00000000-0005-0000-0000-000054300000}"/>
    <cellStyle name="Currency 9 4 4" xfId="14086" xr:uid="{00000000-0005-0000-0000-000055300000}"/>
    <cellStyle name="Currency 9 4 4 2" xfId="14087" xr:uid="{00000000-0005-0000-0000-000056300000}"/>
    <cellStyle name="Currency 9 4 5" xfId="14088" xr:uid="{00000000-0005-0000-0000-000057300000}"/>
    <cellStyle name="Currency 9 5" xfId="14089" xr:uid="{00000000-0005-0000-0000-000058300000}"/>
    <cellStyle name="Currency 9 5 2" xfId="14090" xr:uid="{00000000-0005-0000-0000-000059300000}"/>
    <cellStyle name="Currency 9 5 2 2" xfId="14091" xr:uid="{00000000-0005-0000-0000-00005A300000}"/>
    <cellStyle name="Currency 9 5 3" xfId="14092" xr:uid="{00000000-0005-0000-0000-00005B300000}"/>
    <cellStyle name="Currency 9 5 3 2" xfId="14093" xr:uid="{00000000-0005-0000-0000-00005C300000}"/>
    <cellStyle name="Currency 9 5 4" xfId="14094" xr:uid="{00000000-0005-0000-0000-00005D300000}"/>
    <cellStyle name="Currency 9 5 4 2" xfId="14095" xr:uid="{00000000-0005-0000-0000-00005E300000}"/>
    <cellStyle name="Currency 9 5 5" xfId="14096" xr:uid="{00000000-0005-0000-0000-00005F300000}"/>
    <cellStyle name="Currency 9 6" xfId="14097" xr:uid="{00000000-0005-0000-0000-000060300000}"/>
    <cellStyle name="Currency 9 6 2" xfId="14098" xr:uid="{00000000-0005-0000-0000-000061300000}"/>
    <cellStyle name="Currency 9 6 2 2" xfId="14099" xr:uid="{00000000-0005-0000-0000-000062300000}"/>
    <cellStyle name="Currency 9 6 3" xfId="14100" xr:uid="{00000000-0005-0000-0000-000063300000}"/>
    <cellStyle name="Currency 9 6 3 2" xfId="14101" xr:uid="{00000000-0005-0000-0000-000064300000}"/>
    <cellStyle name="Currency 9 6 4" xfId="14102" xr:uid="{00000000-0005-0000-0000-000065300000}"/>
    <cellStyle name="Currency 9 7" xfId="14103" xr:uid="{00000000-0005-0000-0000-000066300000}"/>
    <cellStyle name="Currency 9 7 2" xfId="14104" xr:uid="{00000000-0005-0000-0000-000067300000}"/>
    <cellStyle name="Currency 9 7 2 2" xfId="14105" xr:uid="{00000000-0005-0000-0000-000068300000}"/>
    <cellStyle name="Currency 9 7 3" xfId="14106" xr:uid="{00000000-0005-0000-0000-000069300000}"/>
    <cellStyle name="Currency 9 8" xfId="14107" xr:uid="{00000000-0005-0000-0000-00006A300000}"/>
    <cellStyle name="Currency 9 8 2" xfId="14108" xr:uid="{00000000-0005-0000-0000-00006B300000}"/>
    <cellStyle name="Currency 9 9" xfId="14109" xr:uid="{00000000-0005-0000-0000-00006C300000}"/>
    <cellStyle name="Currency 9 9 2" xfId="14110" xr:uid="{00000000-0005-0000-0000-00006D300000}"/>
    <cellStyle name="Currency0" xfId="1709" xr:uid="{00000000-0005-0000-0000-00006E300000}"/>
    <cellStyle name="Date" xfId="1708" xr:uid="{00000000-0005-0000-0000-00006F300000}"/>
    <cellStyle name="Date 2" xfId="1707" xr:uid="{00000000-0005-0000-0000-000070300000}"/>
    <cellStyle name="Date 3" xfId="1706" xr:uid="{00000000-0005-0000-0000-000071300000}"/>
    <cellStyle name="Date 4" xfId="1705" xr:uid="{00000000-0005-0000-0000-000072300000}"/>
    <cellStyle name="Emphasis 1" xfId="1704" xr:uid="{00000000-0005-0000-0000-000073300000}"/>
    <cellStyle name="Emphasis 2" xfId="1703" xr:uid="{00000000-0005-0000-0000-000074300000}"/>
    <cellStyle name="Emphasis 3" xfId="1702" xr:uid="{00000000-0005-0000-0000-000075300000}"/>
    <cellStyle name="Entered" xfId="1701" xr:uid="{00000000-0005-0000-0000-000076300000}"/>
    <cellStyle name="Euro" xfId="1700" xr:uid="{00000000-0005-0000-0000-000077300000}"/>
    <cellStyle name="Explanatory Text 10" xfId="1699" xr:uid="{00000000-0005-0000-0000-000078300000}"/>
    <cellStyle name="Explanatory Text 2" xfId="1698" xr:uid="{00000000-0005-0000-0000-000079300000}"/>
    <cellStyle name="Explanatory Text 2 2" xfId="1697" xr:uid="{00000000-0005-0000-0000-00007A300000}"/>
    <cellStyle name="Explanatory Text 2 2 2" xfId="14111" xr:uid="{00000000-0005-0000-0000-00007B300000}"/>
    <cellStyle name="Explanatory Text 2 2 3" xfId="14112" xr:uid="{00000000-0005-0000-0000-00007C300000}"/>
    <cellStyle name="Explanatory Text 2 3" xfId="14113" xr:uid="{00000000-0005-0000-0000-00007D300000}"/>
    <cellStyle name="Explanatory Text 2 4" xfId="14114" xr:uid="{00000000-0005-0000-0000-00007E300000}"/>
    <cellStyle name="Explanatory Text 2 4 2" xfId="14115" xr:uid="{00000000-0005-0000-0000-00007F300000}"/>
    <cellStyle name="Explanatory Text 2 5" xfId="14116" xr:uid="{00000000-0005-0000-0000-000080300000}"/>
    <cellStyle name="Explanatory Text 2 6" xfId="14117" xr:uid="{00000000-0005-0000-0000-000081300000}"/>
    <cellStyle name="Explanatory Text 2 7" xfId="14118" xr:uid="{00000000-0005-0000-0000-000082300000}"/>
    <cellStyle name="Explanatory Text 2 8" xfId="14119" xr:uid="{00000000-0005-0000-0000-000083300000}"/>
    <cellStyle name="Explanatory Text 3" xfId="1696" xr:uid="{00000000-0005-0000-0000-000084300000}"/>
    <cellStyle name="Explanatory Text 3 2" xfId="14120" xr:uid="{00000000-0005-0000-0000-000085300000}"/>
    <cellStyle name="Explanatory Text 3 3" xfId="14121" xr:uid="{00000000-0005-0000-0000-000086300000}"/>
    <cellStyle name="Explanatory Text 3 4" xfId="14122" xr:uid="{00000000-0005-0000-0000-000087300000}"/>
    <cellStyle name="Explanatory Text 4" xfId="1695" xr:uid="{00000000-0005-0000-0000-000088300000}"/>
    <cellStyle name="Explanatory Text 4 2" xfId="14123" xr:uid="{00000000-0005-0000-0000-000089300000}"/>
    <cellStyle name="Explanatory Text 4 3" xfId="14124" xr:uid="{00000000-0005-0000-0000-00008A300000}"/>
    <cellStyle name="Explanatory Text 5" xfId="1694" xr:uid="{00000000-0005-0000-0000-00008B300000}"/>
    <cellStyle name="Explanatory Text 5 2" xfId="14125" xr:uid="{00000000-0005-0000-0000-00008C300000}"/>
    <cellStyle name="Explanatory Text 5 3" xfId="14126" xr:uid="{00000000-0005-0000-0000-00008D300000}"/>
    <cellStyle name="Explanatory Text 6" xfId="1693" xr:uid="{00000000-0005-0000-0000-00008E300000}"/>
    <cellStyle name="Explanatory Text 6 2" xfId="14127" xr:uid="{00000000-0005-0000-0000-00008F300000}"/>
    <cellStyle name="Explanatory Text 7" xfId="1692" xr:uid="{00000000-0005-0000-0000-000090300000}"/>
    <cellStyle name="Explanatory Text 8" xfId="1691" xr:uid="{00000000-0005-0000-0000-000091300000}"/>
    <cellStyle name="Explanatory Text 9" xfId="1690" xr:uid="{00000000-0005-0000-0000-000092300000}"/>
    <cellStyle name="Fixed" xfId="1689" xr:uid="{00000000-0005-0000-0000-000093300000}"/>
    <cellStyle name="Fixed3 - Style3" xfId="1688" xr:uid="{00000000-0005-0000-0000-000094300000}"/>
    <cellStyle name="Good 10" xfId="1687" xr:uid="{00000000-0005-0000-0000-000095300000}"/>
    <cellStyle name="Good 11" xfId="1686" xr:uid="{00000000-0005-0000-0000-000096300000}"/>
    <cellStyle name="Good 2" xfId="1685" xr:uid="{00000000-0005-0000-0000-000097300000}"/>
    <cellStyle name="Good 2 2" xfId="1684" xr:uid="{00000000-0005-0000-0000-000098300000}"/>
    <cellStyle name="Good 2 2 2" xfId="14128" xr:uid="{00000000-0005-0000-0000-000099300000}"/>
    <cellStyle name="Good 2 2 3" xfId="14129" xr:uid="{00000000-0005-0000-0000-00009A300000}"/>
    <cellStyle name="Good 2 2 4" xfId="14130" xr:uid="{00000000-0005-0000-0000-00009B300000}"/>
    <cellStyle name="Good 2 3" xfId="14131" xr:uid="{00000000-0005-0000-0000-00009C300000}"/>
    <cellStyle name="Good 2 3 2" xfId="14132" xr:uid="{00000000-0005-0000-0000-00009D300000}"/>
    <cellStyle name="Good 2 3 3" xfId="14133" xr:uid="{00000000-0005-0000-0000-00009E300000}"/>
    <cellStyle name="Good 2 4" xfId="14134" xr:uid="{00000000-0005-0000-0000-00009F300000}"/>
    <cellStyle name="Good 2 4 2" xfId="14135" xr:uid="{00000000-0005-0000-0000-0000A0300000}"/>
    <cellStyle name="Good 2 4 3" xfId="14136" xr:uid="{00000000-0005-0000-0000-0000A1300000}"/>
    <cellStyle name="Good 2 5" xfId="14137" xr:uid="{00000000-0005-0000-0000-0000A2300000}"/>
    <cellStyle name="Good 2 6" xfId="14138" xr:uid="{00000000-0005-0000-0000-0000A3300000}"/>
    <cellStyle name="Good 3" xfId="1683" xr:uid="{00000000-0005-0000-0000-0000A4300000}"/>
    <cellStyle name="Good 3 2" xfId="14139" xr:uid="{00000000-0005-0000-0000-0000A5300000}"/>
    <cellStyle name="Good 3 2 2" xfId="14140" xr:uid="{00000000-0005-0000-0000-0000A6300000}"/>
    <cellStyle name="Good 3 2 3" xfId="14141" xr:uid="{00000000-0005-0000-0000-0000A7300000}"/>
    <cellStyle name="Good 3 3" xfId="14142" xr:uid="{00000000-0005-0000-0000-0000A8300000}"/>
    <cellStyle name="Good 3 4" xfId="14143" xr:uid="{00000000-0005-0000-0000-0000A9300000}"/>
    <cellStyle name="Good 3 5" xfId="14144" xr:uid="{00000000-0005-0000-0000-0000AA300000}"/>
    <cellStyle name="Good 4" xfId="1682" xr:uid="{00000000-0005-0000-0000-0000AB300000}"/>
    <cellStyle name="Good 4 2" xfId="14145" xr:uid="{00000000-0005-0000-0000-0000AC300000}"/>
    <cellStyle name="Good 4 3" xfId="14146" xr:uid="{00000000-0005-0000-0000-0000AD300000}"/>
    <cellStyle name="Good 5" xfId="1681" xr:uid="{00000000-0005-0000-0000-0000AE300000}"/>
    <cellStyle name="Good 5 2" xfId="14147" xr:uid="{00000000-0005-0000-0000-0000AF300000}"/>
    <cellStyle name="Good 5 3" xfId="14148" xr:uid="{00000000-0005-0000-0000-0000B0300000}"/>
    <cellStyle name="Good 6" xfId="1680" xr:uid="{00000000-0005-0000-0000-0000B1300000}"/>
    <cellStyle name="Good 6 2" xfId="14149" xr:uid="{00000000-0005-0000-0000-0000B2300000}"/>
    <cellStyle name="Good 6 3" xfId="14150" xr:uid="{00000000-0005-0000-0000-0000B3300000}"/>
    <cellStyle name="Good 6 4" xfId="14151" xr:uid="{00000000-0005-0000-0000-0000B4300000}"/>
    <cellStyle name="Good 7" xfId="1679" xr:uid="{00000000-0005-0000-0000-0000B5300000}"/>
    <cellStyle name="Good 8" xfId="1678" xr:uid="{00000000-0005-0000-0000-0000B6300000}"/>
    <cellStyle name="Good 9" xfId="1677" xr:uid="{00000000-0005-0000-0000-0000B7300000}"/>
    <cellStyle name="Grey" xfId="1676" xr:uid="{00000000-0005-0000-0000-0000B8300000}"/>
    <cellStyle name="Grey 2" xfId="1675" xr:uid="{00000000-0005-0000-0000-0000B9300000}"/>
    <cellStyle name="Grey 3" xfId="1674" xr:uid="{00000000-0005-0000-0000-0000BA300000}"/>
    <cellStyle name="Grey 4" xfId="1673" xr:uid="{00000000-0005-0000-0000-0000BB300000}"/>
    <cellStyle name="Header" xfId="1672" xr:uid="{00000000-0005-0000-0000-0000BC300000}"/>
    <cellStyle name="Header1" xfId="1671" xr:uid="{00000000-0005-0000-0000-0000BD300000}"/>
    <cellStyle name="Header2" xfId="1670" xr:uid="{00000000-0005-0000-0000-0000BE300000}"/>
    <cellStyle name="Heading" xfId="1669" xr:uid="{00000000-0005-0000-0000-0000BF300000}"/>
    <cellStyle name="Heading 1 10" xfId="1668" xr:uid="{00000000-0005-0000-0000-0000C0300000}"/>
    <cellStyle name="Heading 1 11" xfId="1667" xr:uid="{00000000-0005-0000-0000-0000C1300000}"/>
    <cellStyle name="Heading 1 2" xfId="1666" xr:uid="{00000000-0005-0000-0000-0000C2300000}"/>
    <cellStyle name="Heading 1 2 2" xfId="1665" xr:uid="{00000000-0005-0000-0000-0000C3300000}"/>
    <cellStyle name="Heading 1 2 2 2" xfId="14152" xr:uid="{00000000-0005-0000-0000-0000C4300000}"/>
    <cellStyle name="Heading 1 2 2 3" xfId="14153" xr:uid="{00000000-0005-0000-0000-0000C5300000}"/>
    <cellStyle name="Heading 1 2 3" xfId="14154" xr:uid="{00000000-0005-0000-0000-0000C6300000}"/>
    <cellStyle name="Heading 1 2 3 2" xfId="14155" xr:uid="{00000000-0005-0000-0000-0000C7300000}"/>
    <cellStyle name="Heading 1 2 4" xfId="14156" xr:uid="{00000000-0005-0000-0000-0000C8300000}"/>
    <cellStyle name="Heading 1 3" xfId="1664" xr:uid="{00000000-0005-0000-0000-0000C9300000}"/>
    <cellStyle name="Heading 1 3 2" xfId="14157" xr:uid="{00000000-0005-0000-0000-0000CA300000}"/>
    <cellStyle name="Heading 1 3 3" xfId="14158" xr:uid="{00000000-0005-0000-0000-0000CB300000}"/>
    <cellStyle name="Heading 1 4" xfId="1663" xr:uid="{00000000-0005-0000-0000-0000CC300000}"/>
    <cellStyle name="Heading 1 4 2" xfId="14159" xr:uid="{00000000-0005-0000-0000-0000CD300000}"/>
    <cellStyle name="Heading 1 4 3" xfId="14160" xr:uid="{00000000-0005-0000-0000-0000CE300000}"/>
    <cellStyle name="Heading 1 4 4" xfId="14161" xr:uid="{00000000-0005-0000-0000-0000CF300000}"/>
    <cellStyle name="Heading 1 5" xfId="1662" xr:uid="{00000000-0005-0000-0000-0000D0300000}"/>
    <cellStyle name="Heading 1 6" xfId="1661" xr:uid="{00000000-0005-0000-0000-0000D1300000}"/>
    <cellStyle name="Heading 1 7" xfId="1660" xr:uid="{00000000-0005-0000-0000-0000D2300000}"/>
    <cellStyle name="Heading 1 8" xfId="1659" xr:uid="{00000000-0005-0000-0000-0000D3300000}"/>
    <cellStyle name="Heading 1 9" xfId="1658" xr:uid="{00000000-0005-0000-0000-0000D4300000}"/>
    <cellStyle name="Heading 2 10" xfId="1657" xr:uid="{00000000-0005-0000-0000-0000D5300000}"/>
    <cellStyle name="Heading 2 11" xfId="1656" xr:uid="{00000000-0005-0000-0000-0000D6300000}"/>
    <cellStyle name="Heading 2 2" xfId="1655" xr:uid="{00000000-0005-0000-0000-0000D7300000}"/>
    <cellStyle name="Heading 2 2 2" xfId="1654" xr:uid="{00000000-0005-0000-0000-0000D8300000}"/>
    <cellStyle name="Heading 2 2 2 2" xfId="14162" xr:uid="{00000000-0005-0000-0000-0000D9300000}"/>
    <cellStyle name="Heading 2 2 2 3" xfId="14163" xr:uid="{00000000-0005-0000-0000-0000DA300000}"/>
    <cellStyle name="Heading 2 2 3" xfId="14164" xr:uid="{00000000-0005-0000-0000-0000DB300000}"/>
    <cellStyle name="Heading 2 2 3 2" xfId="14165" xr:uid="{00000000-0005-0000-0000-0000DC300000}"/>
    <cellStyle name="Heading 2 2 4" xfId="14166" xr:uid="{00000000-0005-0000-0000-0000DD300000}"/>
    <cellStyle name="Heading 2 3" xfId="1653" xr:uid="{00000000-0005-0000-0000-0000DE300000}"/>
    <cellStyle name="Heading 2 3 2" xfId="14167" xr:uid="{00000000-0005-0000-0000-0000DF300000}"/>
    <cellStyle name="Heading 2 3 3" xfId="14168" xr:uid="{00000000-0005-0000-0000-0000E0300000}"/>
    <cellStyle name="Heading 2 4" xfId="1652" xr:uid="{00000000-0005-0000-0000-0000E1300000}"/>
    <cellStyle name="Heading 2 4 2" xfId="14169" xr:uid="{00000000-0005-0000-0000-0000E2300000}"/>
    <cellStyle name="Heading 2 4 3" xfId="14170" xr:uid="{00000000-0005-0000-0000-0000E3300000}"/>
    <cellStyle name="Heading 2 4 4" xfId="14171" xr:uid="{00000000-0005-0000-0000-0000E4300000}"/>
    <cellStyle name="Heading 2 5" xfId="1651" xr:uid="{00000000-0005-0000-0000-0000E5300000}"/>
    <cellStyle name="Heading 2 6" xfId="1650" xr:uid="{00000000-0005-0000-0000-0000E6300000}"/>
    <cellStyle name="Heading 2 7" xfId="1649" xr:uid="{00000000-0005-0000-0000-0000E7300000}"/>
    <cellStyle name="Heading 2 8" xfId="1648" xr:uid="{00000000-0005-0000-0000-0000E8300000}"/>
    <cellStyle name="Heading 2 9" xfId="1647" xr:uid="{00000000-0005-0000-0000-0000E9300000}"/>
    <cellStyle name="Heading 3 10" xfId="1646" xr:uid="{00000000-0005-0000-0000-0000EA300000}"/>
    <cellStyle name="Heading 3 11" xfId="1645" xr:uid="{00000000-0005-0000-0000-0000EB300000}"/>
    <cellStyle name="Heading 3 2" xfId="1644" xr:uid="{00000000-0005-0000-0000-0000EC300000}"/>
    <cellStyle name="Heading 3 2 2" xfId="1643" xr:uid="{00000000-0005-0000-0000-0000ED300000}"/>
    <cellStyle name="Heading 3 2 2 2" xfId="14172" xr:uid="{00000000-0005-0000-0000-0000EE300000}"/>
    <cellStyle name="Heading 3 2 2 3" xfId="14173" xr:uid="{00000000-0005-0000-0000-0000EF300000}"/>
    <cellStyle name="Heading 3 2 3" xfId="14174" xr:uid="{00000000-0005-0000-0000-0000F0300000}"/>
    <cellStyle name="Heading 3 2 3 2" xfId="14175" xr:uid="{00000000-0005-0000-0000-0000F1300000}"/>
    <cellStyle name="Heading 3 2 4" xfId="14176" xr:uid="{00000000-0005-0000-0000-0000F2300000}"/>
    <cellStyle name="Heading 3 2 5" xfId="14177" xr:uid="{00000000-0005-0000-0000-0000F3300000}"/>
    <cellStyle name="Heading 3 3" xfId="1642" xr:uid="{00000000-0005-0000-0000-0000F4300000}"/>
    <cellStyle name="Heading 3 3 2" xfId="14178" xr:uid="{00000000-0005-0000-0000-0000F5300000}"/>
    <cellStyle name="Heading 3 3 3" xfId="14179" xr:uid="{00000000-0005-0000-0000-0000F6300000}"/>
    <cellStyle name="Heading 3 3 3 2" xfId="14180" xr:uid="{00000000-0005-0000-0000-0000F7300000}"/>
    <cellStyle name="Heading 3 4" xfId="1641" xr:uid="{00000000-0005-0000-0000-0000F8300000}"/>
    <cellStyle name="Heading 3 4 2" xfId="14181" xr:uid="{00000000-0005-0000-0000-0000F9300000}"/>
    <cellStyle name="Heading 3 4 2 2" xfId="14182" xr:uid="{00000000-0005-0000-0000-0000FA300000}"/>
    <cellStyle name="Heading 3 4 3" xfId="14183" xr:uid="{00000000-0005-0000-0000-0000FB300000}"/>
    <cellStyle name="Heading 3 4 4" xfId="14184" xr:uid="{00000000-0005-0000-0000-0000FC300000}"/>
    <cellStyle name="Heading 3 4 5" xfId="14185" xr:uid="{00000000-0005-0000-0000-0000FD300000}"/>
    <cellStyle name="Heading 3 5" xfId="1640" xr:uid="{00000000-0005-0000-0000-0000FE300000}"/>
    <cellStyle name="Heading 3 5 2" xfId="14186" xr:uid="{00000000-0005-0000-0000-0000FF300000}"/>
    <cellStyle name="Heading 3 6" xfId="1639" xr:uid="{00000000-0005-0000-0000-000000310000}"/>
    <cellStyle name="Heading 3 7" xfId="1638" xr:uid="{00000000-0005-0000-0000-000001310000}"/>
    <cellStyle name="Heading 3 8" xfId="1637" xr:uid="{00000000-0005-0000-0000-000002310000}"/>
    <cellStyle name="Heading 3 9" xfId="1636" xr:uid="{00000000-0005-0000-0000-000003310000}"/>
    <cellStyle name="Heading 4 10" xfId="1635" xr:uid="{00000000-0005-0000-0000-000004310000}"/>
    <cellStyle name="Heading 4 2" xfId="1634" xr:uid="{00000000-0005-0000-0000-000005310000}"/>
    <cellStyle name="Heading 4 2 2" xfId="1633" xr:uid="{00000000-0005-0000-0000-000006310000}"/>
    <cellStyle name="Heading 4 2 2 2" xfId="14187" xr:uid="{00000000-0005-0000-0000-000007310000}"/>
    <cellStyle name="Heading 4 2 2 3" xfId="14188" xr:uid="{00000000-0005-0000-0000-000008310000}"/>
    <cellStyle name="Heading 4 2 3" xfId="14189" xr:uid="{00000000-0005-0000-0000-000009310000}"/>
    <cellStyle name="Heading 4 2 3 2" xfId="14190" xr:uid="{00000000-0005-0000-0000-00000A310000}"/>
    <cellStyle name="Heading 4 2 4" xfId="14191" xr:uid="{00000000-0005-0000-0000-00000B310000}"/>
    <cellStyle name="Heading 4 3" xfId="1632" xr:uid="{00000000-0005-0000-0000-00000C310000}"/>
    <cellStyle name="Heading 4 3 2" xfId="14192" xr:uid="{00000000-0005-0000-0000-00000D310000}"/>
    <cellStyle name="Heading 4 3 3" xfId="14193" xr:uid="{00000000-0005-0000-0000-00000E310000}"/>
    <cellStyle name="Heading 4 4" xfId="1631" xr:uid="{00000000-0005-0000-0000-00000F310000}"/>
    <cellStyle name="Heading 4 4 2" xfId="14194" xr:uid="{00000000-0005-0000-0000-000010310000}"/>
    <cellStyle name="Heading 4 4 3" xfId="14195" xr:uid="{00000000-0005-0000-0000-000011310000}"/>
    <cellStyle name="Heading 4 4 4" xfId="14196" xr:uid="{00000000-0005-0000-0000-000012310000}"/>
    <cellStyle name="Heading 4 5" xfId="1630" xr:uid="{00000000-0005-0000-0000-000013310000}"/>
    <cellStyle name="Heading 4 6" xfId="1629" xr:uid="{00000000-0005-0000-0000-000014310000}"/>
    <cellStyle name="Heading 4 7" xfId="1628" xr:uid="{00000000-0005-0000-0000-000015310000}"/>
    <cellStyle name="Heading 4 8" xfId="1627" xr:uid="{00000000-0005-0000-0000-000016310000}"/>
    <cellStyle name="Heading 4 9" xfId="1626" xr:uid="{00000000-0005-0000-0000-000017310000}"/>
    <cellStyle name="Heading1" xfId="1625" xr:uid="{00000000-0005-0000-0000-000018310000}"/>
    <cellStyle name="Heading2" xfId="1624" xr:uid="{00000000-0005-0000-0000-000019310000}"/>
    <cellStyle name="Hyperlink_F2009Tables_Final_with_link" xfId="14197" xr:uid="{00000000-0005-0000-0000-00001A310000}"/>
    <cellStyle name="Input [yellow]" xfId="1623" xr:uid="{00000000-0005-0000-0000-00001B310000}"/>
    <cellStyle name="Input [yellow] 2" xfId="1622" xr:uid="{00000000-0005-0000-0000-00001C310000}"/>
    <cellStyle name="Input [yellow] 3" xfId="1621" xr:uid="{00000000-0005-0000-0000-00001D310000}"/>
    <cellStyle name="Input [yellow] 4" xfId="1620" xr:uid="{00000000-0005-0000-0000-00001E310000}"/>
    <cellStyle name="Input 10" xfId="1619" xr:uid="{00000000-0005-0000-0000-00001F310000}"/>
    <cellStyle name="Input 10 2" xfId="14198" xr:uid="{00000000-0005-0000-0000-000020310000}"/>
    <cellStyle name="Input 10 2 2" xfId="14199" xr:uid="{00000000-0005-0000-0000-000021310000}"/>
    <cellStyle name="Input 10 2 3" xfId="14200" xr:uid="{00000000-0005-0000-0000-000022310000}"/>
    <cellStyle name="Input 10 3" xfId="14201" xr:uid="{00000000-0005-0000-0000-000023310000}"/>
    <cellStyle name="Input 10 4" xfId="14202" xr:uid="{00000000-0005-0000-0000-000024310000}"/>
    <cellStyle name="Input 11" xfId="1618" xr:uid="{00000000-0005-0000-0000-000025310000}"/>
    <cellStyle name="Input 11 2" xfId="14203" xr:uid="{00000000-0005-0000-0000-000026310000}"/>
    <cellStyle name="Input 11 2 2" xfId="14204" xr:uid="{00000000-0005-0000-0000-000027310000}"/>
    <cellStyle name="Input 11 2 3" xfId="14205" xr:uid="{00000000-0005-0000-0000-000028310000}"/>
    <cellStyle name="Input 11 3" xfId="14206" xr:uid="{00000000-0005-0000-0000-000029310000}"/>
    <cellStyle name="Input 11 4" xfId="14207" xr:uid="{00000000-0005-0000-0000-00002A310000}"/>
    <cellStyle name="Input 12" xfId="1617" xr:uid="{00000000-0005-0000-0000-00002B310000}"/>
    <cellStyle name="Input 12 2" xfId="14208" xr:uid="{00000000-0005-0000-0000-00002C310000}"/>
    <cellStyle name="Input 12 2 2" xfId="14209" xr:uid="{00000000-0005-0000-0000-00002D310000}"/>
    <cellStyle name="Input 12 2 3" xfId="14210" xr:uid="{00000000-0005-0000-0000-00002E310000}"/>
    <cellStyle name="Input 12 3" xfId="14211" xr:uid="{00000000-0005-0000-0000-00002F310000}"/>
    <cellStyle name="Input 12 4" xfId="14212" xr:uid="{00000000-0005-0000-0000-000030310000}"/>
    <cellStyle name="Input 13" xfId="1616" xr:uid="{00000000-0005-0000-0000-000031310000}"/>
    <cellStyle name="Input 13 2" xfId="14213" xr:uid="{00000000-0005-0000-0000-000032310000}"/>
    <cellStyle name="Input 13 3" xfId="14214" xr:uid="{00000000-0005-0000-0000-000033310000}"/>
    <cellStyle name="Input 13 4" xfId="14215" xr:uid="{00000000-0005-0000-0000-000034310000}"/>
    <cellStyle name="Input 14" xfId="1615" xr:uid="{00000000-0005-0000-0000-000035310000}"/>
    <cellStyle name="Input 14 2" xfId="14216" xr:uid="{00000000-0005-0000-0000-000036310000}"/>
    <cellStyle name="Input 14 3" xfId="14217" xr:uid="{00000000-0005-0000-0000-000037310000}"/>
    <cellStyle name="Input 14 4" xfId="14218" xr:uid="{00000000-0005-0000-0000-000038310000}"/>
    <cellStyle name="Input 15" xfId="1614" xr:uid="{00000000-0005-0000-0000-000039310000}"/>
    <cellStyle name="Input 15 2" xfId="14219" xr:uid="{00000000-0005-0000-0000-00003A310000}"/>
    <cellStyle name="Input 15 3" xfId="14220" xr:uid="{00000000-0005-0000-0000-00003B310000}"/>
    <cellStyle name="Input 15 4" xfId="14221" xr:uid="{00000000-0005-0000-0000-00003C310000}"/>
    <cellStyle name="Input 16" xfId="1613" xr:uid="{00000000-0005-0000-0000-00003D310000}"/>
    <cellStyle name="Input 16 2" xfId="14222" xr:uid="{00000000-0005-0000-0000-00003E310000}"/>
    <cellStyle name="Input 16 2 2" xfId="14223" xr:uid="{00000000-0005-0000-0000-00003F310000}"/>
    <cellStyle name="Input 16 3" xfId="14224" xr:uid="{00000000-0005-0000-0000-000040310000}"/>
    <cellStyle name="Input 16 4" xfId="14225" xr:uid="{00000000-0005-0000-0000-000041310000}"/>
    <cellStyle name="Input 17" xfId="1612" xr:uid="{00000000-0005-0000-0000-000042310000}"/>
    <cellStyle name="Input 17 2" xfId="14226" xr:uid="{00000000-0005-0000-0000-000043310000}"/>
    <cellStyle name="Input 17 3" xfId="14227" xr:uid="{00000000-0005-0000-0000-000044310000}"/>
    <cellStyle name="Input 18" xfId="1611" xr:uid="{00000000-0005-0000-0000-000045310000}"/>
    <cellStyle name="Input 18 2" xfId="14228" xr:uid="{00000000-0005-0000-0000-000046310000}"/>
    <cellStyle name="Input 18 2 2" xfId="14229" xr:uid="{00000000-0005-0000-0000-000047310000}"/>
    <cellStyle name="Input 18 3" xfId="14230" xr:uid="{00000000-0005-0000-0000-000048310000}"/>
    <cellStyle name="Input 19" xfId="1610" xr:uid="{00000000-0005-0000-0000-000049310000}"/>
    <cellStyle name="Input 19 2" xfId="14231" xr:uid="{00000000-0005-0000-0000-00004A310000}"/>
    <cellStyle name="Input 19 3" xfId="14232" xr:uid="{00000000-0005-0000-0000-00004B310000}"/>
    <cellStyle name="Input 2" xfId="1609" xr:uid="{00000000-0005-0000-0000-00004C310000}"/>
    <cellStyle name="Input 2 2" xfId="1608" xr:uid="{00000000-0005-0000-0000-00004D310000}"/>
    <cellStyle name="Input 2 2 2" xfId="14233" xr:uid="{00000000-0005-0000-0000-00004E310000}"/>
    <cellStyle name="Input 2 2 3" xfId="14234" xr:uid="{00000000-0005-0000-0000-00004F310000}"/>
    <cellStyle name="Input 2 2 4" xfId="14235" xr:uid="{00000000-0005-0000-0000-000050310000}"/>
    <cellStyle name="Input 2 3" xfId="14236" xr:uid="{00000000-0005-0000-0000-000051310000}"/>
    <cellStyle name="Input 2 3 2" xfId="14237" xr:uid="{00000000-0005-0000-0000-000052310000}"/>
    <cellStyle name="Input 2 3 3" xfId="14238" xr:uid="{00000000-0005-0000-0000-000053310000}"/>
    <cellStyle name="Input 2 4" xfId="14239" xr:uid="{00000000-0005-0000-0000-000054310000}"/>
    <cellStyle name="Input 2 4 2" xfId="14240" xr:uid="{00000000-0005-0000-0000-000055310000}"/>
    <cellStyle name="Input 2 4 3" xfId="14241" xr:uid="{00000000-0005-0000-0000-000056310000}"/>
    <cellStyle name="Input 2 5" xfId="14242" xr:uid="{00000000-0005-0000-0000-000057310000}"/>
    <cellStyle name="Input 2 6" xfId="14243" xr:uid="{00000000-0005-0000-0000-000058310000}"/>
    <cellStyle name="Input 20" xfId="1607" xr:uid="{00000000-0005-0000-0000-000059310000}"/>
    <cellStyle name="Input 20 2" xfId="14244" xr:uid="{00000000-0005-0000-0000-00005A310000}"/>
    <cellStyle name="Input 20 3" xfId="14245" xr:uid="{00000000-0005-0000-0000-00005B310000}"/>
    <cellStyle name="Input 21" xfId="1606" xr:uid="{00000000-0005-0000-0000-00005C310000}"/>
    <cellStyle name="Input 21 2" xfId="14246" xr:uid="{00000000-0005-0000-0000-00005D310000}"/>
    <cellStyle name="Input 21 3" xfId="14247" xr:uid="{00000000-0005-0000-0000-00005E310000}"/>
    <cellStyle name="Input 22" xfId="1605" xr:uid="{00000000-0005-0000-0000-00005F310000}"/>
    <cellStyle name="Input 22 2" xfId="14248" xr:uid="{00000000-0005-0000-0000-000060310000}"/>
    <cellStyle name="Input 22 2 2" xfId="14249" xr:uid="{00000000-0005-0000-0000-000061310000}"/>
    <cellStyle name="Input 22 3" xfId="14250" xr:uid="{00000000-0005-0000-0000-000062310000}"/>
    <cellStyle name="Input 23" xfId="1604" xr:uid="{00000000-0005-0000-0000-000063310000}"/>
    <cellStyle name="Input 23 2" xfId="14251" xr:uid="{00000000-0005-0000-0000-000064310000}"/>
    <cellStyle name="Input 23 2 2" xfId="14252" xr:uid="{00000000-0005-0000-0000-000065310000}"/>
    <cellStyle name="Input 23 3" xfId="14253" xr:uid="{00000000-0005-0000-0000-000066310000}"/>
    <cellStyle name="Input 24" xfId="1603" xr:uid="{00000000-0005-0000-0000-000067310000}"/>
    <cellStyle name="Input 24 2" xfId="14254" xr:uid="{00000000-0005-0000-0000-000068310000}"/>
    <cellStyle name="Input 24 3" xfId="14255" xr:uid="{00000000-0005-0000-0000-000069310000}"/>
    <cellStyle name="Input 25" xfId="1602" xr:uid="{00000000-0005-0000-0000-00006A310000}"/>
    <cellStyle name="Input 25 2" xfId="14256" xr:uid="{00000000-0005-0000-0000-00006B310000}"/>
    <cellStyle name="Input 25 3" xfId="14257" xr:uid="{00000000-0005-0000-0000-00006C310000}"/>
    <cellStyle name="Input 26" xfId="1601" xr:uid="{00000000-0005-0000-0000-00006D310000}"/>
    <cellStyle name="Input 26 2" xfId="14258" xr:uid="{00000000-0005-0000-0000-00006E310000}"/>
    <cellStyle name="Input 26 3" xfId="14259" xr:uid="{00000000-0005-0000-0000-00006F310000}"/>
    <cellStyle name="Input 27" xfId="1600" xr:uid="{00000000-0005-0000-0000-000070310000}"/>
    <cellStyle name="Input 27 2" xfId="14260" xr:uid="{00000000-0005-0000-0000-000071310000}"/>
    <cellStyle name="Input 27 3" xfId="14261" xr:uid="{00000000-0005-0000-0000-000072310000}"/>
    <cellStyle name="Input 28" xfId="1599" xr:uid="{00000000-0005-0000-0000-000073310000}"/>
    <cellStyle name="Input 28 2" xfId="14262" xr:uid="{00000000-0005-0000-0000-000074310000}"/>
    <cellStyle name="Input 28 3" xfId="14263" xr:uid="{00000000-0005-0000-0000-000075310000}"/>
    <cellStyle name="Input 29" xfId="1598" xr:uid="{00000000-0005-0000-0000-000076310000}"/>
    <cellStyle name="Input 29 2" xfId="14264" xr:uid="{00000000-0005-0000-0000-000077310000}"/>
    <cellStyle name="Input 29 3" xfId="14265" xr:uid="{00000000-0005-0000-0000-000078310000}"/>
    <cellStyle name="Input 3" xfId="1597" xr:uid="{00000000-0005-0000-0000-000079310000}"/>
    <cellStyle name="Input 3 2" xfId="14266" xr:uid="{00000000-0005-0000-0000-00007A310000}"/>
    <cellStyle name="Input 3 2 2" xfId="14267" xr:uid="{00000000-0005-0000-0000-00007B310000}"/>
    <cellStyle name="Input 3 2 3" xfId="14268" xr:uid="{00000000-0005-0000-0000-00007C310000}"/>
    <cellStyle name="Input 3 2 4" xfId="14269" xr:uid="{00000000-0005-0000-0000-00007D310000}"/>
    <cellStyle name="Input 3 2 5" xfId="14270" xr:uid="{00000000-0005-0000-0000-00007E310000}"/>
    <cellStyle name="Input 3 3" xfId="14271" xr:uid="{00000000-0005-0000-0000-00007F310000}"/>
    <cellStyle name="Input 3 4" xfId="14272" xr:uid="{00000000-0005-0000-0000-000080310000}"/>
    <cellStyle name="Input 3 5" xfId="14273" xr:uid="{00000000-0005-0000-0000-000081310000}"/>
    <cellStyle name="Input 30" xfId="1596" xr:uid="{00000000-0005-0000-0000-000082310000}"/>
    <cellStyle name="Input 30 2" xfId="14274" xr:uid="{00000000-0005-0000-0000-000083310000}"/>
    <cellStyle name="Input 31" xfId="1595" xr:uid="{00000000-0005-0000-0000-000084310000}"/>
    <cellStyle name="Input 31 2" xfId="14275" xr:uid="{00000000-0005-0000-0000-000085310000}"/>
    <cellStyle name="Input 32" xfId="1594" xr:uid="{00000000-0005-0000-0000-000086310000}"/>
    <cellStyle name="Input 32 2" xfId="14276" xr:uid="{00000000-0005-0000-0000-000087310000}"/>
    <cellStyle name="Input 33" xfId="1593" xr:uid="{00000000-0005-0000-0000-000088310000}"/>
    <cellStyle name="Input 33 2" xfId="14277" xr:uid="{00000000-0005-0000-0000-000089310000}"/>
    <cellStyle name="Input 34" xfId="1592" xr:uid="{00000000-0005-0000-0000-00008A310000}"/>
    <cellStyle name="Input 34 2" xfId="14278" xr:uid="{00000000-0005-0000-0000-00008B310000}"/>
    <cellStyle name="Input 34 3" xfId="14279" xr:uid="{00000000-0005-0000-0000-00008C310000}"/>
    <cellStyle name="Input 35" xfId="1591" xr:uid="{00000000-0005-0000-0000-00008D310000}"/>
    <cellStyle name="Input 35 2" xfId="14280" xr:uid="{00000000-0005-0000-0000-00008E310000}"/>
    <cellStyle name="Input 35 3" xfId="14281" xr:uid="{00000000-0005-0000-0000-00008F310000}"/>
    <cellStyle name="Input 36" xfId="1590" xr:uid="{00000000-0005-0000-0000-000090310000}"/>
    <cellStyle name="Input 36 2" xfId="14282" xr:uid="{00000000-0005-0000-0000-000091310000}"/>
    <cellStyle name="Input 36 3" xfId="14283" xr:uid="{00000000-0005-0000-0000-000092310000}"/>
    <cellStyle name="Input 37" xfId="1589" xr:uid="{00000000-0005-0000-0000-000093310000}"/>
    <cellStyle name="Input 37 2" xfId="14284" xr:uid="{00000000-0005-0000-0000-000094310000}"/>
    <cellStyle name="Input 38" xfId="1588" xr:uid="{00000000-0005-0000-0000-000095310000}"/>
    <cellStyle name="Input 38 2" xfId="14285" xr:uid="{00000000-0005-0000-0000-000096310000}"/>
    <cellStyle name="Input 39" xfId="1587" xr:uid="{00000000-0005-0000-0000-000097310000}"/>
    <cellStyle name="Input 39 2" xfId="14286" xr:uid="{00000000-0005-0000-0000-000098310000}"/>
    <cellStyle name="Input 4" xfId="1586" xr:uid="{00000000-0005-0000-0000-000099310000}"/>
    <cellStyle name="Input 4 2" xfId="14287" xr:uid="{00000000-0005-0000-0000-00009A310000}"/>
    <cellStyle name="Input 4 2 2" xfId="14288" xr:uid="{00000000-0005-0000-0000-00009B310000}"/>
    <cellStyle name="Input 4 2 3" xfId="14289" xr:uid="{00000000-0005-0000-0000-00009C310000}"/>
    <cellStyle name="Input 4 3" xfId="14290" xr:uid="{00000000-0005-0000-0000-00009D310000}"/>
    <cellStyle name="Input 4 4" xfId="14291" xr:uid="{00000000-0005-0000-0000-00009E310000}"/>
    <cellStyle name="Input 4 5" xfId="14292" xr:uid="{00000000-0005-0000-0000-00009F310000}"/>
    <cellStyle name="Input 4 6" xfId="14293" xr:uid="{00000000-0005-0000-0000-0000A0310000}"/>
    <cellStyle name="Input 40" xfId="1585" xr:uid="{00000000-0005-0000-0000-0000A1310000}"/>
    <cellStyle name="Input 40 2" xfId="14294" xr:uid="{00000000-0005-0000-0000-0000A2310000}"/>
    <cellStyle name="Input 41" xfId="1584" xr:uid="{00000000-0005-0000-0000-0000A3310000}"/>
    <cellStyle name="Input 41 2" xfId="14295" xr:uid="{00000000-0005-0000-0000-0000A4310000}"/>
    <cellStyle name="Input 42" xfId="1583" xr:uid="{00000000-0005-0000-0000-0000A5310000}"/>
    <cellStyle name="Input 42 2" xfId="14296" xr:uid="{00000000-0005-0000-0000-0000A6310000}"/>
    <cellStyle name="Input 43" xfId="1582" xr:uid="{00000000-0005-0000-0000-0000A7310000}"/>
    <cellStyle name="Input 43 2" xfId="14297" xr:uid="{00000000-0005-0000-0000-0000A8310000}"/>
    <cellStyle name="Input 44" xfId="1581" xr:uid="{00000000-0005-0000-0000-0000A9310000}"/>
    <cellStyle name="Input 44 2" xfId="14298" xr:uid="{00000000-0005-0000-0000-0000AA310000}"/>
    <cellStyle name="Input 45" xfId="1580" xr:uid="{00000000-0005-0000-0000-0000AB310000}"/>
    <cellStyle name="Input 45 2" xfId="14299" xr:uid="{00000000-0005-0000-0000-0000AC310000}"/>
    <cellStyle name="Input 46" xfId="1579" xr:uid="{00000000-0005-0000-0000-0000AD310000}"/>
    <cellStyle name="Input 46 2" xfId="14300" xr:uid="{00000000-0005-0000-0000-0000AE310000}"/>
    <cellStyle name="Input 47" xfId="1578" xr:uid="{00000000-0005-0000-0000-0000AF310000}"/>
    <cellStyle name="Input 47 2" xfId="14301" xr:uid="{00000000-0005-0000-0000-0000B0310000}"/>
    <cellStyle name="Input 48" xfId="14302" xr:uid="{00000000-0005-0000-0000-0000B1310000}"/>
    <cellStyle name="Input 48 2" xfId="14303" xr:uid="{00000000-0005-0000-0000-0000B2310000}"/>
    <cellStyle name="Input 49" xfId="14304" xr:uid="{00000000-0005-0000-0000-0000B3310000}"/>
    <cellStyle name="Input 49 2" xfId="14305" xr:uid="{00000000-0005-0000-0000-0000B4310000}"/>
    <cellStyle name="Input 5" xfId="1577" xr:uid="{00000000-0005-0000-0000-0000B5310000}"/>
    <cellStyle name="Input 5 2" xfId="14306" xr:uid="{00000000-0005-0000-0000-0000B6310000}"/>
    <cellStyle name="Input 5 3" xfId="14307" xr:uid="{00000000-0005-0000-0000-0000B7310000}"/>
    <cellStyle name="Input 5 4" xfId="14308" xr:uid="{00000000-0005-0000-0000-0000B8310000}"/>
    <cellStyle name="Input 5 5" xfId="14309" xr:uid="{00000000-0005-0000-0000-0000B9310000}"/>
    <cellStyle name="Input 50" xfId="14310" xr:uid="{00000000-0005-0000-0000-0000BA310000}"/>
    <cellStyle name="Input 50 2" xfId="14311" xr:uid="{00000000-0005-0000-0000-0000BB310000}"/>
    <cellStyle name="Input 51" xfId="14312" xr:uid="{00000000-0005-0000-0000-0000BC310000}"/>
    <cellStyle name="Input 51 2" xfId="14313" xr:uid="{00000000-0005-0000-0000-0000BD310000}"/>
    <cellStyle name="Input 52" xfId="14314" xr:uid="{00000000-0005-0000-0000-0000BE310000}"/>
    <cellStyle name="Input 52 2" xfId="14315" xr:uid="{00000000-0005-0000-0000-0000BF310000}"/>
    <cellStyle name="Input 53" xfId="14316" xr:uid="{00000000-0005-0000-0000-0000C0310000}"/>
    <cellStyle name="Input 53 2" xfId="14317" xr:uid="{00000000-0005-0000-0000-0000C1310000}"/>
    <cellStyle name="Input 54" xfId="14318" xr:uid="{00000000-0005-0000-0000-0000C2310000}"/>
    <cellStyle name="Input 54 2" xfId="14319" xr:uid="{00000000-0005-0000-0000-0000C3310000}"/>
    <cellStyle name="Input 55" xfId="14320" xr:uid="{00000000-0005-0000-0000-0000C4310000}"/>
    <cellStyle name="Input 55 2" xfId="14321" xr:uid="{00000000-0005-0000-0000-0000C5310000}"/>
    <cellStyle name="Input 56" xfId="14322" xr:uid="{00000000-0005-0000-0000-0000C6310000}"/>
    <cellStyle name="Input 56 2" xfId="14323" xr:uid="{00000000-0005-0000-0000-0000C7310000}"/>
    <cellStyle name="Input 57" xfId="14324" xr:uid="{00000000-0005-0000-0000-0000C8310000}"/>
    <cellStyle name="Input 57 2" xfId="14325" xr:uid="{00000000-0005-0000-0000-0000C9310000}"/>
    <cellStyle name="Input 58" xfId="14326" xr:uid="{00000000-0005-0000-0000-0000CA310000}"/>
    <cellStyle name="Input 58 2" xfId="14327" xr:uid="{00000000-0005-0000-0000-0000CB310000}"/>
    <cellStyle name="Input 59" xfId="14328" xr:uid="{00000000-0005-0000-0000-0000CC310000}"/>
    <cellStyle name="Input 59 2" xfId="14329" xr:uid="{00000000-0005-0000-0000-0000CD310000}"/>
    <cellStyle name="Input 6" xfId="1576" xr:uid="{00000000-0005-0000-0000-0000CE310000}"/>
    <cellStyle name="Input 6 2" xfId="14330" xr:uid="{00000000-0005-0000-0000-0000CF310000}"/>
    <cellStyle name="Input 6 3" xfId="14331" xr:uid="{00000000-0005-0000-0000-0000D0310000}"/>
    <cellStyle name="Input 6 4" xfId="14332" xr:uid="{00000000-0005-0000-0000-0000D1310000}"/>
    <cellStyle name="Input 6 5" xfId="14333" xr:uid="{00000000-0005-0000-0000-0000D2310000}"/>
    <cellStyle name="Input 60" xfId="14334" xr:uid="{00000000-0005-0000-0000-0000D3310000}"/>
    <cellStyle name="Input 60 2" xfId="14335" xr:uid="{00000000-0005-0000-0000-0000D4310000}"/>
    <cellStyle name="Input 61" xfId="14336" xr:uid="{00000000-0005-0000-0000-0000D5310000}"/>
    <cellStyle name="Input 62" xfId="14337" xr:uid="{00000000-0005-0000-0000-0000D6310000}"/>
    <cellStyle name="Input 63" xfId="14338" xr:uid="{00000000-0005-0000-0000-0000D7310000}"/>
    <cellStyle name="Input 64" xfId="14339" xr:uid="{00000000-0005-0000-0000-0000D8310000}"/>
    <cellStyle name="Input 65" xfId="14340" xr:uid="{00000000-0005-0000-0000-0000D9310000}"/>
    <cellStyle name="Input 66" xfId="14341" xr:uid="{00000000-0005-0000-0000-0000DA310000}"/>
    <cellStyle name="Input 67" xfId="14342" xr:uid="{00000000-0005-0000-0000-0000DB310000}"/>
    <cellStyle name="Input 68" xfId="14343" xr:uid="{00000000-0005-0000-0000-0000DC310000}"/>
    <cellStyle name="Input 69" xfId="14344" xr:uid="{00000000-0005-0000-0000-0000DD310000}"/>
    <cellStyle name="Input 7" xfId="1575" xr:uid="{00000000-0005-0000-0000-0000DE310000}"/>
    <cellStyle name="Input 7 2" xfId="14345" xr:uid="{00000000-0005-0000-0000-0000DF310000}"/>
    <cellStyle name="Input 7 3" xfId="14346" xr:uid="{00000000-0005-0000-0000-0000E0310000}"/>
    <cellStyle name="Input 7 4" xfId="14347" xr:uid="{00000000-0005-0000-0000-0000E1310000}"/>
    <cellStyle name="Input 7 5" xfId="14348" xr:uid="{00000000-0005-0000-0000-0000E2310000}"/>
    <cellStyle name="Input 70" xfId="14349" xr:uid="{00000000-0005-0000-0000-0000E3310000}"/>
    <cellStyle name="Input 71" xfId="14350" xr:uid="{00000000-0005-0000-0000-0000E4310000}"/>
    <cellStyle name="Input 72" xfId="14351" xr:uid="{00000000-0005-0000-0000-0000E5310000}"/>
    <cellStyle name="Input 73" xfId="14352" xr:uid="{00000000-0005-0000-0000-0000E6310000}"/>
    <cellStyle name="Input 74" xfId="14353" xr:uid="{00000000-0005-0000-0000-0000E7310000}"/>
    <cellStyle name="Input 75" xfId="14354" xr:uid="{00000000-0005-0000-0000-0000E8310000}"/>
    <cellStyle name="Input 76" xfId="14355" xr:uid="{00000000-0005-0000-0000-0000E9310000}"/>
    <cellStyle name="Input 77" xfId="14356" xr:uid="{00000000-0005-0000-0000-0000EA310000}"/>
    <cellStyle name="Input 78" xfId="14357" xr:uid="{00000000-0005-0000-0000-0000EB310000}"/>
    <cellStyle name="Input 79" xfId="14358" xr:uid="{00000000-0005-0000-0000-0000EC310000}"/>
    <cellStyle name="Input 8" xfId="1574" xr:uid="{00000000-0005-0000-0000-0000ED310000}"/>
    <cellStyle name="Input 8 2" xfId="14359" xr:uid="{00000000-0005-0000-0000-0000EE310000}"/>
    <cellStyle name="Input 8 3" xfId="14360" xr:uid="{00000000-0005-0000-0000-0000EF310000}"/>
    <cellStyle name="Input 8 4" xfId="14361" xr:uid="{00000000-0005-0000-0000-0000F0310000}"/>
    <cellStyle name="Input 80" xfId="14362" xr:uid="{00000000-0005-0000-0000-0000F1310000}"/>
    <cellStyle name="Input 81" xfId="14363" xr:uid="{00000000-0005-0000-0000-0000F2310000}"/>
    <cellStyle name="Input 82" xfId="14364" xr:uid="{00000000-0005-0000-0000-0000F3310000}"/>
    <cellStyle name="Input 83" xfId="14365" xr:uid="{00000000-0005-0000-0000-0000F4310000}"/>
    <cellStyle name="Input 84" xfId="14366" xr:uid="{00000000-0005-0000-0000-0000F5310000}"/>
    <cellStyle name="Input 85" xfId="14367" xr:uid="{00000000-0005-0000-0000-0000F6310000}"/>
    <cellStyle name="Input 86" xfId="14368" xr:uid="{00000000-0005-0000-0000-0000F7310000}"/>
    <cellStyle name="Input 87" xfId="14369" xr:uid="{00000000-0005-0000-0000-0000F8310000}"/>
    <cellStyle name="Input 88" xfId="14370" xr:uid="{00000000-0005-0000-0000-0000F9310000}"/>
    <cellStyle name="Input 89" xfId="14371" xr:uid="{00000000-0005-0000-0000-0000FA310000}"/>
    <cellStyle name="Input 9" xfId="1573" xr:uid="{00000000-0005-0000-0000-0000FB310000}"/>
    <cellStyle name="Input 9 2" xfId="14372" xr:uid="{00000000-0005-0000-0000-0000FC310000}"/>
    <cellStyle name="Input 9 2 2" xfId="14373" xr:uid="{00000000-0005-0000-0000-0000FD310000}"/>
    <cellStyle name="Input 9 3" xfId="14374" xr:uid="{00000000-0005-0000-0000-0000FE310000}"/>
    <cellStyle name="Input 9 4" xfId="14375" xr:uid="{00000000-0005-0000-0000-0000FF310000}"/>
    <cellStyle name="Input 90" xfId="14376" xr:uid="{00000000-0005-0000-0000-000000320000}"/>
    <cellStyle name="Input 91" xfId="14377" xr:uid="{00000000-0005-0000-0000-000001320000}"/>
    <cellStyle name="Input 92" xfId="14378" xr:uid="{00000000-0005-0000-0000-000002320000}"/>
    <cellStyle name="Input 93" xfId="14379" xr:uid="{00000000-0005-0000-0000-000003320000}"/>
    <cellStyle name="Input 94" xfId="14380" xr:uid="{00000000-0005-0000-0000-000004320000}"/>
    <cellStyle name="Input 95" xfId="14381" xr:uid="{00000000-0005-0000-0000-000005320000}"/>
    <cellStyle name="Input 96" xfId="14382" xr:uid="{00000000-0005-0000-0000-000006320000}"/>
    <cellStyle name="Input 97" xfId="14383" xr:uid="{00000000-0005-0000-0000-000007320000}"/>
    <cellStyle name="Input Cells" xfId="1572" xr:uid="{00000000-0005-0000-0000-000008320000}"/>
    <cellStyle name="Input Cells Percent" xfId="1571" xr:uid="{00000000-0005-0000-0000-000009320000}"/>
    <cellStyle name="Input Cells_3.05 Allocation Method 2010 GRC" xfId="1570" xr:uid="{00000000-0005-0000-0000-00000A320000}"/>
    <cellStyle name="Lines" xfId="1569" xr:uid="{00000000-0005-0000-0000-00000B320000}"/>
    <cellStyle name="LINKED" xfId="1568" xr:uid="{00000000-0005-0000-0000-00000C320000}"/>
    <cellStyle name="Linked Cell 10" xfId="1567" xr:uid="{00000000-0005-0000-0000-00000D320000}"/>
    <cellStyle name="Linked Cell 11" xfId="1566" xr:uid="{00000000-0005-0000-0000-00000E320000}"/>
    <cellStyle name="Linked Cell 2" xfId="1565" xr:uid="{00000000-0005-0000-0000-00000F320000}"/>
    <cellStyle name="Linked Cell 2 2" xfId="1564" xr:uid="{00000000-0005-0000-0000-000010320000}"/>
    <cellStyle name="Linked Cell 2 2 2" xfId="14384" xr:uid="{00000000-0005-0000-0000-000011320000}"/>
    <cellStyle name="Linked Cell 2 2 3" xfId="14385" xr:uid="{00000000-0005-0000-0000-000012320000}"/>
    <cellStyle name="Linked Cell 2 2 4" xfId="14386" xr:uid="{00000000-0005-0000-0000-000013320000}"/>
    <cellStyle name="Linked Cell 2 3" xfId="14387" xr:uid="{00000000-0005-0000-0000-000014320000}"/>
    <cellStyle name="Linked Cell 2 3 2" xfId="14388" xr:uid="{00000000-0005-0000-0000-000015320000}"/>
    <cellStyle name="Linked Cell 2 3 3" xfId="14389" xr:uid="{00000000-0005-0000-0000-000016320000}"/>
    <cellStyle name="Linked Cell 2 4" xfId="14390" xr:uid="{00000000-0005-0000-0000-000017320000}"/>
    <cellStyle name="Linked Cell 2 4 2" xfId="14391" xr:uid="{00000000-0005-0000-0000-000018320000}"/>
    <cellStyle name="Linked Cell 2 4 3" xfId="14392" xr:uid="{00000000-0005-0000-0000-000019320000}"/>
    <cellStyle name="Linked Cell 2 5" xfId="14393" xr:uid="{00000000-0005-0000-0000-00001A320000}"/>
    <cellStyle name="Linked Cell 2 6" xfId="14394" xr:uid="{00000000-0005-0000-0000-00001B320000}"/>
    <cellStyle name="Linked Cell 3" xfId="1563" xr:uid="{00000000-0005-0000-0000-00001C320000}"/>
    <cellStyle name="Linked Cell 3 2" xfId="14395" xr:uid="{00000000-0005-0000-0000-00001D320000}"/>
    <cellStyle name="Linked Cell 3 2 2" xfId="14396" xr:uid="{00000000-0005-0000-0000-00001E320000}"/>
    <cellStyle name="Linked Cell 3 2 3" xfId="14397" xr:uid="{00000000-0005-0000-0000-00001F320000}"/>
    <cellStyle name="Linked Cell 3 3" xfId="14398" xr:uid="{00000000-0005-0000-0000-000020320000}"/>
    <cellStyle name="Linked Cell 3 4" xfId="14399" xr:uid="{00000000-0005-0000-0000-000021320000}"/>
    <cellStyle name="Linked Cell 3 5" xfId="14400" xr:uid="{00000000-0005-0000-0000-000022320000}"/>
    <cellStyle name="Linked Cell 4" xfId="1562" xr:uid="{00000000-0005-0000-0000-000023320000}"/>
    <cellStyle name="Linked Cell 4 2" xfId="14401" xr:uid="{00000000-0005-0000-0000-000024320000}"/>
    <cellStyle name="Linked Cell 4 3" xfId="14402" xr:uid="{00000000-0005-0000-0000-000025320000}"/>
    <cellStyle name="Linked Cell 5" xfId="1561" xr:uid="{00000000-0005-0000-0000-000026320000}"/>
    <cellStyle name="Linked Cell 5 2" xfId="14403" xr:uid="{00000000-0005-0000-0000-000027320000}"/>
    <cellStyle name="Linked Cell 5 3" xfId="14404" xr:uid="{00000000-0005-0000-0000-000028320000}"/>
    <cellStyle name="Linked Cell 6" xfId="1560" xr:uid="{00000000-0005-0000-0000-000029320000}"/>
    <cellStyle name="Linked Cell 6 2" xfId="14405" xr:uid="{00000000-0005-0000-0000-00002A320000}"/>
    <cellStyle name="Linked Cell 6 3" xfId="14406" xr:uid="{00000000-0005-0000-0000-00002B320000}"/>
    <cellStyle name="Linked Cell 6 4" xfId="14407" xr:uid="{00000000-0005-0000-0000-00002C320000}"/>
    <cellStyle name="Linked Cell 7" xfId="1559" xr:uid="{00000000-0005-0000-0000-00002D320000}"/>
    <cellStyle name="Linked Cell 8" xfId="1558" xr:uid="{00000000-0005-0000-0000-00002E320000}"/>
    <cellStyle name="Linked Cell 9" xfId="1557" xr:uid="{00000000-0005-0000-0000-00002F320000}"/>
    <cellStyle name="modified border" xfId="1556" xr:uid="{00000000-0005-0000-0000-000030320000}"/>
    <cellStyle name="modified border 2" xfId="1555" xr:uid="{00000000-0005-0000-0000-000031320000}"/>
    <cellStyle name="modified border 3" xfId="1554" xr:uid="{00000000-0005-0000-0000-000032320000}"/>
    <cellStyle name="modified border 4" xfId="1553" xr:uid="{00000000-0005-0000-0000-000033320000}"/>
    <cellStyle name="modified border1" xfId="1552" xr:uid="{00000000-0005-0000-0000-000034320000}"/>
    <cellStyle name="modified border1 2" xfId="1551" xr:uid="{00000000-0005-0000-0000-000035320000}"/>
    <cellStyle name="modified border1 3" xfId="1550" xr:uid="{00000000-0005-0000-0000-000036320000}"/>
    <cellStyle name="modified border1 4" xfId="1549" xr:uid="{00000000-0005-0000-0000-000037320000}"/>
    <cellStyle name="Neutral 10" xfId="1548" xr:uid="{00000000-0005-0000-0000-000038320000}"/>
    <cellStyle name="Neutral 11" xfId="1547" xr:uid="{00000000-0005-0000-0000-000039320000}"/>
    <cellStyle name="Neutral 2" xfId="1546" xr:uid="{00000000-0005-0000-0000-00003A320000}"/>
    <cellStyle name="Neutral 2 2" xfId="1545" xr:uid="{00000000-0005-0000-0000-00003B320000}"/>
    <cellStyle name="Neutral 2 2 2" xfId="14408" xr:uid="{00000000-0005-0000-0000-00003C320000}"/>
    <cellStyle name="Neutral 2 2 3" xfId="14409" xr:uid="{00000000-0005-0000-0000-00003D320000}"/>
    <cellStyle name="Neutral 2 2 4" xfId="14410" xr:uid="{00000000-0005-0000-0000-00003E320000}"/>
    <cellStyle name="Neutral 2 3" xfId="14411" xr:uid="{00000000-0005-0000-0000-00003F320000}"/>
    <cellStyle name="Neutral 2 3 2" xfId="14412" xr:uid="{00000000-0005-0000-0000-000040320000}"/>
    <cellStyle name="Neutral 2 3 3" xfId="14413" xr:uid="{00000000-0005-0000-0000-000041320000}"/>
    <cellStyle name="Neutral 2 4" xfId="14414" xr:uid="{00000000-0005-0000-0000-000042320000}"/>
    <cellStyle name="Neutral 2 4 2" xfId="14415" xr:uid="{00000000-0005-0000-0000-000043320000}"/>
    <cellStyle name="Neutral 2 4 3" xfId="14416" xr:uid="{00000000-0005-0000-0000-000044320000}"/>
    <cellStyle name="Neutral 2 5" xfId="14417" xr:uid="{00000000-0005-0000-0000-000045320000}"/>
    <cellStyle name="Neutral 2 6" xfId="14418" xr:uid="{00000000-0005-0000-0000-000046320000}"/>
    <cellStyle name="Neutral 3" xfId="1544" xr:uid="{00000000-0005-0000-0000-000047320000}"/>
    <cellStyle name="Neutral 3 2" xfId="14419" xr:uid="{00000000-0005-0000-0000-000048320000}"/>
    <cellStyle name="Neutral 3 2 2" xfId="14420" xr:uid="{00000000-0005-0000-0000-000049320000}"/>
    <cellStyle name="Neutral 3 2 3" xfId="14421" xr:uid="{00000000-0005-0000-0000-00004A320000}"/>
    <cellStyle name="Neutral 3 3" xfId="14422" xr:uid="{00000000-0005-0000-0000-00004B320000}"/>
    <cellStyle name="Neutral 3 4" xfId="14423" xr:uid="{00000000-0005-0000-0000-00004C320000}"/>
    <cellStyle name="Neutral 3 5" xfId="14424" xr:uid="{00000000-0005-0000-0000-00004D320000}"/>
    <cellStyle name="Neutral 4" xfId="1543" xr:uid="{00000000-0005-0000-0000-00004E320000}"/>
    <cellStyle name="Neutral 4 2" xfId="14425" xr:uid="{00000000-0005-0000-0000-00004F320000}"/>
    <cellStyle name="Neutral 4 3" xfId="14426" xr:uid="{00000000-0005-0000-0000-000050320000}"/>
    <cellStyle name="Neutral 5" xfId="1542" xr:uid="{00000000-0005-0000-0000-000051320000}"/>
    <cellStyle name="Neutral 5 2" xfId="14427" xr:uid="{00000000-0005-0000-0000-000052320000}"/>
    <cellStyle name="Neutral 5 3" xfId="14428" xr:uid="{00000000-0005-0000-0000-000053320000}"/>
    <cellStyle name="Neutral 6" xfId="1541" xr:uid="{00000000-0005-0000-0000-000054320000}"/>
    <cellStyle name="Neutral 6 2" xfId="14429" xr:uid="{00000000-0005-0000-0000-000055320000}"/>
    <cellStyle name="Neutral 6 3" xfId="14430" xr:uid="{00000000-0005-0000-0000-000056320000}"/>
    <cellStyle name="Neutral 6 4" xfId="14431" xr:uid="{00000000-0005-0000-0000-000057320000}"/>
    <cellStyle name="Neutral 7" xfId="1540" xr:uid="{00000000-0005-0000-0000-000058320000}"/>
    <cellStyle name="Neutral 8" xfId="1539" xr:uid="{00000000-0005-0000-0000-000059320000}"/>
    <cellStyle name="Neutral 9" xfId="1538" xr:uid="{00000000-0005-0000-0000-00005A320000}"/>
    <cellStyle name="no dec" xfId="1537" xr:uid="{00000000-0005-0000-0000-00005B320000}"/>
    <cellStyle name="Normal" xfId="0" builtinId="0"/>
    <cellStyle name="Normal - Style1" xfId="1536" xr:uid="{00000000-0005-0000-0000-00005D320000}"/>
    <cellStyle name="Normal - Style1 2" xfId="1535" xr:uid="{00000000-0005-0000-0000-00005E320000}"/>
    <cellStyle name="Normal - Style1 3" xfId="1534" xr:uid="{00000000-0005-0000-0000-00005F320000}"/>
    <cellStyle name="Normal - Style1 4" xfId="1533" xr:uid="{00000000-0005-0000-0000-000060320000}"/>
    <cellStyle name="Normal 10" xfId="1532" xr:uid="{00000000-0005-0000-0000-000061320000}"/>
    <cellStyle name="Normal 10 10" xfId="14432" xr:uid="{00000000-0005-0000-0000-000062320000}"/>
    <cellStyle name="Normal 10 10 2" xfId="14433" xr:uid="{00000000-0005-0000-0000-000063320000}"/>
    <cellStyle name="Normal 10 10 2 2" xfId="14434" xr:uid="{00000000-0005-0000-0000-000064320000}"/>
    <cellStyle name="Normal 10 10 3" xfId="14435" xr:uid="{00000000-0005-0000-0000-000065320000}"/>
    <cellStyle name="Normal 10 10 3 2" xfId="14436" xr:uid="{00000000-0005-0000-0000-000066320000}"/>
    <cellStyle name="Normal 10 10 4" xfId="14437" xr:uid="{00000000-0005-0000-0000-000067320000}"/>
    <cellStyle name="Normal 10 10 5" xfId="14438" xr:uid="{00000000-0005-0000-0000-000068320000}"/>
    <cellStyle name="Normal 10 10 6" xfId="14439" xr:uid="{00000000-0005-0000-0000-000069320000}"/>
    <cellStyle name="Normal 10 11" xfId="14440" xr:uid="{00000000-0005-0000-0000-00006A320000}"/>
    <cellStyle name="Normal 10 11 2" xfId="14441" xr:uid="{00000000-0005-0000-0000-00006B320000}"/>
    <cellStyle name="Normal 10 11 2 2" xfId="14442" xr:uid="{00000000-0005-0000-0000-00006C320000}"/>
    <cellStyle name="Normal 10 11 3" xfId="14443" xr:uid="{00000000-0005-0000-0000-00006D320000}"/>
    <cellStyle name="Normal 10 12" xfId="14444" xr:uid="{00000000-0005-0000-0000-00006E320000}"/>
    <cellStyle name="Normal 10 13" xfId="14445" xr:uid="{00000000-0005-0000-0000-00006F320000}"/>
    <cellStyle name="Normal 10 13 2" xfId="14446" xr:uid="{00000000-0005-0000-0000-000070320000}"/>
    <cellStyle name="Normal 10 14" xfId="14447" xr:uid="{00000000-0005-0000-0000-000071320000}"/>
    <cellStyle name="Normal 10 14 2" xfId="14448" xr:uid="{00000000-0005-0000-0000-000072320000}"/>
    <cellStyle name="Normal 10 15" xfId="14449" xr:uid="{00000000-0005-0000-0000-000073320000}"/>
    <cellStyle name="Normal 10 16" xfId="14450" xr:uid="{00000000-0005-0000-0000-000074320000}"/>
    <cellStyle name="Normal 10 2" xfId="1531" xr:uid="{00000000-0005-0000-0000-000075320000}"/>
    <cellStyle name="Normal 10 2 10" xfId="14451" xr:uid="{00000000-0005-0000-0000-000076320000}"/>
    <cellStyle name="Normal 10 2 10 2" xfId="14452" xr:uid="{00000000-0005-0000-0000-000077320000}"/>
    <cellStyle name="Normal 10 2 11" xfId="14453" xr:uid="{00000000-0005-0000-0000-000078320000}"/>
    <cellStyle name="Normal 10 2 2" xfId="14454" xr:uid="{00000000-0005-0000-0000-000079320000}"/>
    <cellStyle name="Normal 10 2 2 2" xfId="14455" xr:uid="{00000000-0005-0000-0000-00007A320000}"/>
    <cellStyle name="Normal 10 2 2 2 2" xfId="14456" xr:uid="{00000000-0005-0000-0000-00007B320000}"/>
    <cellStyle name="Normal 10 2 2 3" xfId="14457" xr:uid="{00000000-0005-0000-0000-00007C320000}"/>
    <cellStyle name="Normal 10 2 2 4" xfId="14458" xr:uid="{00000000-0005-0000-0000-00007D320000}"/>
    <cellStyle name="Normal 10 2 2 5" xfId="14459" xr:uid="{00000000-0005-0000-0000-00007E320000}"/>
    <cellStyle name="Normal 10 2 3" xfId="14460" xr:uid="{00000000-0005-0000-0000-00007F320000}"/>
    <cellStyle name="Normal 10 2 3 10" xfId="14461" xr:uid="{00000000-0005-0000-0000-000080320000}"/>
    <cellStyle name="Normal 10 2 3 2" xfId="14462" xr:uid="{00000000-0005-0000-0000-000081320000}"/>
    <cellStyle name="Normal 10 2 3 2 2" xfId="14463" xr:uid="{00000000-0005-0000-0000-000082320000}"/>
    <cellStyle name="Normal 10 2 3 2 2 2" xfId="14464" xr:uid="{00000000-0005-0000-0000-000083320000}"/>
    <cellStyle name="Normal 10 2 3 2 2 2 2" xfId="14465" xr:uid="{00000000-0005-0000-0000-000084320000}"/>
    <cellStyle name="Normal 10 2 3 2 2 3" xfId="14466" xr:uid="{00000000-0005-0000-0000-000085320000}"/>
    <cellStyle name="Normal 10 2 3 2 2 3 2" xfId="14467" xr:uid="{00000000-0005-0000-0000-000086320000}"/>
    <cellStyle name="Normal 10 2 3 2 2 4" xfId="14468" xr:uid="{00000000-0005-0000-0000-000087320000}"/>
    <cellStyle name="Normal 10 2 3 2 2 5" xfId="14469" xr:uid="{00000000-0005-0000-0000-000088320000}"/>
    <cellStyle name="Normal 10 2 3 2 3" xfId="14470" xr:uid="{00000000-0005-0000-0000-000089320000}"/>
    <cellStyle name="Normal 10 2 3 2 3 2" xfId="14471" xr:uid="{00000000-0005-0000-0000-00008A320000}"/>
    <cellStyle name="Normal 10 2 3 2 3 2 2" xfId="14472" xr:uid="{00000000-0005-0000-0000-00008B320000}"/>
    <cellStyle name="Normal 10 2 3 2 3 3" xfId="14473" xr:uid="{00000000-0005-0000-0000-00008C320000}"/>
    <cellStyle name="Normal 10 2 3 2 4" xfId="14474" xr:uid="{00000000-0005-0000-0000-00008D320000}"/>
    <cellStyle name="Normal 10 2 3 2 4 2" xfId="14475" xr:uid="{00000000-0005-0000-0000-00008E320000}"/>
    <cellStyle name="Normal 10 2 3 2 5" xfId="14476" xr:uid="{00000000-0005-0000-0000-00008F320000}"/>
    <cellStyle name="Normal 10 2 3 2 5 2" xfId="14477" xr:uid="{00000000-0005-0000-0000-000090320000}"/>
    <cellStyle name="Normal 10 2 3 2 6" xfId="14478" xr:uid="{00000000-0005-0000-0000-000091320000}"/>
    <cellStyle name="Normal 10 2 3 3" xfId="14479" xr:uid="{00000000-0005-0000-0000-000092320000}"/>
    <cellStyle name="Normal 10 2 3 3 2" xfId="14480" xr:uid="{00000000-0005-0000-0000-000093320000}"/>
    <cellStyle name="Normal 10 2 3 3 2 2" xfId="14481" xr:uid="{00000000-0005-0000-0000-000094320000}"/>
    <cellStyle name="Normal 10 2 3 3 2 2 2" xfId="14482" xr:uid="{00000000-0005-0000-0000-000095320000}"/>
    <cellStyle name="Normal 10 2 3 3 2 3" xfId="14483" xr:uid="{00000000-0005-0000-0000-000096320000}"/>
    <cellStyle name="Normal 10 2 3 3 2 3 2" xfId="14484" xr:uid="{00000000-0005-0000-0000-000097320000}"/>
    <cellStyle name="Normal 10 2 3 3 2 4" xfId="14485" xr:uid="{00000000-0005-0000-0000-000098320000}"/>
    <cellStyle name="Normal 10 2 3 3 2 5" xfId="14486" xr:uid="{00000000-0005-0000-0000-000099320000}"/>
    <cellStyle name="Normal 10 2 3 3 3" xfId="14487" xr:uid="{00000000-0005-0000-0000-00009A320000}"/>
    <cellStyle name="Normal 10 2 3 3 3 2" xfId="14488" xr:uid="{00000000-0005-0000-0000-00009B320000}"/>
    <cellStyle name="Normal 10 2 3 3 3 2 2" xfId="14489" xr:uid="{00000000-0005-0000-0000-00009C320000}"/>
    <cellStyle name="Normal 10 2 3 3 3 3" xfId="14490" xr:uid="{00000000-0005-0000-0000-00009D320000}"/>
    <cellStyle name="Normal 10 2 3 3 4" xfId="14491" xr:uid="{00000000-0005-0000-0000-00009E320000}"/>
    <cellStyle name="Normal 10 2 3 3 4 2" xfId="14492" xr:uid="{00000000-0005-0000-0000-00009F320000}"/>
    <cellStyle name="Normal 10 2 3 3 5" xfId="14493" xr:uid="{00000000-0005-0000-0000-0000A0320000}"/>
    <cellStyle name="Normal 10 2 3 3 5 2" xfId="14494" xr:uid="{00000000-0005-0000-0000-0000A1320000}"/>
    <cellStyle name="Normal 10 2 3 3 6" xfId="14495" xr:uid="{00000000-0005-0000-0000-0000A2320000}"/>
    <cellStyle name="Normal 10 2 3 4" xfId="14496" xr:uid="{00000000-0005-0000-0000-0000A3320000}"/>
    <cellStyle name="Normal 10 2 3 4 2" xfId="14497" xr:uid="{00000000-0005-0000-0000-0000A4320000}"/>
    <cellStyle name="Normal 10 2 3 4 2 2" xfId="14498" xr:uid="{00000000-0005-0000-0000-0000A5320000}"/>
    <cellStyle name="Normal 10 2 3 4 2 2 2" xfId="14499" xr:uid="{00000000-0005-0000-0000-0000A6320000}"/>
    <cellStyle name="Normal 10 2 3 4 2 3" xfId="14500" xr:uid="{00000000-0005-0000-0000-0000A7320000}"/>
    <cellStyle name="Normal 10 2 3 4 3" xfId="14501" xr:uid="{00000000-0005-0000-0000-0000A8320000}"/>
    <cellStyle name="Normal 10 2 3 4 3 2" xfId="14502" xr:uid="{00000000-0005-0000-0000-0000A9320000}"/>
    <cellStyle name="Normal 10 2 3 4 4" xfId="14503" xr:uid="{00000000-0005-0000-0000-0000AA320000}"/>
    <cellStyle name="Normal 10 2 3 4 4 2" xfId="14504" xr:uid="{00000000-0005-0000-0000-0000AB320000}"/>
    <cellStyle name="Normal 10 2 3 4 5" xfId="14505" xr:uid="{00000000-0005-0000-0000-0000AC320000}"/>
    <cellStyle name="Normal 10 2 3 5" xfId="14506" xr:uid="{00000000-0005-0000-0000-0000AD320000}"/>
    <cellStyle name="Normal 10 2 3 5 2" xfId="14507" xr:uid="{00000000-0005-0000-0000-0000AE320000}"/>
    <cellStyle name="Normal 10 2 3 5 2 2" xfId="14508" xr:uid="{00000000-0005-0000-0000-0000AF320000}"/>
    <cellStyle name="Normal 10 2 3 5 3" xfId="14509" xr:uid="{00000000-0005-0000-0000-0000B0320000}"/>
    <cellStyle name="Normal 10 2 3 5 3 2" xfId="14510" xr:uid="{00000000-0005-0000-0000-0000B1320000}"/>
    <cellStyle name="Normal 10 2 3 5 4" xfId="14511" xr:uid="{00000000-0005-0000-0000-0000B2320000}"/>
    <cellStyle name="Normal 10 2 3 6" xfId="14512" xr:uid="{00000000-0005-0000-0000-0000B3320000}"/>
    <cellStyle name="Normal 10 2 3 6 2" xfId="14513" xr:uid="{00000000-0005-0000-0000-0000B4320000}"/>
    <cellStyle name="Normal 10 2 3 6 2 2" xfId="14514" xr:uid="{00000000-0005-0000-0000-0000B5320000}"/>
    <cellStyle name="Normal 10 2 3 6 3" xfId="14515" xr:uid="{00000000-0005-0000-0000-0000B6320000}"/>
    <cellStyle name="Normal 10 2 3 7" xfId="14516" xr:uid="{00000000-0005-0000-0000-0000B7320000}"/>
    <cellStyle name="Normal 10 2 3 7 2" xfId="14517" xr:uid="{00000000-0005-0000-0000-0000B8320000}"/>
    <cellStyle name="Normal 10 2 3 7 3" xfId="14518" xr:uid="{00000000-0005-0000-0000-0000B9320000}"/>
    <cellStyle name="Normal 10 2 3 8" xfId="14519" xr:uid="{00000000-0005-0000-0000-0000BA320000}"/>
    <cellStyle name="Normal 10 2 3 8 2" xfId="14520" xr:uid="{00000000-0005-0000-0000-0000BB320000}"/>
    <cellStyle name="Normal 10 2 3 9" xfId="14521" xr:uid="{00000000-0005-0000-0000-0000BC320000}"/>
    <cellStyle name="Normal 10 2 4" xfId="14522" xr:uid="{00000000-0005-0000-0000-0000BD320000}"/>
    <cellStyle name="Normal 10 2 4 2" xfId="14523" xr:uid="{00000000-0005-0000-0000-0000BE320000}"/>
    <cellStyle name="Normal 10 2 5" xfId="14524" xr:uid="{00000000-0005-0000-0000-0000BF320000}"/>
    <cellStyle name="Normal 10 2 6" xfId="14525" xr:uid="{00000000-0005-0000-0000-0000C0320000}"/>
    <cellStyle name="Normal 10 2 6 2" xfId="14526" xr:uid="{00000000-0005-0000-0000-0000C1320000}"/>
    <cellStyle name="Normal 10 2 6 2 2" xfId="14527" xr:uid="{00000000-0005-0000-0000-0000C2320000}"/>
    <cellStyle name="Normal 10 2 6 2 2 2" xfId="14528" xr:uid="{00000000-0005-0000-0000-0000C3320000}"/>
    <cellStyle name="Normal 10 2 6 2 3" xfId="14529" xr:uid="{00000000-0005-0000-0000-0000C4320000}"/>
    <cellStyle name="Normal 10 2 6 2 3 2" xfId="14530" xr:uid="{00000000-0005-0000-0000-0000C5320000}"/>
    <cellStyle name="Normal 10 2 6 2 4" xfId="14531" xr:uid="{00000000-0005-0000-0000-0000C6320000}"/>
    <cellStyle name="Normal 10 2 6 2 5" xfId="14532" xr:uid="{00000000-0005-0000-0000-0000C7320000}"/>
    <cellStyle name="Normal 10 2 6 3" xfId="14533" xr:uid="{00000000-0005-0000-0000-0000C8320000}"/>
    <cellStyle name="Normal 10 2 6 3 2" xfId="14534" xr:uid="{00000000-0005-0000-0000-0000C9320000}"/>
    <cellStyle name="Normal 10 2 6 4" xfId="14535" xr:uid="{00000000-0005-0000-0000-0000CA320000}"/>
    <cellStyle name="Normal 10 2 6 4 2" xfId="14536" xr:uid="{00000000-0005-0000-0000-0000CB320000}"/>
    <cellStyle name="Normal 10 2 6 5" xfId="14537" xr:uid="{00000000-0005-0000-0000-0000CC320000}"/>
    <cellStyle name="Normal 10 2 6 6" xfId="14538" xr:uid="{00000000-0005-0000-0000-0000CD320000}"/>
    <cellStyle name="Normal 10 2 7" xfId="14539" xr:uid="{00000000-0005-0000-0000-0000CE320000}"/>
    <cellStyle name="Normal 10 2 7 2" xfId="14540" xr:uid="{00000000-0005-0000-0000-0000CF320000}"/>
    <cellStyle name="Normal 10 2 7 2 2" xfId="14541" xr:uid="{00000000-0005-0000-0000-0000D0320000}"/>
    <cellStyle name="Normal 10 2 7 3" xfId="14542" xr:uid="{00000000-0005-0000-0000-0000D1320000}"/>
    <cellStyle name="Normal 10 2 7 3 2" xfId="14543" xr:uid="{00000000-0005-0000-0000-0000D2320000}"/>
    <cellStyle name="Normal 10 2 7 4" xfId="14544" xr:uid="{00000000-0005-0000-0000-0000D3320000}"/>
    <cellStyle name="Normal 10 2 7 5" xfId="14545" xr:uid="{00000000-0005-0000-0000-0000D4320000}"/>
    <cellStyle name="Normal 10 2 8" xfId="14546" xr:uid="{00000000-0005-0000-0000-0000D5320000}"/>
    <cellStyle name="Normal 10 2 8 2" xfId="14547" xr:uid="{00000000-0005-0000-0000-0000D6320000}"/>
    <cellStyle name="Normal 10 2 8 2 2" xfId="14548" xr:uid="{00000000-0005-0000-0000-0000D7320000}"/>
    <cellStyle name="Normal 10 2 8 3" xfId="14549" xr:uid="{00000000-0005-0000-0000-0000D8320000}"/>
    <cellStyle name="Normal 10 2 9" xfId="14550" xr:uid="{00000000-0005-0000-0000-0000D9320000}"/>
    <cellStyle name="Normal 10 2 9 2" xfId="14551" xr:uid="{00000000-0005-0000-0000-0000DA320000}"/>
    <cellStyle name="Normal 10 3" xfId="1530" xr:uid="{00000000-0005-0000-0000-0000DB320000}"/>
    <cellStyle name="Normal 10 3 2" xfId="1529" xr:uid="{00000000-0005-0000-0000-0000DC320000}"/>
    <cellStyle name="Normal 10 3 2 2" xfId="1528" xr:uid="{00000000-0005-0000-0000-0000DD320000}"/>
    <cellStyle name="Normal 10 3 2 2 2" xfId="1527" xr:uid="{00000000-0005-0000-0000-0000DE320000}"/>
    <cellStyle name="Normal 10 3 2 2 3" xfId="1526" xr:uid="{00000000-0005-0000-0000-0000DF320000}"/>
    <cellStyle name="Normal 10 3 2 3" xfId="1525" xr:uid="{00000000-0005-0000-0000-0000E0320000}"/>
    <cellStyle name="Normal 10 3 2 4" xfId="1524" xr:uid="{00000000-0005-0000-0000-0000E1320000}"/>
    <cellStyle name="Normal 10 3 3" xfId="1523" xr:uid="{00000000-0005-0000-0000-0000E2320000}"/>
    <cellStyle name="Normal 10 3 3 2" xfId="1522" xr:uid="{00000000-0005-0000-0000-0000E3320000}"/>
    <cellStyle name="Normal 10 3 3 3" xfId="1521" xr:uid="{00000000-0005-0000-0000-0000E4320000}"/>
    <cellStyle name="Normal 10 3 4" xfId="1520" xr:uid="{00000000-0005-0000-0000-0000E5320000}"/>
    <cellStyle name="Normal 10 3 4 2" xfId="1519" xr:uid="{00000000-0005-0000-0000-0000E6320000}"/>
    <cellStyle name="Normal 10 3 4 3" xfId="1518" xr:uid="{00000000-0005-0000-0000-0000E7320000}"/>
    <cellStyle name="Normal 10 3 4 4" xfId="14552" xr:uid="{00000000-0005-0000-0000-0000E8320000}"/>
    <cellStyle name="Normal 10 3 5" xfId="1517" xr:uid="{00000000-0005-0000-0000-0000E9320000}"/>
    <cellStyle name="Normal 10 3 5 2" xfId="14553" xr:uid="{00000000-0005-0000-0000-0000EA320000}"/>
    <cellStyle name="Normal 10 3 6" xfId="1516" xr:uid="{00000000-0005-0000-0000-0000EB320000}"/>
    <cellStyle name="Normal 10 4" xfId="1515" xr:uid="{00000000-0005-0000-0000-0000EC320000}"/>
    <cellStyle name="Normal 10 4 2" xfId="14554" xr:uid="{00000000-0005-0000-0000-0000ED320000}"/>
    <cellStyle name="Normal 10 4 2 2" xfId="14555" xr:uid="{00000000-0005-0000-0000-0000EE320000}"/>
    <cellStyle name="Normal 10 4 3" xfId="14556" xr:uid="{00000000-0005-0000-0000-0000EF320000}"/>
    <cellStyle name="Normal 10 4 4" xfId="14557" xr:uid="{00000000-0005-0000-0000-0000F0320000}"/>
    <cellStyle name="Normal 10 4 5" xfId="14558" xr:uid="{00000000-0005-0000-0000-0000F1320000}"/>
    <cellStyle name="Normal 10 5" xfId="14559" xr:uid="{00000000-0005-0000-0000-0000F2320000}"/>
    <cellStyle name="Normal 10 5 2" xfId="14560" xr:uid="{00000000-0005-0000-0000-0000F3320000}"/>
    <cellStyle name="Normal 10 5 3" xfId="14561" xr:uid="{00000000-0005-0000-0000-0000F4320000}"/>
    <cellStyle name="Normal 10 5 4" xfId="14562" xr:uid="{00000000-0005-0000-0000-0000F5320000}"/>
    <cellStyle name="Normal 10 6" xfId="14563" xr:uid="{00000000-0005-0000-0000-0000F6320000}"/>
    <cellStyle name="Normal 10 6 10" xfId="14564" xr:uid="{00000000-0005-0000-0000-0000F7320000}"/>
    <cellStyle name="Normal 10 6 11" xfId="14565" xr:uid="{00000000-0005-0000-0000-0000F8320000}"/>
    <cellStyle name="Normal 10 6 2" xfId="14566" xr:uid="{00000000-0005-0000-0000-0000F9320000}"/>
    <cellStyle name="Normal 10 6 2 2" xfId="14567" xr:uid="{00000000-0005-0000-0000-0000FA320000}"/>
    <cellStyle name="Normal 10 6 2 2 2" xfId="14568" xr:uid="{00000000-0005-0000-0000-0000FB320000}"/>
    <cellStyle name="Normal 10 6 2 2 2 2" xfId="14569" xr:uid="{00000000-0005-0000-0000-0000FC320000}"/>
    <cellStyle name="Normal 10 6 2 2 3" xfId="14570" xr:uid="{00000000-0005-0000-0000-0000FD320000}"/>
    <cellStyle name="Normal 10 6 2 2 3 2" xfId="14571" xr:uid="{00000000-0005-0000-0000-0000FE320000}"/>
    <cellStyle name="Normal 10 6 2 2 4" xfId="14572" xr:uid="{00000000-0005-0000-0000-0000FF320000}"/>
    <cellStyle name="Normal 10 6 2 2 5" xfId="14573" xr:uid="{00000000-0005-0000-0000-000000330000}"/>
    <cellStyle name="Normal 10 6 2 3" xfId="14574" xr:uid="{00000000-0005-0000-0000-000001330000}"/>
    <cellStyle name="Normal 10 6 2 3 2" xfId="14575" xr:uid="{00000000-0005-0000-0000-000002330000}"/>
    <cellStyle name="Normal 10 6 2 3 2 2" xfId="14576" xr:uid="{00000000-0005-0000-0000-000003330000}"/>
    <cellStyle name="Normal 10 6 2 3 3" xfId="14577" xr:uid="{00000000-0005-0000-0000-000004330000}"/>
    <cellStyle name="Normal 10 6 2 4" xfId="14578" xr:uid="{00000000-0005-0000-0000-000005330000}"/>
    <cellStyle name="Normal 10 6 2 4 2" xfId="14579" xr:uid="{00000000-0005-0000-0000-000006330000}"/>
    <cellStyle name="Normal 10 6 2 5" xfId="14580" xr:uid="{00000000-0005-0000-0000-000007330000}"/>
    <cellStyle name="Normal 10 6 2 5 2" xfId="14581" xr:uid="{00000000-0005-0000-0000-000008330000}"/>
    <cellStyle name="Normal 10 6 2 6" xfId="14582" xr:uid="{00000000-0005-0000-0000-000009330000}"/>
    <cellStyle name="Normal 10 6 3" xfId="14583" xr:uid="{00000000-0005-0000-0000-00000A330000}"/>
    <cellStyle name="Normal 10 6 3 2" xfId="14584" xr:uid="{00000000-0005-0000-0000-00000B330000}"/>
    <cellStyle name="Normal 10 6 3 2 2" xfId="14585" xr:uid="{00000000-0005-0000-0000-00000C330000}"/>
    <cellStyle name="Normal 10 6 3 2 2 2" xfId="14586" xr:uid="{00000000-0005-0000-0000-00000D330000}"/>
    <cellStyle name="Normal 10 6 3 2 3" xfId="14587" xr:uid="{00000000-0005-0000-0000-00000E330000}"/>
    <cellStyle name="Normal 10 6 3 2 3 2" xfId="14588" xr:uid="{00000000-0005-0000-0000-00000F330000}"/>
    <cellStyle name="Normal 10 6 3 2 4" xfId="14589" xr:uid="{00000000-0005-0000-0000-000010330000}"/>
    <cellStyle name="Normal 10 6 3 2 5" xfId="14590" xr:uid="{00000000-0005-0000-0000-000011330000}"/>
    <cellStyle name="Normal 10 6 3 3" xfId="14591" xr:uid="{00000000-0005-0000-0000-000012330000}"/>
    <cellStyle name="Normal 10 6 3 3 2" xfId="14592" xr:uid="{00000000-0005-0000-0000-000013330000}"/>
    <cellStyle name="Normal 10 6 3 3 2 2" xfId="14593" xr:uid="{00000000-0005-0000-0000-000014330000}"/>
    <cellStyle name="Normal 10 6 3 3 3" xfId="14594" xr:uid="{00000000-0005-0000-0000-000015330000}"/>
    <cellStyle name="Normal 10 6 3 4" xfId="14595" xr:uid="{00000000-0005-0000-0000-000016330000}"/>
    <cellStyle name="Normal 10 6 3 4 2" xfId="14596" xr:uid="{00000000-0005-0000-0000-000017330000}"/>
    <cellStyle name="Normal 10 6 3 5" xfId="14597" xr:uid="{00000000-0005-0000-0000-000018330000}"/>
    <cellStyle name="Normal 10 6 3 5 2" xfId="14598" xr:uid="{00000000-0005-0000-0000-000019330000}"/>
    <cellStyle name="Normal 10 6 3 6" xfId="14599" xr:uid="{00000000-0005-0000-0000-00001A330000}"/>
    <cellStyle name="Normal 10 6 4" xfId="14600" xr:uid="{00000000-0005-0000-0000-00001B330000}"/>
    <cellStyle name="Normal 10 6 4 2" xfId="14601" xr:uid="{00000000-0005-0000-0000-00001C330000}"/>
    <cellStyle name="Normal 10 6 4 2 2" xfId="14602" xr:uid="{00000000-0005-0000-0000-00001D330000}"/>
    <cellStyle name="Normal 10 6 4 2 2 2" xfId="14603" xr:uid="{00000000-0005-0000-0000-00001E330000}"/>
    <cellStyle name="Normal 10 6 4 2 3" xfId="14604" xr:uid="{00000000-0005-0000-0000-00001F330000}"/>
    <cellStyle name="Normal 10 6 4 3" xfId="14605" xr:uid="{00000000-0005-0000-0000-000020330000}"/>
    <cellStyle name="Normal 10 6 4 3 2" xfId="14606" xr:uid="{00000000-0005-0000-0000-000021330000}"/>
    <cellStyle name="Normal 10 6 4 4" xfId="14607" xr:uid="{00000000-0005-0000-0000-000022330000}"/>
    <cellStyle name="Normal 10 6 4 4 2" xfId="14608" xr:uid="{00000000-0005-0000-0000-000023330000}"/>
    <cellStyle name="Normal 10 6 4 5" xfId="14609" xr:uid="{00000000-0005-0000-0000-000024330000}"/>
    <cellStyle name="Normal 10 6 5" xfId="14610" xr:uid="{00000000-0005-0000-0000-000025330000}"/>
    <cellStyle name="Normal 10 6 5 2" xfId="14611" xr:uid="{00000000-0005-0000-0000-000026330000}"/>
    <cellStyle name="Normal 10 6 5 2 2" xfId="14612" xr:uid="{00000000-0005-0000-0000-000027330000}"/>
    <cellStyle name="Normal 10 6 5 3" xfId="14613" xr:uid="{00000000-0005-0000-0000-000028330000}"/>
    <cellStyle name="Normal 10 6 5 3 2" xfId="14614" xr:uid="{00000000-0005-0000-0000-000029330000}"/>
    <cellStyle name="Normal 10 6 5 4" xfId="14615" xr:uid="{00000000-0005-0000-0000-00002A330000}"/>
    <cellStyle name="Normal 10 6 6" xfId="14616" xr:uid="{00000000-0005-0000-0000-00002B330000}"/>
    <cellStyle name="Normal 10 6 6 2" xfId="14617" xr:uid="{00000000-0005-0000-0000-00002C330000}"/>
    <cellStyle name="Normal 10 6 6 2 2" xfId="14618" xr:uid="{00000000-0005-0000-0000-00002D330000}"/>
    <cellStyle name="Normal 10 6 6 3" xfId="14619" xr:uid="{00000000-0005-0000-0000-00002E330000}"/>
    <cellStyle name="Normal 10 6 7" xfId="14620" xr:uid="{00000000-0005-0000-0000-00002F330000}"/>
    <cellStyle name="Normal 10 6 7 2" xfId="14621" xr:uid="{00000000-0005-0000-0000-000030330000}"/>
    <cellStyle name="Normal 10 6 7 3" xfId="14622" xr:uid="{00000000-0005-0000-0000-000031330000}"/>
    <cellStyle name="Normal 10 6 8" xfId="14623" xr:uid="{00000000-0005-0000-0000-000032330000}"/>
    <cellStyle name="Normal 10 6 8 2" xfId="14624" xr:uid="{00000000-0005-0000-0000-000033330000}"/>
    <cellStyle name="Normal 10 6 9" xfId="14625" xr:uid="{00000000-0005-0000-0000-000034330000}"/>
    <cellStyle name="Normal 10 7" xfId="14626" xr:uid="{00000000-0005-0000-0000-000035330000}"/>
    <cellStyle name="Normal 10 7 2" xfId="14627" xr:uid="{00000000-0005-0000-0000-000036330000}"/>
    <cellStyle name="Normal 10 8" xfId="14628" xr:uid="{00000000-0005-0000-0000-000037330000}"/>
    <cellStyle name="Normal 10 9" xfId="14629" xr:uid="{00000000-0005-0000-0000-000038330000}"/>
    <cellStyle name="Normal 10 9 2" xfId="14630" xr:uid="{00000000-0005-0000-0000-000039330000}"/>
    <cellStyle name="Normal 10 9 2 2" xfId="14631" xr:uid="{00000000-0005-0000-0000-00003A330000}"/>
    <cellStyle name="Normal 10 9 2 2 2" xfId="14632" xr:uid="{00000000-0005-0000-0000-00003B330000}"/>
    <cellStyle name="Normal 10 9 2 3" xfId="14633" xr:uid="{00000000-0005-0000-0000-00003C330000}"/>
    <cellStyle name="Normal 10 9 2 3 2" xfId="14634" xr:uid="{00000000-0005-0000-0000-00003D330000}"/>
    <cellStyle name="Normal 10 9 2 4" xfId="14635" xr:uid="{00000000-0005-0000-0000-00003E330000}"/>
    <cellStyle name="Normal 10 9 2 5" xfId="14636" xr:uid="{00000000-0005-0000-0000-00003F330000}"/>
    <cellStyle name="Normal 10 9 3" xfId="14637" xr:uid="{00000000-0005-0000-0000-000040330000}"/>
    <cellStyle name="Normal 10 9 3 2" xfId="14638" xr:uid="{00000000-0005-0000-0000-000041330000}"/>
    <cellStyle name="Normal 10 9 3 2 2" xfId="14639" xr:uid="{00000000-0005-0000-0000-000042330000}"/>
    <cellStyle name="Normal 10 9 3 3" xfId="14640" xr:uid="{00000000-0005-0000-0000-000043330000}"/>
    <cellStyle name="Normal 10 9 4" xfId="14641" xr:uid="{00000000-0005-0000-0000-000044330000}"/>
    <cellStyle name="Normal 10 9 4 2" xfId="14642" xr:uid="{00000000-0005-0000-0000-000045330000}"/>
    <cellStyle name="Normal 10 9 5" xfId="14643" xr:uid="{00000000-0005-0000-0000-000046330000}"/>
    <cellStyle name="Normal 10 9 5 2" xfId="14644" xr:uid="{00000000-0005-0000-0000-000047330000}"/>
    <cellStyle name="Normal 10 9 6" xfId="14645" xr:uid="{00000000-0005-0000-0000-000048330000}"/>
    <cellStyle name="Normal 100" xfId="14646" xr:uid="{00000000-0005-0000-0000-000049330000}"/>
    <cellStyle name="Normal 100 2" xfId="14647" xr:uid="{00000000-0005-0000-0000-00004A330000}"/>
    <cellStyle name="Normal 100 2 2" xfId="14648" xr:uid="{00000000-0005-0000-0000-00004B330000}"/>
    <cellStyle name="Normal 100 3" xfId="14649" xr:uid="{00000000-0005-0000-0000-00004C330000}"/>
    <cellStyle name="Normal 100 4" xfId="14650" xr:uid="{00000000-0005-0000-0000-00004D330000}"/>
    <cellStyle name="Normal 100 5" xfId="14651" xr:uid="{00000000-0005-0000-0000-00004E330000}"/>
    <cellStyle name="Normal 101" xfId="14652" xr:uid="{00000000-0005-0000-0000-00004F330000}"/>
    <cellStyle name="Normal 101 2" xfId="14653" xr:uid="{00000000-0005-0000-0000-000050330000}"/>
    <cellStyle name="Normal 101 3" xfId="14654" xr:uid="{00000000-0005-0000-0000-000051330000}"/>
    <cellStyle name="Normal 101 4" xfId="14655" xr:uid="{00000000-0005-0000-0000-000052330000}"/>
    <cellStyle name="Normal 101 5" xfId="14656" xr:uid="{00000000-0005-0000-0000-000053330000}"/>
    <cellStyle name="Normal 102" xfId="14657" xr:uid="{00000000-0005-0000-0000-000054330000}"/>
    <cellStyle name="Normal 102 2" xfId="14658" xr:uid="{00000000-0005-0000-0000-000055330000}"/>
    <cellStyle name="Normal 102 3" xfId="14659" xr:uid="{00000000-0005-0000-0000-000056330000}"/>
    <cellStyle name="Normal 102 4" xfId="14660" xr:uid="{00000000-0005-0000-0000-000057330000}"/>
    <cellStyle name="Normal 102 5" xfId="14661" xr:uid="{00000000-0005-0000-0000-000058330000}"/>
    <cellStyle name="Normal 103" xfId="14662" xr:uid="{00000000-0005-0000-0000-000059330000}"/>
    <cellStyle name="Normal 103 2" xfId="14663" xr:uid="{00000000-0005-0000-0000-00005A330000}"/>
    <cellStyle name="Normal 103 3" xfId="14664" xr:uid="{00000000-0005-0000-0000-00005B330000}"/>
    <cellStyle name="Normal 103 4" xfId="14665" xr:uid="{00000000-0005-0000-0000-00005C330000}"/>
    <cellStyle name="Normal 103 5" xfId="14666" xr:uid="{00000000-0005-0000-0000-00005D330000}"/>
    <cellStyle name="Normal 104" xfId="14667" xr:uid="{00000000-0005-0000-0000-00005E330000}"/>
    <cellStyle name="Normal 104 2" xfId="14668" xr:uid="{00000000-0005-0000-0000-00005F330000}"/>
    <cellStyle name="Normal 104 3" xfId="14669" xr:uid="{00000000-0005-0000-0000-000060330000}"/>
    <cellStyle name="Normal 104 4" xfId="14670" xr:uid="{00000000-0005-0000-0000-000061330000}"/>
    <cellStyle name="Normal 104 5" xfId="14671" xr:uid="{00000000-0005-0000-0000-000062330000}"/>
    <cellStyle name="Normal 105" xfId="14672" xr:uid="{00000000-0005-0000-0000-000063330000}"/>
    <cellStyle name="Normal 105 2" xfId="14673" xr:uid="{00000000-0005-0000-0000-000064330000}"/>
    <cellStyle name="Normal 105 3" xfId="14674" xr:uid="{00000000-0005-0000-0000-000065330000}"/>
    <cellStyle name="Normal 105 4" xfId="14675" xr:uid="{00000000-0005-0000-0000-000066330000}"/>
    <cellStyle name="Normal 106" xfId="14676" xr:uid="{00000000-0005-0000-0000-000067330000}"/>
    <cellStyle name="Normal 106 2" xfId="14677" xr:uid="{00000000-0005-0000-0000-000068330000}"/>
    <cellStyle name="Normal 106 3" xfId="14678" xr:uid="{00000000-0005-0000-0000-000069330000}"/>
    <cellStyle name="Normal 106 4" xfId="14679" xr:uid="{00000000-0005-0000-0000-00006A330000}"/>
    <cellStyle name="Normal 107" xfId="14680" xr:uid="{00000000-0005-0000-0000-00006B330000}"/>
    <cellStyle name="Normal 107 2" xfId="14681" xr:uid="{00000000-0005-0000-0000-00006C330000}"/>
    <cellStyle name="Normal 108" xfId="14682" xr:uid="{00000000-0005-0000-0000-00006D330000}"/>
    <cellStyle name="Normal 108 2" xfId="14683" xr:uid="{00000000-0005-0000-0000-00006E330000}"/>
    <cellStyle name="Normal 109" xfId="14684" xr:uid="{00000000-0005-0000-0000-00006F330000}"/>
    <cellStyle name="Normal 109 2" xfId="14685" xr:uid="{00000000-0005-0000-0000-000070330000}"/>
    <cellStyle name="Normal 11" xfId="1514" xr:uid="{00000000-0005-0000-0000-000071330000}"/>
    <cellStyle name="Normal 11 10" xfId="14686" xr:uid="{00000000-0005-0000-0000-000072330000}"/>
    <cellStyle name="Normal 11 10 2" xfId="14687" xr:uid="{00000000-0005-0000-0000-000073330000}"/>
    <cellStyle name="Normal 11 10 3" xfId="14688" xr:uid="{00000000-0005-0000-0000-000074330000}"/>
    <cellStyle name="Normal 11 11" xfId="14689" xr:uid="{00000000-0005-0000-0000-000075330000}"/>
    <cellStyle name="Normal 11 11 2" xfId="14690" xr:uid="{00000000-0005-0000-0000-000076330000}"/>
    <cellStyle name="Normal 11 12" xfId="14691" xr:uid="{00000000-0005-0000-0000-000077330000}"/>
    <cellStyle name="Normal 11 13" xfId="14692" xr:uid="{00000000-0005-0000-0000-000078330000}"/>
    <cellStyle name="Normal 11 2" xfId="1513" xr:uid="{00000000-0005-0000-0000-000079330000}"/>
    <cellStyle name="Normal 11 2 10" xfId="14693" xr:uid="{00000000-0005-0000-0000-00007A330000}"/>
    <cellStyle name="Normal 11 2 2" xfId="14694" xr:uid="{00000000-0005-0000-0000-00007B330000}"/>
    <cellStyle name="Normal 11 2 2 2" xfId="14695" xr:uid="{00000000-0005-0000-0000-00007C330000}"/>
    <cellStyle name="Normal 11 2 2 2 2" xfId="14696" xr:uid="{00000000-0005-0000-0000-00007D330000}"/>
    <cellStyle name="Normal 11 2 2 2 2 2" xfId="14697" xr:uid="{00000000-0005-0000-0000-00007E330000}"/>
    <cellStyle name="Normal 11 2 2 2 3" xfId="14698" xr:uid="{00000000-0005-0000-0000-00007F330000}"/>
    <cellStyle name="Normal 11 2 2 2 3 2" xfId="14699" xr:uid="{00000000-0005-0000-0000-000080330000}"/>
    <cellStyle name="Normal 11 2 2 2 4" xfId="14700" xr:uid="{00000000-0005-0000-0000-000081330000}"/>
    <cellStyle name="Normal 11 2 2 2 5" xfId="14701" xr:uid="{00000000-0005-0000-0000-000082330000}"/>
    <cellStyle name="Normal 11 2 2 3" xfId="14702" xr:uid="{00000000-0005-0000-0000-000083330000}"/>
    <cellStyle name="Normal 11 2 2 3 2" xfId="14703" xr:uid="{00000000-0005-0000-0000-000084330000}"/>
    <cellStyle name="Normal 11 2 2 3 2 2" xfId="14704" xr:uid="{00000000-0005-0000-0000-000085330000}"/>
    <cellStyle name="Normal 11 2 2 3 3" xfId="14705" xr:uid="{00000000-0005-0000-0000-000086330000}"/>
    <cellStyle name="Normal 11 2 2 4" xfId="14706" xr:uid="{00000000-0005-0000-0000-000087330000}"/>
    <cellStyle name="Normal 11 2 2 4 2" xfId="14707" xr:uid="{00000000-0005-0000-0000-000088330000}"/>
    <cellStyle name="Normal 11 2 2 5" xfId="14708" xr:uid="{00000000-0005-0000-0000-000089330000}"/>
    <cellStyle name="Normal 11 2 2 5 2" xfId="14709" xr:uid="{00000000-0005-0000-0000-00008A330000}"/>
    <cellStyle name="Normal 11 2 2 6" xfId="14710" xr:uid="{00000000-0005-0000-0000-00008B330000}"/>
    <cellStyle name="Normal 11 2 3" xfId="14711" xr:uid="{00000000-0005-0000-0000-00008C330000}"/>
    <cellStyle name="Normal 11 2 3 2" xfId="14712" xr:uid="{00000000-0005-0000-0000-00008D330000}"/>
    <cellStyle name="Normal 11 2 3 2 2" xfId="14713" xr:uid="{00000000-0005-0000-0000-00008E330000}"/>
    <cellStyle name="Normal 11 2 3 2 2 2" xfId="14714" xr:uid="{00000000-0005-0000-0000-00008F330000}"/>
    <cellStyle name="Normal 11 2 3 2 3" xfId="14715" xr:uid="{00000000-0005-0000-0000-000090330000}"/>
    <cellStyle name="Normal 11 2 3 2 3 2" xfId="14716" xr:uid="{00000000-0005-0000-0000-000091330000}"/>
    <cellStyle name="Normal 11 2 3 2 4" xfId="14717" xr:uid="{00000000-0005-0000-0000-000092330000}"/>
    <cellStyle name="Normal 11 2 3 2 5" xfId="14718" xr:uid="{00000000-0005-0000-0000-000093330000}"/>
    <cellStyle name="Normal 11 2 3 3" xfId="14719" xr:uid="{00000000-0005-0000-0000-000094330000}"/>
    <cellStyle name="Normal 11 2 3 3 2" xfId="14720" xr:uid="{00000000-0005-0000-0000-000095330000}"/>
    <cellStyle name="Normal 11 2 3 3 2 2" xfId="14721" xr:uid="{00000000-0005-0000-0000-000096330000}"/>
    <cellStyle name="Normal 11 2 3 3 3" xfId="14722" xr:uid="{00000000-0005-0000-0000-000097330000}"/>
    <cellStyle name="Normal 11 2 3 4" xfId="14723" xr:uid="{00000000-0005-0000-0000-000098330000}"/>
    <cellStyle name="Normal 11 2 3 4 2" xfId="14724" xr:uid="{00000000-0005-0000-0000-000099330000}"/>
    <cellStyle name="Normal 11 2 3 5" xfId="14725" xr:uid="{00000000-0005-0000-0000-00009A330000}"/>
    <cellStyle name="Normal 11 2 3 5 2" xfId="14726" xr:uid="{00000000-0005-0000-0000-00009B330000}"/>
    <cellStyle name="Normal 11 2 3 6" xfId="14727" xr:uid="{00000000-0005-0000-0000-00009C330000}"/>
    <cellStyle name="Normal 11 2 4" xfId="14728" xr:uid="{00000000-0005-0000-0000-00009D330000}"/>
    <cellStyle name="Normal 11 2 4 2" xfId="14729" xr:uid="{00000000-0005-0000-0000-00009E330000}"/>
    <cellStyle name="Normal 11 2 4 2 2" xfId="14730" xr:uid="{00000000-0005-0000-0000-00009F330000}"/>
    <cellStyle name="Normal 11 2 4 2 2 2" xfId="14731" xr:uid="{00000000-0005-0000-0000-0000A0330000}"/>
    <cellStyle name="Normal 11 2 4 2 3" xfId="14732" xr:uid="{00000000-0005-0000-0000-0000A1330000}"/>
    <cellStyle name="Normal 11 2 4 2 3 2" xfId="14733" xr:uid="{00000000-0005-0000-0000-0000A2330000}"/>
    <cellStyle name="Normal 11 2 4 2 4" xfId="14734" xr:uid="{00000000-0005-0000-0000-0000A3330000}"/>
    <cellStyle name="Normal 11 2 4 2 5" xfId="14735" xr:uid="{00000000-0005-0000-0000-0000A4330000}"/>
    <cellStyle name="Normal 11 2 4 3" xfId="14736" xr:uid="{00000000-0005-0000-0000-0000A5330000}"/>
    <cellStyle name="Normal 11 2 4 3 2" xfId="14737" xr:uid="{00000000-0005-0000-0000-0000A6330000}"/>
    <cellStyle name="Normal 11 2 4 3 2 2" xfId="14738" xr:uid="{00000000-0005-0000-0000-0000A7330000}"/>
    <cellStyle name="Normal 11 2 4 3 3" xfId="14739" xr:uid="{00000000-0005-0000-0000-0000A8330000}"/>
    <cellStyle name="Normal 11 2 4 4" xfId="14740" xr:uid="{00000000-0005-0000-0000-0000A9330000}"/>
    <cellStyle name="Normal 11 2 4 4 2" xfId="14741" xr:uid="{00000000-0005-0000-0000-0000AA330000}"/>
    <cellStyle name="Normal 11 2 4 5" xfId="14742" xr:uid="{00000000-0005-0000-0000-0000AB330000}"/>
    <cellStyle name="Normal 11 2 4 5 2" xfId="14743" xr:uid="{00000000-0005-0000-0000-0000AC330000}"/>
    <cellStyle name="Normal 11 2 4 6" xfId="14744" xr:uid="{00000000-0005-0000-0000-0000AD330000}"/>
    <cellStyle name="Normal 11 2 5" xfId="14745" xr:uid="{00000000-0005-0000-0000-0000AE330000}"/>
    <cellStyle name="Normal 11 2 5 2" xfId="14746" xr:uid="{00000000-0005-0000-0000-0000AF330000}"/>
    <cellStyle name="Normal 11 2 5 2 2" xfId="14747" xr:uid="{00000000-0005-0000-0000-0000B0330000}"/>
    <cellStyle name="Normal 11 2 5 3" xfId="14748" xr:uid="{00000000-0005-0000-0000-0000B1330000}"/>
    <cellStyle name="Normal 11 2 5 3 2" xfId="14749" xr:uid="{00000000-0005-0000-0000-0000B2330000}"/>
    <cellStyle name="Normal 11 2 5 4" xfId="14750" xr:uid="{00000000-0005-0000-0000-0000B3330000}"/>
    <cellStyle name="Normal 11 2 5 4 2" xfId="14751" xr:uid="{00000000-0005-0000-0000-0000B4330000}"/>
    <cellStyle name="Normal 11 2 5 5" xfId="14752" xr:uid="{00000000-0005-0000-0000-0000B5330000}"/>
    <cellStyle name="Normal 11 2 6" xfId="14753" xr:uid="{00000000-0005-0000-0000-0000B6330000}"/>
    <cellStyle name="Normal 11 2 6 2" xfId="14754" xr:uid="{00000000-0005-0000-0000-0000B7330000}"/>
    <cellStyle name="Normal 11 2 6 2 2" xfId="14755" xr:uid="{00000000-0005-0000-0000-0000B8330000}"/>
    <cellStyle name="Normal 11 2 6 3" xfId="14756" xr:uid="{00000000-0005-0000-0000-0000B9330000}"/>
    <cellStyle name="Normal 11 2 6 3 2" xfId="14757" xr:uid="{00000000-0005-0000-0000-0000BA330000}"/>
    <cellStyle name="Normal 11 2 6 4" xfId="14758" xr:uid="{00000000-0005-0000-0000-0000BB330000}"/>
    <cellStyle name="Normal 11 2 7" xfId="14759" xr:uid="{00000000-0005-0000-0000-0000BC330000}"/>
    <cellStyle name="Normal 11 2 7 2" xfId="14760" xr:uid="{00000000-0005-0000-0000-0000BD330000}"/>
    <cellStyle name="Normal 11 2 7 2 2" xfId="14761" xr:uid="{00000000-0005-0000-0000-0000BE330000}"/>
    <cellStyle name="Normal 11 2 7 3" xfId="14762" xr:uid="{00000000-0005-0000-0000-0000BF330000}"/>
    <cellStyle name="Normal 11 2 8" xfId="14763" xr:uid="{00000000-0005-0000-0000-0000C0330000}"/>
    <cellStyle name="Normal 11 2 8 2" xfId="14764" xr:uid="{00000000-0005-0000-0000-0000C1330000}"/>
    <cellStyle name="Normal 11 2 9" xfId="14765" xr:uid="{00000000-0005-0000-0000-0000C2330000}"/>
    <cellStyle name="Normal 11 3" xfId="1512" xr:uid="{00000000-0005-0000-0000-0000C3330000}"/>
    <cellStyle name="Normal 11 3 10" xfId="14766" xr:uid="{00000000-0005-0000-0000-0000C4330000}"/>
    <cellStyle name="Normal 11 3 2" xfId="1511" xr:uid="{00000000-0005-0000-0000-0000C5330000}"/>
    <cellStyle name="Normal 11 3 2 2" xfId="1510" xr:uid="{00000000-0005-0000-0000-0000C6330000}"/>
    <cellStyle name="Normal 11 3 2 2 2" xfId="1509" xr:uid="{00000000-0005-0000-0000-0000C7330000}"/>
    <cellStyle name="Normal 11 3 2 2 2 2" xfId="14767" xr:uid="{00000000-0005-0000-0000-0000C8330000}"/>
    <cellStyle name="Normal 11 3 2 2 3" xfId="1508" xr:uid="{00000000-0005-0000-0000-0000C9330000}"/>
    <cellStyle name="Normal 11 3 2 2 3 2" xfId="14768" xr:uid="{00000000-0005-0000-0000-0000CA330000}"/>
    <cellStyle name="Normal 11 3 2 2 4" xfId="14769" xr:uid="{00000000-0005-0000-0000-0000CB330000}"/>
    <cellStyle name="Normal 11 3 2 2 5" xfId="14770" xr:uid="{00000000-0005-0000-0000-0000CC330000}"/>
    <cellStyle name="Normal 11 3 2 3" xfId="1507" xr:uid="{00000000-0005-0000-0000-0000CD330000}"/>
    <cellStyle name="Normal 11 3 2 3 2" xfId="14771" xr:uid="{00000000-0005-0000-0000-0000CE330000}"/>
    <cellStyle name="Normal 11 3 2 3 2 2" xfId="14772" xr:uid="{00000000-0005-0000-0000-0000CF330000}"/>
    <cellStyle name="Normal 11 3 2 3 3" xfId="14773" xr:uid="{00000000-0005-0000-0000-0000D0330000}"/>
    <cellStyle name="Normal 11 3 2 4" xfId="1506" xr:uid="{00000000-0005-0000-0000-0000D1330000}"/>
    <cellStyle name="Normal 11 3 2 4 2" xfId="14774" xr:uid="{00000000-0005-0000-0000-0000D2330000}"/>
    <cellStyle name="Normal 11 3 2 5" xfId="14775" xr:uid="{00000000-0005-0000-0000-0000D3330000}"/>
    <cellStyle name="Normal 11 3 2 5 2" xfId="14776" xr:uid="{00000000-0005-0000-0000-0000D4330000}"/>
    <cellStyle name="Normal 11 3 2 6" xfId="14777" xr:uid="{00000000-0005-0000-0000-0000D5330000}"/>
    <cellStyle name="Normal 11 3 3" xfId="1505" xr:uid="{00000000-0005-0000-0000-0000D6330000}"/>
    <cellStyle name="Normal 11 3 3 2" xfId="1504" xr:uid="{00000000-0005-0000-0000-0000D7330000}"/>
    <cellStyle name="Normal 11 3 3 2 2" xfId="14778" xr:uid="{00000000-0005-0000-0000-0000D8330000}"/>
    <cellStyle name="Normal 11 3 3 2 2 2" xfId="14779" xr:uid="{00000000-0005-0000-0000-0000D9330000}"/>
    <cellStyle name="Normal 11 3 3 2 3" xfId="14780" xr:uid="{00000000-0005-0000-0000-0000DA330000}"/>
    <cellStyle name="Normal 11 3 3 2 3 2" xfId="14781" xr:uid="{00000000-0005-0000-0000-0000DB330000}"/>
    <cellStyle name="Normal 11 3 3 2 4" xfId="14782" xr:uid="{00000000-0005-0000-0000-0000DC330000}"/>
    <cellStyle name="Normal 11 3 3 3" xfId="1503" xr:uid="{00000000-0005-0000-0000-0000DD330000}"/>
    <cellStyle name="Normal 11 3 3 3 2" xfId="14783" xr:uid="{00000000-0005-0000-0000-0000DE330000}"/>
    <cellStyle name="Normal 11 3 3 4" xfId="14784" xr:uid="{00000000-0005-0000-0000-0000DF330000}"/>
    <cellStyle name="Normal 11 3 3 4 2" xfId="14785" xr:uid="{00000000-0005-0000-0000-0000E0330000}"/>
    <cellStyle name="Normal 11 3 3 5" xfId="14786" xr:uid="{00000000-0005-0000-0000-0000E1330000}"/>
    <cellStyle name="Normal 11 3 3 5 2" xfId="14787" xr:uid="{00000000-0005-0000-0000-0000E2330000}"/>
    <cellStyle name="Normal 11 3 3 6" xfId="14788" xr:uid="{00000000-0005-0000-0000-0000E3330000}"/>
    <cellStyle name="Normal 11 3 4" xfId="1502" xr:uid="{00000000-0005-0000-0000-0000E4330000}"/>
    <cellStyle name="Normal 11 3 4 2" xfId="1501" xr:uid="{00000000-0005-0000-0000-0000E5330000}"/>
    <cellStyle name="Normal 11 3 4 2 2" xfId="14789" xr:uid="{00000000-0005-0000-0000-0000E6330000}"/>
    <cellStyle name="Normal 11 3 4 3" xfId="1500" xr:uid="{00000000-0005-0000-0000-0000E7330000}"/>
    <cellStyle name="Normal 11 3 4 3 2" xfId="14790" xr:uid="{00000000-0005-0000-0000-0000E8330000}"/>
    <cellStyle name="Normal 11 3 4 4" xfId="14791" xr:uid="{00000000-0005-0000-0000-0000E9330000}"/>
    <cellStyle name="Normal 11 3 4 4 2" xfId="14792" xr:uid="{00000000-0005-0000-0000-0000EA330000}"/>
    <cellStyle name="Normal 11 3 4 5" xfId="14793" xr:uid="{00000000-0005-0000-0000-0000EB330000}"/>
    <cellStyle name="Normal 11 3 5" xfId="1499" xr:uid="{00000000-0005-0000-0000-0000EC330000}"/>
    <cellStyle name="Normal 11 3 5 2" xfId="14794" xr:uid="{00000000-0005-0000-0000-0000ED330000}"/>
    <cellStyle name="Normal 11 3 5 2 2" xfId="14795" xr:uid="{00000000-0005-0000-0000-0000EE330000}"/>
    <cellStyle name="Normal 11 3 5 3" xfId="14796" xr:uid="{00000000-0005-0000-0000-0000EF330000}"/>
    <cellStyle name="Normal 11 3 5 3 2" xfId="14797" xr:uid="{00000000-0005-0000-0000-0000F0330000}"/>
    <cellStyle name="Normal 11 3 5 4" xfId="14798" xr:uid="{00000000-0005-0000-0000-0000F1330000}"/>
    <cellStyle name="Normal 11 3 6" xfId="1498" xr:uid="{00000000-0005-0000-0000-0000F2330000}"/>
    <cellStyle name="Normal 11 3 6 2" xfId="14799" xr:uid="{00000000-0005-0000-0000-0000F3330000}"/>
    <cellStyle name="Normal 11 3 6 2 2" xfId="14800" xr:uid="{00000000-0005-0000-0000-0000F4330000}"/>
    <cellStyle name="Normal 11 3 6 3" xfId="14801" xr:uid="{00000000-0005-0000-0000-0000F5330000}"/>
    <cellStyle name="Normal 11 3 7" xfId="14802" xr:uid="{00000000-0005-0000-0000-0000F6330000}"/>
    <cellStyle name="Normal 11 3 7 2" xfId="14803" xr:uid="{00000000-0005-0000-0000-0000F7330000}"/>
    <cellStyle name="Normal 11 3 8" xfId="14804" xr:uid="{00000000-0005-0000-0000-0000F8330000}"/>
    <cellStyle name="Normal 11 3 9" xfId="14805" xr:uid="{00000000-0005-0000-0000-0000F9330000}"/>
    <cellStyle name="Normal 11 4" xfId="14806" xr:uid="{00000000-0005-0000-0000-0000FA330000}"/>
    <cellStyle name="Normal 11 4 2" xfId="14807" xr:uid="{00000000-0005-0000-0000-0000FB330000}"/>
    <cellStyle name="Normal 11 4 2 2" xfId="14808" xr:uid="{00000000-0005-0000-0000-0000FC330000}"/>
    <cellStyle name="Normal 11 4 2 2 2" xfId="14809" xr:uid="{00000000-0005-0000-0000-0000FD330000}"/>
    <cellStyle name="Normal 11 4 2 2 2 2" xfId="14810" xr:uid="{00000000-0005-0000-0000-0000FE330000}"/>
    <cellStyle name="Normal 11 4 2 2 3" xfId="14811" xr:uid="{00000000-0005-0000-0000-0000FF330000}"/>
    <cellStyle name="Normal 11 4 2 2 3 2" xfId="14812" xr:uid="{00000000-0005-0000-0000-000000340000}"/>
    <cellStyle name="Normal 11 4 2 2 4" xfId="14813" xr:uid="{00000000-0005-0000-0000-000001340000}"/>
    <cellStyle name="Normal 11 4 2 2 5" xfId="14814" xr:uid="{00000000-0005-0000-0000-000002340000}"/>
    <cellStyle name="Normal 11 4 2 3" xfId="14815" xr:uid="{00000000-0005-0000-0000-000003340000}"/>
    <cellStyle name="Normal 11 4 2 3 2" xfId="14816" xr:uid="{00000000-0005-0000-0000-000004340000}"/>
    <cellStyle name="Normal 11 4 2 3 2 2" xfId="14817" xr:uid="{00000000-0005-0000-0000-000005340000}"/>
    <cellStyle name="Normal 11 4 2 3 3" xfId="14818" xr:uid="{00000000-0005-0000-0000-000006340000}"/>
    <cellStyle name="Normal 11 4 2 4" xfId="14819" xr:uid="{00000000-0005-0000-0000-000007340000}"/>
    <cellStyle name="Normal 11 4 2 4 2" xfId="14820" xr:uid="{00000000-0005-0000-0000-000008340000}"/>
    <cellStyle name="Normal 11 4 2 5" xfId="14821" xr:uid="{00000000-0005-0000-0000-000009340000}"/>
    <cellStyle name="Normal 11 4 2 5 2" xfId="14822" xr:uid="{00000000-0005-0000-0000-00000A340000}"/>
    <cellStyle name="Normal 11 4 2 6" xfId="14823" xr:uid="{00000000-0005-0000-0000-00000B340000}"/>
    <cellStyle name="Normal 11 4 3" xfId="14824" xr:uid="{00000000-0005-0000-0000-00000C340000}"/>
    <cellStyle name="Normal 11 4 3 2" xfId="14825" xr:uid="{00000000-0005-0000-0000-00000D340000}"/>
    <cellStyle name="Normal 11 4 3 2 2" xfId="14826" xr:uid="{00000000-0005-0000-0000-00000E340000}"/>
    <cellStyle name="Normal 11 4 3 2 2 2" xfId="14827" xr:uid="{00000000-0005-0000-0000-00000F340000}"/>
    <cellStyle name="Normal 11 4 3 2 3" xfId="14828" xr:uid="{00000000-0005-0000-0000-000010340000}"/>
    <cellStyle name="Normal 11 4 3 3" xfId="14829" xr:uid="{00000000-0005-0000-0000-000011340000}"/>
    <cellStyle name="Normal 11 4 3 3 2" xfId="14830" xr:uid="{00000000-0005-0000-0000-000012340000}"/>
    <cellStyle name="Normal 11 4 3 4" xfId="14831" xr:uid="{00000000-0005-0000-0000-000013340000}"/>
    <cellStyle name="Normal 11 4 3 4 2" xfId="14832" xr:uid="{00000000-0005-0000-0000-000014340000}"/>
    <cellStyle name="Normal 11 4 3 5" xfId="14833" xr:uid="{00000000-0005-0000-0000-000015340000}"/>
    <cellStyle name="Normal 11 4 4" xfId="14834" xr:uid="{00000000-0005-0000-0000-000016340000}"/>
    <cellStyle name="Normal 11 4 4 2" xfId="14835" xr:uid="{00000000-0005-0000-0000-000017340000}"/>
    <cellStyle name="Normal 11 4 4 2 2" xfId="14836" xr:uid="{00000000-0005-0000-0000-000018340000}"/>
    <cellStyle name="Normal 11 4 4 3" xfId="14837" xr:uid="{00000000-0005-0000-0000-000019340000}"/>
    <cellStyle name="Normal 11 4 4 3 2" xfId="14838" xr:uid="{00000000-0005-0000-0000-00001A340000}"/>
    <cellStyle name="Normal 11 4 4 4" xfId="14839" xr:uid="{00000000-0005-0000-0000-00001B340000}"/>
    <cellStyle name="Normal 11 4 5" xfId="14840" xr:uid="{00000000-0005-0000-0000-00001C340000}"/>
    <cellStyle name="Normal 11 4 5 2" xfId="14841" xr:uid="{00000000-0005-0000-0000-00001D340000}"/>
    <cellStyle name="Normal 11 4 5 2 2" xfId="14842" xr:uid="{00000000-0005-0000-0000-00001E340000}"/>
    <cellStyle name="Normal 11 4 5 3" xfId="14843" xr:uid="{00000000-0005-0000-0000-00001F340000}"/>
    <cellStyle name="Normal 11 4 6" xfId="14844" xr:uid="{00000000-0005-0000-0000-000020340000}"/>
    <cellStyle name="Normal 11 4 6 2" xfId="14845" xr:uid="{00000000-0005-0000-0000-000021340000}"/>
    <cellStyle name="Normal 11 4 6 3" xfId="14846" xr:uid="{00000000-0005-0000-0000-000022340000}"/>
    <cellStyle name="Normal 11 4 7" xfId="14847" xr:uid="{00000000-0005-0000-0000-000023340000}"/>
    <cellStyle name="Normal 11 4 7 2" xfId="14848" xr:uid="{00000000-0005-0000-0000-000024340000}"/>
    <cellStyle name="Normal 11 4 8" xfId="14849" xr:uid="{00000000-0005-0000-0000-000025340000}"/>
    <cellStyle name="Normal 11 4 9" xfId="14850" xr:uid="{00000000-0005-0000-0000-000026340000}"/>
    <cellStyle name="Normal 11 5" xfId="14851" xr:uid="{00000000-0005-0000-0000-000027340000}"/>
    <cellStyle name="Normal 11 5 2" xfId="14852" xr:uid="{00000000-0005-0000-0000-000028340000}"/>
    <cellStyle name="Normal 11 5 2 2" xfId="14853" xr:uid="{00000000-0005-0000-0000-000029340000}"/>
    <cellStyle name="Normal 11 5 2 2 2" xfId="14854" xr:uid="{00000000-0005-0000-0000-00002A340000}"/>
    <cellStyle name="Normal 11 5 2 2 2 2" xfId="14855" xr:uid="{00000000-0005-0000-0000-00002B340000}"/>
    <cellStyle name="Normal 11 5 2 2 3" xfId="14856" xr:uid="{00000000-0005-0000-0000-00002C340000}"/>
    <cellStyle name="Normal 11 5 2 3" xfId="14857" xr:uid="{00000000-0005-0000-0000-00002D340000}"/>
    <cellStyle name="Normal 11 5 2 3 2" xfId="14858" xr:uid="{00000000-0005-0000-0000-00002E340000}"/>
    <cellStyle name="Normal 11 5 2 4" xfId="14859" xr:uid="{00000000-0005-0000-0000-00002F340000}"/>
    <cellStyle name="Normal 11 5 2 4 2" xfId="14860" xr:uid="{00000000-0005-0000-0000-000030340000}"/>
    <cellStyle name="Normal 11 5 2 5" xfId="14861" xr:uid="{00000000-0005-0000-0000-000031340000}"/>
    <cellStyle name="Normal 11 5 3" xfId="14862" xr:uid="{00000000-0005-0000-0000-000032340000}"/>
    <cellStyle name="Normal 11 5 3 2" xfId="14863" xr:uid="{00000000-0005-0000-0000-000033340000}"/>
    <cellStyle name="Normal 11 5 3 2 2" xfId="14864" xr:uid="{00000000-0005-0000-0000-000034340000}"/>
    <cellStyle name="Normal 11 5 3 3" xfId="14865" xr:uid="{00000000-0005-0000-0000-000035340000}"/>
    <cellStyle name="Normal 11 5 3 3 2" xfId="14866" xr:uid="{00000000-0005-0000-0000-000036340000}"/>
    <cellStyle name="Normal 11 5 3 4" xfId="14867" xr:uid="{00000000-0005-0000-0000-000037340000}"/>
    <cellStyle name="Normal 11 5 4" xfId="14868" xr:uid="{00000000-0005-0000-0000-000038340000}"/>
    <cellStyle name="Normal 11 5 4 2" xfId="14869" xr:uid="{00000000-0005-0000-0000-000039340000}"/>
    <cellStyle name="Normal 11 5 4 2 2" xfId="14870" xr:uid="{00000000-0005-0000-0000-00003A340000}"/>
    <cellStyle name="Normal 11 5 4 3" xfId="14871" xr:uid="{00000000-0005-0000-0000-00003B340000}"/>
    <cellStyle name="Normal 11 5 5" xfId="14872" xr:uid="{00000000-0005-0000-0000-00003C340000}"/>
    <cellStyle name="Normal 11 5 5 2" xfId="14873" xr:uid="{00000000-0005-0000-0000-00003D340000}"/>
    <cellStyle name="Normal 11 5 5 3" xfId="14874" xr:uid="{00000000-0005-0000-0000-00003E340000}"/>
    <cellStyle name="Normal 11 5 6" xfId="14875" xr:uid="{00000000-0005-0000-0000-00003F340000}"/>
    <cellStyle name="Normal 11 5 6 2" xfId="14876" xr:uid="{00000000-0005-0000-0000-000040340000}"/>
    <cellStyle name="Normal 11 5 7" xfId="14877" xr:uid="{00000000-0005-0000-0000-000041340000}"/>
    <cellStyle name="Normal 11 5 8" xfId="14878" xr:uid="{00000000-0005-0000-0000-000042340000}"/>
    <cellStyle name="Normal 11 6" xfId="14879" xr:uid="{00000000-0005-0000-0000-000043340000}"/>
    <cellStyle name="Normal 11 6 2" xfId="14880" xr:uid="{00000000-0005-0000-0000-000044340000}"/>
    <cellStyle name="Normal 11 6 2 2" xfId="14881" xr:uid="{00000000-0005-0000-0000-000045340000}"/>
    <cellStyle name="Normal 11 6 2 2 2" xfId="14882" xr:uid="{00000000-0005-0000-0000-000046340000}"/>
    <cellStyle name="Normal 11 6 2 3" xfId="14883" xr:uid="{00000000-0005-0000-0000-000047340000}"/>
    <cellStyle name="Normal 11 6 3" xfId="14884" xr:uid="{00000000-0005-0000-0000-000048340000}"/>
    <cellStyle name="Normal 11 6 3 2" xfId="14885" xr:uid="{00000000-0005-0000-0000-000049340000}"/>
    <cellStyle name="Normal 11 6 4" xfId="14886" xr:uid="{00000000-0005-0000-0000-00004A340000}"/>
    <cellStyle name="Normal 11 6 4 2" xfId="14887" xr:uid="{00000000-0005-0000-0000-00004B340000}"/>
    <cellStyle name="Normal 11 6 5" xfId="14888" xr:uid="{00000000-0005-0000-0000-00004C340000}"/>
    <cellStyle name="Normal 11 7" xfId="14889" xr:uid="{00000000-0005-0000-0000-00004D340000}"/>
    <cellStyle name="Normal 11 7 2" xfId="14890" xr:uid="{00000000-0005-0000-0000-00004E340000}"/>
    <cellStyle name="Normal 11 7 2 2" xfId="14891" xr:uid="{00000000-0005-0000-0000-00004F340000}"/>
    <cellStyle name="Normal 11 7 3" xfId="14892" xr:uid="{00000000-0005-0000-0000-000050340000}"/>
    <cellStyle name="Normal 11 7 3 2" xfId="14893" xr:uid="{00000000-0005-0000-0000-000051340000}"/>
    <cellStyle name="Normal 11 7 4" xfId="14894" xr:uid="{00000000-0005-0000-0000-000052340000}"/>
    <cellStyle name="Normal 11 8" xfId="14895" xr:uid="{00000000-0005-0000-0000-000053340000}"/>
    <cellStyle name="Normal 11 8 2" xfId="14896" xr:uid="{00000000-0005-0000-0000-000054340000}"/>
    <cellStyle name="Normal 11 8 2 2" xfId="14897" xr:uid="{00000000-0005-0000-0000-000055340000}"/>
    <cellStyle name="Normal 11 8 3" xfId="14898" xr:uid="{00000000-0005-0000-0000-000056340000}"/>
    <cellStyle name="Normal 11 9" xfId="14899" xr:uid="{00000000-0005-0000-0000-000057340000}"/>
    <cellStyle name="Normal 11 9 2" xfId="14900" xr:uid="{00000000-0005-0000-0000-000058340000}"/>
    <cellStyle name="Normal 11 9 2 2" xfId="14901" xr:uid="{00000000-0005-0000-0000-000059340000}"/>
    <cellStyle name="Normal 11 9 3" xfId="14902" xr:uid="{00000000-0005-0000-0000-00005A340000}"/>
    <cellStyle name="Normal 110" xfId="14903" xr:uid="{00000000-0005-0000-0000-00005B340000}"/>
    <cellStyle name="Normal 110 2" xfId="14904" xr:uid="{00000000-0005-0000-0000-00005C340000}"/>
    <cellStyle name="Normal 110 3" xfId="6520" xr:uid="{00000000-0005-0000-0000-00005D340000}"/>
    <cellStyle name="Normal 111" xfId="14905" xr:uid="{00000000-0005-0000-0000-00005E340000}"/>
    <cellStyle name="Normal 111 2" xfId="14906" xr:uid="{00000000-0005-0000-0000-00005F340000}"/>
    <cellStyle name="Normal 111 3" xfId="14907" xr:uid="{00000000-0005-0000-0000-000060340000}"/>
    <cellStyle name="Normal 111 4" xfId="14908" xr:uid="{00000000-0005-0000-0000-000061340000}"/>
    <cellStyle name="Normal 112" xfId="14909" xr:uid="{00000000-0005-0000-0000-000062340000}"/>
    <cellStyle name="Normal 112 2" xfId="14910" xr:uid="{00000000-0005-0000-0000-000063340000}"/>
    <cellStyle name="Normal 112 3" xfId="14911" xr:uid="{00000000-0005-0000-0000-000064340000}"/>
    <cellStyle name="Normal 112 4" xfId="14912" xr:uid="{00000000-0005-0000-0000-000065340000}"/>
    <cellStyle name="Normal 113" xfId="14913" xr:uid="{00000000-0005-0000-0000-000066340000}"/>
    <cellStyle name="Normal 113 2" xfId="14914" xr:uid="{00000000-0005-0000-0000-000067340000}"/>
    <cellStyle name="Normal 113 3" xfId="14915" xr:uid="{00000000-0005-0000-0000-000068340000}"/>
    <cellStyle name="Normal 113 4" xfId="14916" xr:uid="{00000000-0005-0000-0000-000069340000}"/>
    <cellStyle name="Normal 114" xfId="14917" xr:uid="{00000000-0005-0000-0000-00006A340000}"/>
    <cellStyle name="Normal 114 2" xfId="14918" xr:uid="{00000000-0005-0000-0000-00006B340000}"/>
    <cellStyle name="Normal 114 3" xfId="14919" xr:uid="{00000000-0005-0000-0000-00006C340000}"/>
    <cellStyle name="Normal 114 4" xfId="14920" xr:uid="{00000000-0005-0000-0000-00006D340000}"/>
    <cellStyle name="Normal 115" xfId="14921" xr:uid="{00000000-0005-0000-0000-00006E340000}"/>
    <cellStyle name="Normal 115 2" xfId="14922" xr:uid="{00000000-0005-0000-0000-00006F340000}"/>
    <cellStyle name="Normal 115 3" xfId="14923" xr:uid="{00000000-0005-0000-0000-000070340000}"/>
    <cellStyle name="Normal 116" xfId="14924" xr:uid="{00000000-0005-0000-0000-000071340000}"/>
    <cellStyle name="Normal 116 2" xfId="14925" xr:uid="{00000000-0005-0000-0000-000072340000}"/>
    <cellStyle name="Normal 116 3" xfId="14926" xr:uid="{00000000-0005-0000-0000-000073340000}"/>
    <cellStyle name="Normal 117" xfId="14927" xr:uid="{00000000-0005-0000-0000-000074340000}"/>
    <cellStyle name="Normal 117 2" xfId="14928" xr:uid="{00000000-0005-0000-0000-000075340000}"/>
    <cellStyle name="Normal 117 3" xfId="14929" xr:uid="{00000000-0005-0000-0000-000076340000}"/>
    <cellStyle name="Normal 118" xfId="14930" xr:uid="{00000000-0005-0000-0000-000077340000}"/>
    <cellStyle name="Normal 118 2" xfId="14931" xr:uid="{00000000-0005-0000-0000-000078340000}"/>
    <cellStyle name="Normal 118 3" xfId="14932" xr:uid="{00000000-0005-0000-0000-000079340000}"/>
    <cellStyle name="Normal 119" xfId="14933" xr:uid="{00000000-0005-0000-0000-00007A340000}"/>
    <cellStyle name="Normal 119 2" xfId="14934" xr:uid="{00000000-0005-0000-0000-00007B340000}"/>
    <cellStyle name="Normal 119 3" xfId="14935" xr:uid="{00000000-0005-0000-0000-00007C340000}"/>
    <cellStyle name="Normal 12" xfId="1497" xr:uid="{00000000-0005-0000-0000-00007D340000}"/>
    <cellStyle name="Normal 12 10" xfId="14936" xr:uid="{00000000-0005-0000-0000-00007E340000}"/>
    <cellStyle name="Normal 12 10 2" xfId="14937" xr:uid="{00000000-0005-0000-0000-00007F340000}"/>
    <cellStyle name="Normal 12 10 3" xfId="14938" xr:uid="{00000000-0005-0000-0000-000080340000}"/>
    <cellStyle name="Normal 12 11" xfId="14939" xr:uid="{00000000-0005-0000-0000-000081340000}"/>
    <cellStyle name="Normal 12 11 2" xfId="14940" xr:uid="{00000000-0005-0000-0000-000082340000}"/>
    <cellStyle name="Normal 12 11 3" xfId="14941" xr:uid="{00000000-0005-0000-0000-000083340000}"/>
    <cellStyle name="Normal 12 12" xfId="14942" xr:uid="{00000000-0005-0000-0000-000084340000}"/>
    <cellStyle name="Normal 12 13" xfId="14943" xr:uid="{00000000-0005-0000-0000-000085340000}"/>
    <cellStyle name="Normal 12 2" xfId="1496" xr:uid="{00000000-0005-0000-0000-000086340000}"/>
    <cellStyle name="Normal 12 2 10" xfId="14944" xr:uid="{00000000-0005-0000-0000-000087340000}"/>
    <cellStyle name="Normal 12 2 11" xfId="14945" xr:uid="{00000000-0005-0000-0000-000088340000}"/>
    <cellStyle name="Normal 12 2 2" xfId="14946" xr:uid="{00000000-0005-0000-0000-000089340000}"/>
    <cellStyle name="Normal 12 2 2 2" xfId="14947" xr:uid="{00000000-0005-0000-0000-00008A340000}"/>
    <cellStyle name="Normal 12 2 2 2 2" xfId="14948" xr:uid="{00000000-0005-0000-0000-00008B340000}"/>
    <cellStyle name="Normal 12 2 2 2 2 2" xfId="14949" xr:uid="{00000000-0005-0000-0000-00008C340000}"/>
    <cellStyle name="Normal 12 2 2 2 3" xfId="14950" xr:uid="{00000000-0005-0000-0000-00008D340000}"/>
    <cellStyle name="Normal 12 2 2 2 3 2" xfId="14951" xr:uid="{00000000-0005-0000-0000-00008E340000}"/>
    <cellStyle name="Normal 12 2 2 2 4" xfId="14952" xr:uid="{00000000-0005-0000-0000-00008F340000}"/>
    <cellStyle name="Normal 12 2 2 2 4 2" xfId="14953" xr:uid="{00000000-0005-0000-0000-000090340000}"/>
    <cellStyle name="Normal 12 2 2 2 5" xfId="14954" xr:uid="{00000000-0005-0000-0000-000091340000}"/>
    <cellStyle name="Normal 12 2 2 3" xfId="14955" xr:uid="{00000000-0005-0000-0000-000092340000}"/>
    <cellStyle name="Normal 12 2 2 3 2" xfId="14956" xr:uid="{00000000-0005-0000-0000-000093340000}"/>
    <cellStyle name="Normal 12 2 2 3 2 2" xfId="14957" xr:uid="{00000000-0005-0000-0000-000094340000}"/>
    <cellStyle name="Normal 12 2 2 3 3" xfId="14958" xr:uid="{00000000-0005-0000-0000-000095340000}"/>
    <cellStyle name="Normal 12 2 2 4" xfId="14959" xr:uid="{00000000-0005-0000-0000-000096340000}"/>
    <cellStyle name="Normal 12 2 2 4 2" xfId="14960" xr:uid="{00000000-0005-0000-0000-000097340000}"/>
    <cellStyle name="Normal 12 2 2 5" xfId="14961" xr:uid="{00000000-0005-0000-0000-000098340000}"/>
    <cellStyle name="Normal 12 2 2 5 2" xfId="14962" xr:uid="{00000000-0005-0000-0000-000099340000}"/>
    <cellStyle name="Normal 12 2 2 6" xfId="14963" xr:uid="{00000000-0005-0000-0000-00009A340000}"/>
    <cellStyle name="Normal 12 2 3" xfId="14964" xr:uid="{00000000-0005-0000-0000-00009B340000}"/>
    <cellStyle name="Normal 12 2 3 2" xfId="14965" xr:uid="{00000000-0005-0000-0000-00009C340000}"/>
    <cellStyle name="Normal 12 2 3 2 2" xfId="14966" xr:uid="{00000000-0005-0000-0000-00009D340000}"/>
    <cellStyle name="Normal 12 2 3 2 2 2" xfId="14967" xr:uid="{00000000-0005-0000-0000-00009E340000}"/>
    <cellStyle name="Normal 12 2 3 2 3" xfId="14968" xr:uid="{00000000-0005-0000-0000-00009F340000}"/>
    <cellStyle name="Normal 12 2 3 2 3 2" xfId="14969" xr:uid="{00000000-0005-0000-0000-0000A0340000}"/>
    <cellStyle name="Normal 12 2 3 2 4" xfId="14970" xr:uid="{00000000-0005-0000-0000-0000A1340000}"/>
    <cellStyle name="Normal 12 2 3 2 4 2" xfId="14971" xr:uid="{00000000-0005-0000-0000-0000A2340000}"/>
    <cellStyle name="Normal 12 2 3 2 5" xfId="14972" xr:uid="{00000000-0005-0000-0000-0000A3340000}"/>
    <cellStyle name="Normal 12 2 3 3" xfId="14973" xr:uid="{00000000-0005-0000-0000-0000A4340000}"/>
    <cellStyle name="Normal 12 2 3 3 2" xfId="14974" xr:uid="{00000000-0005-0000-0000-0000A5340000}"/>
    <cellStyle name="Normal 12 2 3 3 2 2" xfId="14975" xr:uid="{00000000-0005-0000-0000-0000A6340000}"/>
    <cellStyle name="Normal 12 2 3 3 3" xfId="14976" xr:uid="{00000000-0005-0000-0000-0000A7340000}"/>
    <cellStyle name="Normal 12 2 3 4" xfId="14977" xr:uid="{00000000-0005-0000-0000-0000A8340000}"/>
    <cellStyle name="Normal 12 2 3 4 2" xfId="14978" xr:uid="{00000000-0005-0000-0000-0000A9340000}"/>
    <cellStyle name="Normal 12 2 3 5" xfId="14979" xr:uid="{00000000-0005-0000-0000-0000AA340000}"/>
    <cellStyle name="Normal 12 2 3 5 2" xfId="14980" xr:uid="{00000000-0005-0000-0000-0000AB340000}"/>
    <cellStyle name="Normal 12 2 3 6" xfId="14981" xr:uid="{00000000-0005-0000-0000-0000AC340000}"/>
    <cellStyle name="Normal 12 2 4" xfId="14982" xr:uid="{00000000-0005-0000-0000-0000AD340000}"/>
    <cellStyle name="Normal 12 2 4 2" xfId="14983" xr:uid="{00000000-0005-0000-0000-0000AE340000}"/>
    <cellStyle name="Normal 12 2 4 2 2" xfId="14984" xr:uid="{00000000-0005-0000-0000-0000AF340000}"/>
    <cellStyle name="Normal 12 2 4 2 2 2" xfId="14985" xr:uid="{00000000-0005-0000-0000-0000B0340000}"/>
    <cellStyle name="Normal 12 2 4 2 3" xfId="14986" xr:uid="{00000000-0005-0000-0000-0000B1340000}"/>
    <cellStyle name="Normal 12 2 4 2 3 2" xfId="14987" xr:uid="{00000000-0005-0000-0000-0000B2340000}"/>
    <cellStyle name="Normal 12 2 4 2 4" xfId="14988" xr:uid="{00000000-0005-0000-0000-0000B3340000}"/>
    <cellStyle name="Normal 12 2 4 2 5" xfId="14989" xr:uid="{00000000-0005-0000-0000-0000B4340000}"/>
    <cellStyle name="Normal 12 2 4 3" xfId="14990" xr:uid="{00000000-0005-0000-0000-0000B5340000}"/>
    <cellStyle name="Normal 12 2 4 3 2" xfId="14991" xr:uid="{00000000-0005-0000-0000-0000B6340000}"/>
    <cellStyle name="Normal 12 2 4 3 2 2" xfId="14992" xr:uid="{00000000-0005-0000-0000-0000B7340000}"/>
    <cellStyle name="Normal 12 2 4 3 3" xfId="14993" xr:uid="{00000000-0005-0000-0000-0000B8340000}"/>
    <cellStyle name="Normal 12 2 4 4" xfId="14994" xr:uid="{00000000-0005-0000-0000-0000B9340000}"/>
    <cellStyle name="Normal 12 2 4 4 2" xfId="14995" xr:uid="{00000000-0005-0000-0000-0000BA340000}"/>
    <cellStyle name="Normal 12 2 4 5" xfId="14996" xr:uid="{00000000-0005-0000-0000-0000BB340000}"/>
    <cellStyle name="Normal 12 2 4 5 2" xfId="14997" xr:uid="{00000000-0005-0000-0000-0000BC340000}"/>
    <cellStyle name="Normal 12 2 4 6" xfId="14998" xr:uid="{00000000-0005-0000-0000-0000BD340000}"/>
    <cellStyle name="Normal 12 2 5" xfId="14999" xr:uid="{00000000-0005-0000-0000-0000BE340000}"/>
    <cellStyle name="Normal 12 2 5 2" xfId="15000" xr:uid="{00000000-0005-0000-0000-0000BF340000}"/>
    <cellStyle name="Normal 12 2 5 2 2" xfId="15001" xr:uid="{00000000-0005-0000-0000-0000C0340000}"/>
    <cellStyle name="Normal 12 2 5 2 2 2" xfId="15002" xr:uid="{00000000-0005-0000-0000-0000C1340000}"/>
    <cellStyle name="Normal 12 2 5 2 3" xfId="15003" xr:uid="{00000000-0005-0000-0000-0000C2340000}"/>
    <cellStyle name="Normal 12 2 5 3" xfId="15004" xr:uid="{00000000-0005-0000-0000-0000C3340000}"/>
    <cellStyle name="Normal 12 2 5 3 2" xfId="15005" xr:uid="{00000000-0005-0000-0000-0000C4340000}"/>
    <cellStyle name="Normal 12 2 5 4" xfId="15006" xr:uid="{00000000-0005-0000-0000-0000C5340000}"/>
    <cellStyle name="Normal 12 2 5 4 2" xfId="15007" xr:uid="{00000000-0005-0000-0000-0000C6340000}"/>
    <cellStyle name="Normal 12 2 5 5" xfId="15008" xr:uid="{00000000-0005-0000-0000-0000C7340000}"/>
    <cellStyle name="Normal 12 2 6" xfId="15009" xr:uid="{00000000-0005-0000-0000-0000C8340000}"/>
    <cellStyle name="Normal 12 2 6 2" xfId="15010" xr:uid="{00000000-0005-0000-0000-0000C9340000}"/>
    <cellStyle name="Normal 12 2 6 2 2" xfId="15011" xr:uid="{00000000-0005-0000-0000-0000CA340000}"/>
    <cellStyle name="Normal 12 2 6 3" xfId="15012" xr:uid="{00000000-0005-0000-0000-0000CB340000}"/>
    <cellStyle name="Normal 12 2 6 3 2" xfId="15013" xr:uid="{00000000-0005-0000-0000-0000CC340000}"/>
    <cellStyle name="Normal 12 2 6 4" xfId="15014" xr:uid="{00000000-0005-0000-0000-0000CD340000}"/>
    <cellStyle name="Normal 12 2 7" xfId="15015" xr:uid="{00000000-0005-0000-0000-0000CE340000}"/>
    <cellStyle name="Normal 12 2 7 2" xfId="15016" xr:uid="{00000000-0005-0000-0000-0000CF340000}"/>
    <cellStyle name="Normal 12 2 7 2 2" xfId="15017" xr:uid="{00000000-0005-0000-0000-0000D0340000}"/>
    <cellStyle name="Normal 12 2 7 3" xfId="15018" xr:uid="{00000000-0005-0000-0000-0000D1340000}"/>
    <cellStyle name="Normal 12 2 8" xfId="15019" xr:uid="{00000000-0005-0000-0000-0000D2340000}"/>
    <cellStyle name="Normal 12 2 8 2" xfId="15020" xr:uid="{00000000-0005-0000-0000-0000D3340000}"/>
    <cellStyle name="Normal 12 2 8 3" xfId="15021" xr:uid="{00000000-0005-0000-0000-0000D4340000}"/>
    <cellStyle name="Normal 12 2 9" xfId="15022" xr:uid="{00000000-0005-0000-0000-0000D5340000}"/>
    <cellStyle name="Normal 12 2 9 2" xfId="15023" xr:uid="{00000000-0005-0000-0000-0000D6340000}"/>
    <cellStyle name="Normal 12 3" xfId="1495" xr:uid="{00000000-0005-0000-0000-0000D7340000}"/>
    <cellStyle name="Normal 12 3 2" xfId="1494" xr:uid="{00000000-0005-0000-0000-0000D8340000}"/>
    <cellStyle name="Normal 12 3 2 2" xfId="1493" xr:uid="{00000000-0005-0000-0000-0000D9340000}"/>
    <cellStyle name="Normal 12 3 2 2 2" xfId="1492" xr:uid="{00000000-0005-0000-0000-0000DA340000}"/>
    <cellStyle name="Normal 12 3 2 2 2 2" xfId="15024" xr:uid="{00000000-0005-0000-0000-0000DB340000}"/>
    <cellStyle name="Normal 12 3 2 2 3" xfId="1491" xr:uid="{00000000-0005-0000-0000-0000DC340000}"/>
    <cellStyle name="Normal 12 3 2 2 3 2" xfId="15025" xr:uid="{00000000-0005-0000-0000-0000DD340000}"/>
    <cellStyle name="Normal 12 3 2 2 4" xfId="15026" xr:uid="{00000000-0005-0000-0000-0000DE340000}"/>
    <cellStyle name="Normal 12 3 2 2 4 2" xfId="15027" xr:uid="{00000000-0005-0000-0000-0000DF340000}"/>
    <cellStyle name="Normal 12 3 2 2 5" xfId="15028" xr:uid="{00000000-0005-0000-0000-0000E0340000}"/>
    <cellStyle name="Normal 12 3 2 3" xfId="1490" xr:uid="{00000000-0005-0000-0000-0000E1340000}"/>
    <cellStyle name="Normal 12 3 2 3 2" xfId="15029" xr:uid="{00000000-0005-0000-0000-0000E2340000}"/>
    <cellStyle name="Normal 12 3 2 3 2 2" xfId="15030" xr:uid="{00000000-0005-0000-0000-0000E3340000}"/>
    <cellStyle name="Normal 12 3 2 3 3" xfId="15031" xr:uid="{00000000-0005-0000-0000-0000E4340000}"/>
    <cellStyle name="Normal 12 3 2 4" xfId="1489" xr:uid="{00000000-0005-0000-0000-0000E5340000}"/>
    <cellStyle name="Normal 12 3 2 4 2" xfId="15032" xr:uid="{00000000-0005-0000-0000-0000E6340000}"/>
    <cellStyle name="Normal 12 3 2 5" xfId="15033" xr:uid="{00000000-0005-0000-0000-0000E7340000}"/>
    <cellStyle name="Normal 12 3 2 5 2" xfId="15034" xr:uid="{00000000-0005-0000-0000-0000E8340000}"/>
    <cellStyle name="Normal 12 3 2 6" xfId="15035" xr:uid="{00000000-0005-0000-0000-0000E9340000}"/>
    <cellStyle name="Normal 12 3 3" xfId="1488" xr:uid="{00000000-0005-0000-0000-0000EA340000}"/>
    <cellStyle name="Normal 12 3 3 2" xfId="1487" xr:uid="{00000000-0005-0000-0000-0000EB340000}"/>
    <cellStyle name="Normal 12 3 3 2 2" xfId="15036" xr:uid="{00000000-0005-0000-0000-0000EC340000}"/>
    <cellStyle name="Normal 12 3 3 2 2 2" xfId="15037" xr:uid="{00000000-0005-0000-0000-0000ED340000}"/>
    <cellStyle name="Normal 12 3 3 2 3" xfId="15038" xr:uid="{00000000-0005-0000-0000-0000EE340000}"/>
    <cellStyle name="Normal 12 3 3 2 3 2" xfId="15039" xr:uid="{00000000-0005-0000-0000-0000EF340000}"/>
    <cellStyle name="Normal 12 3 3 2 4" xfId="15040" xr:uid="{00000000-0005-0000-0000-0000F0340000}"/>
    <cellStyle name="Normal 12 3 3 2 5" xfId="15041" xr:uid="{00000000-0005-0000-0000-0000F1340000}"/>
    <cellStyle name="Normal 12 3 3 3" xfId="1486" xr:uid="{00000000-0005-0000-0000-0000F2340000}"/>
    <cellStyle name="Normal 12 3 3 3 2" xfId="15042" xr:uid="{00000000-0005-0000-0000-0000F3340000}"/>
    <cellStyle name="Normal 12 3 3 3 2 2" xfId="15043" xr:uid="{00000000-0005-0000-0000-0000F4340000}"/>
    <cellStyle name="Normal 12 3 3 3 3" xfId="15044" xr:uid="{00000000-0005-0000-0000-0000F5340000}"/>
    <cellStyle name="Normal 12 3 3 4" xfId="15045" xr:uid="{00000000-0005-0000-0000-0000F6340000}"/>
    <cellStyle name="Normal 12 3 3 4 2" xfId="15046" xr:uid="{00000000-0005-0000-0000-0000F7340000}"/>
    <cellStyle name="Normal 12 3 3 5" xfId="15047" xr:uid="{00000000-0005-0000-0000-0000F8340000}"/>
    <cellStyle name="Normal 12 3 3 5 2" xfId="15048" xr:uid="{00000000-0005-0000-0000-0000F9340000}"/>
    <cellStyle name="Normal 12 3 3 6" xfId="15049" xr:uid="{00000000-0005-0000-0000-0000FA340000}"/>
    <cellStyle name="Normal 12 3 4" xfId="1485" xr:uid="{00000000-0005-0000-0000-0000FB340000}"/>
    <cellStyle name="Normal 12 3 4 2" xfId="1484" xr:uid="{00000000-0005-0000-0000-0000FC340000}"/>
    <cellStyle name="Normal 12 3 4 2 2" xfId="15050" xr:uid="{00000000-0005-0000-0000-0000FD340000}"/>
    <cellStyle name="Normal 12 3 4 3" xfId="1483" xr:uid="{00000000-0005-0000-0000-0000FE340000}"/>
    <cellStyle name="Normal 12 3 4 3 2" xfId="15051" xr:uid="{00000000-0005-0000-0000-0000FF340000}"/>
    <cellStyle name="Normal 12 3 4 4" xfId="15052" xr:uid="{00000000-0005-0000-0000-000000350000}"/>
    <cellStyle name="Normal 12 3 4 4 2" xfId="15053" xr:uid="{00000000-0005-0000-0000-000001350000}"/>
    <cellStyle name="Normal 12 3 4 5" xfId="15054" xr:uid="{00000000-0005-0000-0000-000002350000}"/>
    <cellStyle name="Normal 12 3 5" xfId="1482" xr:uid="{00000000-0005-0000-0000-000003350000}"/>
    <cellStyle name="Normal 12 3 5 2" xfId="15055" xr:uid="{00000000-0005-0000-0000-000004350000}"/>
    <cellStyle name="Normal 12 3 5 2 2" xfId="15056" xr:uid="{00000000-0005-0000-0000-000005350000}"/>
    <cellStyle name="Normal 12 3 5 3" xfId="15057" xr:uid="{00000000-0005-0000-0000-000006350000}"/>
    <cellStyle name="Normal 12 3 5 3 2" xfId="15058" xr:uid="{00000000-0005-0000-0000-000007350000}"/>
    <cellStyle name="Normal 12 3 5 4" xfId="15059" xr:uid="{00000000-0005-0000-0000-000008350000}"/>
    <cellStyle name="Normal 12 3 6" xfId="1481" xr:uid="{00000000-0005-0000-0000-000009350000}"/>
    <cellStyle name="Normal 12 3 6 2" xfId="15060" xr:uid="{00000000-0005-0000-0000-00000A350000}"/>
    <cellStyle name="Normal 12 3 6 2 2" xfId="15061" xr:uid="{00000000-0005-0000-0000-00000B350000}"/>
    <cellStyle name="Normal 12 3 6 3" xfId="15062" xr:uid="{00000000-0005-0000-0000-00000C350000}"/>
    <cellStyle name="Normal 12 3 7" xfId="15063" xr:uid="{00000000-0005-0000-0000-00000D350000}"/>
    <cellStyle name="Normal 12 3 7 2" xfId="15064" xr:uid="{00000000-0005-0000-0000-00000E350000}"/>
    <cellStyle name="Normal 12 3 8" xfId="15065" xr:uid="{00000000-0005-0000-0000-00000F350000}"/>
    <cellStyle name="Normal 12 3 9" xfId="15066" xr:uid="{00000000-0005-0000-0000-000010350000}"/>
    <cellStyle name="Normal 12 4" xfId="15067" xr:uid="{00000000-0005-0000-0000-000011350000}"/>
    <cellStyle name="Normal 12 4 2" xfId="15068" xr:uid="{00000000-0005-0000-0000-000012350000}"/>
    <cellStyle name="Normal 12 4 2 2" xfId="15069" xr:uid="{00000000-0005-0000-0000-000013350000}"/>
    <cellStyle name="Normal 12 4 2 2 2" xfId="15070" xr:uid="{00000000-0005-0000-0000-000014350000}"/>
    <cellStyle name="Normal 12 4 2 2 2 2" xfId="15071" xr:uid="{00000000-0005-0000-0000-000015350000}"/>
    <cellStyle name="Normal 12 4 2 2 3" xfId="15072" xr:uid="{00000000-0005-0000-0000-000016350000}"/>
    <cellStyle name="Normal 12 4 2 2 3 2" xfId="15073" xr:uid="{00000000-0005-0000-0000-000017350000}"/>
    <cellStyle name="Normal 12 4 2 2 4" xfId="15074" xr:uid="{00000000-0005-0000-0000-000018350000}"/>
    <cellStyle name="Normal 12 4 2 2 5" xfId="15075" xr:uid="{00000000-0005-0000-0000-000019350000}"/>
    <cellStyle name="Normal 12 4 2 3" xfId="15076" xr:uid="{00000000-0005-0000-0000-00001A350000}"/>
    <cellStyle name="Normal 12 4 2 3 2" xfId="15077" xr:uid="{00000000-0005-0000-0000-00001B350000}"/>
    <cellStyle name="Normal 12 4 2 3 2 2" xfId="15078" xr:uid="{00000000-0005-0000-0000-00001C350000}"/>
    <cellStyle name="Normal 12 4 2 3 3" xfId="15079" xr:uid="{00000000-0005-0000-0000-00001D350000}"/>
    <cellStyle name="Normal 12 4 2 4" xfId="15080" xr:uid="{00000000-0005-0000-0000-00001E350000}"/>
    <cellStyle name="Normal 12 4 2 4 2" xfId="15081" xr:uid="{00000000-0005-0000-0000-00001F350000}"/>
    <cellStyle name="Normal 12 4 2 5" xfId="15082" xr:uid="{00000000-0005-0000-0000-000020350000}"/>
    <cellStyle name="Normal 12 4 2 5 2" xfId="15083" xr:uid="{00000000-0005-0000-0000-000021350000}"/>
    <cellStyle name="Normal 12 4 2 6" xfId="15084" xr:uid="{00000000-0005-0000-0000-000022350000}"/>
    <cellStyle name="Normal 12 4 3" xfId="15085" xr:uid="{00000000-0005-0000-0000-000023350000}"/>
    <cellStyle name="Normal 12 4 3 2" xfId="15086" xr:uid="{00000000-0005-0000-0000-000024350000}"/>
    <cellStyle name="Normal 12 4 3 2 2" xfId="15087" xr:uid="{00000000-0005-0000-0000-000025350000}"/>
    <cellStyle name="Normal 12 4 3 2 2 2" xfId="15088" xr:uid="{00000000-0005-0000-0000-000026350000}"/>
    <cellStyle name="Normal 12 4 3 2 3" xfId="15089" xr:uid="{00000000-0005-0000-0000-000027350000}"/>
    <cellStyle name="Normal 12 4 3 3" xfId="15090" xr:uid="{00000000-0005-0000-0000-000028350000}"/>
    <cellStyle name="Normal 12 4 3 3 2" xfId="15091" xr:uid="{00000000-0005-0000-0000-000029350000}"/>
    <cellStyle name="Normal 12 4 3 4" xfId="15092" xr:uid="{00000000-0005-0000-0000-00002A350000}"/>
    <cellStyle name="Normal 12 4 3 4 2" xfId="15093" xr:uid="{00000000-0005-0000-0000-00002B350000}"/>
    <cellStyle name="Normal 12 4 3 5" xfId="15094" xr:uid="{00000000-0005-0000-0000-00002C350000}"/>
    <cellStyle name="Normal 12 4 4" xfId="15095" xr:uid="{00000000-0005-0000-0000-00002D350000}"/>
    <cellStyle name="Normal 12 4 4 2" xfId="15096" xr:uid="{00000000-0005-0000-0000-00002E350000}"/>
    <cellStyle name="Normal 12 4 4 2 2" xfId="15097" xr:uid="{00000000-0005-0000-0000-00002F350000}"/>
    <cellStyle name="Normal 12 4 4 3" xfId="15098" xr:uid="{00000000-0005-0000-0000-000030350000}"/>
    <cellStyle name="Normal 12 4 4 3 2" xfId="15099" xr:uid="{00000000-0005-0000-0000-000031350000}"/>
    <cellStyle name="Normal 12 4 4 4" xfId="15100" xr:uid="{00000000-0005-0000-0000-000032350000}"/>
    <cellStyle name="Normal 12 4 5" xfId="15101" xr:uid="{00000000-0005-0000-0000-000033350000}"/>
    <cellStyle name="Normal 12 4 5 2" xfId="15102" xr:uid="{00000000-0005-0000-0000-000034350000}"/>
    <cellStyle name="Normal 12 4 5 2 2" xfId="15103" xr:uid="{00000000-0005-0000-0000-000035350000}"/>
    <cellStyle name="Normal 12 4 5 3" xfId="15104" xr:uid="{00000000-0005-0000-0000-000036350000}"/>
    <cellStyle name="Normal 12 4 6" xfId="15105" xr:uid="{00000000-0005-0000-0000-000037350000}"/>
    <cellStyle name="Normal 12 4 6 2" xfId="15106" xr:uid="{00000000-0005-0000-0000-000038350000}"/>
    <cellStyle name="Normal 12 4 6 3" xfId="15107" xr:uid="{00000000-0005-0000-0000-000039350000}"/>
    <cellStyle name="Normal 12 4 7" xfId="15108" xr:uid="{00000000-0005-0000-0000-00003A350000}"/>
    <cellStyle name="Normal 12 4 7 2" xfId="15109" xr:uid="{00000000-0005-0000-0000-00003B350000}"/>
    <cellStyle name="Normal 12 4 8" xfId="15110" xr:uid="{00000000-0005-0000-0000-00003C350000}"/>
    <cellStyle name="Normal 12 4 9" xfId="15111" xr:uid="{00000000-0005-0000-0000-00003D350000}"/>
    <cellStyle name="Normal 12 5" xfId="15112" xr:uid="{00000000-0005-0000-0000-00003E350000}"/>
    <cellStyle name="Normal 12 5 2" xfId="15113" xr:uid="{00000000-0005-0000-0000-00003F350000}"/>
    <cellStyle name="Normal 12 5 2 2" xfId="15114" xr:uid="{00000000-0005-0000-0000-000040350000}"/>
    <cellStyle name="Normal 12 5 2 2 2" xfId="15115" xr:uid="{00000000-0005-0000-0000-000041350000}"/>
    <cellStyle name="Normal 12 5 2 2 2 2" xfId="15116" xr:uid="{00000000-0005-0000-0000-000042350000}"/>
    <cellStyle name="Normal 12 5 2 2 3" xfId="15117" xr:uid="{00000000-0005-0000-0000-000043350000}"/>
    <cellStyle name="Normal 12 5 2 3" xfId="15118" xr:uid="{00000000-0005-0000-0000-000044350000}"/>
    <cellStyle name="Normal 12 5 2 3 2" xfId="15119" xr:uid="{00000000-0005-0000-0000-000045350000}"/>
    <cellStyle name="Normal 12 5 2 4" xfId="15120" xr:uid="{00000000-0005-0000-0000-000046350000}"/>
    <cellStyle name="Normal 12 5 2 4 2" xfId="15121" xr:uid="{00000000-0005-0000-0000-000047350000}"/>
    <cellStyle name="Normal 12 5 2 5" xfId="15122" xr:uid="{00000000-0005-0000-0000-000048350000}"/>
    <cellStyle name="Normal 12 5 3" xfId="15123" xr:uid="{00000000-0005-0000-0000-000049350000}"/>
    <cellStyle name="Normal 12 5 3 2" xfId="15124" xr:uid="{00000000-0005-0000-0000-00004A350000}"/>
    <cellStyle name="Normal 12 5 3 2 2" xfId="15125" xr:uid="{00000000-0005-0000-0000-00004B350000}"/>
    <cellStyle name="Normal 12 5 3 3" xfId="15126" xr:uid="{00000000-0005-0000-0000-00004C350000}"/>
    <cellStyle name="Normal 12 5 3 3 2" xfId="15127" xr:uid="{00000000-0005-0000-0000-00004D350000}"/>
    <cellStyle name="Normal 12 5 3 4" xfId="15128" xr:uid="{00000000-0005-0000-0000-00004E350000}"/>
    <cellStyle name="Normal 12 5 4" xfId="15129" xr:uid="{00000000-0005-0000-0000-00004F350000}"/>
    <cellStyle name="Normal 12 5 4 2" xfId="15130" xr:uid="{00000000-0005-0000-0000-000050350000}"/>
    <cellStyle name="Normal 12 5 4 2 2" xfId="15131" xr:uid="{00000000-0005-0000-0000-000051350000}"/>
    <cellStyle name="Normal 12 5 4 3" xfId="15132" xr:uid="{00000000-0005-0000-0000-000052350000}"/>
    <cellStyle name="Normal 12 5 5" xfId="15133" xr:uid="{00000000-0005-0000-0000-000053350000}"/>
    <cellStyle name="Normal 12 5 5 2" xfId="15134" xr:uid="{00000000-0005-0000-0000-000054350000}"/>
    <cellStyle name="Normal 12 5 5 3" xfId="15135" xr:uid="{00000000-0005-0000-0000-000055350000}"/>
    <cellStyle name="Normal 12 5 6" xfId="15136" xr:uid="{00000000-0005-0000-0000-000056350000}"/>
    <cellStyle name="Normal 12 5 6 2" xfId="15137" xr:uid="{00000000-0005-0000-0000-000057350000}"/>
    <cellStyle name="Normal 12 5 7" xfId="15138" xr:uid="{00000000-0005-0000-0000-000058350000}"/>
    <cellStyle name="Normal 12 5 8" xfId="15139" xr:uid="{00000000-0005-0000-0000-000059350000}"/>
    <cellStyle name="Normal 12 6" xfId="15140" xr:uid="{00000000-0005-0000-0000-00005A350000}"/>
    <cellStyle name="Normal 12 6 2" xfId="15141" xr:uid="{00000000-0005-0000-0000-00005B350000}"/>
    <cellStyle name="Normal 12 6 2 2" xfId="15142" xr:uid="{00000000-0005-0000-0000-00005C350000}"/>
    <cellStyle name="Normal 12 6 3" xfId="15143" xr:uid="{00000000-0005-0000-0000-00005D350000}"/>
    <cellStyle name="Normal 12 6 3 2" xfId="15144" xr:uid="{00000000-0005-0000-0000-00005E350000}"/>
    <cellStyle name="Normal 12 6 3 3" xfId="15145" xr:uid="{00000000-0005-0000-0000-00005F350000}"/>
    <cellStyle name="Normal 12 6 4" xfId="15146" xr:uid="{00000000-0005-0000-0000-000060350000}"/>
    <cellStyle name="Normal 12 6 4 2" xfId="15147" xr:uid="{00000000-0005-0000-0000-000061350000}"/>
    <cellStyle name="Normal 12 6 5" xfId="15148" xr:uid="{00000000-0005-0000-0000-000062350000}"/>
    <cellStyle name="Normal 12 7" xfId="15149" xr:uid="{00000000-0005-0000-0000-000063350000}"/>
    <cellStyle name="Normal 12 7 2" xfId="15150" xr:uid="{00000000-0005-0000-0000-000064350000}"/>
    <cellStyle name="Normal 12 7 2 2" xfId="15151" xr:uid="{00000000-0005-0000-0000-000065350000}"/>
    <cellStyle name="Normal 12 7 3" xfId="15152" xr:uid="{00000000-0005-0000-0000-000066350000}"/>
    <cellStyle name="Normal 12 7 3 2" xfId="15153" xr:uid="{00000000-0005-0000-0000-000067350000}"/>
    <cellStyle name="Normal 12 7 4" xfId="15154" xr:uid="{00000000-0005-0000-0000-000068350000}"/>
    <cellStyle name="Normal 12 8" xfId="15155" xr:uid="{00000000-0005-0000-0000-000069350000}"/>
    <cellStyle name="Normal 12 8 2" xfId="15156" xr:uid="{00000000-0005-0000-0000-00006A350000}"/>
    <cellStyle name="Normal 12 8 2 2" xfId="15157" xr:uid="{00000000-0005-0000-0000-00006B350000}"/>
    <cellStyle name="Normal 12 8 3" xfId="15158" xr:uid="{00000000-0005-0000-0000-00006C350000}"/>
    <cellStyle name="Normal 12 9" xfId="15159" xr:uid="{00000000-0005-0000-0000-00006D350000}"/>
    <cellStyle name="Normal 12 9 2" xfId="15160" xr:uid="{00000000-0005-0000-0000-00006E350000}"/>
    <cellStyle name="Normal 12 9 3" xfId="15161" xr:uid="{00000000-0005-0000-0000-00006F350000}"/>
    <cellStyle name="Normal 120" xfId="15162" xr:uid="{00000000-0005-0000-0000-000070350000}"/>
    <cellStyle name="Normal 120 2" xfId="15163" xr:uid="{00000000-0005-0000-0000-000071350000}"/>
    <cellStyle name="Normal 120 3" xfId="15164" xr:uid="{00000000-0005-0000-0000-000072350000}"/>
    <cellStyle name="Normal 121" xfId="15165" xr:uid="{00000000-0005-0000-0000-000073350000}"/>
    <cellStyle name="Normal 121 2" xfId="15166" xr:uid="{00000000-0005-0000-0000-000074350000}"/>
    <cellStyle name="Normal 122" xfId="15167" xr:uid="{00000000-0005-0000-0000-000075350000}"/>
    <cellStyle name="Normal 122 2" xfId="15168" xr:uid="{00000000-0005-0000-0000-000076350000}"/>
    <cellStyle name="Normal 123" xfId="15169" xr:uid="{00000000-0005-0000-0000-000077350000}"/>
    <cellStyle name="Normal 123 2" xfId="15170" xr:uid="{00000000-0005-0000-0000-000078350000}"/>
    <cellStyle name="Normal 124" xfId="15171" xr:uid="{00000000-0005-0000-0000-000079350000}"/>
    <cellStyle name="Normal 124 2" xfId="15172" xr:uid="{00000000-0005-0000-0000-00007A350000}"/>
    <cellStyle name="Normal 125" xfId="15173" xr:uid="{00000000-0005-0000-0000-00007B350000}"/>
    <cellStyle name="Normal 125 2" xfId="15174" xr:uid="{00000000-0005-0000-0000-00007C350000}"/>
    <cellStyle name="Normal 126" xfId="15175" xr:uid="{00000000-0005-0000-0000-00007D350000}"/>
    <cellStyle name="Normal 126 2" xfId="15176" xr:uid="{00000000-0005-0000-0000-00007E350000}"/>
    <cellStyle name="Normal 127" xfId="15177" xr:uid="{00000000-0005-0000-0000-00007F350000}"/>
    <cellStyle name="Normal 127 2" xfId="15178" xr:uid="{00000000-0005-0000-0000-000080350000}"/>
    <cellStyle name="Normal 128" xfId="15179" xr:uid="{00000000-0005-0000-0000-000081350000}"/>
    <cellStyle name="Normal 128 2" xfId="15180" xr:uid="{00000000-0005-0000-0000-000082350000}"/>
    <cellStyle name="Normal 129" xfId="15181" xr:uid="{00000000-0005-0000-0000-000083350000}"/>
    <cellStyle name="Normal 129 2" xfId="15182" xr:uid="{00000000-0005-0000-0000-000084350000}"/>
    <cellStyle name="Normal 13" xfId="1480" xr:uid="{00000000-0005-0000-0000-000085350000}"/>
    <cellStyle name="Normal 13 2" xfId="1479" xr:uid="{00000000-0005-0000-0000-000086350000}"/>
    <cellStyle name="Normal 13 2 2" xfId="15183" xr:uid="{00000000-0005-0000-0000-000087350000}"/>
    <cellStyle name="Normal 13 2 3" xfId="15184" xr:uid="{00000000-0005-0000-0000-000088350000}"/>
    <cellStyle name="Normal 13 3" xfId="1478" xr:uid="{00000000-0005-0000-0000-000089350000}"/>
    <cellStyle name="Normal 13 3 2" xfId="1477" xr:uid="{00000000-0005-0000-0000-00008A350000}"/>
    <cellStyle name="Normal 13 3 2 2" xfId="1476" xr:uid="{00000000-0005-0000-0000-00008B350000}"/>
    <cellStyle name="Normal 13 3 2 2 2" xfId="1475" xr:uid="{00000000-0005-0000-0000-00008C350000}"/>
    <cellStyle name="Normal 13 3 2 2 3" xfId="1474" xr:uid="{00000000-0005-0000-0000-00008D350000}"/>
    <cellStyle name="Normal 13 3 2 3" xfId="1473" xr:uid="{00000000-0005-0000-0000-00008E350000}"/>
    <cellStyle name="Normal 13 3 2 4" xfId="1472" xr:uid="{00000000-0005-0000-0000-00008F350000}"/>
    <cellStyle name="Normal 13 3 3" xfId="1471" xr:uid="{00000000-0005-0000-0000-000090350000}"/>
    <cellStyle name="Normal 13 3 3 2" xfId="1470" xr:uid="{00000000-0005-0000-0000-000091350000}"/>
    <cellStyle name="Normal 13 3 3 3" xfId="1469" xr:uid="{00000000-0005-0000-0000-000092350000}"/>
    <cellStyle name="Normal 13 3 4" xfId="1468" xr:uid="{00000000-0005-0000-0000-000093350000}"/>
    <cellStyle name="Normal 13 3 4 2" xfId="1467" xr:uid="{00000000-0005-0000-0000-000094350000}"/>
    <cellStyle name="Normal 13 3 4 3" xfId="1466" xr:uid="{00000000-0005-0000-0000-000095350000}"/>
    <cellStyle name="Normal 13 3 5" xfId="1465" xr:uid="{00000000-0005-0000-0000-000096350000}"/>
    <cellStyle name="Normal 13 3 6" xfId="1464" xr:uid="{00000000-0005-0000-0000-000097350000}"/>
    <cellStyle name="Normal 13 4" xfId="15185" xr:uid="{00000000-0005-0000-0000-000098350000}"/>
    <cellStyle name="Normal 13 5" xfId="15186" xr:uid="{00000000-0005-0000-0000-000099350000}"/>
    <cellStyle name="Normal 130" xfId="15187" xr:uid="{00000000-0005-0000-0000-00009A350000}"/>
    <cellStyle name="Normal 130 2" xfId="15188" xr:uid="{00000000-0005-0000-0000-00009B350000}"/>
    <cellStyle name="Normal 131" xfId="15189" xr:uid="{00000000-0005-0000-0000-00009C350000}"/>
    <cellStyle name="Normal 131 2" xfId="15190" xr:uid="{00000000-0005-0000-0000-00009D350000}"/>
    <cellStyle name="Normal 132" xfId="15191" xr:uid="{00000000-0005-0000-0000-00009E350000}"/>
    <cellStyle name="Normal 132 2" xfId="15192" xr:uid="{00000000-0005-0000-0000-00009F350000}"/>
    <cellStyle name="Normal 133" xfId="15193" xr:uid="{00000000-0005-0000-0000-0000A0350000}"/>
    <cellStyle name="Normal 133 2" xfId="15194" xr:uid="{00000000-0005-0000-0000-0000A1350000}"/>
    <cellStyle name="Normal 134" xfId="15195" xr:uid="{00000000-0005-0000-0000-0000A2350000}"/>
    <cellStyle name="Normal 134 2" xfId="15196" xr:uid="{00000000-0005-0000-0000-0000A3350000}"/>
    <cellStyle name="Normal 135" xfId="15197" xr:uid="{00000000-0005-0000-0000-0000A4350000}"/>
    <cellStyle name="Normal 135 2" xfId="15198" xr:uid="{00000000-0005-0000-0000-0000A5350000}"/>
    <cellStyle name="Normal 136" xfId="15199" xr:uid="{00000000-0005-0000-0000-0000A6350000}"/>
    <cellStyle name="Normal 136 2" xfId="15200" xr:uid="{00000000-0005-0000-0000-0000A7350000}"/>
    <cellStyle name="Normal 137" xfId="15201" xr:uid="{00000000-0005-0000-0000-0000A8350000}"/>
    <cellStyle name="Normal 137 2" xfId="15202" xr:uid="{00000000-0005-0000-0000-0000A9350000}"/>
    <cellStyle name="Normal 138" xfId="15203" xr:uid="{00000000-0005-0000-0000-0000AA350000}"/>
    <cellStyle name="Normal 138 2" xfId="15204" xr:uid="{00000000-0005-0000-0000-0000AB350000}"/>
    <cellStyle name="Normal 139" xfId="15205" xr:uid="{00000000-0005-0000-0000-0000AC350000}"/>
    <cellStyle name="Normal 139 2" xfId="15206" xr:uid="{00000000-0005-0000-0000-0000AD350000}"/>
    <cellStyle name="Normal 14" xfId="1463" xr:uid="{00000000-0005-0000-0000-0000AE350000}"/>
    <cellStyle name="Normal 14 10" xfId="15207" xr:uid="{00000000-0005-0000-0000-0000AF350000}"/>
    <cellStyle name="Normal 14 11" xfId="15208" xr:uid="{00000000-0005-0000-0000-0000B0350000}"/>
    <cellStyle name="Normal 14 2" xfId="1462" xr:uid="{00000000-0005-0000-0000-0000B1350000}"/>
    <cellStyle name="Normal 14 2 2" xfId="1461" xr:uid="{00000000-0005-0000-0000-0000B2350000}"/>
    <cellStyle name="Normal 14 2 2 2" xfId="1460" xr:uid="{00000000-0005-0000-0000-0000B3350000}"/>
    <cellStyle name="Normal 14 2 2 2 2" xfId="1459" xr:uid="{00000000-0005-0000-0000-0000B4350000}"/>
    <cellStyle name="Normal 14 2 2 2 3" xfId="1458" xr:uid="{00000000-0005-0000-0000-0000B5350000}"/>
    <cellStyle name="Normal 14 2 2 3" xfId="1457" xr:uid="{00000000-0005-0000-0000-0000B6350000}"/>
    <cellStyle name="Normal 14 2 2 3 2" xfId="15209" xr:uid="{00000000-0005-0000-0000-0000B7350000}"/>
    <cellStyle name="Normal 14 2 2 4" xfId="1456" xr:uid="{00000000-0005-0000-0000-0000B8350000}"/>
    <cellStyle name="Normal 14 2 2 4 2" xfId="15210" xr:uid="{00000000-0005-0000-0000-0000B9350000}"/>
    <cellStyle name="Normal 14 2 2 5" xfId="15211" xr:uid="{00000000-0005-0000-0000-0000BA350000}"/>
    <cellStyle name="Normal 14 2 3" xfId="1455" xr:uid="{00000000-0005-0000-0000-0000BB350000}"/>
    <cellStyle name="Normal 14 2 3 2" xfId="1454" xr:uid="{00000000-0005-0000-0000-0000BC350000}"/>
    <cellStyle name="Normal 14 2 3 2 2" xfId="15212" xr:uid="{00000000-0005-0000-0000-0000BD350000}"/>
    <cellStyle name="Normal 14 2 3 3" xfId="1453" xr:uid="{00000000-0005-0000-0000-0000BE350000}"/>
    <cellStyle name="Normal 14 2 3 3 2" xfId="15213" xr:uid="{00000000-0005-0000-0000-0000BF350000}"/>
    <cellStyle name="Normal 14 2 3 3 3" xfId="15214" xr:uid="{00000000-0005-0000-0000-0000C0350000}"/>
    <cellStyle name="Normal 14 2 3 3 3 2" xfId="15215" xr:uid="{00000000-0005-0000-0000-0000C1350000}"/>
    <cellStyle name="Normal 14 2 3 4" xfId="15216" xr:uid="{00000000-0005-0000-0000-0000C2350000}"/>
    <cellStyle name="Normal 14 2 3 4 2" xfId="15217" xr:uid="{00000000-0005-0000-0000-0000C3350000}"/>
    <cellStyle name="Normal 14 2 3 5" xfId="15218" xr:uid="{00000000-0005-0000-0000-0000C4350000}"/>
    <cellStyle name="Normal 14 2 3 5 2" xfId="15219" xr:uid="{00000000-0005-0000-0000-0000C5350000}"/>
    <cellStyle name="Normal 14 2 3 6" xfId="15220" xr:uid="{00000000-0005-0000-0000-0000C6350000}"/>
    <cellStyle name="Normal 14 2 4" xfId="1452" xr:uid="{00000000-0005-0000-0000-0000C7350000}"/>
    <cellStyle name="Normal 14 2 4 2" xfId="1451" xr:uid="{00000000-0005-0000-0000-0000C8350000}"/>
    <cellStyle name="Normal 14 2 4 2 2" xfId="15221" xr:uid="{00000000-0005-0000-0000-0000C9350000}"/>
    <cellStyle name="Normal 14 2 4 3" xfId="1450" xr:uid="{00000000-0005-0000-0000-0000CA350000}"/>
    <cellStyle name="Normal 14 2 4 3 2" xfId="15222" xr:uid="{00000000-0005-0000-0000-0000CB350000}"/>
    <cellStyle name="Normal 14 2 4 4" xfId="15223" xr:uid="{00000000-0005-0000-0000-0000CC350000}"/>
    <cellStyle name="Normal 14 2 4 5" xfId="15224" xr:uid="{00000000-0005-0000-0000-0000CD350000}"/>
    <cellStyle name="Normal 14 2 5" xfId="1449" xr:uid="{00000000-0005-0000-0000-0000CE350000}"/>
    <cellStyle name="Normal 14 2 5 2" xfId="15225" xr:uid="{00000000-0005-0000-0000-0000CF350000}"/>
    <cellStyle name="Normal 14 2 5 2 2" xfId="15226" xr:uid="{00000000-0005-0000-0000-0000D0350000}"/>
    <cellStyle name="Normal 14 2 5 3" xfId="15227" xr:uid="{00000000-0005-0000-0000-0000D1350000}"/>
    <cellStyle name="Normal 14 2 5 3 2" xfId="15228" xr:uid="{00000000-0005-0000-0000-0000D2350000}"/>
    <cellStyle name="Normal 14 2 5 4" xfId="15229" xr:uid="{00000000-0005-0000-0000-0000D3350000}"/>
    <cellStyle name="Normal 14 2 6" xfId="1448" xr:uid="{00000000-0005-0000-0000-0000D4350000}"/>
    <cellStyle name="Normal 14 2 6 2" xfId="15230" xr:uid="{00000000-0005-0000-0000-0000D5350000}"/>
    <cellStyle name="Normal 14 2 7" xfId="15231" xr:uid="{00000000-0005-0000-0000-0000D6350000}"/>
    <cellStyle name="Normal 14 3" xfId="1447" xr:uid="{00000000-0005-0000-0000-0000D7350000}"/>
    <cellStyle name="Normal 14 3 2" xfId="15232" xr:uid="{00000000-0005-0000-0000-0000D8350000}"/>
    <cellStyle name="Normal 14 3 2 2" xfId="15233" xr:uid="{00000000-0005-0000-0000-0000D9350000}"/>
    <cellStyle name="Normal 14 3 2 2 2" xfId="15234" xr:uid="{00000000-0005-0000-0000-0000DA350000}"/>
    <cellStyle name="Normal 14 3 2 3" xfId="15235" xr:uid="{00000000-0005-0000-0000-0000DB350000}"/>
    <cellStyle name="Normal 14 3 2 3 2" xfId="15236" xr:uid="{00000000-0005-0000-0000-0000DC350000}"/>
    <cellStyle name="Normal 14 3 2 4" xfId="15237" xr:uid="{00000000-0005-0000-0000-0000DD350000}"/>
    <cellStyle name="Normal 14 3 3" xfId="15238" xr:uid="{00000000-0005-0000-0000-0000DE350000}"/>
    <cellStyle name="Normal 14 3 3 2" xfId="15239" xr:uid="{00000000-0005-0000-0000-0000DF350000}"/>
    <cellStyle name="Normal 14 3 3 2 2" xfId="15240" xr:uid="{00000000-0005-0000-0000-0000E0350000}"/>
    <cellStyle name="Normal 14 3 3 3" xfId="15241" xr:uid="{00000000-0005-0000-0000-0000E1350000}"/>
    <cellStyle name="Normal 14 3 3 3 2" xfId="15242" xr:uid="{00000000-0005-0000-0000-0000E2350000}"/>
    <cellStyle name="Normal 14 3 3 4" xfId="15243" xr:uid="{00000000-0005-0000-0000-0000E3350000}"/>
    <cellStyle name="Normal 14 3 3 5" xfId="15244" xr:uid="{00000000-0005-0000-0000-0000E4350000}"/>
    <cellStyle name="Normal 14 3 3 5 2" xfId="15245" xr:uid="{00000000-0005-0000-0000-0000E5350000}"/>
    <cellStyle name="Normal 14 3 3 6" xfId="15246" xr:uid="{00000000-0005-0000-0000-0000E6350000}"/>
    <cellStyle name="Normal 14 3 4" xfId="15247" xr:uid="{00000000-0005-0000-0000-0000E7350000}"/>
    <cellStyle name="Normal 14 3 4 2" xfId="15248" xr:uid="{00000000-0005-0000-0000-0000E8350000}"/>
    <cellStyle name="Normal 14 3 4 2 2" xfId="15249" xr:uid="{00000000-0005-0000-0000-0000E9350000}"/>
    <cellStyle name="Normal 14 3 5" xfId="15250" xr:uid="{00000000-0005-0000-0000-0000EA350000}"/>
    <cellStyle name="Normal 14 3 5 2" xfId="15251" xr:uid="{00000000-0005-0000-0000-0000EB350000}"/>
    <cellStyle name="Normal 14 3 6" xfId="15252" xr:uid="{00000000-0005-0000-0000-0000EC350000}"/>
    <cellStyle name="Normal 14 4" xfId="15253" xr:uid="{00000000-0005-0000-0000-0000ED350000}"/>
    <cellStyle name="Normal 14 4 2" xfId="15254" xr:uid="{00000000-0005-0000-0000-0000EE350000}"/>
    <cellStyle name="Normal 14 4 2 2" xfId="15255" xr:uid="{00000000-0005-0000-0000-0000EF350000}"/>
    <cellStyle name="Normal 14 4 2 2 2" xfId="15256" xr:uid="{00000000-0005-0000-0000-0000F0350000}"/>
    <cellStyle name="Normal 14 4 2 2 2 2" xfId="15257" xr:uid="{00000000-0005-0000-0000-0000F1350000}"/>
    <cellStyle name="Normal 14 4 2 3" xfId="15258" xr:uid="{00000000-0005-0000-0000-0000F2350000}"/>
    <cellStyle name="Normal 14 4 2 3 2" xfId="15259" xr:uid="{00000000-0005-0000-0000-0000F3350000}"/>
    <cellStyle name="Normal 14 4 2 4" xfId="15260" xr:uid="{00000000-0005-0000-0000-0000F4350000}"/>
    <cellStyle name="Normal 14 4 2 5" xfId="15261" xr:uid="{00000000-0005-0000-0000-0000F5350000}"/>
    <cellStyle name="Normal 14 4 3" xfId="15262" xr:uid="{00000000-0005-0000-0000-0000F6350000}"/>
    <cellStyle name="Normal 14 4 3 2" xfId="15263" xr:uid="{00000000-0005-0000-0000-0000F7350000}"/>
    <cellStyle name="Normal 14 4 3 2 2" xfId="15264" xr:uid="{00000000-0005-0000-0000-0000F8350000}"/>
    <cellStyle name="Normal 14 4 3 3" xfId="15265" xr:uid="{00000000-0005-0000-0000-0000F9350000}"/>
    <cellStyle name="Normal 14 4 4" xfId="15266" xr:uid="{00000000-0005-0000-0000-0000FA350000}"/>
    <cellStyle name="Normal 14 4 4 2" xfId="15267" xr:uid="{00000000-0005-0000-0000-0000FB350000}"/>
    <cellStyle name="Normal 14 4 4 2 2" xfId="15268" xr:uid="{00000000-0005-0000-0000-0000FC350000}"/>
    <cellStyle name="Normal 14 4 4 3" xfId="15269" xr:uid="{00000000-0005-0000-0000-0000FD350000}"/>
    <cellStyle name="Normal 14 4 5" xfId="15270" xr:uid="{00000000-0005-0000-0000-0000FE350000}"/>
    <cellStyle name="Normal 14 4 5 2" xfId="15271" xr:uid="{00000000-0005-0000-0000-0000FF350000}"/>
    <cellStyle name="Normal 14 4 5 2 2" xfId="15272" xr:uid="{00000000-0005-0000-0000-000000360000}"/>
    <cellStyle name="Normal 14 4 5 3" xfId="15273" xr:uid="{00000000-0005-0000-0000-000001360000}"/>
    <cellStyle name="Normal 14 4 6" xfId="15274" xr:uid="{00000000-0005-0000-0000-000002360000}"/>
    <cellStyle name="Normal 14 4 6 2" xfId="15275" xr:uid="{00000000-0005-0000-0000-000003360000}"/>
    <cellStyle name="Normal 14 4 6 2 2" xfId="15276" xr:uid="{00000000-0005-0000-0000-000004360000}"/>
    <cellStyle name="Normal 14 4 7" xfId="15277" xr:uid="{00000000-0005-0000-0000-000005360000}"/>
    <cellStyle name="Normal 14 5" xfId="15278" xr:uid="{00000000-0005-0000-0000-000006360000}"/>
    <cellStyle name="Normal 14 5 2" xfId="15279" xr:uid="{00000000-0005-0000-0000-000007360000}"/>
    <cellStyle name="Normal 14 5 2 2" xfId="15280" xr:uid="{00000000-0005-0000-0000-000008360000}"/>
    <cellStyle name="Normal 14 5 2 2 2" xfId="15281" xr:uid="{00000000-0005-0000-0000-000009360000}"/>
    <cellStyle name="Normal 14 5 3" xfId="15282" xr:uid="{00000000-0005-0000-0000-00000A360000}"/>
    <cellStyle name="Normal 14 5 4" xfId="15283" xr:uid="{00000000-0005-0000-0000-00000B360000}"/>
    <cellStyle name="Normal 14 6" xfId="15284" xr:uid="{00000000-0005-0000-0000-00000C360000}"/>
    <cellStyle name="Normal 14 6 2" xfId="15285" xr:uid="{00000000-0005-0000-0000-00000D360000}"/>
    <cellStyle name="Normal 14 7" xfId="15286" xr:uid="{00000000-0005-0000-0000-00000E360000}"/>
    <cellStyle name="Normal 14 7 2" xfId="15287" xr:uid="{00000000-0005-0000-0000-00000F360000}"/>
    <cellStyle name="Normal 14 8" xfId="15288" xr:uid="{00000000-0005-0000-0000-000010360000}"/>
    <cellStyle name="Normal 14 8 2" xfId="15289" xr:uid="{00000000-0005-0000-0000-000011360000}"/>
    <cellStyle name="Normal 14 9" xfId="15290" xr:uid="{00000000-0005-0000-0000-000012360000}"/>
    <cellStyle name="Normal 14 9 2" xfId="15291" xr:uid="{00000000-0005-0000-0000-000013360000}"/>
    <cellStyle name="Normal 140" xfId="15292" xr:uid="{00000000-0005-0000-0000-000014360000}"/>
    <cellStyle name="Normal 140 2" xfId="15293" xr:uid="{00000000-0005-0000-0000-000015360000}"/>
    <cellStyle name="Normal 141" xfId="15294" xr:uid="{00000000-0005-0000-0000-000016360000}"/>
    <cellStyle name="Normal 141 2" xfId="15295" xr:uid="{00000000-0005-0000-0000-000017360000}"/>
    <cellStyle name="Normal 142" xfId="15296" xr:uid="{00000000-0005-0000-0000-000018360000}"/>
    <cellStyle name="Normal 142 2" xfId="15297" xr:uid="{00000000-0005-0000-0000-000019360000}"/>
    <cellStyle name="Normal 143" xfId="15298" xr:uid="{00000000-0005-0000-0000-00001A360000}"/>
    <cellStyle name="Normal 143 2" xfId="15299" xr:uid="{00000000-0005-0000-0000-00001B360000}"/>
    <cellStyle name="Normal 144" xfId="15300" xr:uid="{00000000-0005-0000-0000-00001C360000}"/>
    <cellStyle name="Normal 144 2" xfId="15301" xr:uid="{00000000-0005-0000-0000-00001D360000}"/>
    <cellStyle name="Normal 145" xfId="15302" xr:uid="{00000000-0005-0000-0000-00001E360000}"/>
    <cellStyle name="Normal 145 2" xfId="15303" xr:uid="{00000000-0005-0000-0000-00001F360000}"/>
    <cellStyle name="Normal 146" xfId="15304" xr:uid="{00000000-0005-0000-0000-000020360000}"/>
    <cellStyle name="Normal 146 2" xfId="15305" xr:uid="{00000000-0005-0000-0000-000021360000}"/>
    <cellStyle name="Normal 147" xfId="15306" xr:uid="{00000000-0005-0000-0000-000022360000}"/>
    <cellStyle name="Normal 147 2" xfId="15307" xr:uid="{00000000-0005-0000-0000-000023360000}"/>
    <cellStyle name="Normal 148" xfId="15308" xr:uid="{00000000-0005-0000-0000-000024360000}"/>
    <cellStyle name="Normal 148 2" xfId="15309" xr:uid="{00000000-0005-0000-0000-000025360000}"/>
    <cellStyle name="Normal 149" xfId="15310" xr:uid="{00000000-0005-0000-0000-000026360000}"/>
    <cellStyle name="Normal 149 2" xfId="15311" xr:uid="{00000000-0005-0000-0000-000027360000}"/>
    <cellStyle name="Normal 15" xfId="1446" xr:uid="{00000000-0005-0000-0000-000028360000}"/>
    <cellStyle name="Normal 15 10" xfId="15312" xr:uid="{00000000-0005-0000-0000-000029360000}"/>
    <cellStyle name="Normal 15 11" xfId="15313" xr:uid="{00000000-0005-0000-0000-00002A360000}"/>
    <cellStyle name="Normal 15 2" xfId="1445" xr:uid="{00000000-0005-0000-0000-00002B360000}"/>
    <cellStyle name="Normal 15 2 2" xfId="1444" xr:uid="{00000000-0005-0000-0000-00002C360000}"/>
    <cellStyle name="Normal 15 2 2 2" xfId="1443" xr:uid="{00000000-0005-0000-0000-00002D360000}"/>
    <cellStyle name="Normal 15 2 2 2 2" xfId="1442" xr:uid="{00000000-0005-0000-0000-00002E360000}"/>
    <cellStyle name="Normal 15 2 2 2 3" xfId="1441" xr:uid="{00000000-0005-0000-0000-00002F360000}"/>
    <cellStyle name="Normal 15 2 2 3" xfId="1440" xr:uid="{00000000-0005-0000-0000-000030360000}"/>
    <cellStyle name="Normal 15 2 2 3 2" xfId="15314" xr:uid="{00000000-0005-0000-0000-000031360000}"/>
    <cellStyle name="Normal 15 2 2 4" xfId="1439" xr:uid="{00000000-0005-0000-0000-000032360000}"/>
    <cellStyle name="Normal 15 2 3" xfId="1438" xr:uid="{00000000-0005-0000-0000-000033360000}"/>
    <cellStyle name="Normal 15 2 3 2" xfId="1437" xr:uid="{00000000-0005-0000-0000-000034360000}"/>
    <cellStyle name="Normal 15 2 3 2 2" xfId="15315" xr:uid="{00000000-0005-0000-0000-000035360000}"/>
    <cellStyle name="Normal 15 2 3 3" xfId="1436" xr:uid="{00000000-0005-0000-0000-000036360000}"/>
    <cellStyle name="Normal 15 2 3 3 2" xfId="15316" xr:uid="{00000000-0005-0000-0000-000037360000}"/>
    <cellStyle name="Normal 15 2 3 4" xfId="15317" xr:uid="{00000000-0005-0000-0000-000038360000}"/>
    <cellStyle name="Normal 15 2 4" xfId="1435" xr:uid="{00000000-0005-0000-0000-000039360000}"/>
    <cellStyle name="Normal 15 2 4 2" xfId="1434" xr:uid="{00000000-0005-0000-0000-00003A360000}"/>
    <cellStyle name="Normal 15 2 4 2 2" xfId="15318" xr:uid="{00000000-0005-0000-0000-00003B360000}"/>
    <cellStyle name="Normal 15 2 4 3" xfId="1433" xr:uid="{00000000-0005-0000-0000-00003C360000}"/>
    <cellStyle name="Normal 15 2 5" xfId="1432" xr:uid="{00000000-0005-0000-0000-00003D360000}"/>
    <cellStyle name="Normal 15 2 5 2" xfId="15319" xr:uid="{00000000-0005-0000-0000-00003E360000}"/>
    <cellStyle name="Normal 15 2 6" xfId="1431" xr:uid="{00000000-0005-0000-0000-00003F360000}"/>
    <cellStyle name="Normal 15 2 6 2" xfId="15320" xr:uid="{00000000-0005-0000-0000-000040360000}"/>
    <cellStyle name="Normal 15 2 7" xfId="15321" xr:uid="{00000000-0005-0000-0000-000041360000}"/>
    <cellStyle name="Normal 15 3" xfId="15322" xr:uid="{00000000-0005-0000-0000-000042360000}"/>
    <cellStyle name="Normal 15 3 2" xfId="15323" xr:uid="{00000000-0005-0000-0000-000043360000}"/>
    <cellStyle name="Normal 15 3 2 2" xfId="15324" xr:uid="{00000000-0005-0000-0000-000044360000}"/>
    <cellStyle name="Normal 15 3 2 2 2" xfId="15325" xr:uid="{00000000-0005-0000-0000-000045360000}"/>
    <cellStyle name="Normal 15 3 2 3" xfId="15326" xr:uid="{00000000-0005-0000-0000-000046360000}"/>
    <cellStyle name="Normal 15 3 2 3 2" xfId="15327" xr:uid="{00000000-0005-0000-0000-000047360000}"/>
    <cellStyle name="Normal 15 3 2 4" xfId="15328" xr:uid="{00000000-0005-0000-0000-000048360000}"/>
    <cellStyle name="Normal 15 3 3" xfId="15329" xr:uid="{00000000-0005-0000-0000-000049360000}"/>
    <cellStyle name="Normal 15 3 3 2" xfId="15330" xr:uid="{00000000-0005-0000-0000-00004A360000}"/>
    <cellStyle name="Normal 15 3 3 2 2" xfId="15331" xr:uid="{00000000-0005-0000-0000-00004B360000}"/>
    <cellStyle name="Normal 15 3 3 3" xfId="15332" xr:uid="{00000000-0005-0000-0000-00004C360000}"/>
    <cellStyle name="Normal 15 3 3 3 2" xfId="15333" xr:uid="{00000000-0005-0000-0000-00004D360000}"/>
    <cellStyle name="Normal 15 3 3 4" xfId="15334" xr:uid="{00000000-0005-0000-0000-00004E360000}"/>
    <cellStyle name="Normal 15 3 4" xfId="15335" xr:uid="{00000000-0005-0000-0000-00004F360000}"/>
    <cellStyle name="Normal 15 3 4 2" xfId="15336" xr:uid="{00000000-0005-0000-0000-000050360000}"/>
    <cellStyle name="Normal 15 3 4 2 2" xfId="15337" xr:uid="{00000000-0005-0000-0000-000051360000}"/>
    <cellStyle name="Normal 15 3 5" xfId="15338" xr:uid="{00000000-0005-0000-0000-000052360000}"/>
    <cellStyle name="Normal 15 3 5 2" xfId="15339" xr:uid="{00000000-0005-0000-0000-000053360000}"/>
    <cellStyle name="Normal 15 3 6" xfId="15340" xr:uid="{00000000-0005-0000-0000-000054360000}"/>
    <cellStyle name="Normal 15 4" xfId="15341" xr:uid="{00000000-0005-0000-0000-000055360000}"/>
    <cellStyle name="Normal 15 4 2" xfId="15342" xr:uid="{00000000-0005-0000-0000-000056360000}"/>
    <cellStyle name="Normal 15 4 2 2" xfId="15343" xr:uid="{00000000-0005-0000-0000-000057360000}"/>
    <cellStyle name="Normal 15 4 2 2 2" xfId="15344" xr:uid="{00000000-0005-0000-0000-000058360000}"/>
    <cellStyle name="Normal 15 4 2 2 2 2" xfId="15345" xr:uid="{00000000-0005-0000-0000-000059360000}"/>
    <cellStyle name="Normal 15 4 2 3" xfId="15346" xr:uid="{00000000-0005-0000-0000-00005A360000}"/>
    <cellStyle name="Normal 15 4 2 3 2" xfId="15347" xr:uid="{00000000-0005-0000-0000-00005B360000}"/>
    <cellStyle name="Normal 15 4 2 4" xfId="15348" xr:uid="{00000000-0005-0000-0000-00005C360000}"/>
    <cellStyle name="Normal 15 4 2 5" xfId="15349" xr:uid="{00000000-0005-0000-0000-00005D360000}"/>
    <cellStyle name="Normal 15 4 3" xfId="15350" xr:uid="{00000000-0005-0000-0000-00005E360000}"/>
    <cellStyle name="Normal 15 4 3 2" xfId="15351" xr:uid="{00000000-0005-0000-0000-00005F360000}"/>
    <cellStyle name="Normal 15 4 3 2 2" xfId="15352" xr:uid="{00000000-0005-0000-0000-000060360000}"/>
    <cellStyle name="Normal 15 4 3 3" xfId="15353" xr:uid="{00000000-0005-0000-0000-000061360000}"/>
    <cellStyle name="Normal 15 4 4" xfId="15354" xr:uid="{00000000-0005-0000-0000-000062360000}"/>
    <cellStyle name="Normal 15 4 4 2" xfId="15355" xr:uid="{00000000-0005-0000-0000-000063360000}"/>
    <cellStyle name="Normal 15 4 4 2 2" xfId="15356" xr:uid="{00000000-0005-0000-0000-000064360000}"/>
    <cellStyle name="Normal 15 4 4 3" xfId="15357" xr:uid="{00000000-0005-0000-0000-000065360000}"/>
    <cellStyle name="Normal 15 4 5" xfId="15358" xr:uid="{00000000-0005-0000-0000-000066360000}"/>
    <cellStyle name="Normal 15 4 5 2" xfId="15359" xr:uid="{00000000-0005-0000-0000-000067360000}"/>
    <cellStyle name="Normal 15 4 5 2 2" xfId="15360" xr:uid="{00000000-0005-0000-0000-000068360000}"/>
    <cellStyle name="Normal 15 4 5 3" xfId="15361" xr:uid="{00000000-0005-0000-0000-000069360000}"/>
    <cellStyle name="Normal 15 4 6" xfId="15362" xr:uid="{00000000-0005-0000-0000-00006A360000}"/>
    <cellStyle name="Normal 15 4 6 2" xfId="15363" xr:uid="{00000000-0005-0000-0000-00006B360000}"/>
    <cellStyle name="Normal 15 4 6 2 2" xfId="15364" xr:uid="{00000000-0005-0000-0000-00006C360000}"/>
    <cellStyle name="Normal 15 4 7" xfId="15365" xr:uid="{00000000-0005-0000-0000-00006D360000}"/>
    <cellStyle name="Normal 15 5" xfId="15366" xr:uid="{00000000-0005-0000-0000-00006E360000}"/>
    <cellStyle name="Normal 15 5 2" xfId="15367" xr:uid="{00000000-0005-0000-0000-00006F360000}"/>
    <cellStyle name="Normal 15 5 2 2" xfId="15368" xr:uid="{00000000-0005-0000-0000-000070360000}"/>
    <cellStyle name="Normal 15 5 3" xfId="15369" xr:uid="{00000000-0005-0000-0000-000071360000}"/>
    <cellStyle name="Normal 15 6" xfId="15370" xr:uid="{00000000-0005-0000-0000-000072360000}"/>
    <cellStyle name="Normal 15 6 2" xfId="15371" xr:uid="{00000000-0005-0000-0000-000073360000}"/>
    <cellStyle name="Normal 15 7" xfId="15372" xr:uid="{00000000-0005-0000-0000-000074360000}"/>
    <cellStyle name="Normal 15 7 2" xfId="15373" xr:uid="{00000000-0005-0000-0000-000075360000}"/>
    <cellStyle name="Normal 15 8" xfId="15374" xr:uid="{00000000-0005-0000-0000-000076360000}"/>
    <cellStyle name="Normal 15 8 2" xfId="15375" xr:uid="{00000000-0005-0000-0000-000077360000}"/>
    <cellStyle name="Normal 15 9" xfId="15376" xr:uid="{00000000-0005-0000-0000-000078360000}"/>
    <cellStyle name="Normal 150" xfId="15377" xr:uid="{00000000-0005-0000-0000-000079360000}"/>
    <cellStyle name="Normal 150 2" xfId="15378" xr:uid="{00000000-0005-0000-0000-00007A360000}"/>
    <cellStyle name="Normal 151" xfId="15379" xr:uid="{00000000-0005-0000-0000-00007B360000}"/>
    <cellStyle name="Normal 151 2" xfId="15380" xr:uid="{00000000-0005-0000-0000-00007C360000}"/>
    <cellStyle name="Normal 152" xfId="15381" xr:uid="{00000000-0005-0000-0000-00007D360000}"/>
    <cellStyle name="Normal 152 2" xfId="15382" xr:uid="{00000000-0005-0000-0000-00007E360000}"/>
    <cellStyle name="Normal 153" xfId="15383" xr:uid="{00000000-0005-0000-0000-00007F360000}"/>
    <cellStyle name="Normal 153 2" xfId="15384" xr:uid="{00000000-0005-0000-0000-000080360000}"/>
    <cellStyle name="Normal 154" xfId="15385" xr:uid="{00000000-0005-0000-0000-000081360000}"/>
    <cellStyle name="Normal 154 2" xfId="15386" xr:uid="{00000000-0005-0000-0000-000082360000}"/>
    <cellStyle name="Normal 155" xfId="15387" xr:uid="{00000000-0005-0000-0000-000083360000}"/>
    <cellStyle name="Normal 155 2" xfId="15388" xr:uid="{00000000-0005-0000-0000-000084360000}"/>
    <cellStyle name="Normal 156" xfId="15389" xr:uid="{00000000-0005-0000-0000-000085360000}"/>
    <cellStyle name="Normal 156 2" xfId="15390" xr:uid="{00000000-0005-0000-0000-000086360000}"/>
    <cellStyle name="Normal 157" xfId="15391" xr:uid="{00000000-0005-0000-0000-000087360000}"/>
    <cellStyle name="Normal 158" xfId="15392" xr:uid="{00000000-0005-0000-0000-000088360000}"/>
    <cellStyle name="Normal 159" xfId="15393" xr:uid="{00000000-0005-0000-0000-000089360000}"/>
    <cellStyle name="Normal 16" xfId="1430" xr:uid="{00000000-0005-0000-0000-00008A360000}"/>
    <cellStyle name="Normal 16 10" xfId="15394" xr:uid="{00000000-0005-0000-0000-00008B360000}"/>
    <cellStyle name="Normal 16 11" xfId="15395" xr:uid="{00000000-0005-0000-0000-00008C360000}"/>
    <cellStyle name="Normal 16 12" xfId="15396" xr:uid="{00000000-0005-0000-0000-00008D360000}"/>
    <cellStyle name="Normal 16 2" xfId="1429" xr:uid="{00000000-0005-0000-0000-00008E360000}"/>
    <cellStyle name="Normal 16 2 2" xfId="15397" xr:uid="{00000000-0005-0000-0000-00008F360000}"/>
    <cellStyle name="Normal 16 2 2 2" xfId="15398" xr:uid="{00000000-0005-0000-0000-000090360000}"/>
    <cellStyle name="Normal 16 2 3" xfId="15399" xr:uid="{00000000-0005-0000-0000-000091360000}"/>
    <cellStyle name="Normal 16 2 3 2" xfId="15400" xr:uid="{00000000-0005-0000-0000-000092360000}"/>
    <cellStyle name="Normal 16 2 4" xfId="15401" xr:uid="{00000000-0005-0000-0000-000093360000}"/>
    <cellStyle name="Normal 16 2 4 2" xfId="15402" xr:uid="{00000000-0005-0000-0000-000094360000}"/>
    <cellStyle name="Normal 16 2 5" xfId="15403" xr:uid="{00000000-0005-0000-0000-000095360000}"/>
    <cellStyle name="Normal 16 2 5 2" xfId="15404" xr:uid="{00000000-0005-0000-0000-000096360000}"/>
    <cellStyle name="Normal 16 2 6" xfId="15405" xr:uid="{00000000-0005-0000-0000-000097360000}"/>
    <cellStyle name="Normal 16 3" xfId="1428" xr:uid="{00000000-0005-0000-0000-000098360000}"/>
    <cellStyle name="Normal 16 3 2" xfId="15406" xr:uid="{00000000-0005-0000-0000-000099360000}"/>
    <cellStyle name="Normal 16 3 2 2" xfId="15407" xr:uid="{00000000-0005-0000-0000-00009A360000}"/>
    <cellStyle name="Normal 16 3 2 2 2" xfId="15408" xr:uid="{00000000-0005-0000-0000-00009B360000}"/>
    <cellStyle name="Normal 16 3 2 3" xfId="15409" xr:uid="{00000000-0005-0000-0000-00009C360000}"/>
    <cellStyle name="Normal 16 3 2 3 2" xfId="15410" xr:uid="{00000000-0005-0000-0000-00009D360000}"/>
    <cellStyle name="Normal 16 3 2 4" xfId="15411" xr:uid="{00000000-0005-0000-0000-00009E360000}"/>
    <cellStyle name="Normal 16 3 2 4 2" xfId="15412" xr:uid="{00000000-0005-0000-0000-00009F360000}"/>
    <cellStyle name="Normal 16 3 2 5" xfId="15413" xr:uid="{00000000-0005-0000-0000-0000A0360000}"/>
    <cellStyle name="Normal 16 3 3" xfId="15414" xr:uid="{00000000-0005-0000-0000-0000A1360000}"/>
    <cellStyle name="Normal 16 3 3 2" xfId="15415" xr:uid="{00000000-0005-0000-0000-0000A2360000}"/>
    <cellStyle name="Normal 16 3 3 2 2" xfId="15416" xr:uid="{00000000-0005-0000-0000-0000A3360000}"/>
    <cellStyle name="Normal 16 3 3 3" xfId="15417" xr:uid="{00000000-0005-0000-0000-0000A4360000}"/>
    <cellStyle name="Normal 16 3 3 3 2" xfId="15418" xr:uid="{00000000-0005-0000-0000-0000A5360000}"/>
    <cellStyle name="Normal 16 3 3 4" xfId="15419" xr:uid="{00000000-0005-0000-0000-0000A6360000}"/>
    <cellStyle name="Normal 16 3 4" xfId="15420" xr:uid="{00000000-0005-0000-0000-0000A7360000}"/>
    <cellStyle name="Normal 16 3 4 2" xfId="15421" xr:uid="{00000000-0005-0000-0000-0000A8360000}"/>
    <cellStyle name="Normal 16 3 4 2 2" xfId="15422" xr:uid="{00000000-0005-0000-0000-0000A9360000}"/>
    <cellStyle name="Normal 16 3 4 3" xfId="15423" xr:uid="{00000000-0005-0000-0000-0000AA360000}"/>
    <cellStyle name="Normal 16 3 4 3 2" xfId="15424" xr:uid="{00000000-0005-0000-0000-0000AB360000}"/>
    <cellStyle name="Normal 16 3 4 4" xfId="15425" xr:uid="{00000000-0005-0000-0000-0000AC360000}"/>
    <cellStyle name="Normal 16 3 5" xfId="15426" xr:uid="{00000000-0005-0000-0000-0000AD360000}"/>
    <cellStyle name="Normal 16 3 5 2" xfId="15427" xr:uid="{00000000-0005-0000-0000-0000AE360000}"/>
    <cellStyle name="Normal 16 3 5 2 2" xfId="15428" xr:uid="{00000000-0005-0000-0000-0000AF360000}"/>
    <cellStyle name="Normal 16 3 5 3" xfId="15429" xr:uid="{00000000-0005-0000-0000-0000B0360000}"/>
    <cellStyle name="Normal 16 3 5 3 2" xfId="15430" xr:uid="{00000000-0005-0000-0000-0000B1360000}"/>
    <cellStyle name="Normal 16 3 5 4" xfId="15431" xr:uid="{00000000-0005-0000-0000-0000B2360000}"/>
    <cellStyle name="Normal 16 3 6" xfId="15432" xr:uid="{00000000-0005-0000-0000-0000B3360000}"/>
    <cellStyle name="Normal 16 4" xfId="15433" xr:uid="{00000000-0005-0000-0000-0000B4360000}"/>
    <cellStyle name="Normal 16 4 2" xfId="15434" xr:uid="{00000000-0005-0000-0000-0000B5360000}"/>
    <cellStyle name="Normal 16 4 2 2" xfId="15435" xr:uid="{00000000-0005-0000-0000-0000B6360000}"/>
    <cellStyle name="Normal 16 4 2 2 2" xfId="15436" xr:uid="{00000000-0005-0000-0000-0000B7360000}"/>
    <cellStyle name="Normal 16 4 2 3" xfId="15437" xr:uid="{00000000-0005-0000-0000-0000B8360000}"/>
    <cellStyle name="Normal 16 4 2 3 2" xfId="15438" xr:uid="{00000000-0005-0000-0000-0000B9360000}"/>
    <cellStyle name="Normal 16 4 2 4" xfId="15439" xr:uid="{00000000-0005-0000-0000-0000BA360000}"/>
    <cellStyle name="Normal 16 4 3" xfId="15440" xr:uid="{00000000-0005-0000-0000-0000BB360000}"/>
    <cellStyle name="Normal 16 4 3 2" xfId="15441" xr:uid="{00000000-0005-0000-0000-0000BC360000}"/>
    <cellStyle name="Normal 16 4 3 2 2" xfId="15442" xr:uid="{00000000-0005-0000-0000-0000BD360000}"/>
    <cellStyle name="Normal 16 4 3 3" xfId="15443" xr:uid="{00000000-0005-0000-0000-0000BE360000}"/>
    <cellStyle name="Normal 16 4 3 3 2" xfId="15444" xr:uid="{00000000-0005-0000-0000-0000BF360000}"/>
    <cellStyle name="Normal 16 4 3 4" xfId="15445" xr:uid="{00000000-0005-0000-0000-0000C0360000}"/>
    <cellStyle name="Normal 16 4 4" xfId="15446" xr:uid="{00000000-0005-0000-0000-0000C1360000}"/>
    <cellStyle name="Normal 16 4 4 2" xfId="15447" xr:uid="{00000000-0005-0000-0000-0000C2360000}"/>
    <cellStyle name="Normal 16 4 4 2 2" xfId="15448" xr:uid="{00000000-0005-0000-0000-0000C3360000}"/>
    <cellStyle name="Normal 16 4 5" xfId="15449" xr:uid="{00000000-0005-0000-0000-0000C4360000}"/>
    <cellStyle name="Normal 16 4 5 2" xfId="15450" xr:uid="{00000000-0005-0000-0000-0000C5360000}"/>
    <cellStyle name="Normal 16 4 6" xfId="15451" xr:uid="{00000000-0005-0000-0000-0000C6360000}"/>
    <cellStyle name="Normal 16 5" xfId="15452" xr:uid="{00000000-0005-0000-0000-0000C7360000}"/>
    <cellStyle name="Normal 16 5 2" xfId="15453" xr:uid="{00000000-0005-0000-0000-0000C8360000}"/>
    <cellStyle name="Normal 16 5 2 2" xfId="15454" xr:uid="{00000000-0005-0000-0000-0000C9360000}"/>
    <cellStyle name="Normal 16 5 2 2 2" xfId="15455" xr:uid="{00000000-0005-0000-0000-0000CA360000}"/>
    <cellStyle name="Normal 16 5 2 2 2 2" xfId="15456" xr:uid="{00000000-0005-0000-0000-0000CB360000}"/>
    <cellStyle name="Normal 16 5 2 3" xfId="15457" xr:uid="{00000000-0005-0000-0000-0000CC360000}"/>
    <cellStyle name="Normal 16 5 2 3 2" xfId="15458" xr:uid="{00000000-0005-0000-0000-0000CD360000}"/>
    <cellStyle name="Normal 16 5 2 4" xfId="15459" xr:uid="{00000000-0005-0000-0000-0000CE360000}"/>
    <cellStyle name="Normal 16 5 2 5" xfId="15460" xr:uid="{00000000-0005-0000-0000-0000CF360000}"/>
    <cellStyle name="Normal 16 5 3" xfId="15461" xr:uid="{00000000-0005-0000-0000-0000D0360000}"/>
    <cellStyle name="Normal 16 5 3 2" xfId="15462" xr:uid="{00000000-0005-0000-0000-0000D1360000}"/>
    <cellStyle name="Normal 16 5 3 2 2" xfId="15463" xr:uid="{00000000-0005-0000-0000-0000D2360000}"/>
    <cellStyle name="Normal 16 5 3 3" xfId="15464" xr:uid="{00000000-0005-0000-0000-0000D3360000}"/>
    <cellStyle name="Normal 16 5 4" xfId="15465" xr:uid="{00000000-0005-0000-0000-0000D4360000}"/>
    <cellStyle name="Normal 16 5 4 2" xfId="15466" xr:uid="{00000000-0005-0000-0000-0000D5360000}"/>
    <cellStyle name="Normal 16 5 4 2 2" xfId="15467" xr:uid="{00000000-0005-0000-0000-0000D6360000}"/>
    <cellStyle name="Normal 16 5 4 3" xfId="15468" xr:uid="{00000000-0005-0000-0000-0000D7360000}"/>
    <cellStyle name="Normal 16 5 5" xfId="15469" xr:uid="{00000000-0005-0000-0000-0000D8360000}"/>
    <cellStyle name="Normal 16 5 5 2" xfId="15470" xr:uid="{00000000-0005-0000-0000-0000D9360000}"/>
    <cellStyle name="Normal 16 5 5 2 2" xfId="15471" xr:uid="{00000000-0005-0000-0000-0000DA360000}"/>
    <cellStyle name="Normal 16 5 5 3" xfId="15472" xr:uid="{00000000-0005-0000-0000-0000DB360000}"/>
    <cellStyle name="Normal 16 5 6" xfId="15473" xr:uid="{00000000-0005-0000-0000-0000DC360000}"/>
    <cellStyle name="Normal 16 5 6 2" xfId="15474" xr:uid="{00000000-0005-0000-0000-0000DD360000}"/>
    <cellStyle name="Normal 16 5 6 2 2" xfId="15475" xr:uid="{00000000-0005-0000-0000-0000DE360000}"/>
    <cellStyle name="Normal 16 5 7" xfId="15476" xr:uid="{00000000-0005-0000-0000-0000DF360000}"/>
    <cellStyle name="Normal 16 6" xfId="15477" xr:uid="{00000000-0005-0000-0000-0000E0360000}"/>
    <cellStyle name="Normal 16 6 2" xfId="15478" xr:uid="{00000000-0005-0000-0000-0000E1360000}"/>
    <cellStyle name="Normal 16 6 2 2" xfId="15479" xr:uid="{00000000-0005-0000-0000-0000E2360000}"/>
    <cellStyle name="Normal 16 6 3" xfId="15480" xr:uid="{00000000-0005-0000-0000-0000E3360000}"/>
    <cellStyle name="Normal 16 7" xfId="15481" xr:uid="{00000000-0005-0000-0000-0000E4360000}"/>
    <cellStyle name="Normal 16 7 2" xfId="15482" xr:uid="{00000000-0005-0000-0000-0000E5360000}"/>
    <cellStyle name="Normal 16 8" xfId="15483" xr:uid="{00000000-0005-0000-0000-0000E6360000}"/>
    <cellStyle name="Normal 16 8 2" xfId="15484" xr:uid="{00000000-0005-0000-0000-0000E7360000}"/>
    <cellStyle name="Normal 16 9" xfId="15485" xr:uid="{00000000-0005-0000-0000-0000E8360000}"/>
    <cellStyle name="Normal 16 9 2" xfId="15486" xr:uid="{00000000-0005-0000-0000-0000E9360000}"/>
    <cellStyle name="Normal 160" xfId="15487" xr:uid="{00000000-0005-0000-0000-0000EA360000}"/>
    <cellStyle name="Normal 161" xfId="15488" xr:uid="{00000000-0005-0000-0000-0000EB360000}"/>
    <cellStyle name="Normal 162" xfId="15489" xr:uid="{00000000-0005-0000-0000-0000EC360000}"/>
    <cellStyle name="Normal 163" xfId="15490" xr:uid="{00000000-0005-0000-0000-0000ED360000}"/>
    <cellStyle name="Normal 164" xfId="15491" xr:uid="{00000000-0005-0000-0000-0000EE360000}"/>
    <cellStyle name="Normal 165" xfId="15492" xr:uid="{00000000-0005-0000-0000-0000EF360000}"/>
    <cellStyle name="Normal 166" xfId="15493" xr:uid="{00000000-0005-0000-0000-0000F0360000}"/>
    <cellStyle name="Normal 167" xfId="15494" xr:uid="{00000000-0005-0000-0000-0000F1360000}"/>
    <cellStyle name="Normal 168" xfId="15495" xr:uid="{00000000-0005-0000-0000-0000F2360000}"/>
    <cellStyle name="Normal 169" xfId="15496" xr:uid="{00000000-0005-0000-0000-0000F3360000}"/>
    <cellStyle name="Normal 17" xfId="1427" xr:uid="{00000000-0005-0000-0000-0000F4360000}"/>
    <cellStyle name="Normal 17 10" xfId="15497" xr:uid="{00000000-0005-0000-0000-0000F5360000}"/>
    <cellStyle name="Normal 17 10 2" xfId="15498" xr:uid="{00000000-0005-0000-0000-0000F6360000}"/>
    <cellStyle name="Normal 17 10 3" xfId="15499" xr:uid="{00000000-0005-0000-0000-0000F7360000}"/>
    <cellStyle name="Normal 17 10 4" xfId="15500" xr:uid="{00000000-0005-0000-0000-0000F8360000}"/>
    <cellStyle name="Normal 17 10 4 2" xfId="15501" xr:uid="{00000000-0005-0000-0000-0000F9360000}"/>
    <cellStyle name="Normal 17 11" xfId="15502" xr:uid="{00000000-0005-0000-0000-0000FA360000}"/>
    <cellStyle name="Normal 17 11 2" xfId="15503" xr:uid="{00000000-0005-0000-0000-0000FB360000}"/>
    <cellStyle name="Normal 17 11 2 2" xfId="15504" xr:uid="{00000000-0005-0000-0000-0000FC360000}"/>
    <cellStyle name="Normal 17 11 3" xfId="15505" xr:uid="{00000000-0005-0000-0000-0000FD360000}"/>
    <cellStyle name="Normal 17 11 4" xfId="15506" xr:uid="{00000000-0005-0000-0000-0000FE360000}"/>
    <cellStyle name="Normal 17 12" xfId="15507" xr:uid="{00000000-0005-0000-0000-0000FF360000}"/>
    <cellStyle name="Normal 17 12 2" xfId="15508" xr:uid="{00000000-0005-0000-0000-000000370000}"/>
    <cellStyle name="Normal 17 13" xfId="15509" xr:uid="{00000000-0005-0000-0000-000001370000}"/>
    <cellStyle name="Normal 17 14" xfId="15510" xr:uid="{00000000-0005-0000-0000-000002370000}"/>
    <cellStyle name="Normal 17 15" xfId="15511" xr:uid="{00000000-0005-0000-0000-000003370000}"/>
    <cellStyle name="Normal 17 16" xfId="15512" xr:uid="{00000000-0005-0000-0000-000004370000}"/>
    <cellStyle name="Normal 17 2" xfId="1426" xr:uid="{00000000-0005-0000-0000-000005370000}"/>
    <cellStyle name="Normal 17 2 2" xfId="1425" xr:uid="{00000000-0005-0000-0000-000006370000}"/>
    <cellStyle name="Normal 17 2 2 2" xfId="1424" xr:uid="{00000000-0005-0000-0000-000007370000}"/>
    <cellStyle name="Normal 17 2 2 2 2" xfId="1423" xr:uid="{00000000-0005-0000-0000-000008370000}"/>
    <cellStyle name="Normal 17 2 2 2 3" xfId="1422" xr:uid="{00000000-0005-0000-0000-000009370000}"/>
    <cellStyle name="Normal 17 2 2 3" xfId="1421" xr:uid="{00000000-0005-0000-0000-00000A370000}"/>
    <cellStyle name="Normal 17 2 2 4" xfId="1420" xr:uid="{00000000-0005-0000-0000-00000B370000}"/>
    <cellStyle name="Normal 17 2 3" xfId="1419" xr:uid="{00000000-0005-0000-0000-00000C370000}"/>
    <cellStyle name="Normal 17 2 3 2" xfId="1418" xr:uid="{00000000-0005-0000-0000-00000D370000}"/>
    <cellStyle name="Normal 17 2 3 3" xfId="1417" xr:uid="{00000000-0005-0000-0000-00000E370000}"/>
    <cellStyle name="Normal 17 2 4" xfId="1416" xr:uid="{00000000-0005-0000-0000-00000F370000}"/>
    <cellStyle name="Normal 17 2 4 2" xfId="1415" xr:uid="{00000000-0005-0000-0000-000010370000}"/>
    <cellStyle name="Normal 17 2 4 3" xfId="1414" xr:uid="{00000000-0005-0000-0000-000011370000}"/>
    <cellStyle name="Normal 17 2 5" xfId="1413" xr:uid="{00000000-0005-0000-0000-000012370000}"/>
    <cellStyle name="Normal 17 2 6" xfId="1412" xr:uid="{00000000-0005-0000-0000-000013370000}"/>
    <cellStyle name="Normal 17 3" xfId="1411" xr:uid="{00000000-0005-0000-0000-000014370000}"/>
    <cellStyle name="Normal 17 3 2" xfId="1410" xr:uid="{00000000-0005-0000-0000-000015370000}"/>
    <cellStyle name="Normal 17 3 2 2" xfId="1409" xr:uid="{00000000-0005-0000-0000-000016370000}"/>
    <cellStyle name="Normal 17 3 2 2 2" xfId="15513" xr:uid="{00000000-0005-0000-0000-000017370000}"/>
    <cellStyle name="Normal 17 3 2 2 3" xfId="15514" xr:uid="{00000000-0005-0000-0000-000018370000}"/>
    <cellStyle name="Normal 17 3 2 2 4" xfId="15515" xr:uid="{00000000-0005-0000-0000-000019370000}"/>
    <cellStyle name="Normal 17 3 2 3" xfId="1408" xr:uid="{00000000-0005-0000-0000-00001A370000}"/>
    <cellStyle name="Normal 17 3 2 3 2" xfId="15516" xr:uid="{00000000-0005-0000-0000-00001B370000}"/>
    <cellStyle name="Normal 17 3 2 3 2 2" xfId="15517" xr:uid="{00000000-0005-0000-0000-00001C370000}"/>
    <cellStyle name="Normal 17 3 2 3 3" xfId="15518" xr:uid="{00000000-0005-0000-0000-00001D370000}"/>
    <cellStyle name="Normal 17 3 2 4" xfId="15519" xr:uid="{00000000-0005-0000-0000-00001E370000}"/>
    <cellStyle name="Normal 17 3 2 4 2" xfId="15520" xr:uid="{00000000-0005-0000-0000-00001F370000}"/>
    <cellStyle name="Normal 17 3 2 5" xfId="15521" xr:uid="{00000000-0005-0000-0000-000020370000}"/>
    <cellStyle name="Normal 17 3 2 5 2" xfId="15522" xr:uid="{00000000-0005-0000-0000-000021370000}"/>
    <cellStyle name="Normal 17 3 2 6" xfId="15523" xr:uid="{00000000-0005-0000-0000-000022370000}"/>
    <cellStyle name="Normal 17 3 2 6 2" xfId="15524" xr:uid="{00000000-0005-0000-0000-000023370000}"/>
    <cellStyle name="Normal 17 3 2 6 2 2" xfId="15525" xr:uid="{00000000-0005-0000-0000-000024370000}"/>
    <cellStyle name="Normal 17 3 2 7" xfId="15526" xr:uid="{00000000-0005-0000-0000-000025370000}"/>
    <cellStyle name="Normal 17 3 2 7 2" xfId="15527" xr:uid="{00000000-0005-0000-0000-000026370000}"/>
    <cellStyle name="Normal 17 3 2 8" xfId="15528" xr:uid="{00000000-0005-0000-0000-000027370000}"/>
    <cellStyle name="Normal 17 3 3" xfId="1407" xr:uid="{00000000-0005-0000-0000-000028370000}"/>
    <cellStyle name="Normal 17 3 3 2" xfId="15529" xr:uid="{00000000-0005-0000-0000-000029370000}"/>
    <cellStyle name="Normal 17 3 3 2 2" xfId="15530" xr:uid="{00000000-0005-0000-0000-00002A370000}"/>
    <cellStyle name="Normal 17 3 3 2 2 2" xfId="15531" xr:uid="{00000000-0005-0000-0000-00002B370000}"/>
    <cellStyle name="Normal 17 3 3 2 3" xfId="15532" xr:uid="{00000000-0005-0000-0000-00002C370000}"/>
    <cellStyle name="Normal 17 3 3 3" xfId="15533" xr:uid="{00000000-0005-0000-0000-00002D370000}"/>
    <cellStyle name="Normal 17 3 3 3 2" xfId="15534" xr:uid="{00000000-0005-0000-0000-00002E370000}"/>
    <cellStyle name="Normal 17 3 3 3 2 2" xfId="15535" xr:uid="{00000000-0005-0000-0000-00002F370000}"/>
    <cellStyle name="Normal 17 3 3 4" xfId="15536" xr:uid="{00000000-0005-0000-0000-000030370000}"/>
    <cellStyle name="Normal 17 3 3 4 2" xfId="15537" xr:uid="{00000000-0005-0000-0000-000031370000}"/>
    <cellStyle name="Normal 17 3 3 4 2 2" xfId="15538" xr:uid="{00000000-0005-0000-0000-000032370000}"/>
    <cellStyle name="Normal 17 3 3 5" xfId="15539" xr:uid="{00000000-0005-0000-0000-000033370000}"/>
    <cellStyle name="Normal 17 3 4" xfId="1406" xr:uid="{00000000-0005-0000-0000-000034370000}"/>
    <cellStyle name="Normal 17 3 4 2" xfId="15540" xr:uid="{00000000-0005-0000-0000-000035370000}"/>
    <cellStyle name="Normal 17 3 4 2 2" xfId="15541" xr:uid="{00000000-0005-0000-0000-000036370000}"/>
    <cellStyle name="Normal 17 3 4 2 2 2" xfId="15542" xr:uid="{00000000-0005-0000-0000-000037370000}"/>
    <cellStyle name="Normal 17 3 4 3" xfId="15543" xr:uid="{00000000-0005-0000-0000-000038370000}"/>
    <cellStyle name="Normal 17 3 4 3 2" xfId="15544" xr:uid="{00000000-0005-0000-0000-000039370000}"/>
    <cellStyle name="Normal 17 3 4 4" xfId="15545" xr:uid="{00000000-0005-0000-0000-00003A370000}"/>
    <cellStyle name="Normal 17 3 4 5" xfId="15546" xr:uid="{00000000-0005-0000-0000-00003B370000}"/>
    <cellStyle name="Normal 17 3 5" xfId="15547" xr:uid="{00000000-0005-0000-0000-00003C370000}"/>
    <cellStyle name="Normal 17 3 5 2" xfId="15548" xr:uid="{00000000-0005-0000-0000-00003D370000}"/>
    <cellStyle name="Normal 17 3 6" xfId="15549" xr:uid="{00000000-0005-0000-0000-00003E370000}"/>
    <cellStyle name="Normal 17 3 7" xfId="15550" xr:uid="{00000000-0005-0000-0000-00003F370000}"/>
    <cellStyle name="Normal 17 4" xfId="1405" xr:uid="{00000000-0005-0000-0000-000040370000}"/>
    <cellStyle name="Normal 17 4 2" xfId="1404" xr:uid="{00000000-0005-0000-0000-000041370000}"/>
    <cellStyle name="Normal 17 4 2 2" xfId="15551" xr:uid="{00000000-0005-0000-0000-000042370000}"/>
    <cellStyle name="Normal 17 4 2 2 2" xfId="15552" xr:uid="{00000000-0005-0000-0000-000043370000}"/>
    <cellStyle name="Normal 17 4 2 2 2 2" xfId="15553" xr:uid="{00000000-0005-0000-0000-000044370000}"/>
    <cellStyle name="Normal 17 4 2 2 3" xfId="15554" xr:uid="{00000000-0005-0000-0000-000045370000}"/>
    <cellStyle name="Normal 17 4 2 3" xfId="15555" xr:uid="{00000000-0005-0000-0000-000046370000}"/>
    <cellStyle name="Normal 17 4 2 3 2" xfId="15556" xr:uid="{00000000-0005-0000-0000-000047370000}"/>
    <cellStyle name="Normal 17 4 2 3 2 2" xfId="15557" xr:uid="{00000000-0005-0000-0000-000048370000}"/>
    <cellStyle name="Normal 17 4 2 3 3" xfId="15558" xr:uid="{00000000-0005-0000-0000-000049370000}"/>
    <cellStyle name="Normal 17 4 2 4" xfId="15559" xr:uid="{00000000-0005-0000-0000-00004A370000}"/>
    <cellStyle name="Normal 17 4 2 4 2" xfId="15560" xr:uid="{00000000-0005-0000-0000-00004B370000}"/>
    <cellStyle name="Normal 17 4 2 4 2 2" xfId="15561" xr:uid="{00000000-0005-0000-0000-00004C370000}"/>
    <cellStyle name="Normal 17 4 2 5" xfId="15562" xr:uid="{00000000-0005-0000-0000-00004D370000}"/>
    <cellStyle name="Normal 17 4 2 5 2" xfId="15563" xr:uid="{00000000-0005-0000-0000-00004E370000}"/>
    <cellStyle name="Normal 17 4 2 5 2 2" xfId="15564" xr:uid="{00000000-0005-0000-0000-00004F370000}"/>
    <cellStyle name="Normal 17 4 2 6" xfId="15565" xr:uid="{00000000-0005-0000-0000-000050370000}"/>
    <cellStyle name="Normal 17 4 3" xfId="1403" xr:uid="{00000000-0005-0000-0000-000051370000}"/>
    <cellStyle name="Normal 17 4 3 2" xfId="15566" xr:uid="{00000000-0005-0000-0000-000052370000}"/>
    <cellStyle name="Normal 17 4 3 2 2" xfId="15567" xr:uid="{00000000-0005-0000-0000-000053370000}"/>
    <cellStyle name="Normal 17 4 3 2 2 2" xfId="15568" xr:uid="{00000000-0005-0000-0000-000054370000}"/>
    <cellStyle name="Normal 17 4 3 2 3" xfId="15569" xr:uid="{00000000-0005-0000-0000-000055370000}"/>
    <cellStyle name="Normal 17 4 3 3" xfId="15570" xr:uid="{00000000-0005-0000-0000-000056370000}"/>
    <cellStyle name="Normal 17 4 3 3 2" xfId="15571" xr:uid="{00000000-0005-0000-0000-000057370000}"/>
    <cellStyle name="Normal 17 4 3 3 2 2" xfId="15572" xr:uid="{00000000-0005-0000-0000-000058370000}"/>
    <cellStyle name="Normal 17 4 3 4" xfId="15573" xr:uid="{00000000-0005-0000-0000-000059370000}"/>
    <cellStyle name="Normal 17 4 3 4 2" xfId="15574" xr:uid="{00000000-0005-0000-0000-00005A370000}"/>
    <cellStyle name="Normal 17 4 3 4 2 2" xfId="15575" xr:uid="{00000000-0005-0000-0000-00005B370000}"/>
    <cellStyle name="Normal 17 4 3 5" xfId="15576" xr:uid="{00000000-0005-0000-0000-00005C370000}"/>
    <cellStyle name="Normal 17 4 4" xfId="15577" xr:uid="{00000000-0005-0000-0000-00005D370000}"/>
    <cellStyle name="Normal 17 4 4 2" xfId="15578" xr:uid="{00000000-0005-0000-0000-00005E370000}"/>
    <cellStyle name="Normal 17 4 5" xfId="15579" xr:uid="{00000000-0005-0000-0000-00005F370000}"/>
    <cellStyle name="Normal 17 4 5 2" xfId="15580" xr:uid="{00000000-0005-0000-0000-000060370000}"/>
    <cellStyle name="Normal 17 4 6" xfId="15581" xr:uid="{00000000-0005-0000-0000-000061370000}"/>
    <cellStyle name="Normal 17 5" xfId="1402" xr:uid="{00000000-0005-0000-0000-000062370000}"/>
    <cellStyle name="Normal 17 5 2" xfId="1401" xr:uid="{00000000-0005-0000-0000-000063370000}"/>
    <cellStyle name="Normal 17 5 2 2" xfId="15582" xr:uid="{00000000-0005-0000-0000-000064370000}"/>
    <cellStyle name="Normal 17 5 2 2 2" xfId="15583" xr:uid="{00000000-0005-0000-0000-000065370000}"/>
    <cellStyle name="Normal 17 5 2 3" xfId="15584" xr:uid="{00000000-0005-0000-0000-000066370000}"/>
    <cellStyle name="Normal 17 5 2 3 2" xfId="15585" xr:uid="{00000000-0005-0000-0000-000067370000}"/>
    <cellStyle name="Normal 17 5 2 4" xfId="15586" xr:uid="{00000000-0005-0000-0000-000068370000}"/>
    <cellStyle name="Normal 17 5 2 5" xfId="15587" xr:uid="{00000000-0005-0000-0000-000069370000}"/>
    <cellStyle name="Normal 17 5 3" xfId="1400" xr:uid="{00000000-0005-0000-0000-00006A370000}"/>
    <cellStyle name="Normal 17 5 3 2" xfId="15588" xr:uid="{00000000-0005-0000-0000-00006B370000}"/>
    <cellStyle name="Normal 17 5 3 2 2" xfId="15589" xr:uid="{00000000-0005-0000-0000-00006C370000}"/>
    <cellStyle name="Normal 17 5 3 3" xfId="15590" xr:uid="{00000000-0005-0000-0000-00006D370000}"/>
    <cellStyle name="Normal 17 5 4" xfId="15591" xr:uid="{00000000-0005-0000-0000-00006E370000}"/>
    <cellStyle name="Normal 17 5 4 2" xfId="15592" xr:uid="{00000000-0005-0000-0000-00006F370000}"/>
    <cellStyle name="Normal 17 5 5" xfId="15593" xr:uid="{00000000-0005-0000-0000-000070370000}"/>
    <cellStyle name="Normal 17 5 5 2" xfId="15594" xr:uid="{00000000-0005-0000-0000-000071370000}"/>
    <cellStyle name="Normal 17 5 6" xfId="15595" xr:uid="{00000000-0005-0000-0000-000072370000}"/>
    <cellStyle name="Normal 17 6" xfId="1399" xr:uid="{00000000-0005-0000-0000-000073370000}"/>
    <cellStyle name="Normal 17 6 2" xfId="15596" xr:uid="{00000000-0005-0000-0000-000074370000}"/>
    <cellStyle name="Normal 17 6 2 2" xfId="15597" xr:uid="{00000000-0005-0000-0000-000075370000}"/>
    <cellStyle name="Normal 17 6 2 3" xfId="15598" xr:uid="{00000000-0005-0000-0000-000076370000}"/>
    <cellStyle name="Normal 17 6 2 3 2" xfId="15599" xr:uid="{00000000-0005-0000-0000-000077370000}"/>
    <cellStyle name="Normal 17 6 2 4" xfId="15600" xr:uid="{00000000-0005-0000-0000-000078370000}"/>
    <cellStyle name="Normal 17 6 3" xfId="15601" xr:uid="{00000000-0005-0000-0000-000079370000}"/>
    <cellStyle name="Normal 17 6 3 2" xfId="15602" xr:uid="{00000000-0005-0000-0000-00007A370000}"/>
    <cellStyle name="Normal 17 6 4" xfId="15603" xr:uid="{00000000-0005-0000-0000-00007B370000}"/>
    <cellStyle name="Normal 17 6 4 2" xfId="15604" xr:uid="{00000000-0005-0000-0000-00007C370000}"/>
    <cellStyle name="Normal 17 6 4 3" xfId="15605" xr:uid="{00000000-0005-0000-0000-00007D370000}"/>
    <cellStyle name="Normal 17 6 4 3 2" xfId="15606" xr:uid="{00000000-0005-0000-0000-00007E370000}"/>
    <cellStyle name="Normal 17 6 5" xfId="15607" xr:uid="{00000000-0005-0000-0000-00007F370000}"/>
    <cellStyle name="Normal 17 6 5 2" xfId="15608" xr:uid="{00000000-0005-0000-0000-000080370000}"/>
    <cellStyle name="Normal 17 6 6" xfId="15609" xr:uid="{00000000-0005-0000-0000-000081370000}"/>
    <cellStyle name="Normal 17 6 6 2" xfId="15610" xr:uid="{00000000-0005-0000-0000-000082370000}"/>
    <cellStyle name="Normal 17 6 7" xfId="15611" xr:uid="{00000000-0005-0000-0000-000083370000}"/>
    <cellStyle name="Normal 17 7" xfId="1398" xr:uid="{00000000-0005-0000-0000-000084370000}"/>
    <cellStyle name="Normal 17 7 2" xfId="15612" xr:uid="{00000000-0005-0000-0000-000085370000}"/>
    <cellStyle name="Normal 17 7 2 2" xfId="15613" xr:uid="{00000000-0005-0000-0000-000086370000}"/>
    <cellStyle name="Normal 17 7 2 2 2" xfId="15614" xr:uid="{00000000-0005-0000-0000-000087370000}"/>
    <cellStyle name="Normal 17 7 2 3" xfId="15615" xr:uid="{00000000-0005-0000-0000-000088370000}"/>
    <cellStyle name="Normal 17 7 3" xfId="15616" xr:uid="{00000000-0005-0000-0000-000089370000}"/>
    <cellStyle name="Normal 17 7 3 2" xfId="15617" xr:uid="{00000000-0005-0000-0000-00008A370000}"/>
    <cellStyle name="Normal 17 7 4" xfId="15618" xr:uid="{00000000-0005-0000-0000-00008B370000}"/>
    <cellStyle name="Normal 17 7 4 2" xfId="15619" xr:uid="{00000000-0005-0000-0000-00008C370000}"/>
    <cellStyle name="Normal 17 7 5" xfId="15620" xr:uid="{00000000-0005-0000-0000-00008D370000}"/>
    <cellStyle name="Normal 17 8" xfId="15621" xr:uid="{00000000-0005-0000-0000-00008E370000}"/>
    <cellStyle name="Normal 17 8 2" xfId="15622" xr:uid="{00000000-0005-0000-0000-00008F370000}"/>
    <cellStyle name="Normal 17 8 2 2" xfId="15623" xr:uid="{00000000-0005-0000-0000-000090370000}"/>
    <cellStyle name="Normal 17 8 3" xfId="15624" xr:uid="{00000000-0005-0000-0000-000091370000}"/>
    <cellStyle name="Normal 17 8 3 2" xfId="15625" xr:uid="{00000000-0005-0000-0000-000092370000}"/>
    <cellStyle name="Normal 17 8 3 2 2" xfId="15626" xr:uid="{00000000-0005-0000-0000-000093370000}"/>
    <cellStyle name="Normal 17 8 3 3" xfId="15627" xr:uid="{00000000-0005-0000-0000-000094370000}"/>
    <cellStyle name="Normal 17 8 3 4" xfId="15628" xr:uid="{00000000-0005-0000-0000-000095370000}"/>
    <cellStyle name="Normal 17 9" xfId="15629" xr:uid="{00000000-0005-0000-0000-000096370000}"/>
    <cellStyle name="Normal 17 9 2" xfId="15630" xr:uid="{00000000-0005-0000-0000-000097370000}"/>
    <cellStyle name="Normal 17 9 3" xfId="15631" xr:uid="{00000000-0005-0000-0000-000098370000}"/>
    <cellStyle name="Normal 17 9 4" xfId="15632" xr:uid="{00000000-0005-0000-0000-000099370000}"/>
    <cellStyle name="Normal 170" xfId="15633" xr:uid="{00000000-0005-0000-0000-00009A370000}"/>
    <cellStyle name="Normal 171" xfId="15634" xr:uid="{00000000-0005-0000-0000-00009B370000}"/>
    <cellStyle name="Normal 172" xfId="15635" xr:uid="{00000000-0005-0000-0000-00009C370000}"/>
    <cellStyle name="Normal 173" xfId="15636" xr:uid="{00000000-0005-0000-0000-00009D370000}"/>
    <cellStyle name="Normal 174" xfId="15637" xr:uid="{00000000-0005-0000-0000-00009E370000}"/>
    <cellStyle name="Normal 175" xfId="15638" xr:uid="{00000000-0005-0000-0000-00009F370000}"/>
    <cellStyle name="Normal 176" xfId="15639" xr:uid="{00000000-0005-0000-0000-0000A0370000}"/>
    <cellStyle name="Normal 177" xfId="15640" xr:uid="{00000000-0005-0000-0000-0000A1370000}"/>
    <cellStyle name="Normal 178" xfId="15641" xr:uid="{00000000-0005-0000-0000-0000A2370000}"/>
    <cellStyle name="Normal 179" xfId="15642" xr:uid="{00000000-0005-0000-0000-0000A3370000}"/>
    <cellStyle name="Normal 18" xfId="1397" xr:uid="{00000000-0005-0000-0000-0000A4370000}"/>
    <cellStyle name="Normal 18 2" xfId="1396" xr:uid="{00000000-0005-0000-0000-0000A5370000}"/>
    <cellStyle name="Normal 18 2 2" xfId="1395" xr:uid="{00000000-0005-0000-0000-0000A6370000}"/>
    <cellStyle name="Normal 18 2 2 2" xfId="1394" xr:uid="{00000000-0005-0000-0000-0000A7370000}"/>
    <cellStyle name="Normal 18 2 2 2 2" xfId="1393" xr:uid="{00000000-0005-0000-0000-0000A8370000}"/>
    <cellStyle name="Normal 18 2 2 2 3" xfId="1392" xr:uid="{00000000-0005-0000-0000-0000A9370000}"/>
    <cellStyle name="Normal 18 2 2 3" xfId="1391" xr:uid="{00000000-0005-0000-0000-0000AA370000}"/>
    <cellStyle name="Normal 18 2 2 3 2" xfId="15643" xr:uid="{00000000-0005-0000-0000-0000AB370000}"/>
    <cellStyle name="Normal 18 2 2 4" xfId="1390" xr:uid="{00000000-0005-0000-0000-0000AC370000}"/>
    <cellStyle name="Normal 18 2 3" xfId="1389" xr:uid="{00000000-0005-0000-0000-0000AD370000}"/>
    <cellStyle name="Normal 18 2 3 2" xfId="1388" xr:uid="{00000000-0005-0000-0000-0000AE370000}"/>
    <cellStyle name="Normal 18 2 3 2 2" xfId="15644" xr:uid="{00000000-0005-0000-0000-0000AF370000}"/>
    <cellStyle name="Normal 18 2 3 3" xfId="1387" xr:uid="{00000000-0005-0000-0000-0000B0370000}"/>
    <cellStyle name="Normal 18 2 3 3 2" xfId="15645" xr:uid="{00000000-0005-0000-0000-0000B1370000}"/>
    <cellStyle name="Normal 18 2 3 4" xfId="15646" xr:uid="{00000000-0005-0000-0000-0000B2370000}"/>
    <cellStyle name="Normal 18 2 3 5" xfId="15647" xr:uid="{00000000-0005-0000-0000-0000B3370000}"/>
    <cellStyle name="Normal 18 2 4" xfId="1386" xr:uid="{00000000-0005-0000-0000-0000B4370000}"/>
    <cellStyle name="Normal 18 2 4 2" xfId="1385" xr:uid="{00000000-0005-0000-0000-0000B5370000}"/>
    <cellStyle name="Normal 18 2 4 2 2" xfId="15648" xr:uid="{00000000-0005-0000-0000-0000B6370000}"/>
    <cellStyle name="Normal 18 2 4 3" xfId="1384" xr:uid="{00000000-0005-0000-0000-0000B7370000}"/>
    <cellStyle name="Normal 18 2 4 3 2" xfId="15649" xr:uid="{00000000-0005-0000-0000-0000B8370000}"/>
    <cellStyle name="Normal 18 2 4 4" xfId="15650" xr:uid="{00000000-0005-0000-0000-0000B9370000}"/>
    <cellStyle name="Normal 18 2 5" xfId="1383" xr:uid="{00000000-0005-0000-0000-0000BA370000}"/>
    <cellStyle name="Normal 18 2 5 2" xfId="15651" xr:uid="{00000000-0005-0000-0000-0000BB370000}"/>
    <cellStyle name="Normal 18 2 6" xfId="1382" xr:uid="{00000000-0005-0000-0000-0000BC370000}"/>
    <cellStyle name="Normal 18 3" xfId="1381" xr:uid="{00000000-0005-0000-0000-0000BD370000}"/>
    <cellStyle name="Normal 18 3 2" xfId="1380" xr:uid="{00000000-0005-0000-0000-0000BE370000}"/>
    <cellStyle name="Normal 18 3 2 2" xfId="1379" xr:uid="{00000000-0005-0000-0000-0000BF370000}"/>
    <cellStyle name="Normal 18 3 2 2 2" xfId="15652" xr:uid="{00000000-0005-0000-0000-0000C0370000}"/>
    <cellStyle name="Normal 18 3 2 3" xfId="1378" xr:uid="{00000000-0005-0000-0000-0000C1370000}"/>
    <cellStyle name="Normal 18 3 2 3 2" xfId="15653" xr:uid="{00000000-0005-0000-0000-0000C2370000}"/>
    <cellStyle name="Normal 18 3 2 4" xfId="15654" xr:uid="{00000000-0005-0000-0000-0000C3370000}"/>
    <cellStyle name="Normal 18 3 3" xfId="1377" xr:uid="{00000000-0005-0000-0000-0000C4370000}"/>
    <cellStyle name="Normal 18 3 3 2" xfId="15655" xr:uid="{00000000-0005-0000-0000-0000C5370000}"/>
    <cellStyle name="Normal 18 3 3 2 2" xfId="15656" xr:uid="{00000000-0005-0000-0000-0000C6370000}"/>
    <cellStyle name="Normal 18 3 4" xfId="1376" xr:uid="{00000000-0005-0000-0000-0000C7370000}"/>
    <cellStyle name="Normal 18 3 4 2" xfId="15657" xr:uid="{00000000-0005-0000-0000-0000C8370000}"/>
    <cellStyle name="Normal 18 3 5" xfId="15658" xr:uid="{00000000-0005-0000-0000-0000C9370000}"/>
    <cellStyle name="Normal 18 4" xfId="1375" xr:uid="{00000000-0005-0000-0000-0000CA370000}"/>
    <cellStyle name="Normal 18 4 2" xfId="1374" xr:uid="{00000000-0005-0000-0000-0000CB370000}"/>
    <cellStyle name="Normal 18 4 2 2" xfId="15659" xr:uid="{00000000-0005-0000-0000-0000CC370000}"/>
    <cellStyle name="Normal 18 4 3" xfId="1373" xr:uid="{00000000-0005-0000-0000-0000CD370000}"/>
    <cellStyle name="Normal 18 4 3 2" xfId="15660" xr:uid="{00000000-0005-0000-0000-0000CE370000}"/>
    <cellStyle name="Normal 18 4 4" xfId="15661" xr:uid="{00000000-0005-0000-0000-0000CF370000}"/>
    <cellStyle name="Normal 18 4 5" xfId="15662" xr:uid="{00000000-0005-0000-0000-0000D0370000}"/>
    <cellStyle name="Normal 18 4 5 2" xfId="15663" xr:uid="{00000000-0005-0000-0000-0000D1370000}"/>
    <cellStyle name="Normal 18 4 5 2 2" xfId="15664" xr:uid="{00000000-0005-0000-0000-0000D2370000}"/>
    <cellStyle name="Normal 18 4 6" xfId="15665" xr:uid="{00000000-0005-0000-0000-0000D3370000}"/>
    <cellStyle name="Normal 18 5" xfId="1372" xr:uid="{00000000-0005-0000-0000-0000D4370000}"/>
    <cellStyle name="Normal 18 5 2" xfId="1371" xr:uid="{00000000-0005-0000-0000-0000D5370000}"/>
    <cellStyle name="Normal 18 5 3" xfId="1370" xr:uid="{00000000-0005-0000-0000-0000D6370000}"/>
    <cellStyle name="Normal 18 6" xfId="1369" xr:uid="{00000000-0005-0000-0000-0000D7370000}"/>
    <cellStyle name="Normal 18 6 2" xfId="15666" xr:uid="{00000000-0005-0000-0000-0000D8370000}"/>
    <cellStyle name="Normal 18 7" xfId="1368" xr:uid="{00000000-0005-0000-0000-0000D9370000}"/>
    <cellStyle name="Normal 18 7 2" xfId="15667" xr:uid="{00000000-0005-0000-0000-0000DA370000}"/>
    <cellStyle name="Normal 18 8" xfId="15668" xr:uid="{00000000-0005-0000-0000-0000DB370000}"/>
    <cellStyle name="Normal 18 8 2" xfId="15669" xr:uid="{00000000-0005-0000-0000-0000DC370000}"/>
    <cellStyle name="Normal 18 9" xfId="15670" xr:uid="{00000000-0005-0000-0000-0000DD370000}"/>
    <cellStyle name="Normal 180" xfId="15671" xr:uid="{00000000-0005-0000-0000-0000DE370000}"/>
    <cellStyle name="Normal 181" xfId="15672" xr:uid="{00000000-0005-0000-0000-0000DF370000}"/>
    <cellStyle name="Normal 182" xfId="15673" xr:uid="{00000000-0005-0000-0000-0000E0370000}"/>
    <cellStyle name="Normal 183" xfId="15674" xr:uid="{00000000-0005-0000-0000-0000E1370000}"/>
    <cellStyle name="Normal 184" xfId="15675" xr:uid="{00000000-0005-0000-0000-0000E2370000}"/>
    <cellStyle name="Normal 185" xfId="15676" xr:uid="{00000000-0005-0000-0000-0000E3370000}"/>
    <cellStyle name="Normal 186" xfId="15677" xr:uid="{00000000-0005-0000-0000-0000E4370000}"/>
    <cellStyle name="Normal 187" xfId="15678" xr:uid="{00000000-0005-0000-0000-0000E5370000}"/>
    <cellStyle name="Normal 188" xfId="15679" xr:uid="{00000000-0005-0000-0000-0000E6370000}"/>
    <cellStyle name="Normal 189" xfId="15680" xr:uid="{00000000-0005-0000-0000-0000E7370000}"/>
    <cellStyle name="Normal 19" xfId="1367" xr:uid="{00000000-0005-0000-0000-0000E8370000}"/>
    <cellStyle name="Normal 19 10" xfId="15681" xr:uid="{00000000-0005-0000-0000-0000E9370000}"/>
    <cellStyle name="Normal 19 11" xfId="15682" xr:uid="{00000000-0005-0000-0000-0000EA370000}"/>
    <cellStyle name="Normal 19 2" xfId="1366" xr:uid="{00000000-0005-0000-0000-0000EB370000}"/>
    <cellStyle name="Normal 19 2 2" xfId="1365" xr:uid="{00000000-0005-0000-0000-0000EC370000}"/>
    <cellStyle name="Normal 19 2 2 2" xfId="1364" xr:uid="{00000000-0005-0000-0000-0000ED370000}"/>
    <cellStyle name="Normal 19 2 2 2 2" xfId="15683" xr:uid="{00000000-0005-0000-0000-0000EE370000}"/>
    <cellStyle name="Normal 19 2 2 3" xfId="1363" xr:uid="{00000000-0005-0000-0000-0000EF370000}"/>
    <cellStyle name="Normal 19 2 2 3 2" xfId="15684" xr:uid="{00000000-0005-0000-0000-0000F0370000}"/>
    <cellStyle name="Normal 19 2 2 4" xfId="15685" xr:uid="{00000000-0005-0000-0000-0000F1370000}"/>
    <cellStyle name="Normal 19 2 3" xfId="1362" xr:uid="{00000000-0005-0000-0000-0000F2370000}"/>
    <cellStyle name="Normal 19 2 3 2" xfId="15686" xr:uid="{00000000-0005-0000-0000-0000F3370000}"/>
    <cellStyle name="Normal 19 2 3 2 2" xfId="15687" xr:uid="{00000000-0005-0000-0000-0000F4370000}"/>
    <cellStyle name="Normal 19 2 3 3" xfId="15688" xr:uid="{00000000-0005-0000-0000-0000F5370000}"/>
    <cellStyle name="Normal 19 2 3 3 2" xfId="15689" xr:uid="{00000000-0005-0000-0000-0000F6370000}"/>
    <cellStyle name="Normal 19 2 3 4" xfId="15690" xr:uid="{00000000-0005-0000-0000-0000F7370000}"/>
    <cellStyle name="Normal 19 2 3 5" xfId="15691" xr:uid="{00000000-0005-0000-0000-0000F8370000}"/>
    <cellStyle name="Normal 19 2 4" xfId="1361" xr:uid="{00000000-0005-0000-0000-0000F9370000}"/>
    <cellStyle name="Normal 19 2 4 2" xfId="15692" xr:uid="{00000000-0005-0000-0000-0000FA370000}"/>
    <cellStyle name="Normal 19 2 4 2 2" xfId="15693" xr:uid="{00000000-0005-0000-0000-0000FB370000}"/>
    <cellStyle name="Normal 19 2 4 3" xfId="15694" xr:uid="{00000000-0005-0000-0000-0000FC370000}"/>
    <cellStyle name="Normal 19 2 4 3 2" xfId="15695" xr:uid="{00000000-0005-0000-0000-0000FD370000}"/>
    <cellStyle name="Normal 19 2 4 4" xfId="15696" xr:uid="{00000000-0005-0000-0000-0000FE370000}"/>
    <cellStyle name="Normal 19 2 5" xfId="15697" xr:uid="{00000000-0005-0000-0000-0000FF370000}"/>
    <cellStyle name="Normal 19 2 5 2" xfId="15698" xr:uid="{00000000-0005-0000-0000-000000380000}"/>
    <cellStyle name="Normal 19 2 6" xfId="15699" xr:uid="{00000000-0005-0000-0000-000001380000}"/>
    <cellStyle name="Normal 19 3" xfId="1360" xr:uid="{00000000-0005-0000-0000-000002380000}"/>
    <cellStyle name="Normal 19 3 2" xfId="1359" xr:uid="{00000000-0005-0000-0000-000003380000}"/>
    <cellStyle name="Normal 19 3 2 2" xfId="15700" xr:uid="{00000000-0005-0000-0000-000004380000}"/>
    <cellStyle name="Normal 19 3 2 2 2" xfId="15701" xr:uid="{00000000-0005-0000-0000-000005380000}"/>
    <cellStyle name="Normal 19 3 2 3" xfId="15702" xr:uid="{00000000-0005-0000-0000-000006380000}"/>
    <cellStyle name="Normal 19 3 2 3 2" xfId="15703" xr:uid="{00000000-0005-0000-0000-000007380000}"/>
    <cellStyle name="Normal 19 3 2 4" xfId="15704" xr:uid="{00000000-0005-0000-0000-000008380000}"/>
    <cellStyle name="Normal 19 3 3" xfId="1358" xr:uid="{00000000-0005-0000-0000-000009380000}"/>
    <cellStyle name="Normal 19 3 3 2" xfId="15705" xr:uid="{00000000-0005-0000-0000-00000A380000}"/>
    <cellStyle name="Normal 19 3 3 2 2" xfId="15706" xr:uid="{00000000-0005-0000-0000-00000B380000}"/>
    <cellStyle name="Normal 19 3 4" xfId="15707" xr:uid="{00000000-0005-0000-0000-00000C380000}"/>
    <cellStyle name="Normal 19 3 4 2" xfId="15708" xr:uid="{00000000-0005-0000-0000-00000D380000}"/>
    <cellStyle name="Normal 19 3 5" xfId="15709" xr:uid="{00000000-0005-0000-0000-00000E380000}"/>
    <cellStyle name="Normal 19 4" xfId="1357" xr:uid="{00000000-0005-0000-0000-00000F380000}"/>
    <cellStyle name="Normal 19 4 2" xfId="1356" xr:uid="{00000000-0005-0000-0000-000010380000}"/>
    <cellStyle name="Normal 19 4 2 2" xfId="15710" xr:uid="{00000000-0005-0000-0000-000011380000}"/>
    <cellStyle name="Normal 19 4 3" xfId="1355" xr:uid="{00000000-0005-0000-0000-000012380000}"/>
    <cellStyle name="Normal 19 4 3 2" xfId="15711" xr:uid="{00000000-0005-0000-0000-000013380000}"/>
    <cellStyle name="Normal 19 4 4" xfId="15712" xr:uid="{00000000-0005-0000-0000-000014380000}"/>
    <cellStyle name="Normal 19 4 5" xfId="15713" xr:uid="{00000000-0005-0000-0000-000015380000}"/>
    <cellStyle name="Normal 19 4 5 2" xfId="15714" xr:uid="{00000000-0005-0000-0000-000016380000}"/>
    <cellStyle name="Normal 19 4 5 2 2" xfId="15715" xr:uid="{00000000-0005-0000-0000-000017380000}"/>
    <cellStyle name="Normal 19 4 6" xfId="15716" xr:uid="{00000000-0005-0000-0000-000018380000}"/>
    <cellStyle name="Normal 19 5" xfId="1354" xr:uid="{00000000-0005-0000-0000-000019380000}"/>
    <cellStyle name="Normal 19 5 2" xfId="15717" xr:uid="{00000000-0005-0000-0000-00001A380000}"/>
    <cellStyle name="Normal 19 6" xfId="1353" xr:uid="{00000000-0005-0000-0000-00001B380000}"/>
    <cellStyle name="Normal 19 6 2" xfId="15718" xr:uid="{00000000-0005-0000-0000-00001C380000}"/>
    <cellStyle name="Normal 19 7" xfId="15719" xr:uid="{00000000-0005-0000-0000-00001D380000}"/>
    <cellStyle name="Normal 19 7 2" xfId="15720" xr:uid="{00000000-0005-0000-0000-00001E380000}"/>
    <cellStyle name="Normal 19 8" xfId="15721" xr:uid="{00000000-0005-0000-0000-00001F380000}"/>
    <cellStyle name="Normal 19 8 2" xfId="15722" xr:uid="{00000000-0005-0000-0000-000020380000}"/>
    <cellStyle name="Normal 19 9" xfId="15723" xr:uid="{00000000-0005-0000-0000-000021380000}"/>
    <cellStyle name="Normal 190" xfId="15724" xr:uid="{00000000-0005-0000-0000-000022380000}"/>
    <cellStyle name="Normal 191" xfId="15725" xr:uid="{00000000-0005-0000-0000-000023380000}"/>
    <cellStyle name="Normal 192" xfId="15726" xr:uid="{00000000-0005-0000-0000-000024380000}"/>
    <cellStyle name="Normal 193" xfId="15727" xr:uid="{00000000-0005-0000-0000-000025380000}"/>
    <cellStyle name="Normal 194" xfId="15728" xr:uid="{00000000-0005-0000-0000-000026380000}"/>
    <cellStyle name="Normal 195" xfId="15729" xr:uid="{00000000-0005-0000-0000-000027380000}"/>
    <cellStyle name="Normal 196" xfId="15730" xr:uid="{00000000-0005-0000-0000-000028380000}"/>
    <cellStyle name="Normal 197" xfId="15731" xr:uid="{00000000-0005-0000-0000-000029380000}"/>
    <cellStyle name="Normal 198" xfId="15732" xr:uid="{00000000-0005-0000-0000-00002A380000}"/>
    <cellStyle name="Normal 199" xfId="15733" xr:uid="{00000000-0005-0000-0000-00002B380000}"/>
    <cellStyle name="Normal 2" xfId="6519" xr:uid="{00000000-0005-0000-0000-00002C380000}"/>
    <cellStyle name="Normal 2 10" xfId="1352" xr:uid="{00000000-0005-0000-0000-00002D380000}"/>
    <cellStyle name="Normal 2 10 2" xfId="1351" xr:uid="{00000000-0005-0000-0000-00002E380000}"/>
    <cellStyle name="Normal 2 10 2 2" xfId="1350" xr:uid="{00000000-0005-0000-0000-00002F380000}"/>
    <cellStyle name="Normal 2 10 2 3" xfId="1349" xr:uid="{00000000-0005-0000-0000-000030380000}"/>
    <cellStyle name="Normal 2 10 3" xfId="1348" xr:uid="{00000000-0005-0000-0000-000031380000}"/>
    <cellStyle name="Normal 2 10 3 2" xfId="1347" xr:uid="{00000000-0005-0000-0000-000032380000}"/>
    <cellStyle name="Normal 2 10 3 3" xfId="1346" xr:uid="{00000000-0005-0000-0000-000033380000}"/>
    <cellStyle name="Normal 2 10 4" xfId="1345" xr:uid="{00000000-0005-0000-0000-000034380000}"/>
    <cellStyle name="Normal 2 10 5" xfId="1344" xr:uid="{00000000-0005-0000-0000-000035380000}"/>
    <cellStyle name="Normal 2 11" xfId="1343" xr:uid="{00000000-0005-0000-0000-000036380000}"/>
    <cellStyle name="Normal 2 11 2" xfId="1342" xr:uid="{00000000-0005-0000-0000-000037380000}"/>
    <cellStyle name="Normal 2 11 2 2" xfId="1341" xr:uid="{00000000-0005-0000-0000-000038380000}"/>
    <cellStyle name="Normal 2 11 2 3" xfId="1340" xr:uid="{00000000-0005-0000-0000-000039380000}"/>
    <cellStyle name="Normal 2 11 3" xfId="1339" xr:uid="{00000000-0005-0000-0000-00003A380000}"/>
    <cellStyle name="Normal 2 11 4" xfId="1338" xr:uid="{00000000-0005-0000-0000-00003B380000}"/>
    <cellStyle name="Normal 2 12" xfId="1337" xr:uid="{00000000-0005-0000-0000-00003C380000}"/>
    <cellStyle name="Normal 2 12 2" xfId="1336" xr:uid="{00000000-0005-0000-0000-00003D380000}"/>
    <cellStyle name="Normal 2 12 3" xfId="1335" xr:uid="{00000000-0005-0000-0000-00003E380000}"/>
    <cellStyle name="Normal 2 13" xfId="1334" xr:uid="{00000000-0005-0000-0000-00003F380000}"/>
    <cellStyle name="Normal 2 13 2" xfId="1333" xr:uid="{00000000-0005-0000-0000-000040380000}"/>
    <cellStyle name="Normal 2 13 2 2" xfId="15734" xr:uid="{00000000-0005-0000-0000-000041380000}"/>
    <cellStyle name="Normal 2 13 3" xfId="1332" xr:uid="{00000000-0005-0000-0000-000042380000}"/>
    <cellStyle name="Normal 2 14" xfId="1331" xr:uid="{00000000-0005-0000-0000-000043380000}"/>
    <cellStyle name="Normal 2 15" xfId="1330" xr:uid="{00000000-0005-0000-0000-000044380000}"/>
    <cellStyle name="Normal 2 16" xfId="1329" xr:uid="{00000000-0005-0000-0000-000045380000}"/>
    <cellStyle name="Normal 2 2" xfId="1328" xr:uid="{00000000-0005-0000-0000-000046380000}"/>
    <cellStyle name="Normal 2 2 10" xfId="15735" xr:uid="{00000000-0005-0000-0000-000047380000}"/>
    <cellStyle name="Normal 2 2 10 2" xfId="15736" xr:uid="{00000000-0005-0000-0000-000048380000}"/>
    <cellStyle name="Normal 2 2 11" xfId="15737" xr:uid="{00000000-0005-0000-0000-000049380000}"/>
    <cellStyle name="Normal 2 2 12" xfId="15738" xr:uid="{00000000-0005-0000-0000-00004A380000}"/>
    <cellStyle name="Normal 2 2 2" xfId="1327" xr:uid="{00000000-0005-0000-0000-00004B380000}"/>
    <cellStyle name="Normal 2 2 2 2" xfId="1326" xr:uid="{00000000-0005-0000-0000-00004C380000}"/>
    <cellStyle name="Normal 2 2 2 2 10" xfId="15739" xr:uid="{00000000-0005-0000-0000-00004D380000}"/>
    <cellStyle name="Normal 2 2 2 2 2" xfId="15740" xr:uid="{00000000-0005-0000-0000-00004E380000}"/>
    <cellStyle name="Normal 2 2 2 2 2 2" xfId="15741" xr:uid="{00000000-0005-0000-0000-00004F380000}"/>
    <cellStyle name="Normal 2 2 2 2 2 2 2" xfId="15742" xr:uid="{00000000-0005-0000-0000-000050380000}"/>
    <cellStyle name="Normal 2 2 2 2 2 2 2 2" xfId="15743" xr:uid="{00000000-0005-0000-0000-000051380000}"/>
    <cellStyle name="Normal 2 2 2 2 2 2 3" xfId="15744" xr:uid="{00000000-0005-0000-0000-000052380000}"/>
    <cellStyle name="Normal 2 2 2 2 2 2 3 2" xfId="15745" xr:uid="{00000000-0005-0000-0000-000053380000}"/>
    <cellStyle name="Normal 2 2 2 2 2 2 4" xfId="15746" xr:uid="{00000000-0005-0000-0000-000054380000}"/>
    <cellStyle name="Normal 2 2 2 2 2 2 5" xfId="15747" xr:uid="{00000000-0005-0000-0000-000055380000}"/>
    <cellStyle name="Normal 2 2 2 2 2 3" xfId="15748" xr:uid="{00000000-0005-0000-0000-000056380000}"/>
    <cellStyle name="Normal 2 2 2 2 2 3 2" xfId="15749" xr:uid="{00000000-0005-0000-0000-000057380000}"/>
    <cellStyle name="Normal 2 2 2 2 2 3 2 2" xfId="15750" xr:uid="{00000000-0005-0000-0000-000058380000}"/>
    <cellStyle name="Normal 2 2 2 2 2 3 3" xfId="15751" xr:uid="{00000000-0005-0000-0000-000059380000}"/>
    <cellStyle name="Normal 2 2 2 2 2 4" xfId="15752" xr:uid="{00000000-0005-0000-0000-00005A380000}"/>
    <cellStyle name="Normal 2 2 2 2 2 4 2" xfId="15753" xr:uid="{00000000-0005-0000-0000-00005B380000}"/>
    <cellStyle name="Normal 2 2 2 2 2 5" xfId="15754" xr:uid="{00000000-0005-0000-0000-00005C380000}"/>
    <cellStyle name="Normal 2 2 2 2 2 5 2" xfId="15755" xr:uid="{00000000-0005-0000-0000-00005D380000}"/>
    <cellStyle name="Normal 2 2 2 2 2 6" xfId="15756" xr:uid="{00000000-0005-0000-0000-00005E380000}"/>
    <cellStyle name="Normal 2 2 2 2 3" xfId="15757" xr:uid="{00000000-0005-0000-0000-00005F380000}"/>
    <cellStyle name="Normal 2 2 2 2 3 2" xfId="15758" xr:uid="{00000000-0005-0000-0000-000060380000}"/>
    <cellStyle name="Normal 2 2 2 2 3 2 2" xfId="15759" xr:uid="{00000000-0005-0000-0000-000061380000}"/>
    <cellStyle name="Normal 2 2 2 2 3 2 2 2" xfId="15760" xr:uid="{00000000-0005-0000-0000-000062380000}"/>
    <cellStyle name="Normal 2 2 2 2 3 2 3" xfId="15761" xr:uid="{00000000-0005-0000-0000-000063380000}"/>
    <cellStyle name="Normal 2 2 2 2 3 2 3 2" xfId="15762" xr:uid="{00000000-0005-0000-0000-000064380000}"/>
    <cellStyle name="Normal 2 2 2 2 3 2 4" xfId="15763" xr:uid="{00000000-0005-0000-0000-000065380000}"/>
    <cellStyle name="Normal 2 2 2 2 3 2 5" xfId="15764" xr:uid="{00000000-0005-0000-0000-000066380000}"/>
    <cellStyle name="Normal 2 2 2 2 3 3" xfId="15765" xr:uid="{00000000-0005-0000-0000-000067380000}"/>
    <cellStyle name="Normal 2 2 2 2 3 3 2" xfId="15766" xr:uid="{00000000-0005-0000-0000-000068380000}"/>
    <cellStyle name="Normal 2 2 2 2 3 3 2 2" xfId="15767" xr:uid="{00000000-0005-0000-0000-000069380000}"/>
    <cellStyle name="Normal 2 2 2 2 3 3 3" xfId="15768" xr:uid="{00000000-0005-0000-0000-00006A380000}"/>
    <cellStyle name="Normal 2 2 2 2 3 4" xfId="15769" xr:uid="{00000000-0005-0000-0000-00006B380000}"/>
    <cellStyle name="Normal 2 2 2 2 3 4 2" xfId="15770" xr:uid="{00000000-0005-0000-0000-00006C380000}"/>
    <cellStyle name="Normal 2 2 2 2 3 5" xfId="15771" xr:uid="{00000000-0005-0000-0000-00006D380000}"/>
    <cellStyle name="Normal 2 2 2 2 3 5 2" xfId="15772" xr:uid="{00000000-0005-0000-0000-00006E380000}"/>
    <cellStyle name="Normal 2 2 2 2 3 6" xfId="15773" xr:uid="{00000000-0005-0000-0000-00006F380000}"/>
    <cellStyle name="Normal 2 2 2 2 4" xfId="15774" xr:uid="{00000000-0005-0000-0000-000070380000}"/>
    <cellStyle name="Normal 2 2 2 2 4 2" xfId="15775" xr:uid="{00000000-0005-0000-0000-000071380000}"/>
    <cellStyle name="Normal 2 2 2 2 4 2 2" xfId="15776" xr:uid="{00000000-0005-0000-0000-000072380000}"/>
    <cellStyle name="Normal 2 2 2 2 4 2 2 2" xfId="15777" xr:uid="{00000000-0005-0000-0000-000073380000}"/>
    <cellStyle name="Normal 2 2 2 2 4 2 3" xfId="15778" xr:uid="{00000000-0005-0000-0000-000074380000}"/>
    <cellStyle name="Normal 2 2 2 2 4 3" xfId="15779" xr:uid="{00000000-0005-0000-0000-000075380000}"/>
    <cellStyle name="Normal 2 2 2 2 4 3 2" xfId="15780" xr:uid="{00000000-0005-0000-0000-000076380000}"/>
    <cellStyle name="Normal 2 2 2 2 4 4" xfId="15781" xr:uid="{00000000-0005-0000-0000-000077380000}"/>
    <cellStyle name="Normal 2 2 2 2 4 4 2" xfId="15782" xr:uid="{00000000-0005-0000-0000-000078380000}"/>
    <cellStyle name="Normal 2 2 2 2 4 5" xfId="15783" xr:uid="{00000000-0005-0000-0000-000079380000}"/>
    <cellStyle name="Normal 2 2 2 2 5" xfId="15784" xr:uid="{00000000-0005-0000-0000-00007A380000}"/>
    <cellStyle name="Normal 2 2 2 2 5 2" xfId="15785" xr:uid="{00000000-0005-0000-0000-00007B380000}"/>
    <cellStyle name="Normal 2 2 2 2 5 2 2" xfId="15786" xr:uid="{00000000-0005-0000-0000-00007C380000}"/>
    <cellStyle name="Normal 2 2 2 2 5 3" xfId="15787" xr:uid="{00000000-0005-0000-0000-00007D380000}"/>
    <cellStyle name="Normal 2 2 2 2 5 3 2" xfId="15788" xr:uid="{00000000-0005-0000-0000-00007E380000}"/>
    <cellStyle name="Normal 2 2 2 2 5 4" xfId="15789" xr:uid="{00000000-0005-0000-0000-00007F380000}"/>
    <cellStyle name="Normal 2 2 2 2 6" xfId="15790" xr:uid="{00000000-0005-0000-0000-000080380000}"/>
    <cellStyle name="Normal 2 2 2 2 6 2" xfId="15791" xr:uid="{00000000-0005-0000-0000-000081380000}"/>
    <cellStyle name="Normal 2 2 2 2 6 2 2" xfId="15792" xr:uid="{00000000-0005-0000-0000-000082380000}"/>
    <cellStyle name="Normal 2 2 2 2 6 3" xfId="15793" xr:uid="{00000000-0005-0000-0000-000083380000}"/>
    <cellStyle name="Normal 2 2 2 2 7" xfId="15794" xr:uid="{00000000-0005-0000-0000-000084380000}"/>
    <cellStyle name="Normal 2 2 2 2 7 2" xfId="15795" xr:uid="{00000000-0005-0000-0000-000085380000}"/>
    <cellStyle name="Normal 2 2 2 2 7 3" xfId="15796" xr:uid="{00000000-0005-0000-0000-000086380000}"/>
    <cellStyle name="Normal 2 2 2 2 8" xfId="15797" xr:uid="{00000000-0005-0000-0000-000087380000}"/>
    <cellStyle name="Normal 2 2 2 2 8 2" xfId="15798" xr:uid="{00000000-0005-0000-0000-000088380000}"/>
    <cellStyle name="Normal 2 2 2 2 9" xfId="15799" xr:uid="{00000000-0005-0000-0000-000089380000}"/>
    <cellStyle name="Normal 2 2 2 3" xfId="15800" xr:uid="{00000000-0005-0000-0000-00008A380000}"/>
    <cellStyle name="Normal 2 2 2 3 2" xfId="15801" xr:uid="{00000000-0005-0000-0000-00008B380000}"/>
    <cellStyle name="Normal 2 2 2 4" xfId="15802" xr:uid="{00000000-0005-0000-0000-00008C380000}"/>
    <cellStyle name="Normal 2 2 2 4 2" xfId="15803" xr:uid="{00000000-0005-0000-0000-00008D380000}"/>
    <cellStyle name="Normal 2 2 2 4 2 2" xfId="15804" xr:uid="{00000000-0005-0000-0000-00008E380000}"/>
    <cellStyle name="Normal 2 2 2 4 3" xfId="15805" xr:uid="{00000000-0005-0000-0000-00008F380000}"/>
    <cellStyle name="Normal 2 2 2 4 3 2" xfId="15806" xr:uid="{00000000-0005-0000-0000-000090380000}"/>
    <cellStyle name="Normal 2 2 2 4 4" xfId="15807" xr:uid="{00000000-0005-0000-0000-000091380000}"/>
    <cellStyle name="Normal 2 2 2 4 5" xfId="15808" xr:uid="{00000000-0005-0000-0000-000092380000}"/>
    <cellStyle name="Normal 2 2 2 5" xfId="15809" xr:uid="{00000000-0005-0000-0000-000093380000}"/>
    <cellStyle name="Normal 2 2 2 5 2" xfId="15810" xr:uid="{00000000-0005-0000-0000-000094380000}"/>
    <cellStyle name="Normal 2 2 2 5 2 2" xfId="15811" xr:uid="{00000000-0005-0000-0000-000095380000}"/>
    <cellStyle name="Normal 2 2 2 5 3" xfId="15812" xr:uid="{00000000-0005-0000-0000-000096380000}"/>
    <cellStyle name="Normal 2 2 2 5 3 2" xfId="15813" xr:uid="{00000000-0005-0000-0000-000097380000}"/>
    <cellStyle name="Normal 2 2 2 5 4" xfId="15814" xr:uid="{00000000-0005-0000-0000-000098380000}"/>
    <cellStyle name="Normal 2 2 2 6" xfId="15815" xr:uid="{00000000-0005-0000-0000-000099380000}"/>
    <cellStyle name="Normal 2 2 2 6 2" xfId="15816" xr:uid="{00000000-0005-0000-0000-00009A380000}"/>
    <cellStyle name="Normal 2 2 2 6 2 2" xfId="15817" xr:uid="{00000000-0005-0000-0000-00009B380000}"/>
    <cellStyle name="Normal 2 2 2 6 3" xfId="15818" xr:uid="{00000000-0005-0000-0000-00009C380000}"/>
    <cellStyle name="Normal 2 2 2 7" xfId="15819" xr:uid="{00000000-0005-0000-0000-00009D380000}"/>
    <cellStyle name="Normal 2 2 2 7 2" xfId="15820" xr:uid="{00000000-0005-0000-0000-00009E380000}"/>
    <cellStyle name="Normal 2 2 2 8" xfId="15821" xr:uid="{00000000-0005-0000-0000-00009F380000}"/>
    <cellStyle name="Normal 2 2 2 8 2" xfId="15822" xr:uid="{00000000-0005-0000-0000-0000A0380000}"/>
    <cellStyle name="Normal 2 2 2_NOL Analysis(For Ann Kellog and  Pete Winne)" xfId="1325" xr:uid="{00000000-0005-0000-0000-0000A1380000}"/>
    <cellStyle name="Normal 2 2 3" xfId="1324" xr:uid="{00000000-0005-0000-0000-0000A2380000}"/>
    <cellStyle name="Normal 2 2 3 2" xfId="1323" xr:uid="{00000000-0005-0000-0000-0000A3380000}"/>
    <cellStyle name="Normal 2 2 3 2 2" xfId="15823" xr:uid="{00000000-0005-0000-0000-0000A4380000}"/>
    <cellStyle name="Normal 2 2 3 2 2 2" xfId="15824" xr:uid="{00000000-0005-0000-0000-0000A5380000}"/>
    <cellStyle name="Normal 2 2 3 2 3" xfId="15825" xr:uid="{00000000-0005-0000-0000-0000A6380000}"/>
    <cellStyle name="Normal 2 2 3 2 3 2" xfId="15826" xr:uid="{00000000-0005-0000-0000-0000A7380000}"/>
    <cellStyle name="Normal 2 2 3 2 4" xfId="15827" xr:uid="{00000000-0005-0000-0000-0000A8380000}"/>
    <cellStyle name="Normal 2 2 3 2 4 2" xfId="15828" xr:uid="{00000000-0005-0000-0000-0000A9380000}"/>
    <cellStyle name="Normal 2 2 3 2 5" xfId="15829" xr:uid="{00000000-0005-0000-0000-0000AA380000}"/>
    <cellStyle name="Normal 2 2 3 3" xfId="15830" xr:uid="{00000000-0005-0000-0000-0000AB380000}"/>
    <cellStyle name="Normal 2 2 3 3 2" xfId="15831" xr:uid="{00000000-0005-0000-0000-0000AC380000}"/>
    <cellStyle name="Normal 2 2 3 3 2 2" xfId="15832" xr:uid="{00000000-0005-0000-0000-0000AD380000}"/>
    <cellStyle name="Normal 2 2 3 3 3" xfId="15833" xr:uid="{00000000-0005-0000-0000-0000AE380000}"/>
    <cellStyle name="Normal 2 2 3 4" xfId="15834" xr:uid="{00000000-0005-0000-0000-0000AF380000}"/>
    <cellStyle name="Normal 2 2 3 4 2" xfId="15835" xr:uid="{00000000-0005-0000-0000-0000B0380000}"/>
    <cellStyle name="Normal 2 2 3 5" xfId="15836" xr:uid="{00000000-0005-0000-0000-0000B1380000}"/>
    <cellStyle name="Normal 2 2 3 5 2" xfId="15837" xr:uid="{00000000-0005-0000-0000-0000B2380000}"/>
    <cellStyle name="Normal 2 2 3 6" xfId="15838" xr:uid="{00000000-0005-0000-0000-0000B3380000}"/>
    <cellStyle name="Normal 2 2 4" xfId="1322" xr:uid="{00000000-0005-0000-0000-0000B4380000}"/>
    <cellStyle name="Normal 2 2 4 2" xfId="1321" xr:uid="{00000000-0005-0000-0000-0000B5380000}"/>
    <cellStyle name="Normal 2 2 4 2 2" xfId="1320" xr:uid="{00000000-0005-0000-0000-0000B6380000}"/>
    <cellStyle name="Normal 2 2 4 2 2 2" xfId="15839" xr:uid="{00000000-0005-0000-0000-0000B7380000}"/>
    <cellStyle name="Normal 2 2 4 2 3" xfId="1319" xr:uid="{00000000-0005-0000-0000-0000B8380000}"/>
    <cellStyle name="Normal 2 2 4 2 3 2" xfId="15840" xr:uid="{00000000-0005-0000-0000-0000B9380000}"/>
    <cellStyle name="Normal 2 2 4 2 4" xfId="15841" xr:uid="{00000000-0005-0000-0000-0000BA380000}"/>
    <cellStyle name="Normal 2 2 4 2 5" xfId="15842" xr:uid="{00000000-0005-0000-0000-0000BB380000}"/>
    <cellStyle name="Normal 2 2 4 3" xfId="1318" xr:uid="{00000000-0005-0000-0000-0000BC380000}"/>
    <cellStyle name="Normal 2 2 4 3 2" xfId="15843" xr:uid="{00000000-0005-0000-0000-0000BD380000}"/>
    <cellStyle name="Normal 2 2 4 3 2 2" xfId="15844" xr:uid="{00000000-0005-0000-0000-0000BE380000}"/>
    <cellStyle name="Normal 2 2 4 3 3" xfId="15845" xr:uid="{00000000-0005-0000-0000-0000BF380000}"/>
    <cellStyle name="Normal 2 2 4 4" xfId="1317" xr:uid="{00000000-0005-0000-0000-0000C0380000}"/>
    <cellStyle name="Normal 2 2 4 4 2" xfId="15846" xr:uid="{00000000-0005-0000-0000-0000C1380000}"/>
    <cellStyle name="Normal 2 2 4 5" xfId="15847" xr:uid="{00000000-0005-0000-0000-0000C2380000}"/>
    <cellStyle name="Normal 2 2 4 5 2" xfId="15848" xr:uid="{00000000-0005-0000-0000-0000C3380000}"/>
    <cellStyle name="Normal 2 2 4 6" xfId="15849" xr:uid="{00000000-0005-0000-0000-0000C4380000}"/>
    <cellStyle name="Normal 2 2 5" xfId="1316" xr:uid="{00000000-0005-0000-0000-0000C5380000}"/>
    <cellStyle name="Normal 2 2 5 2" xfId="1315" xr:uid="{00000000-0005-0000-0000-0000C6380000}"/>
    <cellStyle name="Normal 2 2 5 2 2" xfId="15850" xr:uid="{00000000-0005-0000-0000-0000C7380000}"/>
    <cellStyle name="Normal 2 2 5 3" xfId="1314" xr:uid="{00000000-0005-0000-0000-0000C8380000}"/>
    <cellStyle name="Normal 2 2 5 3 2" xfId="15851" xr:uid="{00000000-0005-0000-0000-0000C9380000}"/>
    <cellStyle name="Normal 2 2 5 4" xfId="15852" xr:uid="{00000000-0005-0000-0000-0000CA380000}"/>
    <cellStyle name="Normal 2 2 6" xfId="15853" xr:uid="{00000000-0005-0000-0000-0000CB380000}"/>
    <cellStyle name="Normal 2 2 6 2" xfId="15854" xr:uid="{00000000-0005-0000-0000-0000CC380000}"/>
    <cellStyle name="Normal 2 2 6 2 2" xfId="15855" xr:uid="{00000000-0005-0000-0000-0000CD380000}"/>
    <cellStyle name="Normal 2 2 6 3" xfId="15856" xr:uid="{00000000-0005-0000-0000-0000CE380000}"/>
    <cellStyle name="Normal 2 2 6 3 2" xfId="15857" xr:uid="{00000000-0005-0000-0000-0000CF380000}"/>
    <cellStyle name="Normal 2 2 6 4" xfId="15858" xr:uid="{00000000-0005-0000-0000-0000D0380000}"/>
    <cellStyle name="Normal 2 2 7" xfId="15859" xr:uid="{00000000-0005-0000-0000-0000D1380000}"/>
    <cellStyle name="Normal 2 2 7 2" xfId="15860" xr:uid="{00000000-0005-0000-0000-0000D2380000}"/>
    <cellStyle name="Normal 2 2 7 2 2" xfId="15861" xr:uid="{00000000-0005-0000-0000-0000D3380000}"/>
    <cellStyle name="Normal 2 2 7 3" xfId="15862" xr:uid="{00000000-0005-0000-0000-0000D4380000}"/>
    <cellStyle name="Normal 2 2 8" xfId="15863" xr:uid="{00000000-0005-0000-0000-0000D5380000}"/>
    <cellStyle name="Normal 2 2 8 2" xfId="15864" xr:uid="{00000000-0005-0000-0000-0000D6380000}"/>
    <cellStyle name="Normal 2 2 8 3" xfId="15865" xr:uid="{00000000-0005-0000-0000-0000D7380000}"/>
    <cellStyle name="Normal 2 2 9" xfId="15866" xr:uid="{00000000-0005-0000-0000-0000D8380000}"/>
    <cellStyle name="Normal 2 2 9 2" xfId="15867" xr:uid="{00000000-0005-0000-0000-0000D9380000}"/>
    <cellStyle name="Normal 2 2 9 3" xfId="15868" xr:uid="{00000000-0005-0000-0000-0000DA380000}"/>
    <cellStyle name="Normal 2 3" xfId="1313" xr:uid="{00000000-0005-0000-0000-0000DB380000}"/>
    <cellStyle name="Normal 2 3 10" xfId="15869" xr:uid="{00000000-0005-0000-0000-0000DC380000}"/>
    <cellStyle name="Normal 2 3 10 2" xfId="15870" xr:uid="{00000000-0005-0000-0000-0000DD380000}"/>
    <cellStyle name="Normal 2 3 11" xfId="15871" xr:uid="{00000000-0005-0000-0000-0000DE380000}"/>
    <cellStyle name="Normal 2 3 12" xfId="15872" xr:uid="{00000000-0005-0000-0000-0000DF380000}"/>
    <cellStyle name="Normal 2 3 2" xfId="1312" xr:uid="{00000000-0005-0000-0000-0000E0380000}"/>
    <cellStyle name="Normal 2 3 2 10" xfId="15873" xr:uid="{00000000-0005-0000-0000-0000E1380000}"/>
    <cellStyle name="Normal 2 3 2 11" xfId="15874" xr:uid="{00000000-0005-0000-0000-0000E2380000}"/>
    <cellStyle name="Normal 2 3 2 2" xfId="15875" xr:uid="{00000000-0005-0000-0000-0000E3380000}"/>
    <cellStyle name="Normal 2 3 2 2 2" xfId="15876" xr:uid="{00000000-0005-0000-0000-0000E4380000}"/>
    <cellStyle name="Normal 2 3 2 2 2 2" xfId="15877" xr:uid="{00000000-0005-0000-0000-0000E5380000}"/>
    <cellStyle name="Normal 2 3 2 2 2 2 2" xfId="15878" xr:uid="{00000000-0005-0000-0000-0000E6380000}"/>
    <cellStyle name="Normal 2 3 2 2 2 3" xfId="15879" xr:uid="{00000000-0005-0000-0000-0000E7380000}"/>
    <cellStyle name="Normal 2 3 2 2 2 3 2" xfId="15880" xr:uid="{00000000-0005-0000-0000-0000E8380000}"/>
    <cellStyle name="Normal 2 3 2 2 2 4" xfId="15881" xr:uid="{00000000-0005-0000-0000-0000E9380000}"/>
    <cellStyle name="Normal 2 3 2 2 2 5" xfId="15882" xr:uid="{00000000-0005-0000-0000-0000EA380000}"/>
    <cellStyle name="Normal 2 3 2 2 3" xfId="15883" xr:uid="{00000000-0005-0000-0000-0000EB380000}"/>
    <cellStyle name="Normal 2 3 2 2 3 2" xfId="15884" xr:uid="{00000000-0005-0000-0000-0000EC380000}"/>
    <cellStyle name="Normal 2 3 2 2 3 2 2" xfId="15885" xr:uid="{00000000-0005-0000-0000-0000ED380000}"/>
    <cellStyle name="Normal 2 3 2 2 3 3" xfId="15886" xr:uid="{00000000-0005-0000-0000-0000EE380000}"/>
    <cellStyle name="Normal 2 3 2 2 4" xfId="15887" xr:uid="{00000000-0005-0000-0000-0000EF380000}"/>
    <cellStyle name="Normal 2 3 2 2 4 2" xfId="15888" xr:uid="{00000000-0005-0000-0000-0000F0380000}"/>
    <cellStyle name="Normal 2 3 2 2 5" xfId="15889" xr:uid="{00000000-0005-0000-0000-0000F1380000}"/>
    <cellStyle name="Normal 2 3 2 2 5 2" xfId="15890" xr:uid="{00000000-0005-0000-0000-0000F2380000}"/>
    <cellStyle name="Normal 2 3 2 2 6" xfId="15891" xr:uid="{00000000-0005-0000-0000-0000F3380000}"/>
    <cellStyle name="Normal 2 3 2 3" xfId="15892" xr:uid="{00000000-0005-0000-0000-0000F4380000}"/>
    <cellStyle name="Normal 2 3 2 3 2" xfId="15893" xr:uid="{00000000-0005-0000-0000-0000F5380000}"/>
    <cellStyle name="Normal 2 3 2 3 2 2" xfId="15894" xr:uid="{00000000-0005-0000-0000-0000F6380000}"/>
    <cellStyle name="Normal 2 3 2 3 2 2 2" xfId="15895" xr:uid="{00000000-0005-0000-0000-0000F7380000}"/>
    <cellStyle name="Normal 2 3 2 3 2 3" xfId="15896" xr:uid="{00000000-0005-0000-0000-0000F8380000}"/>
    <cellStyle name="Normal 2 3 2 3 2 3 2" xfId="15897" xr:uid="{00000000-0005-0000-0000-0000F9380000}"/>
    <cellStyle name="Normal 2 3 2 3 2 4" xfId="15898" xr:uid="{00000000-0005-0000-0000-0000FA380000}"/>
    <cellStyle name="Normal 2 3 2 3 2 5" xfId="15899" xr:uid="{00000000-0005-0000-0000-0000FB380000}"/>
    <cellStyle name="Normal 2 3 2 3 3" xfId="15900" xr:uid="{00000000-0005-0000-0000-0000FC380000}"/>
    <cellStyle name="Normal 2 3 2 3 3 2" xfId="15901" xr:uid="{00000000-0005-0000-0000-0000FD380000}"/>
    <cellStyle name="Normal 2 3 2 3 3 2 2" xfId="15902" xr:uid="{00000000-0005-0000-0000-0000FE380000}"/>
    <cellStyle name="Normal 2 3 2 3 3 3" xfId="15903" xr:uid="{00000000-0005-0000-0000-0000FF380000}"/>
    <cellStyle name="Normal 2 3 2 3 4" xfId="15904" xr:uid="{00000000-0005-0000-0000-000000390000}"/>
    <cellStyle name="Normal 2 3 2 3 4 2" xfId="15905" xr:uid="{00000000-0005-0000-0000-000001390000}"/>
    <cellStyle name="Normal 2 3 2 3 5" xfId="15906" xr:uid="{00000000-0005-0000-0000-000002390000}"/>
    <cellStyle name="Normal 2 3 2 3 5 2" xfId="15907" xr:uid="{00000000-0005-0000-0000-000003390000}"/>
    <cellStyle name="Normal 2 3 2 3 6" xfId="15908" xr:uid="{00000000-0005-0000-0000-000004390000}"/>
    <cellStyle name="Normal 2 3 2 4" xfId="15909" xr:uid="{00000000-0005-0000-0000-000005390000}"/>
    <cellStyle name="Normal 2 3 2 4 2" xfId="15910" xr:uid="{00000000-0005-0000-0000-000006390000}"/>
    <cellStyle name="Normal 2 3 2 4 2 2" xfId="15911" xr:uid="{00000000-0005-0000-0000-000007390000}"/>
    <cellStyle name="Normal 2 3 2 4 2 2 2" xfId="15912" xr:uid="{00000000-0005-0000-0000-000008390000}"/>
    <cellStyle name="Normal 2 3 2 4 2 3" xfId="15913" xr:uid="{00000000-0005-0000-0000-000009390000}"/>
    <cellStyle name="Normal 2 3 2 4 3" xfId="15914" xr:uid="{00000000-0005-0000-0000-00000A390000}"/>
    <cellStyle name="Normal 2 3 2 4 3 2" xfId="15915" xr:uid="{00000000-0005-0000-0000-00000B390000}"/>
    <cellStyle name="Normal 2 3 2 4 4" xfId="15916" xr:uid="{00000000-0005-0000-0000-00000C390000}"/>
    <cellStyle name="Normal 2 3 2 4 4 2" xfId="15917" xr:uid="{00000000-0005-0000-0000-00000D390000}"/>
    <cellStyle name="Normal 2 3 2 4 5" xfId="15918" xr:uid="{00000000-0005-0000-0000-00000E390000}"/>
    <cellStyle name="Normal 2 3 2 5" xfId="15919" xr:uid="{00000000-0005-0000-0000-00000F390000}"/>
    <cellStyle name="Normal 2 3 2 5 2" xfId="15920" xr:uid="{00000000-0005-0000-0000-000010390000}"/>
    <cellStyle name="Normal 2 3 2 5 2 2" xfId="15921" xr:uid="{00000000-0005-0000-0000-000011390000}"/>
    <cellStyle name="Normal 2 3 2 5 3" xfId="15922" xr:uid="{00000000-0005-0000-0000-000012390000}"/>
    <cellStyle name="Normal 2 3 2 5 3 2" xfId="15923" xr:uid="{00000000-0005-0000-0000-000013390000}"/>
    <cellStyle name="Normal 2 3 2 5 4" xfId="15924" xr:uid="{00000000-0005-0000-0000-000014390000}"/>
    <cellStyle name="Normal 2 3 2 5 4 2" xfId="15925" xr:uid="{00000000-0005-0000-0000-000015390000}"/>
    <cellStyle name="Normal 2 3 2 5 5" xfId="15926" xr:uid="{00000000-0005-0000-0000-000016390000}"/>
    <cellStyle name="Normal 2 3 2 6" xfId="15927" xr:uid="{00000000-0005-0000-0000-000017390000}"/>
    <cellStyle name="Normal 2 3 2 6 2" xfId="15928" xr:uid="{00000000-0005-0000-0000-000018390000}"/>
    <cellStyle name="Normal 2 3 2 6 2 2" xfId="15929" xr:uid="{00000000-0005-0000-0000-000019390000}"/>
    <cellStyle name="Normal 2 3 2 6 3" xfId="15930" xr:uid="{00000000-0005-0000-0000-00001A390000}"/>
    <cellStyle name="Normal 2 3 2 7" xfId="15931" xr:uid="{00000000-0005-0000-0000-00001B390000}"/>
    <cellStyle name="Normal 2 3 2 7 2" xfId="15932" xr:uid="{00000000-0005-0000-0000-00001C390000}"/>
    <cellStyle name="Normal 2 3 2 7 2 2" xfId="15933" xr:uid="{00000000-0005-0000-0000-00001D390000}"/>
    <cellStyle name="Normal 2 3 2 7 3" xfId="15934" xr:uid="{00000000-0005-0000-0000-00001E390000}"/>
    <cellStyle name="Normal 2 3 2 8" xfId="15935" xr:uid="{00000000-0005-0000-0000-00001F390000}"/>
    <cellStyle name="Normal 2 3 2 8 2" xfId="15936" xr:uid="{00000000-0005-0000-0000-000020390000}"/>
    <cellStyle name="Normal 2 3 2 9" xfId="15937" xr:uid="{00000000-0005-0000-0000-000021390000}"/>
    <cellStyle name="Normal 2 3 3" xfId="15938" xr:uid="{00000000-0005-0000-0000-000022390000}"/>
    <cellStyle name="Normal 2 3 3 2" xfId="15939" xr:uid="{00000000-0005-0000-0000-000023390000}"/>
    <cellStyle name="Normal 2 3 3 2 2" xfId="15940" xr:uid="{00000000-0005-0000-0000-000024390000}"/>
    <cellStyle name="Normal 2 3 3 2 2 2" xfId="15941" xr:uid="{00000000-0005-0000-0000-000025390000}"/>
    <cellStyle name="Normal 2 3 3 2 3" xfId="15942" xr:uid="{00000000-0005-0000-0000-000026390000}"/>
    <cellStyle name="Normal 2 3 3 2 3 2" xfId="15943" xr:uid="{00000000-0005-0000-0000-000027390000}"/>
    <cellStyle name="Normal 2 3 3 2 4" xfId="15944" xr:uid="{00000000-0005-0000-0000-000028390000}"/>
    <cellStyle name="Normal 2 3 3 2 5" xfId="15945" xr:uid="{00000000-0005-0000-0000-000029390000}"/>
    <cellStyle name="Normal 2 3 3 3" xfId="15946" xr:uid="{00000000-0005-0000-0000-00002A390000}"/>
    <cellStyle name="Normal 2 3 3 3 2" xfId="15947" xr:uid="{00000000-0005-0000-0000-00002B390000}"/>
    <cellStyle name="Normal 2 3 3 3 2 2" xfId="15948" xr:uid="{00000000-0005-0000-0000-00002C390000}"/>
    <cellStyle name="Normal 2 3 3 3 3" xfId="15949" xr:uid="{00000000-0005-0000-0000-00002D390000}"/>
    <cellStyle name="Normal 2 3 3 4" xfId="15950" xr:uid="{00000000-0005-0000-0000-00002E390000}"/>
    <cellStyle name="Normal 2 3 3 4 2" xfId="15951" xr:uid="{00000000-0005-0000-0000-00002F390000}"/>
    <cellStyle name="Normal 2 3 3 5" xfId="15952" xr:uid="{00000000-0005-0000-0000-000030390000}"/>
    <cellStyle name="Normal 2 3 3 5 2" xfId="15953" xr:uid="{00000000-0005-0000-0000-000031390000}"/>
    <cellStyle name="Normal 2 3 3 6" xfId="15954" xr:uid="{00000000-0005-0000-0000-000032390000}"/>
    <cellStyle name="Normal 2 3 3 7" xfId="15955" xr:uid="{00000000-0005-0000-0000-000033390000}"/>
    <cellStyle name="Normal 2 3 3 8" xfId="15956" xr:uid="{00000000-0005-0000-0000-000034390000}"/>
    <cellStyle name="Normal 2 3 4" xfId="15957" xr:uid="{00000000-0005-0000-0000-000035390000}"/>
    <cellStyle name="Normal 2 3 4 2" xfId="15958" xr:uid="{00000000-0005-0000-0000-000036390000}"/>
    <cellStyle name="Normal 2 3 4 2 2" xfId="15959" xr:uid="{00000000-0005-0000-0000-000037390000}"/>
    <cellStyle name="Normal 2 3 4 2 2 2" xfId="15960" xr:uid="{00000000-0005-0000-0000-000038390000}"/>
    <cellStyle name="Normal 2 3 4 2 3" xfId="15961" xr:uid="{00000000-0005-0000-0000-000039390000}"/>
    <cellStyle name="Normal 2 3 4 2 3 2" xfId="15962" xr:uid="{00000000-0005-0000-0000-00003A390000}"/>
    <cellStyle name="Normal 2 3 4 2 4" xfId="15963" xr:uid="{00000000-0005-0000-0000-00003B390000}"/>
    <cellStyle name="Normal 2 3 4 2 5" xfId="15964" xr:uid="{00000000-0005-0000-0000-00003C390000}"/>
    <cellStyle name="Normal 2 3 4 3" xfId="15965" xr:uid="{00000000-0005-0000-0000-00003D390000}"/>
    <cellStyle name="Normal 2 3 4 3 2" xfId="15966" xr:uid="{00000000-0005-0000-0000-00003E390000}"/>
    <cellStyle name="Normal 2 3 4 3 2 2" xfId="15967" xr:uid="{00000000-0005-0000-0000-00003F390000}"/>
    <cellStyle name="Normal 2 3 4 3 3" xfId="15968" xr:uid="{00000000-0005-0000-0000-000040390000}"/>
    <cellStyle name="Normal 2 3 4 4" xfId="15969" xr:uid="{00000000-0005-0000-0000-000041390000}"/>
    <cellStyle name="Normal 2 3 4 4 2" xfId="15970" xr:uid="{00000000-0005-0000-0000-000042390000}"/>
    <cellStyle name="Normal 2 3 4 5" xfId="15971" xr:uid="{00000000-0005-0000-0000-000043390000}"/>
    <cellStyle name="Normal 2 3 4 5 2" xfId="15972" xr:uid="{00000000-0005-0000-0000-000044390000}"/>
    <cellStyle name="Normal 2 3 4 6" xfId="15973" xr:uid="{00000000-0005-0000-0000-000045390000}"/>
    <cellStyle name="Normal 2 3 4 7" xfId="15974" xr:uid="{00000000-0005-0000-0000-000046390000}"/>
    <cellStyle name="Normal 2 3 5" xfId="15975" xr:uid="{00000000-0005-0000-0000-000047390000}"/>
    <cellStyle name="Normal 2 3 5 2" xfId="15976" xr:uid="{00000000-0005-0000-0000-000048390000}"/>
    <cellStyle name="Normal 2 3 5 2 2" xfId="15977" xr:uid="{00000000-0005-0000-0000-000049390000}"/>
    <cellStyle name="Normal 2 3 5 2 2 2" xfId="15978" xr:uid="{00000000-0005-0000-0000-00004A390000}"/>
    <cellStyle name="Normal 2 3 5 2 3" xfId="15979" xr:uid="{00000000-0005-0000-0000-00004B390000}"/>
    <cellStyle name="Normal 2 3 5 2 3 2" xfId="15980" xr:uid="{00000000-0005-0000-0000-00004C390000}"/>
    <cellStyle name="Normal 2 3 5 2 4" xfId="15981" xr:uid="{00000000-0005-0000-0000-00004D390000}"/>
    <cellStyle name="Normal 2 3 5 2 5" xfId="15982" xr:uid="{00000000-0005-0000-0000-00004E390000}"/>
    <cellStyle name="Normal 2 3 5 2 6" xfId="15983" xr:uid="{00000000-0005-0000-0000-00004F390000}"/>
    <cellStyle name="Normal 2 3 5 3" xfId="15984" xr:uid="{00000000-0005-0000-0000-000050390000}"/>
    <cellStyle name="Normal 2 3 5 4" xfId="15985" xr:uid="{00000000-0005-0000-0000-000051390000}"/>
    <cellStyle name="Normal 2 3 5 4 2" xfId="15986" xr:uid="{00000000-0005-0000-0000-000052390000}"/>
    <cellStyle name="Normal 2 3 5 5" xfId="15987" xr:uid="{00000000-0005-0000-0000-000053390000}"/>
    <cellStyle name="Normal 2 3 5 5 2" xfId="15988" xr:uid="{00000000-0005-0000-0000-000054390000}"/>
    <cellStyle name="Normal 2 3 5 6" xfId="15989" xr:uid="{00000000-0005-0000-0000-000055390000}"/>
    <cellStyle name="Normal 2 3 5 6 2" xfId="15990" xr:uid="{00000000-0005-0000-0000-000056390000}"/>
    <cellStyle name="Normal 2 3 5 7" xfId="15991" xr:uid="{00000000-0005-0000-0000-000057390000}"/>
    <cellStyle name="Normal 2 3 5 7 2" xfId="15992" xr:uid="{00000000-0005-0000-0000-000058390000}"/>
    <cellStyle name="Normal 2 3 5 8" xfId="15993" xr:uid="{00000000-0005-0000-0000-000059390000}"/>
    <cellStyle name="Normal 2 3 6" xfId="15994" xr:uid="{00000000-0005-0000-0000-00005A390000}"/>
    <cellStyle name="Normal 2 3 6 2" xfId="15995" xr:uid="{00000000-0005-0000-0000-00005B390000}"/>
    <cellStyle name="Normal 2 3 6 2 2" xfId="15996" xr:uid="{00000000-0005-0000-0000-00005C390000}"/>
    <cellStyle name="Normal 2 3 6 2 2 2" xfId="15997" xr:uid="{00000000-0005-0000-0000-00005D390000}"/>
    <cellStyle name="Normal 2 3 6 2 3" xfId="15998" xr:uid="{00000000-0005-0000-0000-00005E390000}"/>
    <cellStyle name="Normal 2 3 6 3" xfId="15999" xr:uid="{00000000-0005-0000-0000-00005F390000}"/>
    <cellStyle name="Normal 2 3 6 4" xfId="16000" xr:uid="{00000000-0005-0000-0000-000060390000}"/>
    <cellStyle name="Normal 2 3 6 4 2" xfId="16001" xr:uid="{00000000-0005-0000-0000-000061390000}"/>
    <cellStyle name="Normal 2 3 6 5" xfId="16002" xr:uid="{00000000-0005-0000-0000-000062390000}"/>
    <cellStyle name="Normal 2 3 7" xfId="16003" xr:uid="{00000000-0005-0000-0000-000063390000}"/>
    <cellStyle name="Normal 2 3 7 2" xfId="16004" xr:uid="{00000000-0005-0000-0000-000064390000}"/>
    <cellStyle name="Normal 2 3 7 2 2" xfId="16005" xr:uid="{00000000-0005-0000-0000-000065390000}"/>
    <cellStyle name="Normal 2 3 7 3" xfId="16006" xr:uid="{00000000-0005-0000-0000-000066390000}"/>
    <cellStyle name="Normal 2 3 7 3 2" xfId="16007" xr:uid="{00000000-0005-0000-0000-000067390000}"/>
    <cellStyle name="Normal 2 3 7 4" xfId="16008" xr:uid="{00000000-0005-0000-0000-000068390000}"/>
    <cellStyle name="Normal 2 3 7 4 2" xfId="16009" xr:uid="{00000000-0005-0000-0000-000069390000}"/>
    <cellStyle name="Normal 2 3 7 5" xfId="16010" xr:uid="{00000000-0005-0000-0000-00006A390000}"/>
    <cellStyle name="Normal 2 3 8" xfId="16011" xr:uid="{00000000-0005-0000-0000-00006B390000}"/>
    <cellStyle name="Normal 2 3 8 2" xfId="16012" xr:uid="{00000000-0005-0000-0000-00006C390000}"/>
    <cellStyle name="Normal 2 3 8 2 2" xfId="16013" xr:uid="{00000000-0005-0000-0000-00006D390000}"/>
    <cellStyle name="Normal 2 3 8 3" xfId="16014" xr:uid="{00000000-0005-0000-0000-00006E390000}"/>
    <cellStyle name="Normal 2 3 8 3 2" xfId="16015" xr:uid="{00000000-0005-0000-0000-00006F390000}"/>
    <cellStyle name="Normal 2 3 8 4" xfId="16016" xr:uid="{00000000-0005-0000-0000-000070390000}"/>
    <cellStyle name="Normal 2 3 9" xfId="16017" xr:uid="{00000000-0005-0000-0000-000071390000}"/>
    <cellStyle name="Normal 2 3 9 2" xfId="16018" xr:uid="{00000000-0005-0000-0000-000072390000}"/>
    <cellStyle name="Normal 2 3 9 2 2" xfId="16019" xr:uid="{00000000-0005-0000-0000-000073390000}"/>
    <cellStyle name="Normal 2 3 9 3" xfId="16020" xr:uid="{00000000-0005-0000-0000-000074390000}"/>
    <cellStyle name="Normal 2 4" xfId="1311" xr:uid="{00000000-0005-0000-0000-000075390000}"/>
    <cellStyle name="Normal 2 4 2" xfId="1310" xr:uid="{00000000-0005-0000-0000-000076390000}"/>
    <cellStyle name="Normal 2 4 3" xfId="16021" xr:uid="{00000000-0005-0000-0000-000077390000}"/>
    <cellStyle name="Normal 2 4 3 2" xfId="16022" xr:uid="{00000000-0005-0000-0000-000078390000}"/>
    <cellStyle name="Normal 2 4 3 2 2" xfId="16023" xr:uid="{00000000-0005-0000-0000-000079390000}"/>
    <cellStyle name="Normal 2 4 3 3" xfId="16024" xr:uid="{00000000-0005-0000-0000-00007A390000}"/>
    <cellStyle name="Normal 2 4 3 3 2" xfId="16025" xr:uid="{00000000-0005-0000-0000-00007B390000}"/>
    <cellStyle name="Normal 2 4 3 4" xfId="16026" xr:uid="{00000000-0005-0000-0000-00007C390000}"/>
    <cellStyle name="Normal 2 4 3 5" xfId="16027" xr:uid="{00000000-0005-0000-0000-00007D390000}"/>
    <cellStyle name="Normal 2 4 4" xfId="16028" xr:uid="{00000000-0005-0000-0000-00007E390000}"/>
    <cellStyle name="Normal 2 4 4 2" xfId="16029" xr:uid="{00000000-0005-0000-0000-00007F390000}"/>
    <cellStyle name="Normal 2 4 5" xfId="16030" xr:uid="{00000000-0005-0000-0000-000080390000}"/>
    <cellStyle name="Normal 2 4 5 2" xfId="16031" xr:uid="{00000000-0005-0000-0000-000081390000}"/>
    <cellStyle name="Normal 2 4 6" xfId="16032" xr:uid="{00000000-0005-0000-0000-000082390000}"/>
    <cellStyle name="Normal 2 4 6 2" xfId="16033" xr:uid="{00000000-0005-0000-0000-000083390000}"/>
    <cellStyle name="Normal 2 4 7" xfId="16034" xr:uid="{00000000-0005-0000-0000-000084390000}"/>
    <cellStyle name="Normal 2 4 8" xfId="16035" xr:uid="{00000000-0005-0000-0000-000085390000}"/>
    <cellStyle name="Normal 2 5" xfId="1309" xr:uid="{00000000-0005-0000-0000-000086390000}"/>
    <cellStyle name="Normal 2 5 2" xfId="1308" xr:uid="{00000000-0005-0000-0000-000087390000}"/>
    <cellStyle name="Normal 2 5 2 2" xfId="16036" xr:uid="{00000000-0005-0000-0000-000088390000}"/>
    <cellStyle name="Normal 2 5 2 2 2" xfId="16037" xr:uid="{00000000-0005-0000-0000-000089390000}"/>
    <cellStyle name="Normal 2 5 2 2 2 2" xfId="16038" xr:uid="{00000000-0005-0000-0000-00008A390000}"/>
    <cellStyle name="Normal 2 5 2 2 3" xfId="16039" xr:uid="{00000000-0005-0000-0000-00008B390000}"/>
    <cellStyle name="Normal 2 5 2 2 3 2" xfId="16040" xr:uid="{00000000-0005-0000-0000-00008C390000}"/>
    <cellStyle name="Normal 2 5 2 2 4" xfId="16041" xr:uid="{00000000-0005-0000-0000-00008D390000}"/>
    <cellStyle name="Normal 2 5 2 2 5" xfId="16042" xr:uid="{00000000-0005-0000-0000-00008E390000}"/>
    <cellStyle name="Normal 2 5 2 3" xfId="16043" xr:uid="{00000000-0005-0000-0000-00008F390000}"/>
    <cellStyle name="Normal 2 5 2 3 2" xfId="16044" xr:uid="{00000000-0005-0000-0000-000090390000}"/>
    <cellStyle name="Normal 2 5 2 3 2 2" xfId="16045" xr:uid="{00000000-0005-0000-0000-000091390000}"/>
    <cellStyle name="Normal 2 5 2 3 3" xfId="16046" xr:uid="{00000000-0005-0000-0000-000092390000}"/>
    <cellStyle name="Normal 2 5 2 4" xfId="16047" xr:uid="{00000000-0005-0000-0000-000093390000}"/>
    <cellStyle name="Normal 2 5 2 4 2" xfId="16048" xr:uid="{00000000-0005-0000-0000-000094390000}"/>
    <cellStyle name="Normal 2 5 2 5" xfId="16049" xr:uid="{00000000-0005-0000-0000-000095390000}"/>
    <cellStyle name="Normal 2 5 2 5 2" xfId="16050" xr:uid="{00000000-0005-0000-0000-000096390000}"/>
    <cellStyle name="Normal 2 5 2 6" xfId="16051" xr:uid="{00000000-0005-0000-0000-000097390000}"/>
    <cellStyle name="Normal 2 5 3" xfId="16052" xr:uid="{00000000-0005-0000-0000-000098390000}"/>
    <cellStyle name="Normal 2 5 3 2" xfId="16053" xr:uid="{00000000-0005-0000-0000-000099390000}"/>
    <cellStyle name="Normal 2 5 3 2 2" xfId="16054" xr:uid="{00000000-0005-0000-0000-00009A390000}"/>
    <cellStyle name="Normal 2 5 3 2 2 2" xfId="16055" xr:uid="{00000000-0005-0000-0000-00009B390000}"/>
    <cellStyle name="Normal 2 5 3 2 3" xfId="16056" xr:uid="{00000000-0005-0000-0000-00009C390000}"/>
    <cellStyle name="Normal 2 5 3 3" xfId="16057" xr:uid="{00000000-0005-0000-0000-00009D390000}"/>
    <cellStyle name="Normal 2 5 3 3 2" xfId="16058" xr:uid="{00000000-0005-0000-0000-00009E390000}"/>
    <cellStyle name="Normal 2 5 3 4" xfId="16059" xr:uid="{00000000-0005-0000-0000-00009F390000}"/>
    <cellStyle name="Normal 2 5 3 4 2" xfId="16060" xr:uid="{00000000-0005-0000-0000-0000A0390000}"/>
    <cellStyle name="Normal 2 5 3 5" xfId="16061" xr:uid="{00000000-0005-0000-0000-0000A1390000}"/>
    <cellStyle name="Normal 2 5 4" xfId="16062" xr:uid="{00000000-0005-0000-0000-0000A2390000}"/>
    <cellStyle name="Normal 2 5 4 2" xfId="16063" xr:uid="{00000000-0005-0000-0000-0000A3390000}"/>
    <cellStyle name="Normal 2 5 4 2 2" xfId="16064" xr:uid="{00000000-0005-0000-0000-0000A4390000}"/>
    <cellStyle name="Normal 2 5 4 3" xfId="16065" xr:uid="{00000000-0005-0000-0000-0000A5390000}"/>
    <cellStyle name="Normal 2 5 4 3 2" xfId="16066" xr:uid="{00000000-0005-0000-0000-0000A6390000}"/>
    <cellStyle name="Normal 2 5 4 4" xfId="16067" xr:uid="{00000000-0005-0000-0000-0000A7390000}"/>
    <cellStyle name="Normal 2 5 5" xfId="16068" xr:uid="{00000000-0005-0000-0000-0000A8390000}"/>
    <cellStyle name="Normal 2 5 5 2" xfId="16069" xr:uid="{00000000-0005-0000-0000-0000A9390000}"/>
    <cellStyle name="Normal 2 5 5 2 2" xfId="16070" xr:uid="{00000000-0005-0000-0000-0000AA390000}"/>
    <cellStyle name="Normal 2 5 5 3" xfId="16071" xr:uid="{00000000-0005-0000-0000-0000AB390000}"/>
    <cellStyle name="Normal 2 5 6" xfId="16072" xr:uid="{00000000-0005-0000-0000-0000AC390000}"/>
    <cellStyle name="Normal 2 5 6 2" xfId="16073" xr:uid="{00000000-0005-0000-0000-0000AD390000}"/>
    <cellStyle name="Normal 2 5 6 3" xfId="16074" xr:uid="{00000000-0005-0000-0000-0000AE390000}"/>
    <cellStyle name="Normal 2 5 7" xfId="16075" xr:uid="{00000000-0005-0000-0000-0000AF390000}"/>
    <cellStyle name="Normal 2 5 7 2" xfId="16076" xr:uid="{00000000-0005-0000-0000-0000B0390000}"/>
    <cellStyle name="Normal 2 5 8" xfId="16077" xr:uid="{00000000-0005-0000-0000-0000B1390000}"/>
    <cellStyle name="Normal 2 5 9" xfId="16078" xr:uid="{00000000-0005-0000-0000-0000B2390000}"/>
    <cellStyle name="Normal 2 6" xfId="1307" xr:uid="{00000000-0005-0000-0000-0000B3390000}"/>
    <cellStyle name="Normal 2 6 2" xfId="16079" xr:uid="{00000000-0005-0000-0000-0000B4390000}"/>
    <cellStyle name="Normal 2 6 2 2" xfId="16080" xr:uid="{00000000-0005-0000-0000-0000B5390000}"/>
    <cellStyle name="Normal 2 6 2 2 2" xfId="16081" xr:uid="{00000000-0005-0000-0000-0000B6390000}"/>
    <cellStyle name="Normal 2 6 2 2 2 2" xfId="16082" xr:uid="{00000000-0005-0000-0000-0000B7390000}"/>
    <cellStyle name="Normal 2 6 2 2 3" xfId="16083" xr:uid="{00000000-0005-0000-0000-0000B8390000}"/>
    <cellStyle name="Normal 2 6 2 2 3 2" xfId="16084" xr:uid="{00000000-0005-0000-0000-0000B9390000}"/>
    <cellStyle name="Normal 2 6 2 2 4" xfId="16085" xr:uid="{00000000-0005-0000-0000-0000BA390000}"/>
    <cellStyle name="Normal 2 6 2 2 5" xfId="16086" xr:uid="{00000000-0005-0000-0000-0000BB390000}"/>
    <cellStyle name="Normal 2 6 2 3" xfId="16087" xr:uid="{00000000-0005-0000-0000-0000BC390000}"/>
    <cellStyle name="Normal 2 6 2 3 2" xfId="16088" xr:uid="{00000000-0005-0000-0000-0000BD390000}"/>
    <cellStyle name="Normal 2 6 2 3 2 2" xfId="16089" xr:uid="{00000000-0005-0000-0000-0000BE390000}"/>
    <cellStyle name="Normal 2 6 2 3 3" xfId="16090" xr:uid="{00000000-0005-0000-0000-0000BF390000}"/>
    <cellStyle name="Normal 2 6 2 4" xfId="16091" xr:uid="{00000000-0005-0000-0000-0000C0390000}"/>
    <cellStyle name="Normal 2 6 2 4 2" xfId="16092" xr:uid="{00000000-0005-0000-0000-0000C1390000}"/>
    <cellStyle name="Normal 2 6 2 5" xfId="16093" xr:uid="{00000000-0005-0000-0000-0000C2390000}"/>
    <cellStyle name="Normal 2 6 2 5 2" xfId="16094" xr:uid="{00000000-0005-0000-0000-0000C3390000}"/>
    <cellStyle name="Normal 2 6 2 6" xfId="16095" xr:uid="{00000000-0005-0000-0000-0000C4390000}"/>
    <cellStyle name="Normal 2 6 3" xfId="16096" xr:uid="{00000000-0005-0000-0000-0000C5390000}"/>
    <cellStyle name="Normal 2 6 3 2" xfId="16097" xr:uid="{00000000-0005-0000-0000-0000C6390000}"/>
    <cellStyle name="Normal 2 6 3 2 2" xfId="16098" xr:uid="{00000000-0005-0000-0000-0000C7390000}"/>
    <cellStyle name="Normal 2 6 3 2 2 2" xfId="16099" xr:uid="{00000000-0005-0000-0000-0000C8390000}"/>
    <cellStyle name="Normal 2 6 3 2 3" xfId="16100" xr:uid="{00000000-0005-0000-0000-0000C9390000}"/>
    <cellStyle name="Normal 2 6 3 3" xfId="16101" xr:uid="{00000000-0005-0000-0000-0000CA390000}"/>
    <cellStyle name="Normal 2 6 3 3 2" xfId="16102" xr:uid="{00000000-0005-0000-0000-0000CB390000}"/>
    <cellStyle name="Normal 2 6 3 4" xfId="16103" xr:uid="{00000000-0005-0000-0000-0000CC390000}"/>
    <cellStyle name="Normal 2 6 3 4 2" xfId="16104" xr:uid="{00000000-0005-0000-0000-0000CD390000}"/>
    <cellStyle name="Normal 2 6 3 5" xfId="16105" xr:uid="{00000000-0005-0000-0000-0000CE390000}"/>
    <cellStyle name="Normal 2 6 4" xfId="16106" xr:uid="{00000000-0005-0000-0000-0000CF390000}"/>
    <cellStyle name="Normal 2 6 4 2" xfId="16107" xr:uid="{00000000-0005-0000-0000-0000D0390000}"/>
    <cellStyle name="Normal 2 6 4 2 2" xfId="16108" xr:uid="{00000000-0005-0000-0000-0000D1390000}"/>
    <cellStyle name="Normal 2 6 4 3" xfId="16109" xr:uid="{00000000-0005-0000-0000-0000D2390000}"/>
    <cellStyle name="Normal 2 6 4 3 2" xfId="16110" xr:uid="{00000000-0005-0000-0000-0000D3390000}"/>
    <cellStyle name="Normal 2 6 4 4" xfId="16111" xr:uid="{00000000-0005-0000-0000-0000D4390000}"/>
    <cellStyle name="Normal 2 6 5" xfId="16112" xr:uid="{00000000-0005-0000-0000-0000D5390000}"/>
    <cellStyle name="Normal 2 6 5 2" xfId="16113" xr:uid="{00000000-0005-0000-0000-0000D6390000}"/>
    <cellStyle name="Normal 2 6 5 2 2" xfId="16114" xr:uid="{00000000-0005-0000-0000-0000D7390000}"/>
    <cellStyle name="Normal 2 6 5 3" xfId="16115" xr:uid="{00000000-0005-0000-0000-0000D8390000}"/>
    <cellStyle name="Normal 2 6 6" xfId="16116" xr:uid="{00000000-0005-0000-0000-0000D9390000}"/>
    <cellStyle name="Normal 2 6 6 2" xfId="16117" xr:uid="{00000000-0005-0000-0000-0000DA390000}"/>
    <cellStyle name="Normal 2 6 6 3" xfId="16118" xr:uid="{00000000-0005-0000-0000-0000DB390000}"/>
    <cellStyle name="Normal 2 6 7" xfId="16119" xr:uid="{00000000-0005-0000-0000-0000DC390000}"/>
    <cellStyle name="Normal 2 6 7 2" xfId="16120" xr:uid="{00000000-0005-0000-0000-0000DD390000}"/>
    <cellStyle name="Normal 2 6 8" xfId="16121" xr:uid="{00000000-0005-0000-0000-0000DE390000}"/>
    <cellStyle name="Normal 2 6 9" xfId="16122" xr:uid="{00000000-0005-0000-0000-0000DF390000}"/>
    <cellStyle name="Normal 2 7" xfId="1306" xr:uid="{00000000-0005-0000-0000-0000E0390000}"/>
    <cellStyle name="Normal 2 7 2" xfId="1305" xr:uid="{00000000-0005-0000-0000-0000E1390000}"/>
    <cellStyle name="Normal 2 7 2 2" xfId="16123" xr:uid="{00000000-0005-0000-0000-0000E2390000}"/>
    <cellStyle name="Normal 2 7 2 2 2" xfId="16124" xr:uid="{00000000-0005-0000-0000-0000E3390000}"/>
    <cellStyle name="Normal 2 7 2 2 2 2" xfId="16125" xr:uid="{00000000-0005-0000-0000-0000E4390000}"/>
    <cellStyle name="Normal 2 7 2 2 3" xfId="16126" xr:uid="{00000000-0005-0000-0000-0000E5390000}"/>
    <cellStyle name="Normal 2 7 2 3" xfId="16127" xr:uid="{00000000-0005-0000-0000-0000E6390000}"/>
    <cellStyle name="Normal 2 7 2 3 2" xfId="16128" xr:uid="{00000000-0005-0000-0000-0000E7390000}"/>
    <cellStyle name="Normal 2 7 2 4" xfId="16129" xr:uid="{00000000-0005-0000-0000-0000E8390000}"/>
    <cellStyle name="Normal 2 7 2 4 2" xfId="16130" xr:uid="{00000000-0005-0000-0000-0000E9390000}"/>
    <cellStyle name="Normal 2 7 2 5" xfId="16131" xr:uid="{00000000-0005-0000-0000-0000EA390000}"/>
    <cellStyle name="Normal 2 7 3" xfId="16132" xr:uid="{00000000-0005-0000-0000-0000EB390000}"/>
    <cellStyle name="Normal 2 7 3 2" xfId="16133" xr:uid="{00000000-0005-0000-0000-0000EC390000}"/>
    <cellStyle name="Normal 2 7 3 2 2" xfId="16134" xr:uid="{00000000-0005-0000-0000-0000ED390000}"/>
    <cellStyle name="Normal 2 7 3 3" xfId="16135" xr:uid="{00000000-0005-0000-0000-0000EE390000}"/>
    <cellStyle name="Normal 2 7 3 3 2" xfId="16136" xr:uid="{00000000-0005-0000-0000-0000EF390000}"/>
    <cellStyle name="Normal 2 7 3 4" xfId="16137" xr:uid="{00000000-0005-0000-0000-0000F0390000}"/>
    <cellStyle name="Normal 2 7 4" xfId="16138" xr:uid="{00000000-0005-0000-0000-0000F1390000}"/>
    <cellStyle name="Normal 2 7 4 2" xfId="16139" xr:uid="{00000000-0005-0000-0000-0000F2390000}"/>
    <cellStyle name="Normal 2 7 4 2 2" xfId="16140" xr:uid="{00000000-0005-0000-0000-0000F3390000}"/>
    <cellStyle name="Normal 2 7 4 3" xfId="16141" xr:uid="{00000000-0005-0000-0000-0000F4390000}"/>
    <cellStyle name="Normal 2 7 5" xfId="16142" xr:uid="{00000000-0005-0000-0000-0000F5390000}"/>
    <cellStyle name="Normal 2 7 5 2" xfId="16143" xr:uid="{00000000-0005-0000-0000-0000F6390000}"/>
    <cellStyle name="Normal 2 7 5 3" xfId="16144" xr:uid="{00000000-0005-0000-0000-0000F7390000}"/>
    <cellStyle name="Normal 2 7 6" xfId="16145" xr:uid="{00000000-0005-0000-0000-0000F8390000}"/>
    <cellStyle name="Normal 2 7 6 2" xfId="16146" xr:uid="{00000000-0005-0000-0000-0000F9390000}"/>
    <cellStyle name="Normal 2 7 7" xfId="16147" xr:uid="{00000000-0005-0000-0000-0000FA390000}"/>
    <cellStyle name="Normal 2 7 8" xfId="16148" xr:uid="{00000000-0005-0000-0000-0000FB390000}"/>
    <cellStyle name="Normal 2 8" xfId="1304" xr:uid="{00000000-0005-0000-0000-0000FC390000}"/>
    <cellStyle name="Normal 2 8 2" xfId="1303" xr:uid="{00000000-0005-0000-0000-0000FD390000}"/>
    <cellStyle name="Normal 2 8 2 2" xfId="1302" xr:uid="{00000000-0005-0000-0000-0000FE390000}"/>
    <cellStyle name="Normal 2 8 2 2 2" xfId="1301" xr:uid="{00000000-0005-0000-0000-0000FF390000}"/>
    <cellStyle name="Normal 2 8 2 2 2 2" xfId="1300" xr:uid="{00000000-0005-0000-0000-0000003A0000}"/>
    <cellStyle name="Normal 2 8 2 2 2 3" xfId="1299" xr:uid="{00000000-0005-0000-0000-0000013A0000}"/>
    <cellStyle name="Normal 2 8 2 2 3" xfId="1298" xr:uid="{00000000-0005-0000-0000-0000023A0000}"/>
    <cellStyle name="Normal 2 8 2 2 4" xfId="1297" xr:uid="{00000000-0005-0000-0000-0000033A0000}"/>
    <cellStyle name="Normal 2 8 2 3" xfId="1296" xr:uid="{00000000-0005-0000-0000-0000043A0000}"/>
    <cellStyle name="Normal 2 8 2 3 2" xfId="1295" xr:uid="{00000000-0005-0000-0000-0000053A0000}"/>
    <cellStyle name="Normal 2 8 2 3 3" xfId="1294" xr:uid="{00000000-0005-0000-0000-0000063A0000}"/>
    <cellStyle name="Normal 2 8 2 4" xfId="1293" xr:uid="{00000000-0005-0000-0000-0000073A0000}"/>
    <cellStyle name="Normal 2 8 2 4 2" xfId="1292" xr:uid="{00000000-0005-0000-0000-0000083A0000}"/>
    <cellStyle name="Normal 2 8 2 4 3" xfId="1291" xr:uid="{00000000-0005-0000-0000-0000093A0000}"/>
    <cellStyle name="Normal 2 8 2 5" xfId="1290" xr:uid="{00000000-0005-0000-0000-00000A3A0000}"/>
    <cellStyle name="Normal 2 8 2 6" xfId="1289" xr:uid="{00000000-0005-0000-0000-00000B3A0000}"/>
    <cellStyle name="Normal 2 8 3" xfId="1288" xr:uid="{00000000-0005-0000-0000-00000C3A0000}"/>
    <cellStyle name="Normal 2 8 3 2" xfId="1287" xr:uid="{00000000-0005-0000-0000-00000D3A0000}"/>
    <cellStyle name="Normal 2 8 3 2 2" xfId="1286" xr:uid="{00000000-0005-0000-0000-00000E3A0000}"/>
    <cellStyle name="Normal 2 8 3 2 3" xfId="1285" xr:uid="{00000000-0005-0000-0000-00000F3A0000}"/>
    <cellStyle name="Normal 2 8 3 3" xfId="1284" xr:uid="{00000000-0005-0000-0000-0000103A0000}"/>
    <cellStyle name="Normal 2 8 3 4" xfId="1283" xr:uid="{00000000-0005-0000-0000-0000113A0000}"/>
    <cellStyle name="Normal 2 8 4" xfId="1282" xr:uid="{00000000-0005-0000-0000-0000123A0000}"/>
    <cellStyle name="Normal 2 8 4 2" xfId="1281" xr:uid="{00000000-0005-0000-0000-0000133A0000}"/>
    <cellStyle name="Normal 2 8 4 3" xfId="1280" xr:uid="{00000000-0005-0000-0000-0000143A0000}"/>
    <cellStyle name="Normal 2 8 5" xfId="1279" xr:uid="{00000000-0005-0000-0000-0000153A0000}"/>
    <cellStyle name="Normal 2 8 5 2" xfId="1278" xr:uid="{00000000-0005-0000-0000-0000163A0000}"/>
    <cellStyle name="Normal 2 8 5 3" xfId="1277" xr:uid="{00000000-0005-0000-0000-0000173A0000}"/>
    <cellStyle name="Normal 2 8 6" xfId="1276" xr:uid="{00000000-0005-0000-0000-0000183A0000}"/>
    <cellStyle name="Normal 2 8 7" xfId="1275" xr:uid="{00000000-0005-0000-0000-0000193A0000}"/>
    <cellStyle name="Normal 2 9" xfId="1274" xr:uid="{00000000-0005-0000-0000-00001A3A0000}"/>
    <cellStyle name="Normal 2 9 2" xfId="1273" xr:uid="{00000000-0005-0000-0000-00001B3A0000}"/>
    <cellStyle name="Normal 2 9 2 2" xfId="1272" xr:uid="{00000000-0005-0000-0000-00001C3A0000}"/>
    <cellStyle name="Normal 2 9 2 2 2" xfId="1271" xr:uid="{00000000-0005-0000-0000-00001D3A0000}"/>
    <cellStyle name="Normal 2 9 2 2 3" xfId="1270" xr:uid="{00000000-0005-0000-0000-00001E3A0000}"/>
    <cellStyle name="Normal 2 9 2 3" xfId="1269" xr:uid="{00000000-0005-0000-0000-00001F3A0000}"/>
    <cellStyle name="Normal 2 9 2 4" xfId="1268" xr:uid="{00000000-0005-0000-0000-0000203A0000}"/>
    <cellStyle name="Normal 2 9 3" xfId="1267" xr:uid="{00000000-0005-0000-0000-0000213A0000}"/>
    <cellStyle name="Normal 2 9 3 2" xfId="1266" xr:uid="{00000000-0005-0000-0000-0000223A0000}"/>
    <cellStyle name="Normal 2 9 3 3" xfId="1265" xr:uid="{00000000-0005-0000-0000-0000233A0000}"/>
    <cellStyle name="Normal 2 9 4" xfId="1264" xr:uid="{00000000-0005-0000-0000-0000243A0000}"/>
    <cellStyle name="Normal 2 9 4 2" xfId="1263" xr:uid="{00000000-0005-0000-0000-0000253A0000}"/>
    <cellStyle name="Normal 2 9 4 3" xfId="1262" xr:uid="{00000000-0005-0000-0000-0000263A0000}"/>
    <cellStyle name="Normal 2 9 5" xfId="1261" xr:uid="{00000000-0005-0000-0000-0000273A0000}"/>
    <cellStyle name="Normal 2 9 6" xfId="1260" xr:uid="{00000000-0005-0000-0000-0000283A0000}"/>
    <cellStyle name="Normal 2_3.05 Allocation Method 2010 GRC" xfId="1259" xr:uid="{00000000-0005-0000-0000-0000293A0000}"/>
    <cellStyle name="Normal 20" xfId="1258" xr:uid="{00000000-0005-0000-0000-00002A3A0000}"/>
    <cellStyle name="Normal 20 10" xfId="16149" xr:uid="{00000000-0005-0000-0000-00002B3A0000}"/>
    <cellStyle name="Normal 20 11" xfId="16150" xr:uid="{00000000-0005-0000-0000-00002C3A0000}"/>
    <cellStyle name="Normal 20 2" xfId="1257" xr:uid="{00000000-0005-0000-0000-00002D3A0000}"/>
    <cellStyle name="Normal 20 2 2" xfId="1256" xr:uid="{00000000-0005-0000-0000-00002E3A0000}"/>
    <cellStyle name="Normal 20 2 2 2" xfId="1255" xr:uid="{00000000-0005-0000-0000-00002F3A0000}"/>
    <cellStyle name="Normal 20 2 2 2 2" xfId="16151" xr:uid="{00000000-0005-0000-0000-0000303A0000}"/>
    <cellStyle name="Normal 20 2 2 3" xfId="1254" xr:uid="{00000000-0005-0000-0000-0000313A0000}"/>
    <cellStyle name="Normal 20 2 2 3 2" xfId="16152" xr:uid="{00000000-0005-0000-0000-0000323A0000}"/>
    <cellStyle name="Normal 20 2 2 4" xfId="16153" xr:uid="{00000000-0005-0000-0000-0000333A0000}"/>
    <cellStyle name="Normal 20 2 3" xfId="1253" xr:uid="{00000000-0005-0000-0000-0000343A0000}"/>
    <cellStyle name="Normal 20 2 3 2" xfId="16154" xr:uid="{00000000-0005-0000-0000-0000353A0000}"/>
    <cellStyle name="Normal 20 2 3 2 2" xfId="16155" xr:uid="{00000000-0005-0000-0000-0000363A0000}"/>
    <cellStyle name="Normal 20 2 3 3" xfId="16156" xr:uid="{00000000-0005-0000-0000-0000373A0000}"/>
    <cellStyle name="Normal 20 2 3 3 2" xfId="16157" xr:uid="{00000000-0005-0000-0000-0000383A0000}"/>
    <cellStyle name="Normal 20 2 3 4" xfId="16158" xr:uid="{00000000-0005-0000-0000-0000393A0000}"/>
    <cellStyle name="Normal 20 2 3 5" xfId="16159" xr:uid="{00000000-0005-0000-0000-00003A3A0000}"/>
    <cellStyle name="Normal 20 2 4" xfId="1252" xr:uid="{00000000-0005-0000-0000-00003B3A0000}"/>
    <cellStyle name="Normal 20 2 4 2" xfId="16160" xr:uid="{00000000-0005-0000-0000-00003C3A0000}"/>
    <cellStyle name="Normal 20 2 4 2 2" xfId="16161" xr:uid="{00000000-0005-0000-0000-00003D3A0000}"/>
    <cellStyle name="Normal 20 2 4 3" xfId="16162" xr:uid="{00000000-0005-0000-0000-00003E3A0000}"/>
    <cellStyle name="Normal 20 2 4 3 2" xfId="16163" xr:uid="{00000000-0005-0000-0000-00003F3A0000}"/>
    <cellStyle name="Normal 20 2 4 4" xfId="16164" xr:uid="{00000000-0005-0000-0000-0000403A0000}"/>
    <cellStyle name="Normal 20 2 5" xfId="16165" xr:uid="{00000000-0005-0000-0000-0000413A0000}"/>
    <cellStyle name="Normal 20 2 5 2" xfId="16166" xr:uid="{00000000-0005-0000-0000-0000423A0000}"/>
    <cellStyle name="Normal 20 2 6" xfId="16167" xr:uid="{00000000-0005-0000-0000-0000433A0000}"/>
    <cellStyle name="Normal 20 3" xfId="1251" xr:uid="{00000000-0005-0000-0000-0000443A0000}"/>
    <cellStyle name="Normal 20 3 2" xfId="1250" xr:uid="{00000000-0005-0000-0000-0000453A0000}"/>
    <cellStyle name="Normal 20 3 2 2" xfId="16168" xr:uid="{00000000-0005-0000-0000-0000463A0000}"/>
    <cellStyle name="Normal 20 3 2 2 2" xfId="16169" xr:uid="{00000000-0005-0000-0000-0000473A0000}"/>
    <cellStyle name="Normal 20 3 2 3" xfId="16170" xr:uid="{00000000-0005-0000-0000-0000483A0000}"/>
    <cellStyle name="Normal 20 3 2 3 2" xfId="16171" xr:uid="{00000000-0005-0000-0000-0000493A0000}"/>
    <cellStyle name="Normal 20 3 2 4" xfId="16172" xr:uid="{00000000-0005-0000-0000-00004A3A0000}"/>
    <cellStyle name="Normal 20 3 3" xfId="1249" xr:uid="{00000000-0005-0000-0000-00004B3A0000}"/>
    <cellStyle name="Normal 20 3 3 2" xfId="16173" xr:uid="{00000000-0005-0000-0000-00004C3A0000}"/>
    <cellStyle name="Normal 20 3 3 2 2" xfId="16174" xr:uid="{00000000-0005-0000-0000-00004D3A0000}"/>
    <cellStyle name="Normal 20 3 4" xfId="16175" xr:uid="{00000000-0005-0000-0000-00004E3A0000}"/>
    <cellStyle name="Normal 20 3 4 2" xfId="16176" xr:uid="{00000000-0005-0000-0000-00004F3A0000}"/>
    <cellStyle name="Normal 20 3 5" xfId="16177" xr:uid="{00000000-0005-0000-0000-0000503A0000}"/>
    <cellStyle name="Normal 20 4" xfId="1248" xr:uid="{00000000-0005-0000-0000-0000513A0000}"/>
    <cellStyle name="Normal 20 4 2" xfId="1247" xr:uid="{00000000-0005-0000-0000-0000523A0000}"/>
    <cellStyle name="Normal 20 4 2 2" xfId="16178" xr:uid="{00000000-0005-0000-0000-0000533A0000}"/>
    <cellStyle name="Normal 20 4 3" xfId="1246" xr:uid="{00000000-0005-0000-0000-0000543A0000}"/>
    <cellStyle name="Normal 20 4 3 2" xfId="16179" xr:uid="{00000000-0005-0000-0000-0000553A0000}"/>
    <cellStyle name="Normal 20 4 4" xfId="16180" xr:uid="{00000000-0005-0000-0000-0000563A0000}"/>
    <cellStyle name="Normal 20 4 5" xfId="16181" xr:uid="{00000000-0005-0000-0000-0000573A0000}"/>
    <cellStyle name="Normal 20 4 5 2" xfId="16182" xr:uid="{00000000-0005-0000-0000-0000583A0000}"/>
    <cellStyle name="Normal 20 4 5 2 2" xfId="16183" xr:uid="{00000000-0005-0000-0000-0000593A0000}"/>
    <cellStyle name="Normal 20 4 6" xfId="16184" xr:uid="{00000000-0005-0000-0000-00005A3A0000}"/>
    <cellStyle name="Normal 20 5" xfId="1245" xr:uid="{00000000-0005-0000-0000-00005B3A0000}"/>
    <cellStyle name="Normal 20 5 2" xfId="16185" xr:uid="{00000000-0005-0000-0000-00005C3A0000}"/>
    <cellStyle name="Normal 20 6" xfId="1244" xr:uid="{00000000-0005-0000-0000-00005D3A0000}"/>
    <cellStyle name="Normal 20 6 2" xfId="16186" xr:uid="{00000000-0005-0000-0000-00005E3A0000}"/>
    <cellStyle name="Normal 20 7" xfId="16187" xr:uid="{00000000-0005-0000-0000-00005F3A0000}"/>
    <cellStyle name="Normal 20 7 2" xfId="16188" xr:uid="{00000000-0005-0000-0000-0000603A0000}"/>
    <cellStyle name="Normal 20 8" xfId="16189" xr:uid="{00000000-0005-0000-0000-0000613A0000}"/>
    <cellStyle name="Normal 20 8 2" xfId="16190" xr:uid="{00000000-0005-0000-0000-0000623A0000}"/>
    <cellStyle name="Normal 20 9" xfId="16191" xr:uid="{00000000-0005-0000-0000-0000633A0000}"/>
    <cellStyle name="Normal 200" xfId="16192" xr:uid="{00000000-0005-0000-0000-0000643A0000}"/>
    <cellStyle name="Normal 201" xfId="16193" xr:uid="{00000000-0005-0000-0000-0000653A0000}"/>
    <cellStyle name="Normal 202" xfId="16194" xr:uid="{00000000-0005-0000-0000-0000663A0000}"/>
    <cellStyle name="Normal 203" xfId="16195" xr:uid="{00000000-0005-0000-0000-0000673A0000}"/>
    <cellStyle name="Normal 204" xfId="16196" xr:uid="{00000000-0005-0000-0000-0000683A0000}"/>
    <cellStyle name="Normal 205" xfId="16197" xr:uid="{00000000-0005-0000-0000-0000693A0000}"/>
    <cellStyle name="Normal 206" xfId="16198" xr:uid="{00000000-0005-0000-0000-00006A3A0000}"/>
    <cellStyle name="Normal 207" xfId="16199" xr:uid="{00000000-0005-0000-0000-00006B3A0000}"/>
    <cellStyle name="Normal 208" xfId="16200" xr:uid="{00000000-0005-0000-0000-00006C3A0000}"/>
    <cellStyle name="Normal 209" xfId="16201" xr:uid="{00000000-0005-0000-0000-00006D3A0000}"/>
    <cellStyle name="Normal 21" xfId="1243" xr:uid="{00000000-0005-0000-0000-00006E3A0000}"/>
    <cellStyle name="Normal 21 10" xfId="16202" xr:uid="{00000000-0005-0000-0000-00006F3A0000}"/>
    <cellStyle name="Normal 21 11" xfId="16203" xr:uid="{00000000-0005-0000-0000-0000703A0000}"/>
    <cellStyle name="Normal 21 2" xfId="1242" xr:uid="{00000000-0005-0000-0000-0000713A0000}"/>
    <cellStyle name="Normal 21 2 2" xfId="1241" xr:uid="{00000000-0005-0000-0000-0000723A0000}"/>
    <cellStyle name="Normal 21 2 2 2" xfId="1240" xr:uid="{00000000-0005-0000-0000-0000733A0000}"/>
    <cellStyle name="Normal 21 2 2 3" xfId="1239" xr:uid="{00000000-0005-0000-0000-0000743A0000}"/>
    <cellStyle name="Normal 21 2 3" xfId="1238" xr:uid="{00000000-0005-0000-0000-0000753A0000}"/>
    <cellStyle name="Normal 21 2 3 2" xfId="16204" xr:uid="{00000000-0005-0000-0000-0000763A0000}"/>
    <cellStyle name="Normal 21 2 4" xfId="1237" xr:uid="{00000000-0005-0000-0000-0000773A0000}"/>
    <cellStyle name="Normal 21 3" xfId="1236" xr:uid="{00000000-0005-0000-0000-0000783A0000}"/>
    <cellStyle name="Normal 21 3 2" xfId="1235" xr:uid="{00000000-0005-0000-0000-0000793A0000}"/>
    <cellStyle name="Normal 21 3 2 2" xfId="16205" xr:uid="{00000000-0005-0000-0000-00007A3A0000}"/>
    <cellStyle name="Normal 21 3 2 2 2" xfId="16206" xr:uid="{00000000-0005-0000-0000-00007B3A0000}"/>
    <cellStyle name="Normal 21 3 2 3" xfId="16207" xr:uid="{00000000-0005-0000-0000-00007C3A0000}"/>
    <cellStyle name="Normal 21 3 2 3 2" xfId="16208" xr:uid="{00000000-0005-0000-0000-00007D3A0000}"/>
    <cellStyle name="Normal 21 3 2 4" xfId="16209" xr:uid="{00000000-0005-0000-0000-00007E3A0000}"/>
    <cellStyle name="Normal 21 3 3" xfId="1234" xr:uid="{00000000-0005-0000-0000-00007F3A0000}"/>
    <cellStyle name="Normal 21 3 3 2" xfId="16210" xr:uid="{00000000-0005-0000-0000-0000803A0000}"/>
    <cellStyle name="Normal 21 3 3 2 2" xfId="16211" xr:uid="{00000000-0005-0000-0000-0000813A0000}"/>
    <cellStyle name="Normal 21 3 3 3" xfId="16212" xr:uid="{00000000-0005-0000-0000-0000823A0000}"/>
    <cellStyle name="Normal 21 3 3 3 2" xfId="16213" xr:uid="{00000000-0005-0000-0000-0000833A0000}"/>
    <cellStyle name="Normal 21 3 3 4" xfId="16214" xr:uid="{00000000-0005-0000-0000-0000843A0000}"/>
    <cellStyle name="Normal 21 3 4" xfId="16215" xr:uid="{00000000-0005-0000-0000-0000853A0000}"/>
    <cellStyle name="Normal 21 3 4 2" xfId="16216" xr:uid="{00000000-0005-0000-0000-0000863A0000}"/>
    <cellStyle name="Normal 21 3 4 2 2" xfId="16217" xr:uid="{00000000-0005-0000-0000-0000873A0000}"/>
    <cellStyle name="Normal 21 3 4 3" xfId="16218" xr:uid="{00000000-0005-0000-0000-0000883A0000}"/>
    <cellStyle name="Normal 21 3 4 3 2" xfId="16219" xr:uid="{00000000-0005-0000-0000-0000893A0000}"/>
    <cellStyle name="Normal 21 3 4 4" xfId="16220" xr:uid="{00000000-0005-0000-0000-00008A3A0000}"/>
    <cellStyle name="Normal 21 3 5" xfId="16221" xr:uid="{00000000-0005-0000-0000-00008B3A0000}"/>
    <cellStyle name="Normal 21 4" xfId="1233" xr:uid="{00000000-0005-0000-0000-00008C3A0000}"/>
    <cellStyle name="Normal 21 4 2" xfId="1232" xr:uid="{00000000-0005-0000-0000-00008D3A0000}"/>
    <cellStyle name="Normal 21 4 2 2" xfId="16222" xr:uid="{00000000-0005-0000-0000-00008E3A0000}"/>
    <cellStyle name="Normal 21 4 2 2 2" xfId="16223" xr:uid="{00000000-0005-0000-0000-00008F3A0000}"/>
    <cellStyle name="Normal 21 4 2 3" xfId="16224" xr:uid="{00000000-0005-0000-0000-0000903A0000}"/>
    <cellStyle name="Normal 21 4 2 3 2" xfId="16225" xr:uid="{00000000-0005-0000-0000-0000913A0000}"/>
    <cellStyle name="Normal 21 4 2 4" xfId="16226" xr:uid="{00000000-0005-0000-0000-0000923A0000}"/>
    <cellStyle name="Normal 21 4 3" xfId="1231" xr:uid="{00000000-0005-0000-0000-0000933A0000}"/>
    <cellStyle name="Normal 21 4 3 2" xfId="16227" xr:uid="{00000000-0005-0000-0000-0000943A0000}"/>
    <cellStyle name="Normal 21 4 3 2 2" xfId="16228" xr:uid="{00000000-0005-0000-0000-0000953A0000}"/>
    <cellStyle name="Normal 21 4 4" xfId="16229" xr:uid="{00000000-0005-0000-0000-0000963A0000}"/>
    <cellStyle name="Normal 21 4 4 2" xfId="16230" xr:uid="{00000000-0005-0000-0000-0000973A0000}"/>
    <cellStyle name="Normal 21 4 5" xfId="16231" xr:uid="{00000000-0005-0000-0000-0000983A0000}"/>
    <cellStyle name="Normal 21 5" xfId="1230" xr:uid="{00000000-0005-0000-0000-0000993A0000}"/>
    <cellStyle name="Normal 21 5 2" xfId="16232" xr:uid="{00000000-0005-0000-0000-00009A3A0000}"/>
    <cellStyle name="Normal 21 5 2 2" xfId="16233" xr:uid="{00000000-0005-0000-0000-00009B3A0000}"/>
    <cellStyle name="Normal 21 5 2 2 2" xfId="16234" xr:uid="{00000000-0005-0000-0000-00009C3A0000}"/>
    <cellStyle name="Normal 21 5 3" xfId="16235" xr:uid="{00000000-0005-0000-0000-00009D3A0000}"/>
    <cellStyle name="Normal 21 6" xfId="1229" xr:uid="{00000000-0005-0000-0000-00009E3A0000}"/>
    <cellStyle name="Normal 21 6 2" xfId="16236" xr:uid="{00000000-0005-0000-0000-00009F3A0000}"/>
    <cellStyle name="Normal 21 7" xfId="16237" xr:uid="{00000000-0005-0000-0000-0000A03A0000}"/>
    <cellStyle name="Normal 21 7 2" xfId="16238" xr:uid="{00000000-0005-0000-0000-0000A13A0000}"/>
    <cellStyle name="Normal 21 8" xfId="16239" xr:uid="{00000000-0005-0000-0000-0000A23A0000}"/>
    <cellStyle name="Normal 21 8 2" xfId="16240" xr:uid="{00000000-0005-0000-0000-0000A33A0000}"/>
    <cellStyle name="Normal 21 9" xfId="16241" xr:uid="{00000000-0005-0000-0000-0000A43A0000}"/>
    <cellStyle name="Normal 210" xfId="16242" xr:uid="{00000000-0005-0000-0000-0000A53A0000}"/>
    <cellStyle name="Normal 211" xfId="16243" xr:uid="{00000000-0005-0000-0000-0000A63A0000}"/>
    <cellStyle name="Normal 212" xfId="16244" xr:uid="{00000000-0005-0000-0000-0000A73A0000}"/>
    <cellStyle name="Normal 213" xfId="16245" xr:uid="{00000000-0005-0000-0000-0000A83A0000}"/>
    <cellStyle name="Normal 214" xfId="16246" xr:uid="{00000000-0005-0000-0000-0000A93A0000}"/>
    <cellStyle name="Normal 215" xfId="16247" xr:uid="{00000000-0005-0000-0000-0000AA3A0000}"/>
    <cellStyle name="Normal 216" xfId="16248" xr:uid="{00000000-0005-0000-0000-0000AB3A0000}"/>
    <cellStyle name="Normal 217" xfId="16249" xr:uid="{00000000-0005-0000-0000-0000AC3A0000}"/>
    <cellStyle name="Normal 218" xfId="16250" xr:uid="{00000000-0005-0000-0000-0000AD3A0000}"/>
    <cellStyle name="Normal 219" xfId="16251" xr:uid="{00000000-0005-0000-0000-0000AE3A0000}"/>
    <cellStyle name="Normal 22" xfId="1228" xr:uid="{00000000-0005-0000-0000-0000AF3A0000}"/>
    <cellStyle name="Normal 22 2" xfId="1227" xr:uid="{00000000-0005-0000-0000-0000B03A0000}"/>
    <cellStyle name="Normal 22 2 2" xfId="1226" xr:uid="{00000000-0005-0000-0000-0000B13A0000}"/>
    <cellStyle name="Normal 22 2 2 2" xfId="1225" xr:uid="{00000000-0005-0000-0000-0000B23A0000}"/>
    <cellStyle name="Normal 22 2 2 3" xfId="1224" xr:uid="{00000000-0005-0000-0000-0000B33A0000}"/>
    <cellStyle name="Normal 22 2 3" xfId="1223" xr:uid="{00000000-0005-0000-0000-0000B43A0000}"/>
    <cellStyle name="Normal 22 2 3 2" xfId="16252" xr:uid="{00000000-0005-0000-0000-0000B53A0000}"/>
    <cellStyle name="Normal 22 2 3 2 2" xfId="16253" xr:uid="{00000000-0005-0000-0000-0000B63A0000}"/>
    <cellStyle name="Normal 22 2 4" xfId="1222" xr:uid="{00000000-0005-0000-0000-0000B73A0000}"/>
    <cellStyle name="Normal 22 2 5" xfId="16254" xr:uid="{00000000-0005-0000-0000-0000B83A0000}"/>
    <cellStyle name="Normal 22 3" xfId="1221" xr:uid="{00000000-0005-0000-0000-0000B93A0000}"/>
    <cellStyle name="Normal 22 3 2" xfId="1220" xr:uid="{00000000-0005-0000-0000-0000BA3A0000}"/>
    <cellStyle name="Normal 22 3 2 2" xfId="16255" xr:uid="{00000000-0005-0000-0000-0000BB3A0000}"/>
    <cellStyle name="Normal 22 3 2 2 2" xfId="16256" xr:uid="{00000000-0005-0000-0000-0000BC3A0000}"/>
    <cellStyle name="Normal 22 3 2 3" xfId="16257" xr:uid="{00000000-0005-0000-0000-0000BD3A0000}"/>
    <cellStyle name="Normal 22 3 2 3 2" xfId="16258" xr:uid="{00000000-0005-0000-0000-0000BE3A0000}"/>
    <cellStyle name="Normal 22 3 2 4" xfId="16259" xr:uid="{00000000-0005-0000-0000-0000BF3A0000}"/>
    <cellStyle name="Normal 22 3 3" xfId="1219" xr:uid="{00000000-0005-0000-0000-0000C03A0000}"/>
    <cellStyle name="Normal 22 3 3 2" xfId="16260" xr:uid="{00000000-0005-0000-0000-0000C13A0000}"/>
    <cellStyle name="Normal 22 3 3 2 2" xfId="16261" xr:uid="{00000000-0005-0000-0000-0000C23A0000}"/>
    <cellStyle name="Normal 22 3 3 3" xfId="16262" xr:uid="{00000000-0005-0000-0000-0000C33A0000}"/>
    <cellStyle name="Normal 22 3 3 3 2" xfId="16263" xr:uid="{00000000-0005-0000-0000-0000C43A0000}"/>
    <cellStyle name="Normal 22 3 3 4" xfId="16264" xr:uid="{00000000-0005-0000-0000-0000C53A0000}"/>
    <cellStyle name="Normal 22 3 4" xfId="16265" xr:uid="{00000000-0005-0000-0000-0000C63A0000}"/>
    <cellStyle name="Normal 22 3 4 2" xfId="16266" xr:uid="{00000000-0005-0000-0000-0000C73A0000}"/>
    <cellStyle name="Normal 22 3 4 2 2" xfId="16267" xr:uid="{00000000-0005-0000-0000-0000C83A0000}"/>
    <cellStyle name="Normal 22 3 4 3" xfId="16268" xr:uid="{00000000-0005-0000-0000-0000C93A0000}"/>
    <cellStyle name="Normal 22 3 4 3 2" xfId="16269" xr:uid="{00000000-0005-0000-0000-0000CA3A0000}"/>
    <cellStyle name="Normal 22 3 4 4" xfId="16270" xr:uid="{00000000-0005-0000-0000-0000CB3A0000}"/>
    <cellStyle name="Normal 22 3 5" xfId="16271" xr:uid="{00000000-0005-0000-0000-0000CC3A0000}"/>
    <cellStyle name="Normal 22 4" xfId="1218" xr:uid="{00000000-0005-0000-0000-0000CD3A0000}"/>
    <cellStyle name="Normal 22 4 2" xfId="1217" xr:uid="{00000000-0005-0000-0000-0000CE3A0000}"/>
    <cellStyle name="Normal 22 4 2 2" xfId="16272" xr:uid="{00000000-0005-0000-0000-0000CF3A0000}"/>
    <cellStyle name="Normal 22 4 2 2 2" xfId="16273" xr:uid="{00000000-0005-0000-0000-0000D03A0000}"/>
    <cellStyle name="Normal 22 4 2 3" xfId="16274" xr:uid="{00000000-0005-0000-0000-0000D13A0000}"/>
    <cellStyle name="Normal 22 4 2 3 2" xfId="16275" xr:uid="{00000000-0005-0000-0000-0000D23A0000}"/>
    <cellStyle name="Normal 22 4 2 4" xfId="16276" xr:uid="{00000000-0005-0000-0000-0000D33A0000}"/>
    <cellStyle name="Normal 22 4 3" xfId="1216" xr:uid="{00000000-0005-0000-0000-0000D43A0000}"/>
    <cellStyle name="Normal 22 4 3 2" xfId="16277" xr:uid="{00000000-0005-0000-0000-0000D53A0000}"/>
    <cellStyle name="Normal 22 4 3 2 2" xfId="16278" xr:uid="{00000000-0005-0000-0000-0000D63A0000}"/>
    <cellStyle name="Normal 22 4 4" xfId="16279" xr:uid="{00000000-0005-0000-0000-0000D73A0000}"/>
    <cellStyle name="Normal 22 4 4 2" xfId="16280" xr:uid="{00000000-0005-0000-0000-0000D83A0000}"/>
    <cellStyle name="Normal 22 4 5" xfId="16281" xr:uid="{00000000-0005-0000-0000-0000D93A0000}"/>
    <cellStyle name="Normal 22 5" xfId="1215" xr:uid="{00000000-0005-0000-0000-0000DA3A0000}"/>
    <cellStyle name="Normal 22 5 2" xfId="16282" xr:uid="{00000000-0005-0000-0000-0000DB3A0000}"/>
    <cellStyle name="Normal 22 5 2 2" xfId="16283" xr:uid="{00000000-0005-0000-0000-0000DC3A0000}"/>
    <cellStyle name="Normal 22 5 2 2 2" xfId="16284" xr:uid="{00000000-0005-0000-0000-0000DD3A0000}"/>
    <cellStyle name="Normal 22 5 3" xfId="16285" xr:uid="{00000000-0005-0000-0000-0000DE3A0000}"/>
    <cellStyle name="Normal 22 6" xfId="1214" xr:uid="{00000000-0005-0000-0000-0000DF3A0000}"/>
    <cellStyle name="Normal 22 6 2" xfId="16286" xr:uid="{00000000-0005-0000-0000-0000E03A0000}"/>
    <cellStyle name="Normal 22 7" xfId="16287" xr:uid="{00000000-0005-0000-0000-0000E13A0000}"/>
    <cellStyle name="Normal 22 8" xfId="16288" xr:uid="{00000000-0005-0000-0000-0000E23A0000}"/>
    <cellStyle name="Normal 22 9" xfId="16289" xr:uid="{00000000-0005-0000-0000-0000E33A0000}"/>
    <cellStyle name="Normal 220" xfId="16290" xr:uid="{00000000-0005-0000-0000-0000E43A0000}"/>
    <cellStyle name="Normal 221" xfId="16291" xr:uid="{00000000-0005-0000-0000-0000E53A0000}"/>
    <cellStyle name="Normal 222" xfId="16292" xr:uid="{00000000-0005-0000-0000-0000E63A0000}"/>
    <cellStyle name="Normal 223" xfId="16293" xr:uid="{00000000-0005-0000-0000-0000E73A0000}"/>
    <cellStyle name="Normal 224" xfId="16294" xr:uid="{00000000-0005-0000-0000-0000E83A0000}"/>
    <cellStyle name="Normal 225" xfId="16295" xr:uid="{00000000-0005-0000-0000-0000E93A0000}"/>
    <cellStyle name="Normal 226" xfId="16296" xr:uid="{00000000-0005-0000-0000-0000EA3A0000}"/>
    <cellStyle name="Normal 227" xfId="16297" xr:uid="{00000000-0005-0000-0000-0000EB3A0000}"/>
    <cellStyle name="Normal 228" xfId="16298" xr:uid="{00000000-0005-0000-0000-0000EC3A0000}"/>
    <cellStyle name="Normal 229" xfId="16299" xr:uid="{00000000-0005-0000-0000-0000ED3A0000}"/>
    <cellStyle name="Normal 23" xfId="1213" xr:uid="{00000000-0005-0000-0000-0000EE3A0000}"/>
    <cellStyle name="Normal 23 2" xfId="1212" xr:uid="{00000000-0005-0000-0000-0000EF3A0000}"/>
    <cellStyle name="Normal 23 2 2" xfId="1211" xr:uid="{00000000-0005-0000-0000-0000F03A0000}"/>
    <cellStyle name="Normal 23 2 2 2" xfId="1210" xr:uid="{00000000-0005-0000-0000-0000F13A0000}"/>
    <cellStyle name="Normal 23 2 2 2 2" xfId="16300" xr:uid="{00000000-0005-0000-0000-0000F23A0000}"/>
    <cellStyle name="Normal 23 2 2 3" xfId="1209" xr:uid="{00000000-0005-0000-0000-0000F33A0000}"/>
    <cellStyle name="Normal 23 2 2 3 2" xfId="16301" xr:uid="{00000000-0005-0000-0000-0000F43A0000}"/>
    <cellStyle name="Normal 23 2 2 4" xfId="16302" xr:uid="{00000000-0005-0000-0000-0000F53A0000}"/>
    <cellStyle name="Normal 23 2 2 5" xfId="16303" xr:uid="{00000000-0005-0000-0000-0000F63A0000}"/>
    <cellStyle name="Normal 23 2 3" xfId="1208" xr:uid="{00000000-0005-0000-0000-0000F73A0000}"/>
    <cellStyle name="Normal 23 2 3 2" xfId="16304" xr:uid="{00000000-0005-0000-0000-0000F83A0000}"/>
    <cellStyle name="Normal 23 2 3 2 2" xfId="16305" xr:uid="{00000000-0005-0000-0000-0000F93A0000}"/>
    <cellStyle name="Normal 23 2 3 3" xfId="16306" xr:uid="{00000000-0005-0000-0000-0000FA3A0000}"/>
    <cellStyle name="Normal 23 2 3 3 2" xfId="16307" xr:uid="{00000000-0005-0000-0000-0000FB3A0000}"/>
    <cellStyle name="Normal 23 2 3 4" xfId="16308" xr:uid="{00000000-0005-0000-0000-0000FC3A0000}"/>
    <cellStyle name="Normal 23 2 4" xfId="1207" xr:uid="{00000000-0005-0000-0000-0000FD3A0000}"/>
    <cellStyle name="Normal 23 2 4 2" xfId="16309" xr:uid="{00000000-0005-0000-0000-0000FE3A0000}"/>
    <cellStyle name="Normal 23 2 5" xfId="16310" xr:uid="{00000000-0005-0000-0000-0000FF3A0000}"/>
    <cellStyle name="Normal 23 3" xfId="1206" xr:uid="{00000000-0005-0000-0000-0000003B0000}"/>
    <cellStyle name="Normal 23 3 2" xfId="1205" xr:uid="{00000000-0005-0000-0000-0000013B0000}"/>
    <cellStyle name="Normal 23 3 3" xfId="1204" xr:uid="{00000000-0005-0000-0000-0000023B0000}"/>
    <cellStyle name="Normal 23 4" xfId="1203" xr:uid="{00000000-0005-0000-0000-0000033B0000}"/>
    <cellStyle name="Normal 23 4 2" xfId="1202" xr:uid="{00000000-0005-0000-0000-0000043B0000}"/>
    <cellStyle name="Normal 23 4 2 2" xfId="16311" xr:uid="{00000000-0005-0000-0000-0000053B0000}"/>
    <cellStyle name="Normal 23 4 3" xfId="1201" xr:uid="{00000000-0005-0000-0000-0000063B0000}"/>
    <cellStyle name="Normal 23 5" xfId="1200" xr:uid="{00000000-0005-0000-0000-0000073B0000}"/>
    <cellStyle name="Normal 23 5 2" xfId="16312" xr:uid="{00000000-0005-0000-0000-0000083B0000}"/>
    <cellStyle name="Normal 23 6" xfId="1199" xr:uid="{00000000-0005-0000-0000-0000093B0000}"/>
    <cellStyle name="Normal 23 7" xfId="16313" xr:uid="{00000000-0005-0000-0000-00000A3B0000}"/>
    <cellStyle name="Normal 23 8" xfId="16314" xr:uid="{00000000-0005-0000-0000-00000B3B0000}"/>
    <cellStyle name="Normal 230" xfId="16315" xr:uid="{00000000-0005-0000-0000-00000C3B0000}"/>
    <cellStyle name="Normal 231" xfId="16316" xr:uid="{00000000-0005-0000-0000-00000D3B0000}"/>
    <cellStyle name="Normal 232" xfId="16317" xr:uid="{00000000-0005-0000-0000-00000E3B0000}"/>
    <cellStyle name="Normal 233" xfId="16318" xr:uid="{00000000-0005-0000-0000-00000F3B0000}"/>
    <cellStyle name="Normal 234" xfId="16319" xr:uid="{00000000-0005-0000-0000-0000103B0000}"/>
    <cellStyle name="Normal 235" xfId="16320" xr:uid="{00000000-0005-0000-0000-0000113B0000}"/>
    <cellStyle name="Normal 236" xfId="16321" xr:uid="{00000000-0005-0000-0000-0000123B0000}"/>
    <cellStyle name="Normal 237" xfId="16322" xr:uid="{00000000-0005-0000-0000-0000133B0000}"/>
    <cellStyle name="Normal 238" xfId="16323" xr:uid="{00000000-0005-0000-0000-0000143B0000}"/>
    <cellStyle name="Normal 239" xfId="16324" xr:uid="{00000000-0005-0000-0000-0000153B0000}"/>
    <cellStyle name="Normal 24" xfId="1198" xr:uid="{00000000-0005-0000-0000-0000163B0000}"/>
    <cellStyle name="Normal 24 2" xfId="1197" xr:uid="{00000000-0005-0000-0000-0000173B0000}"/>
    <cellStyle name="Normal 24 2 2" xfId="1196" xr:uid="{00000000-0005-0000-0000-0000183B0000}"/>
    <cellStyle name="Normal 24 2 2 2" xfId="1195" xr:uid="{00000000-0005-0000-0000-0000193B0000}"/>
    <cellStyle name="Normal 24 2 2 2 2" xfId="16325" xr:uid="{00000000-0005-0000-0000-00001A3B0000}"/>
    <cellStyle name="Normal 24 2 2 3" xfId="1194" xr:uid="{00000000-0005-0000-0000-00001B3B0000}"/>
    <cellStyle name="Normal 24 2 2 3 2" xfId="16326" xr:uid="{00000000-0005-0000-0000-00001C3B0000}"/>
    <cellStyle name="Normal 24 2 2 4" xfId="16327" xr:uid="{00000000-0005-0000-0000-00001D3B0000}"/>
    <cellStyle name="Normal 24 2 2 5" xfId="16328" xr:uid="{00000000-0005-0000-0000-00001E3B0000}"/>
    <cellStyle name="Normal 24 2 3" xfId="1193" xr:uid="{00000000-0005-0000-0000-00001F3B0000}"/>
    <cellStyle name="Normal 24 2 3 2" xfId="16329" xr:uid="{00000000-0005-0000-0000-0000203B0000}"/>
    <cellStyle name="Normal 24 2 3 2 2" xfId="16330" xr:uid="{00000000-0005-0000-0000-0000213B0000}"/>
    <cellStyle name="Normal 24 2 3 3" xfId="16331" xr:uid="{00000000-0005-0000-0000-0000223B0000}"/>
    <cellStyle name="Normal 24 2 3 3 2" xfId="16332" xr:uid="{00000000-0005-0000-0000-0000233B0000}"/>
    <cellStyle name="Normal 24 2 3 4" xfId="16333" xr:uid="{00000000-0005-0000-0000-0000243B0000}"/>
    <cellStyle name="Normal 24 2 4" xfId="1192" xr:uid="{00000000-0005-0000-0000-0000253B0000}"/>
    <cellStyle name="Normal 24 2 4 2" xfId="16334" xr:uid="{00000000-0005-0000-0000-0000263B0000}"/>
    <cellStyle name="Normal 24 2 5" xfId="16335" xr:uid="{00000000-0005-0000-0000-0000273B0000}"/>
    <cellStyle name="Normal 24 3" xfId="1191" xr:uid="{00000000-0005-0000-0000-0000283B0000}"/>
    <cellStyle name="Normal 24 3 2" xfId="1190" xr:uid="{00000000-0005-0000-0000-0000293B0000}"/>
    <cellStyle name="Normal 24 3 3" xfId="1189" xr:uid="{00000000-0005-0000-0000-00002A3B0000}"/>
    <cellStyle name="Normal 24 4" xfId="1188" xr:uid="{00000000-0005-0000-0000-00002B3B0000}"/>
    <cellStyle name="Normal 24 4 2" xfId="1187" xr:uid="{00000000-0005-0000-0000-00002C3B0000}"/>
    <cellStyle name="Normal 24 4 2 2" xfId="16336" xr:uid="{00000000-0005-0000-0000-00002D3B0000}"/>
    <cellStyle name="Normal 24 4 3" xfId="1186" xr:uid="{00000000-0005-0000-0000-00002E3B0000}"/>
    <cellStyle name="Normal 24 5" xfId="1185" xr:uid="{00000000-0005-0000-0000-00002F3B0000}"/>
    <cellStyle name="Normal 24 5 2" xfId="16337" xr:uid="{00000000-0005-0000-0000-0000303B0000}"/>
    <cellStyle name="Normal 24 6" xfId="1184" xr:uid="{00000000-0005-0000-0000-0000313B0000}"/>
    <cellStyle name="Normal 24 7" xfId="16338" xr:uid="{00000000-0005-0000-0000-0000323B0000}"/>
    <cellStyle name="Normal 24 8" xfId="16339" xr:uid="{00000000-0005-0000-0000-0000333B0000}"/>
    <cellStyle name="Normal 240" xfId="16340" xr:uid="{00000000-0005-0000-0000-0000343B0000}"/>
    <cellStyle name="Normal 241" xfId="16341" xr:uid="{00000000-0005-0000-0000-0000353B0000}"/>
    <cellStyle name="Normal 242" xfId="16342" xr:uid="{00000000-0005-0000-0000-0000363B0000}"/>
    <cellStyle name="Normal 243" xfId="16343" xr:uid="{00000000-0005-0000-0000-0000373B0000}"/>
    <cellStyle name="Normal 244" xfId="16344" xr:uid="{00000000-0005-0000-0000-0000383B0000}"/>
    <cellStyle name="Normal 245" xfId="16345" xr:uid="{00000000-0005-0000-0000-0000393B0000}"/>
    <cellStyle name="Normal 246" xfId="16346" xr:uid="{00000000-0005-0000-0000-00003A3B0000}"/>
    <cellStyle name="Normal 247" xfId="16347" xr:uid="{00000000-0005-0000-0000-00003B3B0000}"/>
    <cellStyle name="Normal 248" xfId="16348" xr:uid="{00000000-0005-0000-0000-00003C3B0000}"/>
    <cellStyle name="Normal 249" xfId="16349" xr:uid="{00000000-0005-0000-0000-00003D3B0000}"/>
    <cellStyle name="Normal 25" xfId="1183" xr:uid="{00000000-0005-0000-0000-00003E3B0000}"/>
    <cellStyle name="Normal 25 2" xfId="1182" xr:uid="{00000000-0005-0000-0000-00003F3B0000}"/>
    <cellStyle name="Normal 25 2 2" xfId="1181" xr:uid="{00000000-0005-0000-0000-0000403B0000}"/>
    <cellStyle name="Normal 25 2 2 2" xfId="1180" xr:uid="{00000000-0005-0000-0000-0000413B0000}"/>
    <cellStyle name="Normal 25 2 2 3" xfId="1179" xr:uid="{00000000-0005-0000-0000-0000423B0000}"/>
    <cellStyle name="Normal 25 2 3" xfId="1178" xr:uid="{00000000-0005-0000-0000-0000433B0000}"/>
    <cellStyle name="Normal 25 2 4" xfId="1177" xr:uid="{00000000-0005-0000-0000-0000443B0000}"/>
    <cellStyle name="Normal 25 3" xfId="1176" xr:uid="{00000000-0005-0000-0000-0000453B0000}"/>
    <cellStyle name="Normal 25 3 2" xfId="1175" xr:uid="{00000000-0005-0000-0000-0000463B0000}"/>
    <cellStyle name="Normal 25 3 3" xfId="1174" xr:uid="{00000000-0005-0000-0000-0000473B0000}"/>
    <cellStyle name="Normal 25 4" xfId="1173" xr:uid="{00000000-0005-0000-0000-0000483B0000}"/>
    <cellStyle name="Normal 25 4 2" xfId="1172" xr:uid="{00000000-0005-0000-0000-0000493B0000}"/>
    <cellStyle name="Normal 25 4 3" xfId="1171" xr:uid="{00000000-0005-0000-0000-00004A3B0000}"/>
    <cellStyle name="Normal 25 5" xfId="1170" xr:uid="{00000000-0005-0000-0000-00004B3B0000}"/>
    <cellStyle name="Normal 25 6" xfId="1169" xr:uid="{00000000-0005-0000-0000-00004C3B0000}"/>
    <cellStyle name="Normal 250" xfId="16350" xr:uid="{00000000-0005-0000-0000-00004D3B0000}"/>
    <cellStyle name="Normal 251" xfId="16351" xr:uid="{00000000-0005-0000-0000-00004E3B0000}"/>
    <cellStyle name="Normal 252" xfId="16352" xr:uid="{00000000-0005-0000-0000-00004F3B0000}"/>
    <cellStyle name="Normal 253" xfId="16353" xr:uid="{00000000-0005-0000-0000-0000503B0000}"/>
    <cellStyle name="Normal 254" xfId="16354" xr:uid="{00000000-0005-0000-0000-0000513B0000}"/>
    <cellStyle name="Normal 255" xfId="16355" xr:uid="{00000000-0005-0000-0000-0000523B0000}"/>
    <cellStyle name="Normal 256" xfId="16356" xr:uid="{00000000-0005-0000-0000-0000533B0000}"/>
    <cellStyle name="Normal 257" xfId="16357" xr:uid="{00000000-0005-0000-0000-0000543B0000}"/>
    <cellStyle name="Normal 258" xfId="16358" xr:uid="{00000000-0005-0000-0000-0000553B0000}"/>
    <cellStyle name="Normal 259" xfId="16359" xr:uid="{00000000-0005-0000-0000-0000563B0000}"/>
    <cellStyle name="Normal 26" xfId="1168" xr:uid="{00000000-0005-0000-0000-0000573B0000}"/>
    <cellStyle name="Normal 26 2" xfId="1167" xr:uid="{00000000-0005-0000-0000-0000583B0000}"/>
    <cellStyle name="Normal 26 2 2" xfId="1166" xr:uid="{00000000-0005-0000-0000-0000593B0000}"/>
    <cellStyle name="Normal 26 2 2 2" xfId="1165" xr:uid="{00000000-0005-0000-0000-00005A3B0000}"/>
    <cellStyle name="Normal 26 2 2 3" xfId="1164" xr:uid="{00000000-0005-0000-0000-00005B3B0000}"/>
    <cellStyle name="Normal 26 2 3" xfId="1163" xr:uid="{00000000-0005-0000-0000-00005C3B0000}"/>
    <cellStyle name="Normal 26 2 4" xfId="1162" xr:uid="{00000000-0005-0000-0000-00005D3B0000}"/>
    <cellStyle name="Normal 26 3" xfId="1161" xr:uid="{00000000-0005-0000-0000-00005E3B0000}"/>
    <cellStyle name="Normal 26 3 2" xfId="1160" xr:uid="{00000000-0005-0000-0000-00005F3B0000}"/>
    <cellStyle name="Normal 26 3 2 2" xfId="16360" xr:uid="{00000000-0005-0000-0000-0000603B0000}"/>
    <cellStyle name="Normal 26 3 2 3" xfId="16361" xr:uid="{00000000-0005-0000-0000-0000613B0000}"/>
    <cellStyle name="Normal 26 3 3" xfId="1159" xr:uid="{00000000-0005-0000-0000-0000623B0000}"/>
    <cellStyle name="Normal 26 4" xfId="1158" xr:uid="{00000000-0005-0000-0000-0000633B0000}"/>
    <cellStyle name="Normal 26 4 2" xfId="1157" xr:uid="{00000000-0005-0000-0000-0000643B0000}"/>
    <cellStyle name="Normal 26 4 2 2" xfId="16362" xr:uid="{00000000-0005-0000-0000-0000653B0000}"/>
    <cellStyle name="Normal 26 4 3" xfId="1156" xr:uid="{00000000-0005-0000-0000-0000663B0000}"/>
    <cellStyle name="Normal 26 5" xfId="1155" xr:uid="{00000000-0005-0000-0000-0000673B0000}"/>
    <cellStyle name="Normal 26 6" xfId="1154" xr:uid="{00000000-0005-0000-0000-0000683B0000}"/>
    <cellStyle name="Normal 260" xfId="16363" xr:uid="{00000000-0005-0000-0000-0000693B0000}"/>
    <cellStyle name="Normal 261" xfId="16364" xr:uid="{00000000-0005-0000-0000-00006A3B0000}"/>
    <cellStyle name="Normal 262" xfId="16365" xr:uid="{00000000-0005-0000-0000-00006B3B0000}"/>
    <cellStyle name="Normal 263" xfId="16366" xr:uid="{00000000-0005-0000-0000-00006C3B0000}"/>
    <cellStyle name="Normal 264" xfId="16367" xr:uid="{00000000-0005-0000-0000-00006D3B0000}"/>
    <cellStyle name="Normal 265" xfId="16368" xr:uid="{00000000-0005-0000-0000-00006E3B0000}"/>
    <cellStyle name="Normal 266" xfId="16369" xr:uid="{00000000-0005-0000-0000-00006F3B0000}"/>
    <cellStyle name="Normal 267" xfId="16370" xr:uid="{00000000-0005-0000-0000-0000703B0000}"/>
    <cellStyle name="Normal 268" xfId="16371" xr:uid="{00000000-0005-0000-0000-0000713B0000}"/>
    <cellStyle name="Normal 269" xfId="16372" xr:uid="{00000000-0005-0000-0000-0000723B0000}"/>
    <cellStyle name="Normal 27" xfId="1153" xr:uid="{00000000-0005-0000-0000-0000733B0000}"/>
    <cellStyle name="Normal 27 2" xfId="1152" xr:uid="{00000000-0005-0000-0000-0000743B0000}"/>
    <cellStyle name="Normal 27 2 2" xfId="1151" xr:uid="{00000000-0005-0000-0000-0000753B0000}"/>
    <cellStyle name="Normal 27 2 2 2" xfId="1150" xr:uid="{00000000-0005-0000-0000-0000763B0000}"/>
    <cellStyle name="Normal 27 2 2 3" xfId="1149" xr:uid="{00000000-0005-0000-0000-0000773B0000}"/>
    <cellStyle name="Normal 27 2 3" xfId="1148" xr:uid="{00000000-0005-0000-0000-0000783B0000}"/>
    <cellStyle name="Normal 27 2 4" xfId="1147" xr:uid="{00000000-0005-0000-0000-0000793B0000}"/>
    <cellStyle name="Normal 27 3" xfId="1146" xr:uid="{00000000-0005-0000-0000-00007A3B0000}"/>
    <cellStyle name="Normal 27 3 2" xfId="1145" xr:uid="{00000000-0005-0000-0000-00007B3B0000}"/>
    <cellStyle name="Normal 27 3 2 2" xfId="16373" xr:uid="{00000000-0005-0000-0000-00007C3B0000}"/>
    <cellStyle name="Normal 27 3 2 3" xfId="16374" xr:uid="{00000000-0005-0000-0000-00007D3B0000}"/>
    <cellStyle name="Normal 27 3 3" xfId="1144" xr:uid="{00000000-0005-0000-0000-00007E3B0000}"/>
    <cellStyle name="Normal 27 4" xfId="1143" xr:uid="{00000000-0005-0000-0000-00007F3B0000}"/>
    <cellStyle name="Normal 27 4 2" xfId="1142" xr:uid="{00000000-0005-0000-0000-0000803B0000}"/>
    <cellStyle name="Normal 27 4 2 2" xfId="16375" xr:uid="{00000000-0005-0000-0000-0000813B0000}"/>
    <cellStyle name="Normal 27 4 3" xfId="1141" xr:uid="{00000000-0005-0000-0000-0000823B0000}"/>
    <cellStyle name="Normal 27 5" xfId="1140" xr:uid="{00000000-0005-0000-0000-0000833B0000}"/>
    <cellStyle name="Normal 27 6" xfId="1139" xr:uid="{00000000-0005-0000-0000-0000843B0000}"/>
    <cellStyle name="Normal 270" xfId="16376" xr:uid="{00000000-0005-0000-0000-0000853B0000}"/>
    <cellStyle name="Normal 271" xfId="16377" xr:uid="{00000000-0005-0000-0000-0000863B0000}"/>
    <cellStyle name="Normal 272" xfId="16378" xr:uid="{00000000-0005-0000-0000-0000873B0000}"/>
    <cellStyle name="Normal 273" xfId="16379" xr:uid="{00000000-0005-0000-0000-0000883B0000}"/>
    <cellStyle name="Normal 274" xfId="16380" xr:uid="{00000000-0005-0000-0000-0000893B0000}"/>
    <cellStyle name="Normal 275" xfId="16381" xr:uid="{00000000-0005-0000-0000-00008A3B0000}"/>
    <cellStyle name="Normal 276" xfId="16382" xr:uid="{00000000-0005-0000-0000-00008B3B0000}"/>
    <cellStyle name="Normal 277" xfId="16383" xr:uid="{00000000-0005-0000-0000-00008C3B0000}"/>
    <cellStyle name="Normal 278" xfId="16384" xr:uid="{00000000-0005-0000-0000-00008D3B0000}"/>
    <cellStyle name="Normal 279" xfId="16385" xr:uid="{00000000-0005-0000-0000-00008E3B0000}"/>
    <cellStyle name="Normal 28" xfId="1138" xr:uid="{00000000-0005-0000-0000-00008F3B0000}"/>
    <cellStyle name="Normal 28 2" xfId="1137" xr:uid="{00000000-0005-0000-0000-0000903B0000}"/>
    <cellStyle name="Normal 28 2 2" xfId="1136" xr:uid="{00000000-0005-0000-0000-0000913B0000}"/>
    <cellStyle name="Normal 28 2 2 2" xfId="1135" xr:uid="{00000000-0005-0000-0000-0000923B0000}"/>
    <cellStyle name="Normal 28 2 2 3" xfId="1134" xr:uid="{00000000-0005-0000-0000-0000933B0000}"/>
    <cellStyle name="Normal 28 2 3" xfId="1133" xr:uid="{00000000-0005-0000-0000-0000943B0000}"/>
    <cellStyle name="Normal 28 2 4" xfId="1132" xr:uid="{00000000-0005-0000-0000-0000953B0000}"/>
    <cellStyle name="Normal 28 3" xfId="1131" xr:uid="{00000000-0005-0000-0000-0000963B0000}"/>
    <cellStyle name="Normal 28 3 2" xfId="1130" xr:uid="{00000000-0005-0000-0000-0000973B0000}"/>
    <cellStyle name="Normal 28 3 3" xfId="1129" xr:uid="{00000000-0005-0000-0000-0000983B0000}"/>
    <cellStyle name="Normal 28 4" xfId="1128" xr:uid="{00000000-0005-0000-0000-0000993B0000}"/>
    <cellStyle name="Normal 28 4 2" xfId="1127" xr:uid="{00000000-0005-0000-0000-00009A3B0000}"/>
    <cellStyle name="Normal 28 4 3" xfId="1126" xr:uid="{00000000-0005-0000-0000-00009B3B0000}"/>
    <cellStyle name="Normal 28 5" xfId="1125" xr:uid="{00000000-0005-0000-0000-00009C3B0000}"/>
    <cellStyle name="Normal 28 6" xfId="1124" xr:uid="{00000000-0005-0000-0000-00009D3B0000}"/>
    <cellStyle name="Normal 280" xfId="16386" xr:uid="{00000000-0005-0000-0000-00009E3B0000}"/>
    <cellStyle name="Normal 281" xfId="16387" xr:uid="{00000000-0005-0000-0000-00009F3B0000}"/>
    <cellStyle name="Normal 282" xfId="16388" xr:uid="{00000000-0005-0000-0000-0000A03B0000}"/>
    <cellStyle name="Normal 283" xfId="16389" xr:uid="{00000000-0005-0000-0000-0000A13B0000}"/>
    <cellStyle name="Normal 284" xfId="16390" xr:uid="{00000000-0005-0000-0000-0000A23B0000}"/>
    <cellStyle name="Normal 285" xfId="16391" xr:uid="{00000000-0005-0000-0000-0000A33B0000}"/>
    <cellStyle name="Normal 286" xfId="16392" xr:uid="{00000000-0005-0000-0000-0000A43B0000}"/>
    <cellStyle name="Normal 287" xfId="16393" xr:uid="{00000000-0005-0000-0000-0000A53B0000}"/>
    <cellStyle name="Normal 288" xfId="16394" xr:uid="{00000000-0005-0000-0000-0000A63B0000}"/>
    <cellStyle name="Normal 289" xfId="16395" xr:uid="{00000000-0005-0000-0000-0000A73B0000}"/>
    <cellStyle name="Normal 29" xfId="1123" xr:uid="{00000000-0005-0000-0000-0000A83B0000}"/>
    <cellStyle name="Normal 29 2" xfId="1122" xr:uid="{00000000-0005-0000-0000-0000A93B0000}"/>
    <cellStyle name="Normal 29 2 2" xfId="1121" xr:uid="{00000000-0005-0000-0000-0000AA3B0000}"/>
    <cellStyle name="Normal 29 2 2 2" xfId="1120" xr:uid="{00000000-0005-0000-0000-0000AB3B0000}"/>
    <cellStyle name="Normal 29 2 2 3" xfId="1119" xr:uid="{00000000-0005-0000-0000-0000AC3B0000}"/>
    <cellStyle name="Normal 29 2 3" xfId="1118" xr:uid="{00000000-0005-0000-0000-0000AD3B0000}"/>
    <cellStyle name="Normal 29 2 4" xfId="1117" xr:uid="{00000000-0005-0000-0000-0000AE3B0000}"/>
    <cellStyle name="Normal 29 3" xfId="1116" xr:uid="{00000000-0005-0000-0000-0000AF3B0000}"/>
    <cellStyle name="Normal 29 3 2" xfId="1115" xr:uid="{00000000-0005-0000-0000-0000B03B0000}"/>
    <cellStyle name="Normal 29 3 3" xfId="1114" xr:uid="{00000000-0005-0000-0000-0000B13B0000}"/>
    <cellStyle name="Normal 29 4" xfId="1113" xr:uid="{00000000-0005-0000-0000-0000B23B0000}"/>
    <cellStyle name="Normal 29 4 2" xfId="1112" xr:uid="{00000000-0005-0000-0000-0000B33B0000}"/>
    <cellStyle name="Normal 29 4 3" xfId="1111" xr:uid="{00000000-0005-0000-0000-0000B43B0000}"/>
    <cellStyle name="Normal 29 5" xfId="1110" xr:uid="{00000000-0005-0000-0000-0000B53B0000}"/>
    <cellStyle name="Normal 29 6" xfId="1109" xr:uid="{00000000-0005-0000-0000-0000B63B0000}"/>
    <cellStyle name="Normal 290" xfId="16396" xr:uid="{00000000-0005-0000-0000-0000B73B0000}"/>
    <cellStyle name="Normal 291" xfId="16397" xr:uid="{00000000-0005-0000-0000-0000B83B0000}"/>
    <cellStyle name="Normal 292" xfId="16398" xr:uid="{00000000-0005-0000-0000-0000B93B0000}"/>
    <cellStyle name="Normal 293" xfId="16399" xr:uid="{00000000-0005-0000-0000-0000BA3B0000}"/>
    <cellStyle name="Normal 294" xfId="16400" xr:uid="{00000000-0005-0000-0000-0000BB3B0000}"/>
    <cellStyle name="Normal 295" xfId="16401" xr:uid="{00000000-0005-0000-0000-0000BC3B0000}"/>
    <cellStyle name="Normal 296" xfId="16402" xr:uid="{00000000-0005-0000-0000-0000BD3B0000}"/>
    <cellStyle name="Normal 297" xfId="16403" xr:uid="{00000000-0005-0000-0000-0000BE3B0000}"/>
    <cellStyle name="Normal 298" xfId="16404" xr:uid="{00000000-0005-0000-0000-0000BF3B0000}"/>
    <cellStyle name="Normal 299" xfId="16405" xr:uid="{00000000-0005-0000-0000-0000C03B0000}"/>
    <cellStyle name="Normal 3" xfId="1108" xr:uid="{00000000-0005-0000-0000-0000C13B0000}"/>
    <cellStyle name="Normal 3 10" xfId="16406" xr:uid="{00000000-0005-0000-0000-0000C23B0000}"/>
    <cellStyle name="Normal 3 10 2" xfId="16407" xr:uid="{00000000-0005-0000-0000-0000C33B0000}"/>
    <cellStyle name="Normal 3 11" xfId="16408" xr:uid="{00000000-0005-0000-0000-0000C43B0000}"/>
    <cellStyle name="Normal 3 11 2" xfId="16409" xr:uid="{00000000-0005-0000-0000-0000C53B0000}"/>
    <cellStyle name="Normal 3 12" xfId="16410" xr:uid="{00000000-0005-0000-0000-0000C63B0000}"/>
    <cellStyle name="Normal 3 13" xfId="16411" xr:uid="{00000000-0005-0000-0000-0000C73B0000}"/>
    <cellStyle name="Normal 3 14" xfId="16412" xr:uid="{00000000-0005-0000-0000-0000C83B0000}"/>
    <cellStyle name="Normal 3 2" xfId="1107" xr:uid="{00000000-0005-0000-0000-0000C93B0000}"/>
    <cellStyle name="Normal 3 2 2" xfId="16413" xr:uid="{00000000-0005-0000-0000-0000CA3B0000}"/>
    <cellStyle name="Normal 3 2 2 2" xfId="16414" xr:uid="{00000000-0005-0000-0000-0000CB3B0000}"/>
    <cellStyle name="Normal 3 2 2 2 2" xfId="16415" xr:uid="{00000000-0005-0000-0000-0000CC3B0000}"/>
    <cellStyle name="Normal 3 2 2 2 3" xfId="16416" xr:uid="{00000000-0005-0000-0000-0000CD3B0000}"/>
    <cellStyle name="Normal 3 2 2 3" xfId="16417" xr:uid="{00000000-0005-0000-0000-0000CE3B0000}"/>
    <cellStyle name="Normal 3 2 2 3 2" xfId="16418" xr:uid="{00000000-0005-0000-0000-0000CF3B0000}"/>
    <cellStyle name="Normal 3 2 2 4" xfId="16419" xr:uid="{00000000-0005-0000-0000-0000D03B0000}"/>
    <cellStyle name="Normal 3 2 2 5" xfId="16420" xr:uid="{00000000-0005-0000-0000-0000D13B0000}"/>
    <cellStyle name="Normal 3 2 3" xfId="16421" xr:uid="{00000000-0005-0000-0000-0000D23B0000}"/>
    <cellStyle name="Normal 3 2 3 2" xfId="16422" xr:uid="{00000000-0005-0000-0000-0000D33B0000}"/>
    <cellStyle name="Normal 3 2 3 2 2" xfId="16423" xr:uid="{00000000-0005-0000-0000-0000D43B0000}"/>
    <cellStyle name="Normal 3 2 3 3" xfId="16424" xr:uid="{00000000-0005-0000-0000-0000D53B0000}"/>
    <cellStyle name="Normal 3 2 3 4" xfId="16425" xr:uid="{00000000-0005-0000-0000-0000D63B0000}"/>
    <cellStyle name="Normal 3 2 4" xfId="16426" xr:uid="{00000000-0005-0000-0000-0000D73B0000}"/>
    <cellStyle name="Normal 3 2 4 2" xfId="16427" xr:uid="{00000000-0005-0000-0000-0000D83B0000}"/>
    <cellStyle name="Normal 3 2 4 2 2" xfId="16428" xr:uid="{00000000-0005-0000-0000-0000D93B0000}"/>
    <cellStyle name="Normal 3 2 4 3" xfId="16429" xr:uid="{00000000-0005-0000-0000-0000DA3B0000}"/>
    <cellStyle name="Normal 3 2 4 4" xfId="16430" xr:uid="{00000000-0005-0000-0000-0000DB3B0000}"/>
    <cellStyle name="Normal 3 2 5" xfId="16431" xr:uid="{00000000-0005-0000-0000-0000DC3B0000}"/>
    <cellStyle name="Normal 3 2 5 2" xfId="16432" xr:uid="{00000000-0005-0000-0000-0000DD3B0000}"/>
    <cellStyle name="Normal 3 2 6" xfId="16433" xr:uid="{00000000-0005-0000-0000-0000DE3B0000}"/>
    <cellStyle name="Normal 3 2 6 2" xfId="16434" xr:uid="{00000000-0005-0000-0000-0000DF3B0000}"/>
    <cellStyle name="Normal 3 2 7" xfId="16435" xr:uid="{00000000-0005-0000-0000-0000E03B0000}"/>
    <cellStyle name="Normal 3 2 8" xfId="16436" xr:uid="{00000000-0005-0000-0000-0000E13B0000}"/>
    <cellStyle name="Normal 3 2 9" xfId="16437" xr:uid="{00000000-0005-0000-0000-0000E23B0000}"/>
    <cellStyle name="Normal 3 3" xfId="1106" xr:uid="{00000000-0005-0000-0000-0000E33B0000}"/>
    <cellStyle name="Normal 3 3 2" xfId="16438" xr:uid="{00000000-0005-0000-0000-0000E43B0000}"/>
    <cellStyle name="Normal 3 3 2 2" xfId="16439" xr:uid="{00000000-0005-0000-0000-0000E53B0000}"/>
    <cellStyle name="Normal 3 3 2 2 2" xfId="16440" xr:uid="{00000000-0005-0000-0000-0000E63B0000}"/>
    <cellStyle name="Normal 3 3 2 3" xfId="16441" xr:uid="{00000000-0005-0000-0000-0000E73B0000}"/>
    <cellStyle name="Normal 3 3 2 4" xfId="16442" xr:uid="{00000000-0005-0000-0000-0000E83B0000}"/>
    <cellStyle name="Normal 3 3 3" xfId="16443" xr:uid="{00000000-0005-0000-0000-0000E93B0000}"/>
    <cellStyle name="Normal 3 3 3 2" xfId="16444" xr:uid="{00000000-0005-0000-0000-0000EA3B0000}"/>
    <cellStyle name="Normal 3 3 3 2 2" xfId="16445" xr:uid="{00000000-0005-0000-0000-0000EB3B0000}"/>
    <cellStyle name="Normal 3 3 3 3" xfId="16446" xr:uid="{00000000-0005-0000-0000-0000EC3B0000}"/>
    <cellStyle name="Normal 3 3 3 4" xfId="16447" xr:uid="{00000000-0005-0000-0000-0000ED3B0000}"/>
    <cellStyle name="Normal 3 3 4" xfId="16448" xr:uid="{00000000-0005-0000-0000-0000EE3B0000}"/>
    <cellStyle name="Normal 3 3 4 2" xfId="16449" xr:uid="{00000000-0005-0000-0000-0000EF3B0000}"/>
    <cellStyle name="Normal 3 3 5" xfId="16450" xr:uid="{00000000-0005-0000-0000-0000F03B0000}"/>
    <cellStyle name="Normal 3 3 5 2" xfId="16451" xr:uid="{00000000-0005-0000-0000-0000F13B0000}"/>
    <cellStyle name="Normal 3 3 6" xfId="16452" xr:uid="{00000000-0005-0000-0000-0000F23B0000}"/>
    <cellStyle name="Normal 3 3 7" xfId="16453" xr:uid="{00000000-0005-0000-0000-0000F33B0000}"/>
    <cellStyle name="Normal 3 3 8" xfId="16454" xr:uid="{00000000-0005-0000-0000-0000F43B0000}"/>
    <cellStyle name="Normal 3 4" xfId="1105" xr:uid="{00000000-0005-0000-0000-0000F53B0000}"/>
    <cellStyle name="Normal 3 4 2" xfId="16455" xr:uid="{00000000-0005-0000-0000-0000F63B0000}"/>
    <cellStyle name="Normal 3 4 2 2" xfId="16456" xr:uid="{00000000-0005-0000-0000-0000F73B0000}"/>
    <cellStyle name="Normal 3 4 2 2 2" xfId="16457" xr:uid="{00000000-0005-0000-0000-0000F83B0000}"/>
    <cellStyle name="Normal 3 4 2 2 3" xfId="16458" xr:uid="{00000000-0005-0000-0000-0000F93B0000}"/>
    <cellStyle name="Normal 3 4 2 3" xfId="16459" xr:uid="{00000000-0005-0000-0000-0000FA3B0000}"/>
    <cellStyle name="Normal 3 4 2 3 2" xfId="16460" xr:uid="{00000000-0005-0000-0000-0000FB3B0000}"/>
    <cellStyle name="Normal 3 4 2 4" xfId="16461" xr:uid="{00000000-0005-0000-0000-0000FC3B0000}"/>
    <cellStyle name="Normal 3 4 2 5" xfId="16462" xr:uid="{00000000-0005-0000-0000-0000FD3B0000}"/>
    <cellStyle name="Normal 3 4 3" xfId="16463" xr:uid="{00000000-0005-0000-0000-0000FE3B0000}"/>
    <cellStyle name="Normal 3 4 3 2" xfId="16464" xr:uid="{00000000-0005-0000-0000-0000FF3B0000}"/>
    <cellStyle name="Normal 3 4 3 3" xfId="16465" xr:uid="{00000000-0005-0000-0000-0000003C0000}"/>
    <cellStyle name="Normal 3 4 4" xfId="16466" xr:uid="{00000000-0005-0000-0000-0000013C0000}"/>
    <cellStyle name="Normal 3 4 4 2" xfId="16467" xr:uid="{00000000-0005-0000-0000-0000023C0000}"/>
    <cellStyle name="Normal 3 4 5" xfId="16468" xr:uid="{00000000-0005-0000-0000-0000033C0000}"/>
    <cellStyle name="Normal 3 4 5 2" xfId="16469" xr:uid="{00000000-0005-0000-0000-0000043C0000}"/>
    <cellStyle name="Normal 3 4 6" xfId="16470" xr:uid="{00000000-0005-0000-0000-0000053C0000}"/>
    <cellStyle name="Normal 3 4 7" xfId="16471" xr:uid="{00000000-0005-0000-0000-0000063C0000}"/>
    <cellStyle name="Normal 3 4 8" xfId="16472" xr:uid="{00000000-0005-0000-0000-0000073C0000}"/>
    <cellStyle name="Normal 3 5" xfId="1104" xr:uid="{00000000-0005-0000-0000-0000083C0000}"/>
    <cellStyle name="Normal 3 5 2" xfId="16473" xr:uid="{00000000-0005-0000-0000-0000093C0000}"/>
    <cellStyle name="Normal 3 5 2 2" xfId="16474" xr:uid="{00000000-0005-0000-0000-00000A3C0000}"/>
    <cellStyle name="Normal 3 5 2 3" xfId="16475" xr:uid="{00000000-0005-0000-0000-00000B3C0000}"/>
    <cellStyle name="Normal 3 5 3" xfId="16476" xr:uid="{00000000-0005-0000-0000-00000C3C0000}"/>
    <cellStyle name="Normal 3 5 3 2" xfId="16477" xr:uid="{00000000-0005-0000-0000-00000D3C0000}"/>
    <cellStyle name="Normal 3 5 3 3" xfId="16478" xr:uid="{00000000-0005-0000-0000-00000E3C0000}"/>
    <cellStyle name="Normal 3 5 4" xfId="16479" xr:uid="{00000000-0005-0000-0000-00000F3C0000}"/>
    <cellStyle name="Normal 3 5 4 2" xfId="16480" xr:uid="{00000000-0005-0000-0000-0000103C0000}"/>
    <cellStyle name="Normal 3 5 5" xfId="16481" xr:uid="{00000000-0005-0000-0000-0000113C0000}"/>
    <cellStyle name="Normal 3 5 6" xfId="16482" xr:uid="{00000000-0005-0000-0000-0000123C0000}"/>
    <cellStyle name="Normal 3 6" xfId="1103" xr:uid="{00000000-0005-0000-0000-0000133C0000}"/>
    <cellStyle name="Normal 3 6 2" xfId="1102" xr:uid="{00000000-0005-0000-0000-0000143C0000}"/>
    <cellStyle name="Normal 3 6 2 2" xfId="16483" xr:uid="{00000000-0005-0000-0000-0000153C0000}"/>
    <cellStyle name="Normal 3 6 2 3" xfId="16484" xr:uid="{00000000-0005-0000-0000-0000163C0000}"/>
    <cellStyle name="Normal 3 6 3" xfId="16485" xr:uid="{00000000-0005-0000-0000-0000173C0000}"/>
    <cellStyle name="Normal 3 6 3 2" xfId="16486" xr:uid="{00000000-0005-0000-0000-0000183C0000}"/>
    <cellStyle name="Normal 3 6 4" xfId="16487" xr:uid="{00000000-0005-0000-0000-0000193C0000}"/>
    <cellStyle name="Normal 3 6 5" xfId="16488" xr:uid="{00000000-0005-0000-0000-00001A3C0000}"/>
    <cellStyle name="Normal 3 7" xfId="1101" xr:uid="{00000000-0005-0000-0000-00001B3C0000}"/>
    <cellStyle name="Normal 3 7 2" xfId="1100" xr:uid="{00000000-0005-0000-0000-00001C3C0000}"/>
    <cellStyle name="Normal 3 7 2 2" xfId="1099" xr:uid="{00000000-0005-0000-0000-00001D3C0000}"/>
    <cellStyle name="Normal 3 7 2 2 2" xfId="1098" xr:uid="{00000000-0005-0000-0000-00001E3C0000}"/>
    <cellStyle name="Normal 3 7 2 2 3" xfId="1097" xr:uid="{00000000-0005-0000-0000-00001F3C0000}"/>
    <cellStyle name="Normal 3 7 2 3" xfId="1096" xr:uid="{00000000-0005-0000-0000-0000203C0000}"/>
    <cellStyle name="Normal 3 7 2 4" xfId="1095" xr:uid="{00000000-0005-0000-0000-0000213C0000}"/>
    <cellStyle name="Normal 3 7 3" xfId="1094" xr:uid="{00000000-0005-0000-0000-0000223C0000}"/>
    <cellStyle name="Normal 3 7 3 2" xfId="1093" xr:uid="{00000000-0005-0000-0000-0000233C0000}"/>
    <cellStyle name="Normal 3 7 3 3" xfId="1092" xr:uid="{00000000-0005-0000-0000-0000243C0000}"/>
    <cellStyle name="Normal 3 7 4" xfId="1091" xr:uid="{00000000-0005-0000-0000-0000253C0000}"/>
    <cellStyle name="Normal 3 7 4 2" xfId="1090" xr:uid="{00000000-0005-0000-0000-0000263C0000}"/>
    <cellStyle name="Normal 3 7 4 3" xfId="1089" xr:uid="{00000000-0005-0000-0000-0000273C0000}"/>
    <cellStyle name="Normal 3 7 5" xfId="1088" xr:uid="{00000000-0005-0000-0000-0000283C0000}"/>
    <cellStyle name="Normal 3 7 6" xfId="1087" xr:uid="{00000000-0005-0000-0000-0000293C0000}"/>
    <cellStyle name="Normal 3 8" xfId="16489" xr:uid="{00000000-0005-0000-0000-00002A3C0000}"/>
    <cellStyle name="Normal 3 8 2" xfId="16490" xr:uid="{00000000-0005-0000-0000-00002B3C0000}"/>
    <cellStyle name="Normal 3 8 2 2" xfId="16491" xr:uid="{00000000-0005-0000-0000-00002C3C0000}"/>
    <cellStyle name="Normal 3 8 3" xfId="16492" xr:uid="{00000000-0005-0000-0000-00002D3C0000}"/>
    <cellStyle name="Normal 3 8 4" xfId="16493" xr:uid="{00000000-0005-0000-0000-00002E3C0000}"/>
    <cellStyle name="Normal 3 9" xfId="16494" xr:uid="{00000000-0005-0000-0000-00002F3C0000}"/>
    <cellStyle name="Normal 3 9 2" xfId="16495" xr:uid="{00000000-0005-0000-0000-0000303C0000}"/>
    <cellStyle name="Normal 3_Net Classified Plant" xfId="1086" xr:uid="{00000000-0005-0000-0000-0000313C0000}"/>
    <cellStyle name="Normal 30" xfId="1085" xr:uid="{00000000-0005-0000-0000-0000323C0000}"/>
    <cellStyle name="Normal 30 2" xfId="1084" xr:uid="{00000000-0005-0000-0000-0000333C0000}"/>
    <cellStyle name="Normal 30 2 2" xfId="1083" xr:uid="{00000000-0005-0000-0000-0000343C0000}"/>
    <cellStyle name="Normal 30 2 2 2" xfId="1082" xr:uid="{00000000-0005-0000-0000-0000353C0000}"/>
    <cellStyle name="Normal 30 2 2 3" xfId="1081" xr:uid="{00000000-0005-0000-0000-0000363C0000}"/>
    <cellStyle name="Normal 30 2 3" xfId="1080" xr:uid="{00000000-0005-0000-0000-0000373C0000}"/>
    <cellStyle name="Normal 30 2 4" xfId="1079" xr:uid="{00000000-0005-0000-0000-0000383C0000}"/>
    <cellStyle name="Normal 30 3" xfId="1078" xr:uid="{00000000-0005-0000-0000-0000393C0000}"/>
    <cellStyle name="Normal 30 3 2" xfId="1077" xr:uid="{00000000-0005-0000-0000-00003A3C0000}"/>
    <cellStyle name="Normal 30 3 3" xfId="1076" xr:uid="{00000000-0005-0000-0000-00003B3C0000}"/>
    <cellStyle name="Normal 30 4" xfId="1075" xr:uid="{00000000-0005-0000-0000-00003C3C0000}"/>
    <cellStyle name="Normal 30 4 2" xfId="1074" xr:uid="{00000000-0005-0000-0000-00003D3C0000}"/>
    <cellStyle name="Normal 30 4 3" xfId="1073" xr:uid="{00000000-0005-0000-0000-00003E3C0000}"/>
    <cellStyle name="Normal 30 5" xfId="1072" xr:uid="{00000000-0005-0000-0000-00003F3C0000}"/>
    <cellStyle name="Normal 30 6" xfId="1071" xr:uid="{00000000-0005-0000-0000-0000403C0000}"/>
    <cellStyle name="Normal 300" xfId="16496" xr:uid="{00000000-0005-0000-0000-0000413C0000}"/>
    <cellStyle name="Normal 301" xfId="16497" xr:uid="{00000000-0005-0000-0000-0000423C0000}"/>
    <cellStyle name="Normal 302" xfId="16498" xr:uid="{00000000-0005-0000-0000-0000433C0000}"/>
    <cellStyle name="Normal 303" xfId="16499" xr:uid="{00000000-0005-0000-0000-0000443C0000}"/>
    <cellStyle name="Normal 304" xfId="16500" xr:uid="{00000000-0005-0000-0000-0000453C0000}"/>
    <cellStyle name="Normal 305" xfId="16501" xr:uid="{00000000-0005-0000-0000-0000463C0000}"/>
    <cellStyle name="Normal 306" xfId="16502" xr:uid="{00000000-0005-0000-0000-0000473C0000}"/>
    <cellStyle name="Normal 307" xfId="16503" xr:uid="{00000000-0005-0000-0000-0000483C0000}"/>
    <cellStyle name="Normal 308" xfId="16504" xr:uid="{00000000-0005-0000-0000-0000493C0000}"/>
    <cellStyle name="Normal 309" xfId="16505" xr:uid="{00000000-0005-0000-0000-00004A3C0000}"/>
    <cellStyle name="Normal 31" xfId="1070" xr:uid="{00000000-0005-0000-0000-00004B3C0000}"/>
    <cellStyle name="Normal 31 2" xfId="1069" xr:uid="{00000000-0005-0000-0000-00004C3C0000}"/>
    <cellStyle name="Normal 31 2 2" xfId="1068" xr:uid="{00000000-0005-0000-0000-00004D3C0000}"/>
    <cellStyle name="Normal 31 2 2 2" xfId="1067" xr:uid="{00000000-0005-0000-0000-00004E3C0000}"/>
    <cellStyle name="Normal 31 2 2 3" xfId="1066" xr:uid="{00000000-0005-0000-0000-00004F3C0000}"/>
    <cellStyle name="Normal 31 2 3" xfId="1065" xr:uid="{00000000-0005-0000-0000-0000503C0000}"/>
    <cellStyle name="Normal 31 2 4" xfId="1064" xr:uid="{00000000-0005-0000-0000-0000513C0000}"/>
    <cellStyle name="Normal 31 3" xfId="1063" xr:uid="{00000000-0005-0000-0000-0000523C0000}"/>
    <cellStyle name="Normal 31 3 2" xfId="1062" xr:uid="{00000000-0005-0000-0000-0000533C0000}"/>
    <cellStyle name="Normal 31 3 3" xfId="1061" xr:uid="{00000000-0005-0000-0000-0000543C0000}"/>
    <cellStyle name="Normal 31 4" xfId="1060" xr:uid="{00000000-0005-0000-0000-0000553C0000}"/>
    <cellStyle name="Normal 31 4 2" xfId="1059" xr:uid="{00000000-0005-0000-0000-0000563C0000}"/>
    <cellStyle name="Normal 31 4 3" xfId="1058" xr:uid="{00000000-0005-0000-0000-0000573C0000}"/>
    <cellStyle name="Normal 31 5" xfId="1057" xr:uid="{00000000-0005-0000-0000-0000583C0000}"/>
    <cellStyle name="Normal 31 6" xfId="1056" xr:uid="{00000000-0005-0000-0000-0000593C0000}"/>
    <cellStyle name="Normal 310" xfId="16506" xr:uid="{00000000-0005-0000-0000-00005A3C0000}"/>
    <cellStyle name="Normal 311" xfId="16507" xr:uid="{00000000-0005-0000-0000-00005B3C0000}"/>
    <cellStyle name="Normal 312" xfId="16508" xr:uid="{00000000-0005-0000-0000-00005C3C0000}"/>
    <cellStyle name="Normal 313" xfId="16509" xr:uid="{00000000-0005-0000-0000-00005D3C0000}"/>
    <cellStyle name="Normal 314" xfId="16510" xr:uid="{00000000-0005-0000-0000-00005E3C0000}"/>
    <cellStyle name="Normal 315" xfId="16511" xr:uid="{00000000-0005-0000-0000-00005F3C0000}"/>
    <cellStyle name="Normal 316" xfId="16512" xr:uid="{00000000-0005-0000-0000-0000603C0000}"/>
    <cellStyle name="Normal 317" xfId="16513" xr:uid="{00000000-0005-0000-0000-0000613C0000}"/>
    <cellStyle name="Normal 318" xfId="16514" xr:uid="{00000000-0005-0000-0000-0000623C0000}"/>
    <cellStyle name="Normal 319" xfId="16515" xr:uid="{00000000-0005-0000-0000-0000633C0000}"/>
    <cellStyle name="Normal 32" xfId="1055" xr:uid="{00000000-0005-0000-0000-0000643C0000}"/>
    <cellStyle name="Normal 32 2" xfId="1054" xr:uid="{00000000-0005-0000-0000-0000653C0000}"/>
    <cellStyle name="Normal 32 2 2" xfId="1053" xr:uid="{00000000-0005-0000-0000-0000663C0000}"/>
    <cellStyle name="Normal 32 2 2 2" xfId="1052" xr:uid="{00000000-0005-0000-0000-0000673C0000}"/>
    <cellStyle name="Normal 32 2 2 2 2" xfId="1051" xr:uid="{00000000-0005-0000-0000-0000683C0000}"/>
    <cellStyle name="Normal 32 2 2 2 3" xfId="1050" xr:uid="{00000000-0005-0000-0000-0000693C0000}"/>
    <cellStyle name="Normal 32 2 2 3" xfId="1049" xr:uid="{00000000-0005-0000-0000-00006A3C0000}"/>
    <cellStyle name="Normal 32 2 2 4" xfId="1048" xr:uid="{00000000-0005-0000-0000-00006B3C0000}"/>
    <cellStyle name="Normal 32 2 3" xfId="1047" xr:uid="{00000000-0005-0000-0000-00006C3C0000}"/>
    <cellStyle name="Normal 32 2 3 2" xfId="1046" xr:uid="{00000000-0005-0000-0000-00006D3C0000}"/>
    <cellStyle name="Normal 32 2 3 3" xfId="1045" xr:uid="{00000000-0005-0000-0000-00006E3C0000}"/>
    <cellStyle name="Normal 32 2 4" xfId="1044" xr:uid="{00000000-0005-0000-0000-00006F3C0000}"/>
    <cellStyle name="Normal 32 2 4 2" xfId="1043" xr:uid="{00000000-0005-0000-0000-0000703C0000}"/>
    <cellStyle name="Normal 32 2 4 3" xfId="1042" xr:uid="{00000000-0005-0000-0000-0000713C0000}"/>
    <cellStyle name="Normal 32 2 5" xfId="1041" xr:uid="{00000000-0005-0000-0000-0000723C0000}"/>
    <cellStyle name="Normal 32 2 6" xfId="1040" xr:uid="{00000000-0005-0000-0000-0000733C0000}"/>
    <cellStyle name="Normal 32 3" xfId="1039" xr:uid="{00000000-0005-0000-0000-0000743C0000}"/>
    <cellStyle name="Normal 32 3 2" xfId="1038" xr:uid="{00000000-0005-0000-0000-0000753C0000}"/>
    <cellStyle name="Normal 32 3 2 2" xfId="1037" xr:uid="{00000000-0005-0000-0000-0000763C0000}"/>
    <cellStyle name="Normal 32 3 2 3" xfId="1036" xr:uid="{00000000-0005-0000-0000-0000773C0000}"/>
    <cellStyle name="Normal 32 3 3" xfId="1035" xr:uid="{00000000-0005-0000-0000-0000783C0000}"/>
    <cellStyle name="Normal 32 3 4" xfId="1034" xr:uid="{00000000-0005-0000-0000-0000793C0000}"/>
    <cellStyle name="Normal 32 4" xfId="1033" xr:uid="{00000000-0005-0000-0000-00007A3C0000}"/>
    <cellStyle name="Normal 32 4 2" xfId="1032" xr:uid="{00000000-0005-0000-0000-00007B3C0000}"/>
    <cellStyle name="Normal 32 4 3" xfId="1031" xr:uid="{00000000-0005-0000-0000-00007C3C0000}"/>
    <cellStyle name="Normal 32 5" xfId="1030" xr:uid="{00000000-0005-0000-0000-00007D3C0000}"/>
    <cellStyle name="Normal 32 5 2" xfId="1029" xr:uid="{00000000-0005-0000-0000-00007E3C0000}"/>
    <cellStyle name="Normal 32 5 3" xfId="1028" xr:uid="{00000000-0005-0000-0000-00007F3C0000}"/>
    <cellStyle name="Normal 32 6" xfId="1027" xr:uid="{00000000-0005-0000-0000-0000803C0000}"/>
    <cellStyle name="Normal 32 7" xfId="1026" xr:uid="{00000000-0005-0000-0000-0000813C0000}"/>
    <cellStyle name="Normal 320" xfId="16516" xr:uid="{00000000-0005-0000-0000-0000823C0000}"/>
    <cellStyle name="Normal 321" xfId="16517" xr:uid="{00000000-0005-0000-0000-0000833C0000}"/>
    <cellStyle name="Normal 322" xfId="16518" xr:uid="{00000000-0005-0000-0000-0000843C0000}"/>
    <cellStyle name="Normal 323" xfId="16519" xr:uid="{00000000-0005-0000-0000-0000853C0000}"/>
    <cellStyle name="Normal 324" xfId="16520" xr:uid="{00000000-0005-0000-0000-0000863C0000}"/>
    <cellStyle name="Normal 33" xfId="1025" xr:uid="{00000000-0005-0000-0000-0000873C0000}"/>
    <cellStyle name="Normal 33 2" xfId="1024" xr:uid="{00000000-0005-0000-0000-0000883C0000}"/>
    <cellStyle name="Normal 33 2 2" xfId="1023" xr:uid="{00000000-0005-0000-0000-0000893C0000}"/>
    <cellStyle name="Normal 33 2 2 2" xfId="1022" xr:uid="{00000000-0005-0000-0000-00008A3C0000}"/>
    <cellStyle name="Normal 33 2 2 3" xfId="1021" xr:uid="{00000000-0005-0000-0000-00008B3C0000}"/>
    <cellStyle name="Normal 33 2 3" xfId="1020" xr:uid="{00000000-0005-0000-0000-00008C3C0000}"/>
    <cellStyle name="Normal 33 2 4" xfId="1019" xr:uid="{00000000-0005-0000-0000-00008D3C0000}"/>
    <cellStyle name="Normal 33 3" xfId="1018" xr:uid="{00000000-0005-0000-0000-00008E3C0000}"/>
    <cellStyle name="Normal 33 3 2" xfId="1017" xr:uid="{00000000-0005-0000-0000-00008F3C0000}"/>
    <cellStyle name="Normal 33 3 3" xfId="1016" xr:uid="{00000000-0005-0000-0000-0000903C0000}"/>
    <cellStyle name="Normal 33 4" xfId="1015" xr:uid="{00000000-0005-0000-0000-0000913C0000}"/>
    <cellStyle name="Normal 33 4 2" xfId="1014" xr:uid="{00000000-0005-0000-0000-0000923C0000}"/>
    <cellStyle name="Normal 33 4 3" xfId="1013" xr:uid="{00000000-0005-0000-0000-0000933C0000}"/>
    <cellStyle name="Normal 33 5" xfId="1012" xr:uid="{00000000-0005-0000-0000-0000943C0000}"/>
    <cellStyle name="Normal 33 6" xfId="1011" xr:uid="{00000000-0005-0000-0000-0000953C0000}"/>
    <cellStyle name="Normal 33 7" xfId="1010" xr:uid="{00000000-0005-0000-0000-0000963C0000}"/>
    <cellStyle name="Normal 34" xfId="1009" xr:uid="{00000000-0005-0000-0000-0000973C0000}"/>
    <cellStyle name="Normal 34 2" xfId="1008" xr:uid="{00000000-0005-0000-0000-0000983C0000}"/>
    <cellStyle name="Normal 34 2 2" xfId="1007" xr:uid="{00000000-0005-0000-0000-0000993C0000}"/>
    <cellStyle name="Normal 34 2 2 2" xfId="1006" xr:uid="{00000000-0005-0000-0000-00009A3C0000}"/>
    <cellStyle name="Normal 34 2 2 3" xfId="1005" xr:uid="{00000000-0005-0000-0000-00009B3C0000}"/>
    <cellStyle name="Normal 34 2 3" xfId="1004" xr:uid="{00000000-0005-0000-0000-00009C3C0000}"/>
    <cellStyle name="Normal 34 2 4" xfId="1003" xr:uid="{00000000-0005-0000-0000-00009D3C0000}"/>
    <cellStyle name="Normal 34 3" xfId="1002" xr:uid="{00000000-0005-0000-0000-00009E3C0000}"/>
    <cellStyle name="Normal 34 3 2" xfId="1001" xr:uid="{00000000-0005-0000-0000-00009F3C0000}"/>
    <cellStyle name="Normal 34 3 3" xfId="1000" xr:uid="{00000000-0005-0000-0000-0000A03C0000}"/>
    <cellStyle name="Normal 34 4" xfId="999" xr:uid="{00000000-0005-0000-0000-0000A13C0000}"/>
    <cellStyle name="Normal 34 4 2" xfId="998" xr:uid="{00000000-0005-0000-0000-0000A23C0000}"/>
    <cellStyle name="Normal 34 4 3" xfId="997" xr:uid="{00000000-0005-0000-0000-0000A33C0000}"/>
    <cellStyle name="Normal 34 5" xfId="996" xr:uid="{00000000-0005-0000-0000-0000A43C0000}"/>
    <cellStyle name="Normal 34 6" xfId="995" xr:uid="{00000000-0005-0000-0000-0000A53C0000}"/>
    <cellStyle name="Normal 34 7" xfId="994" xr:uid="{00000000-0005-0000-0000-0000A63C0000}"/>
    <cellStyle name="Normal 35" xfId="993" xr:uid="{00000000-0005-0000-0000-0000A73C0000}"/>
    <cellStyle name="Normal 35 2" xfId="992" xr:uid="{00000000-0005-0000-0000-0000A83C0000}"/>
    <cellStyle name="Normal 35 2 2" xfId="991" xr:uid="{00000000-0005-0000-0000-0000A93C0000}"/>
    <cellStyle name="Normal 35 2 2 2" xfId="990" xr:uid="{00000000-0005-0000-0000-0000AA3C0000}"/>
    <cellStyle name="Normal 35 2 2 3" xfId="989" xr:uid="{00000000-0005-0000-0000-0000AB3C0000}"/>
    <cellStyle name="Normal 35 2 3" xfId="988" xr:uid="{00000000-0005-0000-0000-0000AC3C0000}"/>
    <cellStyle name="Normal 35 2 4" xfId="987" xr:uid="{00000000-0005-0000-0000-0000AD3C0000}"/>
    <cellStyle name="Normal 35 3" xfId="986" xr:uid="{00000000-0005-0000-0000-0000AE3C0000}"/>
    <cellStyle name="Normal 35 3 2" xfId="985" xr:uid="{00000000-0005-0000-0000-0000AF3C0000}"/>
    <cellStyle name="Normal 35 3 3" xfId="984" xr:uid="{00000000-0005-0000-0000-0000B03C0000}"/>
    <cellStyle name="Normal 35 4" xfId="983" xr:uid="{00000000-0005-0000-0000-0000B13C0000}"/>
    <cellStyle name="Normal 35 4 2" xfId="982" xr:uid="{00000000-0005-0000-0000-0000B23C0000}"/>
    <cellStyle name="Normal 35 4 3" xfId="981" xr:uid="{00000000-0005-0000-0000-0000B33C0000}"/>
    <cellStyle name="Normal 35 5" xfId="980" xr:uid="{00000000-0005-0000-0000-0000B43C0000}"/>
    <cellStyle name="Normal 35 6" xfId="979" xr:uid="{00000000-0005-0000-0000-0000B53C0000}"/>
    <cellStyle name="Normal 36" xfId="978" xr:uid="{00000000-0005-0000-0000-0000B63C0000}"/>
    <cellStyle name="Normal 36 2" xfId="977" xr:uid="{00000000-0005-0000-0000-0000B73C0000}"/>
    <cellStyle name="Normal 36 2 2" xfId="976" xr:uid="{00000000-0005-0000-0000-0000B83C0000}"/>
    <cellStyle name="Normal 36 2 2 2" xfId="975" xr:uid="{00000000-0005-0000-0000-0000B93C0000}"/>
    <cellStyle name="Normal 36 2 2 3" xfId="974" xr:uid="{00000000-0005-0000-0000-0000BA3C0000}"/>
    <cellStyle name="Normal 36 2 3" xfId="973" xr:uid="{00000000-0005-0000-0000-0000BB3C0000}"/>
    <cellStyle name="Normal 36 2 4" xfId="972" xr:uid="{00000000-0005-0000-0000-0000BC3C0000}"/>
    <cellStyle name="Normal 36 3" xfId="971" xr:uid="{00000000-0005-0000-0000-0000BD3C0000}"/>
    <cellStyle name="Normal 36 3 2" xfId="970" xr:uid="{00000000-0005-0000-0000-0000BE3C0000}"/>
    <cellStyle name="Normal 36 3 3" xfId="969" xr:uid="{00000000-0005-0000-0000-0000BF3C0000}"/>
    <cellStyle name="Normal 36 4" xfId="968" xr:uid="{00000000-0005-0000-0000-0000C03C0000}"/>
    <cellStyle name="Normal 36 4 2" xfId="967" xr:uid="{00000000-0005-0000-0000-0000C13C0000}"/>
    <cellStyle name="Normal 36 4 3" xfId="966" xr:uid="{00000000-0005-0000-0000-0000C23C0000}"/>
    <cellStyle name="Normal 36 5" xfId="965" xr:uid="{00000000-0005-0000-0000-0000C33C0000}"/>
    <cellStyle name="Normal 36 6" xfId="964" xr:uid="{00000000-0005-0000-0000-0000C43C0000}"/>
    <cellStyle name="Normal 37" xfId="963" xr:uid="{00000000-0005-0000-0000-0000C53C0000}"/>
    <cellStyle name="Normal 37 2" xfId="962" xr:uid="{00000000-0005-0000-0000-0000C63C0000}"/>
    <cellStyle name="Normal 37 2 2" xfId="961" xr:uid="{00000000-0005-0000-0000-0000C73C0000}"/>
    <cellStyle name="Normal 37 2 2 2" xfId="960" xr:uid="{00000000-0005-0000-0000-0000C83C0000}"/>
    <cellStyle name="Normal 37 2 2 3" xfId="959" xr:uid="{00000000-0005-0000-0000-0000C93C0000}"/>
    <cellStyle name="Normal 37 2 3" xfId="958" xr:uid="{00000000-0005-0000-0000-0000CA3C0000}"/>
    <cellStyle name="Normal 37 2 4" xfId="957" xr:uid="{00000000-0005-0000-0000-0000CB3C0000}"/>
    <cellStyle name="Normal 37 3" xfId="956" xr:uid="{00000000-0005-0000-0000-0000CC3C0000}"/>
    <cellStyle name="Normal 37 3 2" xfId="955" xr:uid="{00000000-0005-0000-0000-0000CD3C0000}"/>
    <cellStyle name="Normal 37 3 3" xfId="954" xr:uid="{00000000-0005-0000-0000-0000CE3C0000}"/>
    <cellStyle name="Normal 37 4" xfId="953" xr:uid="{00000000-0005-0000-0000-0000CF3C0000}"/>
    <cellStyle name="Normal 37 4 2" xfId="952" xr:uid="{00000000-0005-0000-0000-0000D03C0000}"/>
    <cellStyle name="Normal 37 4 3" xfId="951" xr:uid="{00000000-0005-0000-0000-0000D13C0000}"/>
    <cellStyle name="Normal 37 5" xfId="950" xr:uid="{00000000-0005-0000-0000-0000D23C0000}"/>
    <cellStyle name="Normal 37 6" xfId="949" xr:uid="{00000000-0005-0000-0000-0000D33C0000}"/>
    <cellStyle name="Normal 38" xfId="948" xr:uid="{00000000-0005-0000-0000-0000D43C0000}"/>
    <cellStyle name="Normal 38 2" xfId="947" xr:uid="{00000000-0005-0000-0000-0000D53C0000}"/>
    <cellStyle name="Normal 38 2 2" xfId="946" xr:uid="{00000000-0005-0000-0000-0000D63C0000}"/>
    <cellStyle name="Normal 38 2 2 2" xfId="945" xr:uid="{00000000-0005-0000-0000-0000D73C0000}"/>
    <cellStyle name="Normal 38 2 2 3" xfId="944" xr:uid="{00000000-0005-0000-0000-0000D83C0000}"/>
    <cellStyle name="Normal 38 2 3" xfId="943" xr:uid="{00000000-0005-0000-0000-0000D93C0000}"/>
    <cellStyle name="Normal 38 2 4" xfId="942" xr:uid="{00000000-0005-0000-0000-0000DA3C0000}"/>
    <cellStyle name="Normal 38 3" xfId="941" xr:uid="{00000000-0005-0000-0000-0000DB3C0000}"/>
    <cellStyle name="Normal 38 3 2" xfId="940" xr:uid="{00000000-0005-0000-0000-0000DC3C0000}"/>
    <cellStyle name="Normal 38 3 3" xfId="939" xr:uid="{00000000-0005-0000-0000-0000DD3C0000}"/>
    <cellStyle name="Normal 38 4" xfId="938" xr:uid="{00000000-0005-0000-0000-0000DE3C0000}"/>
    <cellStyle name="Normal 38 4 2" xfId="937" xr:uid="{00000000-0005-0000-0000-0000DF3C0000}"/>
    <cellStyle name="Normal 38 4 3" xfId="936" xr:uid="{00000000-0005-0000-0000-0000E03C0000}"/>
    <cellStyle name="Normal 38 5" xfId="935" xr:uid="{00000000-0005-0000-0000-0000E13C0000}"/>
    <cellStyle name="Normal 38 6" xfId="934" xr:uid="{00000000-0005-0000-0000-0000E23C0000}"/>
    <cellStyle name="Normal 39" xfId="933" xr:uid="{00000000-0005-0000-0000-0000E33C0000}"/>
    <cellStyle name="Normal 39 2" xfId="932" xr:uid="{00000000-0005-0000-0000-0000E43C0000}"/>
    <cellStyle name="Normal 39 2 2" xfId="931" xr:uid="{00000000-0005-0000-0000-0000E53C0000}"/>
    <cellStyle name="Normal 39 2 2 2" xfId="930" xr:uid="{00000000-0005-0000-0000-0000E63C0000}"/>
    <cellStyle name="Normal 39 2 2 3" xfId="929" xr:uid="{00000000-0005-0000-0000-0000E73C0000}"/>
    <cellStyle name="Normal 39 2 3" xfId="928" xr:uid="{00000000-0005-0000-0000-0000E83C0000}"/>
    <cellStyle name="Normal 39 2 4" xfId="927" xr:uid="{00000000-0005-0000-0000-0000E93C0000}"/>
    <cellStyle name="Normal 39 3" xfId="926" xr:uid="{00000000-0005-0000-0000-0000EA3C0000}"/>
    <cellStyle name="Normal 39 3 2" xfId="925" xr:uid="{00000000-0005-0000-0000-0000EB3C0000}"/>
    <cellStyle name="Normal 39 3 3" xfId="924" xr:uid="{00000000-0005-0000-0000-0000EC3C0000}"/>
    <cellStyle name="Normal 39 4" xfId="923" xr:uid="{00000000-0005-0000-0000-0000ED3C0000}"/>
    <cellStyle name="Normal 39 4 2" xfId="922" xr:uid="{00000000-0005-0000-0000-0000EE3C0000}"/>
    <cellStyle name="Normal 39 4 3" xfId="921" xr:uid="{00000000-0005-0000-0000-0000EF3C0000}"/>
    <cellStyle name="Normal 39 5" xfId="920" xr:uid="{00000000-0005-0000-0000-0000F03C0000}"/>
    <cellStyle name="Normal 39 6" xfId="919" xr:uid="{00000000-0005-0000-0000-0000F13C0000}"/>
    <cellStyle name="Normal 4" xfId="918" xr:uid="{00000000-0005-0000-0000-0000F23C0000}"/>
    <cellStyle name="Normal 4 10" xfId="16521" xr:uid="{00000000-0005-0000-0000-0000F33C0000}"/>
    <cellStyle name="Normal 4 10 2" xfId="16522" xr:uid="{00000000-0005-0000-0000-0000F43C0000}"/>
    <cellStyle name="Normal 4 11" xfId="16523" xr:uid="{00000000-0005-0000-0000-0000F53C0000}"/>
    <cellStyle name="Normal 4 12" xfId="16524" xr:uid="{00000000-0005-0000-0000-0000F63C0000}"/>
    <cellStyle name="Normal 4 12 2" xfId="16525" xr:uid="{00000000-0005-0000-0000-0000F73C0000}"/>
    <cellStyle name="Normal 4 12 3" xfId="16526" xr:uid="{00000000-0005-0000-0000-0000F83C0000}"/>
    <cellStyle name="Normal 4 12 3 2" xfId="16527" xr:uid="{00000000-0005-0000-0000-0000F93C0000}"/>
    <cellStyle name="Normal 4 13" xfId="16528" xr:uid="{00000000-0005-0000-0000-0000FA3C0000}"/>
    <cellStyle name="Normal 4 14" xfId="16529" xr:uid="{00000000-0005-0000-0000-0000FB3C0000}"/>
    <cellStyle name="Normal 4 15" xfId="16530" xr:uid="{00000000-0005-0000-0000-0000FC3C0000}"/>
    <cellStyle name="Normal 4 2" xfId="917" xr:uid="{00000000-0005-0000-0000-0000FD3C0000}"/>
    <cellStyle name="Normal 4 2 2" xfId="16531" xr:uid="{00000000-0005-0000-0000-0000FE3C0000}"/>
    <cellStyle name="Normal 4 2 2 2" xfId="16532" xr:uid="{00000000-0005-0000-0000-0000FF3C0000}"/>
    <cellStyle name="Normal 4 2 2 2 2" xfId="16533" xr:uid="{00000000-0005-0000-0000-0000003D0000}"/>
    <cellStyle name="Normal 4 2 2 2 3" xfId="16534" xr:uid="{00000000-0005-0000-0000-0000013D0000}"/>
    <cellStyle name="Normal 4 2 2 3" xfId="16535" xr:uid="{00000000-0005-0000-0000-0000023D0000}"/>
    <cellStyle name="Normal 4 2 2 3 2" xfId="16536" xr:uid="{00000000-0005-0000-0000-0000033D0000}"/>
    <cellStyle name="Normal 4 2 2 4" xfId="16537" xr:uid="{00000000-0005-0000-0000-0000043D0000}"/>
    <cellStyle name="Normal 4 2 2 5" xfId="16538" xr:uid="{00000000-0005-0000-0000-0000053D0000}"/>
    <cellStyle name="Normal 4 2 3" xfId="16539" xr:uid="{00000000-0005-0000-0000-0000063D0000}"/>
    <cellStyle name="Normal 4 2 3 2" xfId="16540" xr:uid="{00000000-0005-0000-0000-0000073D0000}"/>
    <cellStyle name="Normal 4 2 3 2 2" xfId="16541" xr:uid="{00000000-0005-0000-0000-0000083D0000}"/>
    <cellStyle name="Normal 4 2 3 3" xfId="16542" xr:uid="{00000000-0005-0000-0000-0000093D0000}"/>
    <cellStyle name="Normal 4 2 3 4" xfId="16543" xr:uid="{00000000-0005-0000-0000-00000A3D0000}"/>
    <cellStyle name="Normal 4 2 4" xfId="16544" xr:uid="{00000000-0005-0000-0000-00000B3D0000}"/>
    <cellStyle name="Normal 4 2 4 2" xfId="16545" xr:uid="{00000000-0005-0000-0000-00000C3D0000}"/>
    <cellStyle name="Normal 4 2 4 2 2" xfId="16546" xr:uid="{00000000-0005-0000-0000-00000D3D0000}"/>
    <cellStyle name="Normal 4 2 4 3" xfId="16547" xr:uid="{00000000-0005-0000-0000-00000E3D0000}"/>
    <cellStyle name="Normal 4 2 4 4" xfId="16548" xr:uid="{00000000-0005-0000-0000-00000F3D0000}"/>
    <cellStyle name="Normal 4 2 5" xfId="16549" xr:uid="{00000000-0005-0000-0000-0000103D0000}"/>
    <cellStyle name="Normal 4 2 5 2" xfId="16550" xr:uid="{00000000-0005-0000-0000-0000113D0000}"/>
    <cellStyle name="Normal 4 2 6" xfId="16551" xr:uid="{00000000-0005-0000-0000-0000123D0000}"/>
    <cellStyle name="Normal 4 2 6 2" xfId="16552" xr:uid="{00000000-0005-0000-0000-0000133D0000}"/>
    <cellStyle name="Normal 4 2 7" xfId="16553" xr:uid="{00000000-0005-0000-0000-0000143D0000}"/>
    <cellStyle name="Normal 4 2 8" xfId="16554" xr:uid="{00000000-0005-0000-0000-0000153D0000}"/>
    <cellStyle name="Normal 4 2 9" xfId="16555" xr:uid="{00000000-0005-0000-0000-0000163D0000}"/>
    <cellStyle name="Normal 4 3" xfId="916" xr:uid="{00000000-0005-0000-0000-0000173D0000}"/>
    <cellStyle name="Normal 4 3 2" xfId="16556" xr:uid="{00000000-0005-0000-0000-0000183D0000}"/>
    <cellStyle name="Normal 4 3 2 2" xfId="16557" xr:uid="{00000000-0005-0000-0000-0000193D0000}"/>
    <cellStyle name="Normal 4 3 2 2 2" xfId="16558" xr:uid="{00000000-0005-0000-0000-00001A3D0000}"/>
    <cellStyle name="Normal 4 3 2 2 3" xfId="16559" xr:uid="{00000000-0005-0000-0000-00001B3D0000}"/>
    <cellStyle name="Normal 4 3 2 3" xfId="16560" xr:uid="{00000000-0005-0000-0000-00001C3D0000}"/>
    <cellStyle name="Normal 4 3 2 3 2" xfId="16561" xr:uid="{00000000-0005-0000-0000-00001D3D0000}"/>
    <cellStyle name="Normal 4 3 2 4" xfId="16562" xr:uid="{00000000-0005-0000-0000-00001E3D0000}"/>
    <cellStyle name="Normal 4 3 2 5" xfId="16563" xr:uid="{00000000-0005-0000-0000-00001F3D0000}"/>
    <cellStyle name="Normal 4 3 3" xfId="16564" xr:uid="{00000000-0005-0000-0000-0000203D0000}"/>
    <cellStyle name="Normal 4 3 3 2" xfId="16565" xr:uid="{00000000-0005-0000-0000-0000213D0000}"/>
    <cellStyle name="Normal 4 3 3 2 2" xfId="16566" xr:uid="{00000000-0005-0000-0000-0000223D0000}"/>
    <cellStyle name="Normal 4 3 3 3" xfId="16567" xr:uid="{00000000-0005-0000-0000-0000233D0000}"/>
    <cellStyle name="Normal 4 3 3 4" xfId="16568" xr:uid="{00000000-0005-0000-0000-0000243D0000}"/>
    <cellStyle name="Normal 4 3 4" xfId="16569" xr:uid="{00000000-0005-0000-0000-0000253D0000}"/>
    <cellStyle name="Normal 4 3 4 2" xfId="16570" xr:uid="{00000000-0005-0000-0000-0000263D0000}"/>
    <cellStyle name="Normal 4 3 5" xfId="16571" xr:uid="{00000000-0005-0000-0000-0000273D0000}"/>
    <cellStyle name="Normal 4 3 5 2" xfId="16572" xr:uid="{00000000-0005-0000-0000-0000283D0000}"/>
    <cellStyle name="Normal 4 3 6" xfId="16573" xr:uid="{00000000-0005-0000-0000-0000293D0000}"/>
    <cellStyle name="Normal 4 3 7" xfId="16574" xr:uid="{00000000-0005-0000-0000-00002A3D0000}"/>
    <cellStyle name="Normal 4 3 8" xfId="16575" xr:uid="{00000000-0005-0000-0000-00002B3D0000}"/>
    <cellStyle name="Normal 4 4" xfId="915" xr:uid="{00000000-0005-0000-0000-00002C3D0000}"/>
    <cellStyle name="Normal 4 4 2" xfId="914" xr:uid="{00000000-0005-0000-0000-00002D3D0000}"/>
    <cellStyle name="Normal 4 4 2 2" xfId="913" xr:uid="{00000000-0005-0000-0000-00002E3D0000}"/>
    <cellStyle name="Normal 4 4 2 2 2" xfId="912" xr:uid="{00000000-0005-0000-0000-00002F3D0000}"/>
    <cellStyle name="Normal 4 4 2 2 3" xfId="911" xr:uid="{00000000-0005-0000-0000-0000303D0000}"/>
    <cellStyle name="Normal 4 4 2 3" xfId="910" xr:uid="{00000000-0005-0000-0000-0000313D0000}"/>
    <cellStyle name="Normal 4 4 2 3 2" xfId="16576" xr:uid="{00000000-0005-0000-0000-0000323D0000}"/>
    <cellStyle name="Normal 4 4 2 4" xfId="909" xr:uid="{00000000-0005-0000-0000-0000333D0000}"/>
    <cellStyle name="Normal 4 4 2 5" xfId="16577" xr:uid="{00000000-0005-0000-0000-0000343D0000}"/>
    <cellStyle name="Normal 4 4 2 6" xfId="16578" xr:uid="{00000000-0005-0000-0000-0000353D0000}"/>
    <cellStyle name="Normal 4 4 3" xfId="908" xr:uid="{00000000-0005-0000-0000-0000363D0000}"/>
    <cellStyle name="Normal 4 4 3 2" xfId="907" xr:uid="{00000000-0005-0000-0000-0000373D0000}"/>
    <cellStyle name="Normal 4 4 3 3" xfId="906" xr:uid="{00000000-0005-0000-0000-0000383D0000}"/>
    <cellStyle name="Normal 4 4 4" xfId="905" xr:uid="{00000000-0005-0000-0000-0000393D0000}"/>
    <cellStyle name="Normal 4 4 4 2" xfId="904" xr:uid="{00000000-0005-0000-0000-00003A3D0000}"/>
    <cellStyle name="Normal 4 4 4 3" xfId="903" xr:uid="{00000000-0005-0000-0000-00003B3D0000}"/>
    <cellStyle name="Normal 4 4 5" xfId="902" xr:uid="{00000000-0005-0000-0000-00003C3D0000}"/>
    <cellStyle name="Normal 4 4 5 2" xfId="16579" xr:uid="{00000000-0005-0000-0000-00003D3D0000}"/>
    <cellStyle name="Normal 4 4 6" xfId="901" xr:uid="{00000000-0005-0000-0000-00003E3D0000}"/>
    <cellStyle name="Normal 4 4 7" xfId="16580" xr:uid="{00000000-0005-0000-0000-00003F3D0000}"/>
    <cellStyle name="Normal 4 4 8" xfId="16581" xr:uid="{00000000-0005-0000-0000-0000403D0000}"/>
    <cellStyle name="Normal 4 5" xfId="900" xr:uid="{00000000-0005-0000-0000-0000413D0000}"/>
    <cellStyle name="Normal 4 5 2" xfId="899" xr:uid="{00000000-0005-0000-0000-0000423D0000}"/>
    <cellStyle name="Normal 4 5 2 2" xfId="898" xr:uid="{00000000-0005-0000-0000-0000433D0000}"/>
    <cellStyle name="Normal 4 5 2 2 2" xfId="897" xr:uid="{00000000-0005-0000-0000-0000443D0000}"/>
    <cellStyle name="Normal 4 5 2 2 3" xfId="896" xr:uid="{00000000-0005-0000-0000-0000453D0000}"/>
    <cellStyle name="Normal 4 5 2 3" xfId="895" xr:uid="{00000000-0005-0000-0000-0000463D0000}"/>
    <cellStyle name="Normal 4 5 2 4" xfId="894" xr:uid="{00000000-0005-0000-0000-0000473D0000}"/>
    <cellStyle name="Normal 4 5 3" xfId="893" xr:uid="{00000000-0005-0000-0000-0000483D0000}"/>
    <cellStyle name="Normal 4 5 3 2" xfId="892" xr:uid="{00000000-0005-0000-0000-0000493D0000}"/>
    <cellStyle name="Normal 4 5 3 3" xfId="891" xr:uid="{00000000-0005-0000-0000-00004A3D0000}"/>
    <cellStyle name="Normal 4 5 4" xfId="890" xr:uid="{00000000-0005-0000-0000-00004B3D0000}"/>
    <cellStyle name="Normal 4 5 4 2" xfId="889" xr:uid="{00000000-0005-0000-0000-00004C3D0000}"/>
    <cellStyle name="Normal 4 5 4 3" xfId="888" xr:uid="{00000000-0005-0000-0000-00004D3D0000}"/>
    <cellStyle name="Normal 4 5 5" xfId="887" xr:uid="{00000000-0005-0000-0000-00004E3D0000}"/>
    <cellStyle name="Normal 4 5 6" xfId="886" xr:uid="{00000000-0005-0000-0000-00004F3D0000}"/>
    <cellStyle name="Normal 4 6" xfId="885" xr:uid="{00000000-0005-0000-0000-0000503D0000}"/>
    <cellStyle name="Normal 4 6 2" xfId="16582" xr:uid="{00000000-0005-0000-0000-0000513D0000}"/>
    <cellStyle name="Normal 4 6 2 2" xfId="16583" xr:uid="{00000000-0005-0000-0000-0000523D0000}"/>
    <cellStyle name="Normal 4 6 3" xfId="16584" xr:uid="{00000000-0005-0000-0000-0000533D0000}"/>
    <cellStyle name="Normal 4 6 4" xfId="16585" xr:uid="{00000000-0005-0000-0000-0000543D0000}"/>
    <cellStyle name="Normal 4 6 5" xfId="16586" xr:uid="{00000000-0005-0000-0000-0000553D0000}"/>
    <cellStyle name="Normal 4 7" xfId="884" xr:uid="{00000000-0005-0000-0000-0000563D0000}"/>
    <cellStyle name="Normal 4 7 2" xfId="883" xr:uid="{00000000-0005-0000-0000-0000573D0000}"/>
    <cellStyle name="Normal 4 7 2 2" xfId="882" xr:uid="{00000000-0005-0000-0000-0000583D0000}"/>
    <cellStyle name="Normal 4 7 2 2 2" xfId="881" xr:uid="{00000000-0005-0000-0000-0000593D0000}"/>
    <cellStyle name="Normal 4 7 2 2 3" xfId="880" xr:uid="{00000000-0005-0000-0000-00005A3D0000}"/>
    <cellStyle name="Normal 4 7 2 3" xfId="879" xr:uid="{00000000-0005-0000-0000-00005B3D0000}"/>
    <cellStyle name="Normal 4 7 2 4" xfId="878" xr:uid="{00000000-0005-0000-0000-00005C3D0000}"/>
    <cellStyle name="Normal 4 7 3" xfId="877" xr:uid="{00000000-0005-0000-0000-00005D3D0000}"/>
    <cellStyle name="Normal 4 7 3 2" xfId="876" xr:uid="{00000000-0005-0000-0000-00005E3D0000}"/>
    <cellStyle name="Normal 4 7 3 3" xfId="875" xr:uid="{00000000-0005-0000-0000-00005F3D0000}"/>
    <cellStyle name="Normal 4 7 4" xfId="874" xr:uid="{00000000-0005-0000-0000-0000603D0000}"/>
    <cellStyle name="Normal 4 7 4 2" xfId="873" xr:uid="{00000000-0005-0000-0000-0000613D0000}"/>
    <cellStyle name="Normal 4 7 4 3" xfId="872" xr:uid="{00000000-0005-0000-0000-0000623D0000}"/>
    <cellStyle name="Normal 4 7 5" xfId="871" xr:uid="{00000000-0005-0000-0000-0000633D0000}"/>
    <cellStyle name="Normal 4 7 6" xfId="870" xr:uid="{00000000-0005-0000-0000-0000643D0000}"/>
    <cellStyle name="Normal 4 8" xfId="16587" xr:uid="{00000000-0005-0000-0000-0000653D0000}"/>
    <cellStyle name="Normal 4 8 2" xfId="16588" xr:uid="{00000000-0005-0000-0000-0000663D0000}"/>
    <cellStyle name="Normal 4 9" xfId="16589" xr:uid="{00000000-0005-0000-0000-0000673D0000}"/>
    <cellStyle name="Normal 4 9 2" xfId="16590" xr:uid="{00000000-0005-0000-0000-0000683D0000}"/>
    <cellStyle name="Normal 4_3.05 Allocation Method 2010 GTR WF" xfId="869" xr:uid="{00000000-0005-0000-0000-0000693D0000}"/>
    <cellStyle name="Normal 40" xfId="868" xr:uid="{00000000-0005-0000-0000-00006A3D0000}"/>
    <cellStyle name="Normal 40 2" xfId="867" xr:uid="{00000000-0005-0000-0000-00006B3D0000}"/>
    <cellStyle name="Normal 40 2 2" xfId="866" xr:uid="{00000000-0005-0000-0000-00006C3D0000}"/>
    <cellStyle name="Normal 40 2 2 2" xfId="865" xr:uid="{00000000-0005-0000-0000-00006D3D0000}"/>
    <cellStyle name="Normal 40 2 2 3" xfId="864" xr:uid="{00000000-0005-0000-0000-00006E3D0000}"/>
    <cellStyle name="Normal 40 2 3" xfId="863" xr:uid="{00000000-0005-0000-0000-00006F3D0000}"/>
    <cellStyle name="Normal 40 2 4" xfId="862" xr:uid="{00000000-0005-0000-0000-0000703D0000}"/>
    <cellStyle name="Normal 40 3" xfId="861" xr:uid="{00000000-0005-0000-0000-0000713D0000}"/>
    <cellStyle name="Normal 40 3 2" xfId="860" xr:uid="{00000000-0005-0000-0000-0000723D0000}"/>
    <cellStyle name="Normal 40 3 3" xfId="859" xr:uid="{00000000-0005-0000-0000-0000733D0000}"/>
    <cellStyle name="Normal 40 4" xfId="858" xr:uid="{00000000-0005-0000-0000-0000743D0000}"/>
    <cellStyle name="Normal 40 4 2" xfId="857" xr:uid="{00000000-0005-0000-0000-0000753D0000}"/>
    <cellStyle name="Normal 40 4 3" xfId="856" xr:uid="{00000000-0005-0000-0000-0000763D0000}"/>
    <cellStyle name="Normal 40 5" xfId="855" xr:uid="{00000000-0005-0000-0000-0000773D0000}"/>
    <cellStyle name="Normal 40 6" xfId="854" xr:uid="{00000000-0005-0000-0000-0000783D0000}"/>
    <cellStyle name="Normal 41" xfId="853" xr:uid="{00000000-0005-0000-0000-0000793D0000}"/>
    <cellStyle name="Normal 41 2" xfId="16591" xr:uid="{00000000-0005-0000-0000-00007A3D0000}"/>
    <cellStyle name="Normal 41 2 2" xfId="16592" xr:uid="{00000000-0005-0000-0000-00007B3D0000}"/>
    <cellStyle name="Normal 41 2 3" xfId="16593" xr:uid="{00000000-0005-0000-0000-00007C3D0000}"/>
    <cellStyle name="Normal 41 3" xfId="16594" xr:uid="{00000000-0005-0000-0000-00007D3D0000}"/>
    <cellStyle name="Normal 42" xfId="852" xr:uid="{00000000-0005-0000-0000-00007E3D0000}"/>
    <cellStyle name="Normal 42 10" xfId="16595" xr:uid="{00000000-0005-0000-0000-00007F3D0000}"/>
    <cellStyle name="Normal 42 11" xfId="16596" xr:uid="{00000000-0005-0000-0000-0000803D0000}"/>
    <cellStyle name="Normal 42 2" xfId="851" xr:uid="{00000000-0005-0000-0000-0000813D0000}"/>
    <cellStyle name="Normal 42 2 2" xfId="850" xr:uid="{00000000-0005-0000-0000-0000823D0000}"/>
    <cellStyle name="Normal 42 2 2 2" xfId="849" xr:uid="{00000000-0005-0000-0000-0000833D0000}"/>
    <cellStyle name="Normal 42 2 2 2 2" xfId="16597" xr:uid="{00000000-0005-0000-0000-0000843D0000}"/>
    <cellStyle name="Normal 42 2 2 3" xfId="848" xr:uid="{00000000-0005-0000-0000-0000853D0000}"/>
    <cellStyle name="Normal 42 2 2 3 2" xfId="16598" xr:uid="{00000000-0005-0000-0000-0000863D0000}"/>
    <cellStyle name="Normal 42 2 2 4" xfId="16599" xr:uid="{00000000-0005-0000-0000-0000873D0000}"/>
    <cellStyle name="Normal 42 2 2 5" xfId="16600" xr:uid="{00000000-0005-0000-0000-0000883D0000}"/>
    <cellStyle name="Normal 42 2 3" xfId="847" xr:uid="{00000000-0005-0000-0000-0000893D0000}"/>
    <cellStyle name="Normal 42 2 3 2" xfId="16601" xr:uid="{00000000-0005-0000-0000-00008A3D0000}"/>
    <cellStyle name="Normal 42 2 3 2 2" xfId="16602" xr:uid="{00000000-0005-0000-0000-00008B3D0000}"/>
    <cellStyle name="Normal 42 2 3 3" xfId="16603" xr:uid="{00000000-0005-0000-0000-00008C3D0000}"/>
    <cellStyle name="Normal 42 2 4" xfId="846" xr:uid="{00000000-0005-0000-0000-00008D3D0000}"/>
    <cellStyle name="Normal 42 2 4 2" xfId="16604" xr:uid="{00000000-0005-0000-0000-00008E3D0000}"/>
    <cellStyle name="Normal 42 2 5" xfId="16605" xr:uid="{00000000-0005-0000-0000-00008F3D0000}"/>
    <cellStyle name="Normal 42 2 5 2" xfId="16606" xr:uid="{00000000-0005-0000-0000-0000903D0000}"/>
    <cellStyle name="Normal 42 2 6" xfId="16607" xr:uid="{00000000-0005-0000-0000-0000913D0000}"/>
    <cellStyle name="Normal 42 3" xfId="845" xr:uid="{00000000-0005-0000-0000-0000923D0000}"/>
    <cellStyle name="Normal 42 3 2" xfId="844" xr:uid="{00000000-0005-0000-0000-0000933D0000}"/>
    <cellStyle name="Normal 42 3 2 2" xfId="16608" xr:uid="{00000000-0005-0000-0000-0000943D0000}"/>
    <cellStyle name="Normal 42 3 2 2 2" xfId="16609" xr:uid="{00000000-0005-0000-0000-0000953D0000}"/>
    <cellStyle name="Normal 42 3 2 3" xfId="16610" xr:uid="{00000000-0005-0000-0000-0000963D0000}"/>
    <cellStyle name="Normal 42 3 2 3 2" xfId="16611" xr:uid="{00000000-0005-0000-0000-0000973D0000}"/>
    <cellStyle name="Normal 42 3 2 4" xfId="16612" xr:uid="{00000000-0005-0000-0000-0000983D0000}"/>
    <cellStyle name="Normal 42 3 2 5" xfId="16613" xr:uid="{00000000-0005-0000-0000-0000993D0000}"/>
    <cellStyle name="Normal 42 3 3" xfId="843" xr:uid="{00000000-0005-0000-0000-00009A3D0000}"/>
    <cellStyle name="Normal 42 3 3 2" xfId="16614" xr:uid="{00000000-0005-0000-0000-00009B3D0000}"/>
    <cellStyle name="Normal 42 3 3 2 2" xfId="16615" xr:uid="{00000000-0005-0000-0000-00009C3D0000}"/>
    <cellStyle name="Normal 42 3 3 3" xfId="16616" xr:uid="{00000000-0005-0000-0000-00009D3D0000}"/>
    <cellStyle name="Normal 42 3 4" xfId="16617" xr:uid="{00000000-0005-0000-0000-00009E3D0000}"/>
    <cellStyle name="Normal 42 3 4 2" xfId="16618" xr:uid="{00000000-0005-0000-0000-00009F3D0000}"/>
    <cellStyle name="Normal 42 3 5" xfId="16619" xr:uid="{00000000-0005-0000-0000-0000A03D0000}"/>
    <cellStyle name="Normal 42 3 5 2" xfId="16620" xr:uid="{00000000-0005-0000-0000-0000A13D0000}"/>
    <cellStyle name="Normal 42 3 6" xfId="16621" xr:uid="{00000000-0005-0000-0000-0000A23D0000}"/>
    <cellStyle name="Normal 42 4" xfId="842" xr:uid="{00000000-0005-0000-0000-0000A33D0000}"/>
    <cellStyle name="Normal 42 4 2" xfId="841" xr:uid="{00000000-0005-0000-0000-0000A43D0000}"/>
    <cellStyle name="Normal 42 4 2 2" xfId="16622" xr:uid="{00000000-0005-0000-0000-0000A53D0000}"/>
    <cellStyle name="Normal 42 4 2 2 2" xfId="16623" xr:uid="{00000000-0005-0000-0000-0000A63D0000}"/>
    <cellStyle name="Normal 42 4 2 3" xfId="16624" xr:uid="{00000000-0005-0000-0000-0000A73D0000}"/>
    <cellStyle name="Normal 42 4 3" xfId="840" xr:uid="{00000000-0005-0000-0000-0000A83D0000}"/>
    <cellStyle name="Normal 42 4 3 2" xfId="16625" xr:uid="{00000000-0005-0000-0000-0000A93D0000}"/>
    <cellStyle name="Normal 42 4 4" xfId="16626" xr:uid="{00000000-0005-0000-0000-0000AA3D0000}"/>
    <cellStyle name="Normal 42 4 4 2" xfId="16627" xr:uid="{00000000-0005-0000-0000-0000AB3D0000}"/>
    <cellStyle name="Normal 42 4 5" xfId="16628" xr:uid="{00000000-0005-0000-0000-0000AC3D0000}"/>
    <cellStyle name="Normal 42 5" xfId="839" xr:uid="{00000000-0005-0000-0000-0000AD3D0000}"/>
    <cellStyle name="Normal 42 5 2" xfId="16629" xr:uid="{00000000-0005-0000-0000-0000AE3D0000}"/>
    <cellStyle name="Normal 42 5 2 2" xfId="16630" xr:uid="{00000000-0005-0000-0000-0000AF3D0000}"/>
    <cellStyle name="Normal 42 5 3" xfId="16631" xr:uid="{00000000-0005-0000-0000-0000B03D0000}"/>
    <cellStyle name="Normal 42 5 3 2" xfId="16632" xr:uid="{00000000-0005-0000-0000-0000B13D0000}"/>
    <cellStyle name="Normal 42 5 4" xfId="16633" xr:uid="{00000000-0005-0000-0000-0000B23D0000}"/>
    <cellStyle name="Normal 42 6" xfId="838" xr:uid="{00000000-0005-0000-0000-0000B33D0000}"/>
    <cellStyle name="Normal 42 6 2" xfId="16634" xr:uid="{00000000-0005-0000-0000-0000B43D0000}"/>
    <cellStyle name="Normal 42 6 2 2" xfId="16635" xr:uid="{00000000-0005-0000-0000-0000B53D0000}"/>
    <cellStyle name="Normal 42 6 3" xfId="16636" xr:uid="{00000000-0005-0000-0000-0000B63D0000}"/>
    <cellStyle name="Normal 42 7" xfId="16637" xr:uid="{00000000-0005-0000-0000-0000B73D0000}"/>
    <cellStyle name="Normal 42 7 2" xfId="16638" xr:uid="{00000000-0005-0000-0000-0000B83D0000}"/>
    <cellStyle name="Normal 42 7 3" xfId="16639" xr:uid="{00000000-0005-0000-0000-0000B93D0000}"/>
    <cellStyle name="Normal 42 8" xfId="16640" xr:uid="{00000000-0005-0000-0000-0000BA3D0000}"/>
    <cellStyle name="Normal 42 8 2" xfId="16641" xr:uid="{00000000-0005-0000-0000-0000BB3D0000}"/>
    <cellStyle name="Normal 42 9" xfId="16642" xr:uid="{00000000-0005-0000-0000-0000BC3D0000}"/>
    <cellStyle name="Normal 43" xfId="837" xr:uid="{00000000-0005-0000-0000-0000BD3D0000}"/>
    <cellStyle name="Normal 43 2" xfId="836" xr:uid="{00000000-0005-0000-0000-0000BE3D0000}"/>
    <cellStyle name="Normal 43 3" xfId="16643" xr:uid="{00000000-0005-0000-0000-0000BF3D0000}"/>
    <cellStyle name="Normal 43 4" xfId="16644" xr:uid="{00000000-0005-0000-0000-0000C03D0000}"/>
    <cellStyle name="Normal 43 5" xfId="16645" xr:uid="{00000000-0005-0000-0000-0000C13D0000}"/>
    <cellStyle name="Normal 44" xfId="835" xr:uid="{00000000-0005-0000-0000-0000C23D0000}"/>
    <cellStyle name="Normal 44 10" xfId="16646" xr:uid="{00000000-0005-0000-0000-0000C33D0000}"/>
    <cellStyle name="Normal 44 11" xfId="16647" xr:uid="{00000000-0005-0000-0000-0000C43D0000}"/>
    <cellStyle name="Normal 44 2" xfId="834" xr:uid="{00000000-0005-0000-0000-0000C53D0000}"/>
    <cellStyle name="Normal 44 2 2" xfId="833" xr:uid="{00000000-0005-0000-0000-0000C63D0000}"/>
    <cellStyle name="Normal 44 2 2 2" xfId="832" xr:uid="{00000000-0005-0000-0000-0000C73D0000}"/>
    <cellStyle name="Normal 44 2 2 2 2" xfId="16648" xr:uid="{00000000-0005-0000-0000-0000C83D0000}"/>
    <cellStyle name="Normal 44 2 2 3" xfId="831" xr:uid="{00000000-0005-0000-0000-0000C93D0000}"/>
    <cellStyle name="Normal 44 2 2 3 2" xfId="16649" xr:uid="{00000000-0005-0000-0000-0000CA3D0000}"/>
    <cellStyle name="Normal 44 2 2 4" xfId="16650" xr:uid="{00000000-0005-0000-0000-0000CB3D0000}"/>
    <cellStyle name="Normal 44 2 2 5" xfId="16651" xr:uid="{00000000-0005-0000-0000-0000CC3D0000}"/>
    <cellStyle name="Normal 44 2 3" xfId="830" xr:uid="{00000000-0005-0000-0000-0000CD3D0000}"/>
    <cellStyle name="Normal 44 2 3 2" xfId="16652" xr:uid="{00000000-0005-0000-0000-0000CE3D0000}"/>
    <cellStyle name="Normal 44 2 3 2 2" xfId="16653" xr:uid="{00000000-0005-0000-0000-0000CF3D0000}"/>
    <cellStyle name="Normal 44 2 3 3" xfId="16654" xr:uid="{00000000-0005-0000-0000-0000D03D0000}"/>
    <cellStyle name="Normal 44 2 4" xfId="829" xr:uid="{00000000-0005-0000-0000-0000D13D0000}"/>
    <cellStyle name="Normal 44 2 4 2" xfId="16655" xr:uid="{00000000-0005-0000-0000-0000D23D0000}"/>
    <cellStyle name="Normal 44 2 5" xfId="16656" xr:uid="{00000000-0005-0000-0000-0000D33D0000}"/>
    <cellStyle name="Normal 44 2 5 2" xfId="16657" xr:uid="{00000000-0005-0000-0000-0000D43D0000}"/>
    <cellStyle name="Normal 44 2 6" xfId="16658" xr:uid="{00000000-0005-0000-0000-0000D53D0000}"/>
    <cellStyle name="Normal 44 3" xfId="828" xr:uid="{00000000-0005-0000-0000-0000D63D0000}"/>
    <cellStyle name="Normal 44 3 2" xfId="827" xr:uid="{00000000-0005-0000-0000-0000D73D0000}"/>
    <cellStyle name="Normal 44 3 2 2" xfId="16659" xr:uid="{00000000-0005-0000-0000-0000D83D0000}"/>
    <cellStyle name="Normal 44 3 2 2 2" xfId="16660" xr:uid="{00000000-0005-0000-0000-0000D93D0000}"/>
    <cellStyle name="Normal 44 3 2 3" xfId="16661" xr:uid="{00000000-0005-0000-0000-0000DA3D0000}"/>
    <cellStyle name="Normal 44 3 2 3 2" xfId="16662" xr:uid="{00000000-0005-0000-0000-0000DB3D0000}"/>
    <cellStyle name="Normal 44 3 2 4" xfId="16663" xr:uid="{00000000-0005-0000-0000-0000DC3D0000}"/>
    <cellStyle name="Normal 44 3 2 5" xfId="16664" xr:uid="{00000000-0005-0000-0000-0000DD3D0000}"/>
    <cellStyle name="Normal 44 3 3" xfId="826" xr:uid="{00000000-0005-0000-0000-0000DE3D0000}"/>
    <cellStyle name="Normal 44 3 3 2" xfId="16665" xr:uid="{00000000-0005-0000-0000-0000DF3D0000}"/>
    <cellStyle name="Normal 44 3 3 2 2" xfId="16666" xr:uid="{00000000-0005-0000-0000-0000E03D0000}"/>
    <cellStyle name="Normal 44 3 3 3" xfId="16667" xr:uid="{00000000-0005-0000-0000-0000E13D0000}"/>
    <cellStyle name="Normal 44 3 4" xfId="16668" xr:uid="{00000000-0005-0000-0000-0000E23D0000}"/>
    <cellStyle name="Normal 44 3 4 2" xfId="16669" xr:uid="{00000000-0005-0000-0000-0000E33D0000}"/>
    <cellStyle name="Normal 44 3 5" xfId="16670" xr:uid="{00000000-0005-0000-0000-0000E43D0000}"/>
    <cellStyle name="Normal 44 3 5 2" xfId="16671" xr:uid="{00000000-0005-0000-0000-0000E53D0000}"/>
    <cellStyle name="Normal 44 3 6" xfId="16672" xr:uid="{00000000-0005-0000-0000-0000E63D0000}"/>
    <cellStyle name="Normal 44 4" xfId="825" xr:uid="{00000000-0005-0000-0000-0000E73D0000}"/>
    <cellStyle name="Normal 44 4 2" xfId="824" xr:uid="{00000000-0005-0000-0000-0000E83D0000}"/>
    <cellStyle name="Normal 44 4 2 2" xfId="16673" xr:uid="{00000000-0005-0000-0000-0000E93D0000}"/>
    <cellStyle name="Normal 44 4 2 2 2" xfId="16674" xr:uid="{00000000-0005-0000-0000-0000EA3D0000}"/>
    <cellStyle name="Normal 44 4 2 3" xfId="16675" xr:uid="{00000000-0005-0000-0000-0000EB3D0000}"/>
    <cellStyle name="Normal 44 4 3" xfId="823" xr:uid="{00000000-0005-0000-0000-0000EC3D0000}"/>
    <cellStyle name="Normal 44 4 3 2" xfId="16676" xr:uid="{00000000-0005-0000-0000-0000ED3D0000}"/>
    <cellStyle name="Normal 44 4 4" xfId="16677" xr:uid="{00000000-0005-0000-0000-0000EE3D0000}"/>
    <cellStyle name="Normal 44 4 4 2" xfId="16678" xr:uid="{00000000-0005-0000-0000-0000EF3D0000}"/>
    <cellStyle name="Normal 44 4 5" xfId="16679" xr:uid="{00000000-0005-0000-0000-0000F03D0000}"/>
    <cellStyle name="Normal 44 5" xfId="822" xr:uid="{00000000-0005-0000-0000-0000F13D0000}"/>
    <cellStyle name="Normal 44 5 2" xfId="16680" xr:uid="{00000000-0005-0000-0000-0000F23D0000}"/>
    <cellStyle name="Normal 44 5 2 2" xfId="16681" xr:uid="{00000000-0005-0000-0000-0000F33D0000}"/>
    <cellStyle name="Normal 44 5 3" xfId="16682" xr:uid="{00000000-0005-0000-0000-0000F43D0000}"/>
    <cellStyle name="Normal 44 5 3 2" xfId="16683" xr:uid="{00000000-0005-0000-0000-0000F53D0000}"/>
    <cellStyle name="Normal 44 5 4" xfId="16684" xr:uid="{00000000-0005-0000-0000-0000F63D0000}"/>
    <cellStyle name="Normal 44 6" xfId="821" xr:uid="{00000000-0005-0000-0000-0000F73D0000}"/>
    <cellStyle name="Normal 44 6 2" xfId="16685" xr:uid="{00000000-0005-0000-0000-0000F83D0000}"/>
    <cellStyle name="Normal 44 6 2 2" xfId="16686" xr:uid="{00000000-0005-0000-0000-0000F93D0000}"/>
    <cellStyle name="Normal 44 6 3" xfId="16687" xr:uid="{00000000-0005-0000-0000-0000FA3D0000}"/>
    <cellStyle name="Normal 44 7" xfId="16688" xr:uid="{00000000-0005-0000-0000-0000FB3D0000}"/>
    <cellStyle name="Normal 44 7 2" xfId="16689" xr:uid="{00000000-0005-0000-0000-0000FC3D0000}"/>
    <cellStyle name="Normal 44 7 3" xfId="16690" xr:uid="{00000000-0005-0000-0000-0000FD3D0000}"/>
    <cellStyle name="Normal 44 8" xfId="16691" xr:uid="{00000000-0005-0000-0000-0000FE3D0000}"/>
    <cellStyle name="Normal 44 8 2" xfId="16692" xr:uid="{00000000-0005-0000-0000-0000FF3D0000}"/>
    <cellStyle name="Normal 44 9" xfId="16693" xr:uid="{00000000-0005-0000-0000-0000003E0000}"/>
    <cellStyle name="Normal 45" xfId="820" xr:uid="{00000000-0005-0000-0000-0000013E0000}"/>
    <cellStyle name="Normal 45 10" xfId="16694" xr:uid="{00000000-0005-0000-0000-0000023E0000}"/>
    <cellStyle name="Normal 45 11" xfId="16695" xr:uid="{00000000-0005-0000-0000-0000033E0000}"/>
    <cellStyle name="Normal 45 2" xfId="819" xr:uid="{00000000-0005-0000-0000-0000043E0000}"/>
    <cellStyle name="Normal 45 2 2" xfId="16696" xr:uid="{00000000-0005-0000-0000-0000053E0000}"/>
    <cellStyle name="Normal 45 2 2 2" xfId="16697" xr:uid="{00000000-0005-0000-0000-0000063E0000}"/>
    <cellStyle name="Normal 45 2 2 2 2" xfId="16698" xr:uid="{00000000-0005-0000-0000-0000073E0000}"/>
    <cellStyle name="Normal 45 2 2 3" xfId="16699" xr:uid="{00000000-0005-0000-0000-0000083E0000}"/>
    <cellStyle name="Normal 45 2 2 3 2" xfId="16700" xr:uid="{00000000-0005-0000-0000-0000093E0000}"/>
    <cellStyle name="Normal 45 2 2 4" xfId="16701" xr:uid="{00000000-0005-0000-0000-00000A3E0000}"/>
    <cellStyle name="Normal 45 2 2 4 2" xfId="16702" xr:uid="{00000000-0005-0000-0000-00000B3E0000}"/>
    <cellStyle name="Normal 45 2 2 5" xfId="16703" xr:uid="{00000000-0005-0000-0000-00000C3E0000}"/>
    <cellStyle name="Normal 45 2 3" xfId="16704" xr:uid="{00000000-0005-0000-0000-00000D3E0000}"/>
    <cellStyle name="Normal 45 2 3 2" xfId="16705" xr:uid="{00000000-0005-0000-0000-00000E3E0000}"/>
    <cellStyle name="Normal 45 2 3 2 2" xfId="16706" xr:uid="{00000000-0005-0000-0000-00000F3E0000}"/>
    <cellStyle name="Normal 45 2 3 3" xfId="16707" xr:uid="{00000000-0005-0000-0000-0000103E0000}"/>
    <cellStyle name="Normal 45 2 4" xfId="16708" xr:uid="{00000000-0005-0000-0000-0000113E0000}"/>
    <cellStyle name="Normal 45 2 4 2" xfId="16709" xr:uid="{00000000-0005-0000-0000-0000123E0000}"/>
    <cellStyle name="Normal 45 2 5" xfId="16710" xr:uid="{00000000-0005-0000-0000-0000133E0000}"/>
    <cellStyle name="Normal 45 2 5 2" xfId="16711" xr:uid="{00000000-0005-0000-0000-0000143E0000}"/>
    <cellStyle name="Normal 45 2 6" xfId="16712" xr:uid="{00000000-0005-0000-0000-0000153E0000}"/>
    <cellStyle name="Normal 45 3" xfId="16713" xr:uid="{00000000-0005-0000-0000-0000163E0000}"/>
    <cellStyle name="Normal 45 3 2" xfId="16714" xr:uid="{00000000-0005-0000-0000-0000173E0000}"/>
    <cellStyle name="Normal 45 3 2 2" xfId="16715" xr:uid="{00000000-0005-0000-0000-0000183E0000}"/>
    <cellStyle name="Normal 45 3 2 2 2" xfId="16716" xr:uid="{00000000-0005-0000-0000-0000193E0000}"/>
    <cellStyle name="Normal 45 3 2 3" xfId="16717" xr:uid="{00000000-0005-0000-0000-00001A3E0000}"/>
    <cellStyle name="Normal 45 3 2 3 2" xfId="16718" xr:uid="{00000000-0005-0000-0000-00001B3E0000}"/>
    <cellStyle name="Normal 45 3 2 4" xfId="16719" xr:uid="{00000000-0005-0000-0000-00001C3E0000}"/>
    <cellStyle name="Normal 45 3 2 5" xfId="16720" xr:uid="{00000000-0005-0000-0000-00001D3E0000}"/>
    <cellStyle name="Normal 45 3 3" xfId="16721" xr:uid="{00000000-0005-0000-0000-00001E3E0000}"/>
    <cellStyle name="Normal 45 3 3 2" xfId="16722" xr:uid="{00000000-0005-0000-0000-00001F3E0000}"/>
    <cellStyle name="Normal 45 3 3 2 2" xfId="16723" xr:uid="{00000000-0005-0000-0000-0000203E0000}"/>
    <cellStyle name="Normal 45 3 3 3" xfId="16724" xr:uid="{00000000-0005-0000-0000-0000213E0000}"/>
    <cellStyle name="Normal 45 3 4" xfId="16725" xr:uid="{00000000-0005-0000-0000-0000223E0000}"/>
    <cellStyle name="Normal 45 3 4 2" xfId="16726" xr:uid="{00000000-0005-0000-0000-0000233E0000}"/>
    <cellStyle name="Normal 45 3 5" xfId="16727" xr:uid="{00000000-0005-0000-0000-0000243E0000}"/>
    <cellStyle name="Normal 45 3 5 2" xfId="16728" xr:uid="{00000000-0005-0000-0000-0000253E0000}"/>
    <cellStyle name="Normal 45 3 6" xfId="16729" xr:uid="{00000000-0005-0000-0000-0000263E0000}"/>
    <cellStyle name="Normal 45 3 6 2" xfId="16730" xr:uid="{00000000-0005-0000-0000-0000273E0000}"/>
    <cellStyle name="Normal 45 4" xfId="16731" xr:uid="{00000000-0005-0000-0000-0000283E0000}"/>
    <cellStyle name="Normal 45 4 2" xfId="16732" xr:uid="{00000000-0005-0000-0000-0000293E0000}"/>
    <cellStyle name="Normal 45 4 2 2" xfId="16733" xr:uid="{00000000-0005-0000-0000-00002A3E0000}"/>
    <cellStyle name="Normal 45 4 2 2 2" xfId="16734" xr:uid="{00000000-0005-0000-0000-00002B3E0000}"/>
    <cellStyle name="Normal 45 4 2 3" xfId="16735" xr:uid="{00000000-0005-0000-0000-00002C3E0000}"/>
    <cellStyle name="Normal 45 4 2 3 2" xfId="16736" xr:uid="{00000000-0005-0000-0000-00002D3E0000}"/>
    <cellStyle name="Normal 45 4 2 4" xfId="16737" xr:uid="{00000000-0005-0000-0000-00002E3E0000}"/>
    <cellStyle name="Normal 45 4 2 5" xfId="16738" xr:uid="{00000000-0005-0000-0000-00002F3E0000}"/>
    <cellStyle name="Normal 45 4 3" xfId="16739" xr:uid="{00000000-0005-0000-0000-0000303E0000}"/>
    <cellStyle name="Normal 45 4 3 2" xfId="16740" xr:uid="{00000000-0005-0000-0000-0000313E0000}"/>
    <cellStyle name="Normal 45 4 3 2 2" xfId="16741" xr:uid="{00000000-0005-0000-0000-0000323E0000}"/>
    <cellStyle name="Normal 45 4 3 3" xfId="16742" xr:uid="{00000000-0005-0000-0000-0000333E0000}"/>
    <cellStyle name="Normal 45 4 4" xfId="16743" xr:uid="{00000000-0005-0000-0000-0000343E0000}"/>
    <cellStyle name="Normal 45 4 4 2" xfId="16744" xr:uid="{00000000-0005-0000-0000-0000353E0000}"/>
    <cellStyle name="Normal 45 4 5" xfId="16745" xr:uid="{00000000-0005-0000-0000-0000363E0000}"/>
    <cellStyle name="Normal 45 4 5 2" xfId="16746" xr:uid="{00000000-0005-0000-0000-0000373E0000}"/>
    <cellStyle name="Normal 45 4 6" xfId="16747" xr:uid="{00000000-0005-0000-0000-0000383E0000}"/>
    <cellStyle name="Normal 45 5" xfId="16748" xr:uid="{00000000-0005-0000-0000-0000393E0000}"/>
    <cellStyle name="Normal 45 5 2" xfId="16749" xr:uid="{00000000-0005-0000-0000-00003A3E0000}"/>
    <cellStyle name="Normal 45 5 2 2" xfId="16750" xr:uid="{00000000-0005-0000-0000-00003B3E0000}"/>
    <cellStyle name="Normal 45 5 3" xfId="16751" xr:uid="{00000000-0005-0000-0000-00003C3E0000}"/>
    <cellStyle name="Normal 45 5 3 2" xfId="16752" xr:uid="{00000000-0005-0000-0000-00003D3E0000}"/>
    <cellStyle name="Normal 45 5 4" xfId="16753" xr:uid="{00000000-0005-0000-0000-00003E3E0000}"/>
    <cellStyle name="Normal 45 6" xfId="16754" xr:uid="{00000000-0005-0000-0000-00003F3E0000}"/>
    <cellStyle name="Normal 45 6 2" xfId="16755" xr:uid="{00000000-0005-0000-0000-0000403E0000}"/>
    <cellStyle name="Normal 45 6 3" xfId="16756" xr:uid="{00000000-0005-0000-0000-0000413E0000}"/>
    <cellStyle name="Normal 45 7" xfId="16757" xr:uid="{00000000-0005-0000-0000-0000423E0000}"/>
    <cellStyle name="Normal 45 7 2" xfId="16758" xr:uid="{00000000-0005-0000-0000-0000433E0000}"/>
    <cellStyle name="Normal 45 7 3" xfId="16759" xr:uid="{00000000-0005-0000-0000-0000443E0000}"/>
    <cellStyle name="Normal 45 7 4" xfId="16760" xr:uid="{00000000-0005-0000-0000-0000453E0000}"/>
    <cellStyle name="Normal 45 8" xfId="16761" xr:uid="{00000000-0005-0000-0000-0000463E0000}"/>
    <cellStyle name="Normal 45 8 2" xfId="16762" xr:uid="{00000000-0005-0000-0000-0000473E0000}"/>
    <cellStyle name="Normal 45 8 3" xfId="16763" xr:uid="{00000000-0005-0000-0000-0000483E0000}"/>
    <cellStyle name="Normal 45 9" xfId="16764" xr:uid="{00000000-0005-0000-0000-0000493E0000}"/>
    <cellStyle name="Normal 46" xfId="818" xr:uid="{00000000-0005-0000-0000-00004A3E0000}"/>
    <cellStyle name="Normal 46 10" xfId="16765" xr:uid="{00000000-0005-0000-0000-00004B3E0000}"/>
    <cellStyle name="Normal 46 11" xfId="16766" xr:uid="{00000000-0005-0000-0000-00004C3E0000}"/>
    <cellStyle name="Normal 46 2" xfId="817" xr:uid="{00000000-0005-0000-0000-00004D3E0000}"/>
    <cellStyle name="Normal 46 2 2" xfId="816" xr:uid="{00000000-0005-0000-0000-00004E3E0000}"/>
    <cellStyle name="Normal 46 2 2 2" xfId="815" xr:uid="{00000000-0005-0000-0000-00004F3E0000}"/>
    <cellStyle name="Normal 46 2 2 2 2" xfId="16767" xr:uid="{00000000-0005-0000-0000-0000503E0000}"/>
    <cellStyle name="Normal 46 2 2 3" xfId="814" xr:uid="{00000000-0005-0000-0000-0000513E0000}"/>
    <cellStyle name="Normal 46 2 2 3 2" xfId="16768" xr:uid="{00000000-0005-0000-0000-0000523E0000}"/>
    <cellStyle name="Normal 46 2 2 4" xfId="16769" xr:uid="{00000000-0005-0000-0000-0000533E0000}"/>
    <cellStyle name="Normal 46 2 2 4 2" xfId="16770" xr:uid="{00000000-0005-0000-0000-0000543E0000}"/>
    <cellStyle name="Normal 46 2 2 5" xfId="16771" xr:uid="{00000000-0005-0000-0000-0000553E0000}"/>
    <cellStyle name="Normal 46 2 3" xfId="813" xr:uid="{00000000-0005-0000-0000-0000563E0000}"/>
    <cellStyle name="Normal 46 2 3 2" xfId="16772" xr:uid="{00000000-0005-0000-0000-0000573E0000}"/>
    <cellStyle name="Normal 46 2 3 2 2" xfId="16773" xr:uid="{00000000-0005-0000-0000-0000583E0000}"/>
    <cellStyle name="Normal 46 2 3 3" xfId="16774" xr:uid="{00000000-0005-0000-0000-0000593E0000}"/>
    <cellStyle name="Normal 46 2 4" xfId="812" xr:uid="{00000000-0005-0000-0000-00005A3E0000}"/>
    <cellStyle name="Normal 46 2 4 2" xfId="16775" xr:uid="{00000000-0005-0000-0000-00005B3E0000}"/>
    <cellStyle name="Normal 46 2 5" xfId="16776" xr:uid="{00000000-0005-0000-0000-00005C3E0000}"/>
    <cellStyle name="Normal 46 2 5 2" xfId="16777" xr:uid="{00000000-0005-0000-0000-00005D3E0000}"/>
    <cellStyle name="Normal 46 2 6" xfId="16778" xr:uid="{00000000-0005-0000-0000-00005E3E0000}"/>
    <cellStyle name="Normal 46 3" xfId="811" xr:uid="{00000000-0005-0000-0000-00005F3E0000}"/>
    <cellStyle name="Normal 46 3 2" xfId="810" xr:uid="{00000000-0005-0000-0000-0000603E0000}"/>
    <cellStyle name="Normal 46 3 2 2" xfId="16779" xr:uid="{00000000-0005-0000-0000-0000613E0000}"/>
    <cellStyle name="Normal 46 3 2 2 2" xfId="16780" xr:uid="{00000000-0005-0000-0000-0000623E0000}"/>
    <cellStyle name="Normal 46 3 2 3" xfId="16781" xr:uid="{00000000-0005-0000-0000-0000633E0000}"/>
    <cellStyle name="Normal 46 3 2 3 2" xfId="16782" xr:uid="{00000000-0005-0000-0000-0000643E0000}"/>
    <cellStyle name="Normal 46 3 2 4" xfId="16783" xr:uid="{00000000-0005-0000-0000-0000653E0000}"/>
    <cellStyle name="Normal 46 3 2 5" xfId="16784" xr:uid="{00000000-0005-0000-0000-0000663E0000}"/>
    <cellStyle name="Normal 46 3 3" xfId="809" xr:uid="{00000000-0005-0000-0000-0000673E0000}"/>
    <cellStyle name="Normal 46 3 3 2" xfId="16785" xr:uid="{00000000-0005-0000-0000-0000683E0000}"/>
    <cellStyle name="Normal 46 3 3 2 2" xfId="16786" xr:uid="{00000000-0005-0000-0000-0000693E0000}"/>
    <cellStyle name="Normal 46 3 3 3" xfId="16787" xr:uid="{00000000-0005-0000-0000-00006A3E0000}"/>
    <cellStyle name="Normal 46 3 4" xfId="16788" xr:uid="{00000000-0005-0000-0000-00006B3E0000}"/>
    <cellStyle name="Normal 46 3 4 2" xfId="16789" xr:uid="{00000000-0005-0000-0000-00006C3E0000}"/>
    <cellStyle name="Normal 46 3 5" xfId="16790" xr:uid="{00000000-0005-0000-0000-00006D3E0000}"/>
    <cellStyle name="Normal 46 3 5 2" xfId="16791" xr:uid="{00000000-0005-0000-0000-00006E3E0000}"/>
    <cellStyle name="Normal 46 3 6" xfId="16792" xr:uid="{00000000-0005-0000-0000-00006F3E0000}"/>
    <cellStyle name="Normal 46 3 6 2" xfId="16793" xr:uid="{00000000-0005-0000-0000-0000703E0000}"/>
    <cellStyle name="Normal 46 4" xfId="808" xr:uid="{00000000-0005-0000-0000-0000713E0000}"/>
    <cellStyle name="Normal 46 4 2" xfId="807" xr:uid="{00000000-0005-0000-0000-0000723E0000}"/>
    <cellStyle name="Normal 46 4 2 2" xfId="16794" xr:uid="{00000000-0005-0000-0000-0000733E0000}"/>
    <cellStyle name="Normal 46 4 2 2 2" xfId="16795" xr:uid="{00000000-0005-0000-0000-0000743E0000}"/>
    <cellStyle name="Normal 46 4 2 3" xfId="16796" xr:uid="{00000000-0005-0000-0000-0000753E0000}"/>
    <cellStyle name="Normal 46 4 2 3 2" xfId="16797" xr:uid="{00000000-0005-0000-0000-0000763E0000}"/>
    <cellStyle name="Normal 46 4 2 4" xfId="16798" xr:uid="{00000000-0005-0000-0000-0000773E0000}"/>
    <cellStyle name="Normal 46 4 2 5" xfId="16799" xr:uid="{00000000-0005-0000-0000-0000783E0000}"/>
    <cellStyle name="Normal 46 4 3" xfId="806" xr:uid="{00000000-0005-0000-0000-0000793E0000}"/>
    <cellStyle name="Normal 46 4 3 2" xfId="16800" xr:uid="{00000000-0005-0000-0000-00007A3E0000}"/>
    <cellStyle name="Normal 46 4 3 2 2" xfId="16801" xr:uid="{00000000-0005-0000-0000-00007B3E0000}"/>
    <cellStyle name="Normal 46 4 3 3" xfId="16802" xr:uid="{00000000-0005-0000-0000-00007C3E0000}"/>
    <cellStyle name="Normal 46 4 4" xfId="16803" xr:uid="{00000000-0005-0000-0000-00007D3E0000}"/>
    <cellStyle name="Normal 46 4 4 2" xfId="16804" xr:uid="{00000000-0005-0000-0000-00007E3E0000}"/>
    <cellStyle name="Normal 46 4 5" xfId="16805" xr:uid="{00000000-0005-0000-0000-00007F3E0000}"/>
    <cellStyle name="Normal 46 4 5 2" xfId="16806" xr:uid="{00000000-0005-0000-0000-0000803E0000}"/>
    <cellStyle name="Normal 46 4 6" xfId="16807" xr:uid="{00000000-0005-0000-0000-0000813E0000}"/>
    <cellStyle name="Normal 46 5" xfId="805" xr:uid="{00000000-0005-0000-0000-0000823E0000}"/>
    <cellStyle name="Normal 46 5 2" xfId="16808" xr:uid="{00000000-0005-0000-0000-0000833E0000}"/>
    <cellStyle name="Normal 46 5 2 2" xfId="16809" xr:uid="{00000000-0005-0000-0000-0000843E0000}"/>
    <cellStyle name="Normal 46 5 3" xfId="16810" xr:uid="{00000000-0005-0000-0000-0000853E0000}"/>
    <cellStyle name="Normal 46 5 3 2" xfId="16811" xr:uid="{00000000-0005-0000-0000-0000863E0000}"/>
    <cellStyle name="Normal 46 5 4" xfId="16812" xr:uid="{00000000-0005-0000-0000-0000873E0000}"/>
    <cellStyle name="Normal 46 6" xfId="804" xr:uid="{00000000-0005-0000-0000-0000883E0000}"/>
    <cellStyle name="Normal 46 6 2" xfId="16813" xr:uid="{00000000-0005-0000-0000-0000893E0000}"/>
    <cellStyle name="Normal 46 6 3" xfId="16814" xr:uid="{00000000-0005-0000-0000-00008A3E0000}"/>
    <cellStyle name="Normal 46 7" xfId="16815" xr:uid="{00000000-0005-0000-0000-00008B3E0000}"/>
    <cellStyle name="Normal 46 7 2" xfId="16816" xr:uid="{00000000-0005-0000-0000-00008C3E0000}"/>
    <cellStyle name="Normal 46 7 3" xfId="16817" xr:uid="{00000000-0005-0000-0000-00008D3E0000}"/>
    <cellStyle name="Normal 46 7 4" xfId="16818" xr:uid="{00000000-0005-0000-0000-00008E3E0000}"/>
    <cellStyle name="Normal 46 8" xfId="16819" xr:uid="{00000000-0005-0000-0000-00008F3E0000}"/>
    <cellStyle name="Normal 46 8 2" xfId="16820" xr:uid="{00000000-0005-0000-0000-0000903E0000}"/>
    <cellStyle name="Normal 46 8 3" xfId="16821" xr:uid="{00000000-0005-0000-0000-0000913E0000}"/>
    <cellStyle name="Normal 46 9" xfId="16822" xr:uid="{00000000-0005-0000-0000-0000923E0000}"/>
    <cellStyle name="Normal 47" xfId="803" xr:uid="{00000000-0005-0000-0000-0000933E0000}"/>
    <cellStyle name="Normal 47 10" xfId="16823" xr:uid="{00000000-0005-0000-0000-0000943E0000}"/>
    <cellStyle name="Normal 47 11" xfId="16824" xr:uid="{00000000-0005-0000-0000-0000953E0000}"/>
    <cellStyle name="Normal 47 2" xfId="802" xr:uid="{00000000-0005-0000-0000-0000963E0000}"/>
    <cellStyle name="Normal 47 2 2" xfId="16825" xr:uid="{00000000-0005-0000-0000-0000973E0000}"/>
    <cellStyle name="Normal 47 2 2 2" xfId="16826" xr:uid="{00000000-0005-0000-0000-0000983E0000}"/>
    <cellStyle name="Normal 47 2 2 2 2" xfId="16827" xr:uid="{00000000-0005-0000-0000-0000993E0000}"/>
    <cellStyle name="Normal 47 2 2 3" xfId="16828" xr:uid="{00000000-0005-0000-0000-00009A3E0000}"/>
    <cellStyle name="Normal 47 2 2 3 2" xfId="16829" xr:uid="{00000000-0005-0000-0000-00009B3E0000}"/>
    <cellStyle name="Normal 47 2 2 4" xfId="16830" xr:uid="{00000000-0005-0000-0000-00009C3E0000}"/>
    <cellStyle name="Normal 47 2 2 4 2" xfId="16831" xr:uid="{00000000-0005-0000-0000-00009D3E0000}"/>
    <cellStyle name="Normal 47 2 2 5" xfId="16832" xr:uid="{00000000-0005-0000-0000-00009E3E0000}"/>
    <cellStyle name="Normal 47 2 3" xfId="16833" xr:uid="{00000000-0005-0000-0000-00009F3E0000}"/>
    <cellStyle name="Normal 47 2 3 2" xfId="16834" xr:uid="{00000000-0005-0000-0000-0000A03E0000}"/>
    <cellStyle name="Normal 47 2 3 2 2" xfId="16835" xr:uid="{00000000-0005-0000-0000-0000A13E0000}"/>
    <cellStyle name="Normal 47 2 3 3" xfId="16836" xr:uid="{00000000-0005-0000-0000-0000A23E0000}"/>
    <cellStyle name="Normal 47 2 4" xfId="16837" xr:uid="{00000000-0005-0000-0000-0000A33E0000}"/>
    <cellStyle name="Normal 47 2 4 2" xfId="16838" xr:uid="{00000000-0005-0000-0000-0000A43E0000}"/>
    <cellStyle name="Normal 47 2 5" xfId="16839" xr:uid="{00000000-0005-0000-0000-0000A53E0000}"/>
    <cellStyle name="Normal 47 2 5 2" xfId="16840" xr:uid="{00000000-0005-0000-0000-0000A63E0000}"/>
    <cellStyle name="Normal 47 2 6" xfId="16841" xr:uid="{00000000-0005-0000-0000-0000A73E0000}"/>
    <cellStyle name="Normal 47 3" xfId="16842" xr:uid="{00000000-0005-0000-0000-0000A83E0000}"/>
    <cellStyle name="Normal 47 3 2" xfId="16843" xr:uid="{00000000-0005-0000-0000-0000A93E0000}"/>
    <cellStyle name="Normal 47 3 2 2" xfId="16844" xr:uid="{00000000-0005-0000-0000-0000AA3E0000}"/>
    <cellStyle name="Normal 47 3 2 2 2" xfId="16845" xr:uid="{00000000-0005-0000-0000-0000AB3E0000}"/>
    <cellStyle name="Normal 47 3 2 3" xfId="16846" xr:uid="{00000000-0005-0000-0000-0000AC3E0000}"/>
    <cellStyle name="Normal 47 3 2 3 2" xfId="16847" xr:uid="{00000000-0005-0000-0000-0000AD3E0000}"/>
    <cellStyle name="Normal 47 3 2 4" xfId="16848" xr:uid="{00000000-0005-0000-0000-0000AE3E0000}"/>
    <cellStyle name="Normal 47 3 2 5" xfId="16849" xr:uid="{00000000-0005-0000-0000-0000AF3E0000}"/>
    <cellStyle name="Normal 47 3 3" xfId="16850" xr:uid="{00000000-0005-0000-0000-0000B03E0000}"/>
    <cellStyle name="Normal 47 3 3 2" xfId="16851" xr:uid="{00000000-0005-0000-0000-0000B13E0000}"/>
    <cellStyle name="Normal 47 3 3 2 2" xfId="16852" xr:uid="{00000000-0005-0000-0000-0000B23E0000}"/>
    <cellStyle name="Normal 47 3 3 3" xfId="16853" xr:uid="{00000000-0005-0000-0000-0000B33E0000}"/>
    <cellStyle name="Normal 47 3 4" xfId="16854" xr:uid="{00000000-0005-0000-0000-0000B43E0000}"/>
    <cellStyle name="Normal 47 3 4 2" xfId="16855" xr:uid="{00000000-0005-0000-0000-0000B53E0000}"/>
    <cellStyle name="Normal 47 3 5" xfId="16856" xr:uid="{00000000-0005-0000-0000-0000B63E0000}"/>
    <cellStyle name="Normal 47 3 5 2" xfId="16857" xr:uid="{00000000-0005-0000-0000-0000B73E0000}"/>
    <cellStyle name="Normal 47 3 6" xfId="16858" xr:uid="{00000000-0005-0000-0000-0000B83E0000}"/>
    <cellStyle name="Normal 47 3 6 2" xfId="16859" xr:uid="{00000000-0005-0000-0000-0000B93E0000}"/>
    <cellStyle name="Normal 47 4" xfId="16860" xr:uid="{00000000-0005-0000-0000-0000BA3E0000}"/>
    <cellStyle name="Normal 47 4 2" xfId="16861" xr:uid="{00000000-0005-0000-0000-0000BB3E0000}"/>
    <cellStyle name="Normal 47 4 2 2" xfId="16862" xr:uid="{00000000-0005-0000-0000-0000BC3E0000}"/>
    <cellStyle name="Normal 47 4 2 2 2" xfId="16863" xr:uid="{00000000-0005-0000-0000-0000BD3E0000}"/>
    <cellStyle name="Normal 47 4 2 3" xfId="16864" xr:uid="{00000000-0005-0000-0000-0000BE3E0000}"/>
    <cellStyle name="Normal 47 4 2 3 2" xfId="16865" xr:uid="{00000000-0005-0000-0000-0000BF3E0000}"/>
    <cellStyle name="Normal 47 4 2 4" xfId="16866" xr:uid="{00000000-0005-0000-0000-0000C03E0000}"/>
    <cellStyle name="Normal 47 4 2 5" xfId="16867" xr:uid="{00000000-0005-0000-0000-0000C13E0000}"/>
    <cellStyle name="Normal 47 4 3" xfId="16868" xr:uid="{00000000-0005-0000-0000-0000C23E0000}"/>
    <cellStyle name="Normal 47 4 3 2" xfId="16869" xr:uid="{00000000-0005-0000-0000-0000C33E0000}"/>
    <cellStyle name="Normal 47 4 3 2 2" xfId="16870" xr:uid="{00000000-0005-0000-0000-0000C43E0000}"/>
    <cellStyle name="Normal 47 4 3 3" xfId="16871" xr:uid="{00000000-0005-0000-0000-0000C53E0000}"/>
    <cellStyle name="Normal 47 4 4" xfId="16872" xr:uid="{00000000-0005-0000-0000-0000C63E0000}"/>
    <cellStyle name="Normal 47 4 4 2" xfId="16873" xr:uid="{00000000-0005-0000-0000-0000C73E0000}"/>
    <cellStyle name="Normal 47 4 5" xfId="16874" xr:uid="{00000000-0005-0000-0000-0000C83E0000}"/>
    <cellStyle name="Normal 47 4 5 2" xfId="16875" xr:uid="{00000000-0005-0000-0000-0000C93E0000}"/>
    <cellStyle name="Normal 47 4 6" xfId="16876" xr:uid="{00000000-0005-0000-0000-0000CA3E0000}"/>
    <cellStyle name="Normal 47 5" xfId="16877" xr:uid="{00000000-0005-0000-0000-0000CB3E0000}"/>
    <cellStyle name="Normal 47 5 2" xfId="16878" xr:uid="{00000000-0005-0000-0000-0000CC3E0000}"/>
    <cellStyle name="Normal 47 5 2 2" xfId="16879" xr:uid="{00000000-0005-0000-0000-0000CD3E0000}"/>
    <cellStyle name="Normal 47 5 3" xfId="16880" xr:uid="{00000000-0005-0000-0000-0000CE3E0000}"/>
    <cellStyle name="Normal 47 5 3 2" xfId="16881" xr:uid="{00000000-0005-0000-0000-0000CF3E0000}"/>
    <cellStyle name="Normal 47 5 4" xfId="16882" xr:uid="{00000000-0005-0000-0000-0000D03E0000}"/>
    <cellStyle name="Normal 47 6" xfId="16883" xr:uid="{00000000-0005-0000-0000-0000D13E0000}"/>
    <cellStyle name="Normal 47 6 2" xfId="16884" xr:uid="{00000000-0005-0000-0000-0000D23E0000}"/>
    <cellStyle name="Normal 47 6 3" xfId="16885" xr:uid="{00000000-0005-0000-0000-0000D33E0000}"/>
    <cellStyle name="Normal 47 7" xfId="16886" xr:uid="{00000000-0005-0000-0000-0000D43E0000}"/>
    <cellStyle name="Normal 47 7 2" xfId="16887" xr:uid="{00000000-0005-0000-0000-0000D53E0000}"/>
    <cellStyle name="Normal 47 7 3" xfId="16888" xr:uid="{00000000-0005-0000-0000-0000D63E0000}"/>
    <cellStyle name="Normal 47 7 4" xfId="16889" xr:uid="{00000000-0005-0000-0000-0000D73E0000}"/>
    <cellStyle name="Normal 47 8" xfId="16890" xr:uid="{00000000-0005-0000-0000-0000D83E0000}"/>
    <cellStyle name="Normal 47 8 2" xfId="16891" xr:uid="{00000000-0005-0000-0000-0000D93E0000}"/>
    <cellStyle name="Normal 47 8 3" xfId="16892" xr:uid="{00000000-0005-0000-0000-0000DA3E0000}"/>
    <cellStyle name="Normal 47 9" xfId="16893" xr:uid="{00000000-0005-0000-0000-0000DB3E0000}"/>
    <cellStyle name="Normal 48" xfId="801" xr:uid="{00000000-0005-0000-0000-0000DC3E0000}"/>
    <cellStyle name="Normal 48 2" xfId="800" xr:uid="{00000000-0005-0000-0000-0000DD3E0000}"/>
    <cellStyle name="Normal 48 2 2" xfId="799" xr:uid="{00000000-0005-0000-0000-0000DE3E0000}"/>
    <cellStyle name="Normal 48 2 2 2" xfId="16894" xr:uid="{00000000-0005-0000-0000-0000DF3E0000}"/>
    <cellStyle name="Normal 48 2 2 2 2" xfId="16895" xr:uid="{00000000-0005-0000-0000-0000E03E0000}"/>
    <cellStyle name="Normal 48 2 2 3" xfId="16896" xr:uid="{00000000-0005-0000-0000-0000E13E0000}"/>
    <cellStyle name="Normal 48 2 2 3 2" xfId="16897" xr:uid="{00000000-0005-0000-0000-0000E23E0000}"/>
    <cellStyle name="Normal 48 2 2 4" xfId="16898" xr:uid="{00000000-0005-0000-0000-0000E33E0000}"/>
    <cellStyle name="Normal 48 2 2 4 2" xfId="16899" xr:uid="{00000000-0005-0000-0000-0000E43E0000}"/>
    <cellStyle name="Normal 48 2 2 5" xfId="16900" xr:uid="{00000000-0005-0000-0000-0000E53E0000}"/>
    <cellStyle name="Normal 48 2 3" xfId="798" xr:uid="{00000000-0005-0000-0000-0000E63E0000}"/>
    <cellStyle name="Normal 48 2 3 2" xfId="16901" xr:uid="{00000000-0005-0000-0000-0000E73E0000}"/>
    <cellStyle name="Normal 48 2 3 2 2" xfId="16902" xr:uid="{00000000-0005-0000-0000-0000E83E0000}"/>
    <cellStyle name="Normal 48 2 3 3" xfId="16903" xr:uid="{00000000-0005-0000-0000-0000E93E0000}"/>
    <cellStyle name="Normal 48 2 4" xfId="16904" xr:uid="{00000000-0005-0000-0000-0000EA3E0000}"/>
    <cellStyle name="Normal 48 2 4 2" xfId="16905" xr:uid="{00000000-0005-0000-0000-0000EB3E0000}"/>
    <cellStyle name="Normal 48 2 5" xfId="16906" xr:uid="{00000000-0005-0000-0000-0000EC3E0000}"/>
    <cellStyle name="Normal 48 2 5 2" xfId="16907" xr:uid="{00000000-0005-0000-0000-0000ED3E0000}"/>
    <cellStyle name="Normal 48 2 6" xfId="16908" xr:uid="{00000000-0005-0000-0000-0000EE3E0000}"/>
    <cellStyle name="Normal 48 3" xfId="797" xr:uid="{00000000-0005-0000-0000-0000EF3E0000}"/>
    <cellStyle name="Normal 48 3 2" xfId="16909" xr:uid="{00000000-0005-0000-0000-0000F03E0000}"/>
    <cellStyle name="Normal 48 3 2 2" xfId="16910" xr:uid="{00000000-0005-0000-0000-0000F13E0000}"/>
    <cellStyle name="Normal 48 3 2 2 2" xfId="16911" xr:uid="{00000000-0005-0000-0000-0000F23E0000}"/>
    <cellStyle name="Normal 48 3 2 3" xfId="16912" xr:uid="{00000000-0005-0000-0000-0000F33E0000}"/>
    <cellStyle name="Normal 48 3 2 3 2" xfId="16913" xr:uid="{00000000-0005-0000-0000-0000F43E0000}"/>
    <cellStyle name="Normal 48 3 2 4" xfId="16914" xr:uid="{00000000-0005-0000-0000-0000F53E0000}"/>
    <cellStyle name="Normal 48 3 2 5" xfId="16915" xr:uid="{00000000-0005-0000-0000-0000F63E0000}"/>
    <cellStyle name="Normal 48 3 3" xfId="16916" xr:uid="{00000000-0005-0000-0000-0000F73E0000}"/>
    <cellStyle name="Normal 48 3 3 2" xfId="16917" xr:uid="{00000000-0005-0000-0000-0000F83E0000}"/>
    <cellStyle name="Normal 48 3 3 2 2" xfId="16918" xr:uid="{00000000-0005-0000-0000-0000F93E0000}"/>
    <cellStyle name="Normal 48 3 3 3" xfId="16919" xr:uid="{00000000-0005-0000-0000-0000FA3E0000}"/>
    <cellStyle name="Normal 48 3 4" xfId="16920" xr:uid="{00000000-0005-0000-0000-0000FB3E0000}"/>
    <cellStyle name="Normal 48 3 4 2" xfId="16921" xr:uid="{00000000-0005-0000-0000-0000FC3E0000}"/>
    <cellStyle name="Normal 48 3 5" xfId="16922" xr:uid="{00000000-0005-0000-0000-0000FD3E0000}"/>
    <cellStyle name="Normal 48 3 5 2" xfId="16923" xr:uid="{00000000-0005-0000-0000-0000FE3E0000}"/>
    <cellStyle name="Normal 48 3 6" xfId="16924" xr:uid="{00000000-0005-0000-0000-0000FF3E0000}"/>
    <cellStyle name="Normal 48 4" xfId="796" xr:uid="{00000000-0005-0000-0000-0000003F0000}"/>
    <cellStyle name="Normal 48 4 2" xfId="16925" xr:uid="{00000000-0005-0000-0000-0000013F0000}"/>
    <cellStyle name="Normal 48 4 2 2" xfId="16926" xr:uid="{00000000-0005-0000-0000-0000023F0000}"/>
    <cellStyle name="Normal 48 4 3" xfId="16927" xr:uid="{00000000-0005-0000-0000-0000033F0000}"/>
    <cellStyle name="Normal 48 4 3 2" xfId="16928" xr:uid="{00000000-0005-0000-0000-0000043F0000}"/>
    <cellStyle name="Normal 48 4 4" xfId="16929" xr:uid="{00000000-0005-0000-0000-0000053F0000}"/>
    <cellStyle name="Normal 48 5" xfId="795" xr:uid="{00000000-0005-0000-0000-0000063F0000}"/>
    <cellStyle name="Normal 48 5 2" xfId="16930" xr:uid="{00000000-0005-0000-0000-0000073F0000}"/>
    <cellStyle name="Normal 48 5 3" xfId="16931" xr:uid="{00000000-0005-0000-0000-0000083F0000}"/>
    <cellStyle name="Normal 48 6" xfId="16932" xr:uid="{00000000-0005-0000-0000-0000093F0000}"/>
    <cellStyle name="Normal 48 6 2" xfId="16933" xr:uid="{00000000-0005-0000-0000-00000A3F0000}"/>
    <cellStyle name="Normal 48 6 3" xfId="16934" xr:uid="{00000000-0005-0000-0000-00000B3F0000}"/>
    <cellStyle name="Normal 48 6 4" xfId="16935" xr:uid="{00000000-0005-0000-0000-00000C3F0000}"/>
    <cellStyle name="Normal 48 7" xfId="16936" xr:uid="{00000000-0005-0000-0000-00000D3F0000}"/>
    <cellStyle name="Normal 48 7 2" xfId="16937" xr:uid="{00000000-0005-0000-0000-00000E3F0000}"/>
    <cellStyle name="Normal 48 7 3" xfId="16938" xr:uid="{00000000-0005-0000-0000-00000F3F0000}"/>
    <cellStyle name="Normal 48 8" xfId="16939" xr:uid="{00000000-0005-0000-0000-0000103F0000}"/>
    <cellStyle name="Normal 48 9" xfId="16940" xr:uid="{00000000-0005-0000-0000-0000113F0000}"/>
    <cellStyle name="Normal 49" xfId="794" xr:uid="{00000000-0005-0000-0000-0000123F0000}"/>
    <cellStyle name="Normal 49 2" xfId="793" xr:uid="{00000000-0005-0000-0000-0000133F0000}"/>
    <cellStyle name="Normal 49 2 2" xfId="16941" xr:uid="{00000000-0005-0000-0000-0000143F0000}"/>
    <cellStyle name="Normal 49 2 2 2" xfId="16942" xr:uid="{00000000-0005-0000-0000-0000153F0000}"/>
    <cellStyle name="Normal 49 2 2 2 2" xfId="16943" xr:uid="{00000000-0005-0000-0000-0000163F0000}"/>
    <cellStyle name="Normal 49 2 2 3" xfId="16944" xr:uid="{00000000-0005-0000-0000-0000173F0000}"/>
    <cellStyle name="Normal 49 2 2 3 2" xfId="16945" xr:uid="{00000000-0005-0000-0000-0000183F0000}"/>
    <cellStyle name="Normal 49 2 2 4" xfId="16946" xr:uid="{00000000-0005-0000-0000-0000193F0000}"/>
    <cellStyle name="Normal 49 2 2 4 2" xfId="16947" xr:uid="{00000000-0005-0000-0000-00001A3F0000}"/>
    <cellStyle name="Normal 49 2 2 5" xfId="16948" xr:uid="{00000000-0005-0000-0000-00001B3F0000}"/>
    <cellStyle name="Normal 49 2 3" xfId="16949" xr:uid="{00000000-0005-0000-0000-00001C3F0000}"/>
    <cellStyle name="Normal 49 2 3 2" xfId="16950" xr:uid="{00000000-0005-0000-0000-00001D3F0000}"/>
    <cellStyle name="Normal 49 2 3 2 2" xfId="16951" xr:uid="{00000000-0005-0000-0000-00001E3F0000}"/>
    <cellStyle name="Normal 49 2 3 3" xfId="16952" xr:uid="{00000000-0005-0000-0000-00001F3F0000}"/>
    <cellStyle name="Normal 49 2 4" xfId="16953" xr:uid="{00000000-0005-0000-0000-0000203F0000}"/>
    <cellStyle name="Normal 49 2 4 2" xfId="16954" xr:uid="{00000000-0005-0000-0000-0000213F0000}"/>
    <cellStyle name="Normal 49 2 5" xfId="16955" xr:uid="{00000000-0005-0000-0000-0000223F0000}"/>
    <cellStyle name="Normal 49 2 5 2" xfId="16956" xr:uid="{00000000-0005-0000-0000-0000233F0000}"/>
    <cellStyle name="Normal 49 2 6" xfId="16957" xr:uid="{00000000-0005-0000-0000-0000243F0000}"/>
    <cellStyle name="Normal 49 3" xfId="16958" xr:uid="{00000000-0005-0000-0000-0000253F0000}"/>
    <cellStyle name="Normal 49 3 2" xfId="16959" xr:uid="{00000000-0005-0000-0000-0000263F0000}"/>
    <cellStyle name="Normal 49 3 2 2" xfId="16960" xr:uid="{00000000-0005-0000-0000-0000273F0000}"/>
    <cellStyle name="Normal 49 3 2 2 2" xfId="16961" xr:uid="{00000000-0005-0000-0000-0000283F0000}"/>
    <cellStyle name="Normal 49 3 2 3" xfId="16962" xr:uid="{00000000-0005-0000-0000-0000293F0000}"/>
    <cellStyle name="Normal 49 3 2 3 2" xfId="16963" xr:uid="{00000000-0005-0000-0000-00002A3F0000}"/>
    <cellStyle name="Normal 49 3 2 4" xfId="16964" xr:uid="{00000000-0005-0000-0000-00002B3F0000}"/>
    <cellStyle name="Normal 49 3 2 5" xfId="16965" xr:uid="{00000000-0005-0000-0000-00002C3F0000}"/>
    <cellStyle name="Normal 49 3 3" xfId="16966" xr:uid="{00000000-0005-0000-0000-00002D3F0000}"/>
    <cellStyle name="Normal 49 3 3 2" xfId="16967" xr:uid="{00000000-0005-0000-0000-00002E3F0000}"/>
    <cellStyle name="Normal 49 3 3 2 2" xfId="16968" xr:uid="{00000000-0005-0000-0000-00002F3F0000}"/>
    <cellStyle name="Normal 49 3 3 3" xfId="16969" xr:uid="{00000000-0005-0000-0000-0000303F0000}"/>
    <cellStyle name="Normal 49 3 4" xfId="16970" xr:uid="{00000000-0005-0000-0000-0000313F0000}"/>
    <cellStyle name="Normal 49 3 4 2" xfId="16971" xr:uid="{00000000-0005-0000-0000-0000323F0000}"/>
    <cellStyle name="Normal 49 3 5" xfId="16972" xr:uid="{00000000-0005-0000-0000-0000333F0000}"/>
    <cellStyle name="Normal 49 3 5 2" xfId="16973" xr:uid="{00000000-0005-0000-0000-0000343F0000}"/>
    <cellStyle name="Normal 49 3 6" xfId="16974" xr:uid="{00000000-0005-0000-0000-0000353F0000}"/>
    <cellStyle name="Normal 49 4" xfId="16975" xr:uid="{00000000-0005-0000-0000-0000363F0000}"/>
    <cellStyle name="Normal 49 4 2" xfId="16976" xr:uid="{00000000-0005-0000-0000-0000373F0000}"/>
    <cellStyle name="Normal 49 4 2 2" xfId="16977" xr:uid="{00000000-0005-0000-0000-0000383F0000}"/>
    <cellStyle name="Normal 49 4 3" xfId="16978" xr:uid="{00000000-0005-0000-0000-0000393F0000}"/>
    <cellStyle name="Normal 49 4 3 2" xfId="16979" xr:uid="{00000000-0005-0000-0000-00003A3F0000}"/>
    <cellStyle name="Normal 49 4 4" xfId="16980" xr:uid="{00000000-0005-0000-0000-00003B3F0000}"/>
    <cellStyle name="Normal 49 5" xfId="16981" xr:uid="{00000000-0005-0000-0000-00003C3F0000}"/>
    <cellStyle name="Normal 49 5 2" xfId="16982" xr:uid="{00000000-0005-0000-0000-00003D3F0000}"/>
    <cellStyle name="Normal 49 5 3" xfId="16983" xr:uid="{00000000-0005-0000-0000-00003E3F0000}"/>
    <cellStyle name="Normal 49 6" xfId="16984" xr:uid="{00000000-0005-0000-0000-00003F3F0000}"/>
    <cellStyle name="Normal 49 6 2" xfId="16985" xr:uid="{00000000-0005-0000-0000-0000403F0000}"/>
    <cellStyle name="Normal 49 6 3" xfId="16986" xr:uid="{00000000-0005-0000-0000-0000413F0000}"/>
    <cellStyle name="Normal 49 6 4" xfId="16987" xr:uid="{00000000-0005-0000-0000-0000423F0000}"/>
    <cellStyle name="Normal 49 7" xfId="16988" xr:uid="{00000000-0005-0000-0000-0000433F0000}"/>
    <cellStyle name="Normal 49 7 2" xfId="16989" xr:uid="{00000000-0005-0000-0000-0000443F0000}"/>
    <cellStyle name="Normal 49 7 3" xfId="16990" xr:uid="{00000000-0005-0000-0000-0000453F0000}"/>
    <cellStyle name="Normal 49 8" xfId="16991" xr:uid="{00000000-0005-0000-0000-0000463F0000}"/>
    <cellStyle name="Normal 49 9" xfId="16992" xr:uid="{00000000-0005-0000-0000-0000473F0000}"/>
    <cellStyle name="Normal 5" xfId="792" xr:uid="{00000000-0005-0000-0000-0000483F0000}"/>
    <cellStyle name="Normal 5 10" xfId="791" xr:uid="{00000000-0005-0000-0000-0000493F0000}"/>
    <cellStyle name="Normal 5 10 2" xfId="16993" xr:uid="{00000000-0005-0000-0000-00004A3F0000}"/>
    <cellStyle name="Normal 5 10 3" xfId="16994" xr:uid="{00000000-0005-0000-0000-00004B3F0000}"/>
    <cellStyle name="Normal 5 11" xfId="790" xr:uid="{00000000-0005-0000-0000-00004C3F0000}"/>
    <cellStyle name="Normal 5 11 2" xfId="16995" xr:uid="{00000000-0005-0000-0000-00004D3F0000}"/>
    <cellStyle name="Normal 5 11 2 2" xfId="16996" xr:uid="{00000000-0005-0000-0000-00004E3F0000}"/>
    <cellStyle name="Normal 5 11 3" xfId="16997" xr:uid="{00000000-0005-0000-0000-00004F3F0000}"/>
    <cellStyle name="Normal 5 12" xfId="789" xr:uid="{00000000-0005-0000-0000-0000503F0000}"/>
    <cellStyle name="Normal 5 12 2" xfId="16998" xr:uid="{00000000-0005-0000-0000-0000513F0000}"/>
    <cellStyle name="Normal 5 13" xfId="16999" xr:uid="{00000000-0005-0000-0000-0000523F0000}"/>
    <cellStyle name="Normal 5 14" xfId="17000" xr:uid="{00000000-0005-0000-0000-0000533F0000}"/>
    <cellStyle name="Normal 5 15" xfId="17001" xr:uid="{00000000-0005-0000-0000-0000543F0000}"/>
    <cellStyle name="Normal 5 2" xfId="788" xr:uid="{00000000-0005-0000-0000-0000553F0000}"/>
    <cellStyle name="Normal 5 2 10" xfId="17002" xr:uid="{00000000-0005-0000-0000-0000563F0000}"/>
    <cellStyle name="Normal 5 2 11" xfId="17003" xr:uid="{00000000-0005-0000-0000-0000573F0000}"/>
    <cellStyle name="Normal 5 2 2" xfId="787" xr:uid="{00000000-0005-0000-0000-0000583F0000}"/>
    <cellStyle name="Normal 5 2 2 2" xfId="786" xr:uid="{00000000-0005-0000-0000-0000593F0000}"/>
    <cellStyle name="Normal 5 2 2 2 2" xfId="785" xr:uid="{00000000-0005-0000-0000-00005A3F0000}"/>
    <cellStyle name="Normal 5 2 2 2 2 2" xfId="17004" xr:uid="{00000000-0005-0000-0000-00005B3F0000}"/>
    <cellStyle name="Normal 5 2 2 2 3" xfId="784" xr:uid="{00000000-0005-0000-0000-00005C3F0000}"/>
    <cellStyle name="Normal 5 2 2 2 3 2" xfId="17005" xr:uid="{00000000-0005-0000-0000-00005D3F0000}"/>
    <cellStyle name="Normal 5 2 2 2 4" xfId="17006" xr:uid="{00000000-0005-0000-0000-00005E3F0000}"/>
    <cellStyle name="Normal 5 2 2 2 5" xfId="17007" xr:uid="{00000000-0005-0000-0000-00005F3F0000}"/>
    <cellStyle name="Normal 5 2 2 3" xfId="783" xr:uid="{00000000-0005-0000-0000-0000603F0000}"/>
    <cellStyle name="Normal 5 2 2 3 2" xfId="17008" xr:uid="{00000000-0005-0000-0000-0000613F0000}"/>
    <cellStyle name="Normal 5 2 2 3 2 2" xfId="17009" xr:uid="{00000000-0005-0000-0000-0000623F0000}"/>
    <cellStyle name="Normal 5 2 2 3 3" xfId="17010" xr:uid="{00000000-0005-0000-0000-0000633F0000}"/>
    <cellStyle name="Normal 5 2 2 4" xfId="782" xr:uid="{00000000-0005-0000-0000-0000643F0000}"/>
    <cellStyle name="Normal 5 2 2 4 2" xfId="17011" xr:uid="{00000000-0005-0000-0000-0000653F0000}"/>
    <cellStyle name="Normal 5 2 2 5" xfId="17012" xr:uid="{00000000-0005-0000-0000-0000663F0000}"/>
    <cellStyle name="Normal 5 2 2 5 2" xfId="17013" xr:uid="{00000000-0005-0000-0000-0000673F0000}"/>
    <cellStyle name="Normal 5 2 2 6" xfId="17014" xr:uid="{00000000-0005-0000-0000-0000683F0000}"/>
    <cellStyle name="Normal 5 2 3" xfId="781" xr:uid="{00000000-0005-0000-0000-0000693F0000}"/>
    <cellStyle name="Normal 5 2 3 2" xfId="780" xr:uid="{00000000-0005-0000-0000-00006A3F0000}"/>
    <cellStyle name="Normal 5 2 3 2 2" xfId="17015" xr:uid="{00000000-0005-0000-0000-00006B3F0000}"/>
    <cellStyle name="Normal 5 2 3 2 2 2" xfId="17016" xr:uid="{00000000-0005-0000-0000-00006C3F0000}"/>
    <cellStyle name="Normal 5 2 3 2 3" xfId="17017" xr:uid="{00000000-0005-0000-0000-00006D3F0000}"/>
    <cellStyle name="Normal 5 2 3 2 3 2" xfId="17018" xr:uid="{00000000-0005-0000-0000-00006E3F0000}"/>
    <cellStyle name="Normal 5 2 3 2 4" xfId="17019" xr:uid="{00000000-0005-0000-0000-00006F3F0000}"/>
    <cellStyle name="Normal 5 2 3 2 5" xfId="17020" xr:uid="{00000000-0005-0000-0000-0000703F0000}"/>
    <cellStyle name="Normal 5 2 3 3" xfId="779" xr:uid="{00000000-0005-0000-0000-0000713F0000}"/>
    <cellStyle name="Normal 5 2 3 3 2" xfId="17021" xr:uid="{00000000-0005-0000-0000-0000723F0000}"/>
    <cellStyle name="Normal 5 2 3 3 2 2" xfId="17022" xr:uid="{00000000-0005-0000-0000-0000733F0000}"/>
    <cellStyle name="Normal 5 2 3 3 3" xfId="17023" xr:uid="{00000000-0005-0000-0000-0000743F0000}"/>
    <cellStyle name="Normal 5 2 3 4" xfId="17024" xr:uid="{00000000-0005-0000-0000-0000753F0000}"/>
    <cellStyle name="Normal 5 2 3 4 2" xfId="17025" xr:uid="{00000000-0005-0000-0000-0000763F0000}"/>
    <cellStyle name="Normal 5 2 3 5" xfId="17026" xr:uid="{00000000-0005-0000-0000-0000773F0000}"/>
    <cellStyle name="Normal 5 2 3 5 2" xfId="17027" xr:uid="{00000000-0005-0000-0000-0000783F0000}"/>
    <cellStyle name="Normal 5 2 3 6" xfId="17028" xr:uid="{00000000-0005-0000-0000-0000793F0000}"/>
    <cellStyle name="Normal 5 2 4" xfId="778" xr:uid="{00000000-0005-0000-0000-00007A3F0000}"/>
    <cellStyle name="Normal 5 2 4 2" xfId="777" xr:uid="{00000000-0005-0000-0000-00007B3F0000}"/>
    <cellStyle name="Normal 5 2 4 2 2" xfId="17029" xr:uid="{00000000-0005-0000-0000-00007C3F0000}"/>
    <cellStyle name="Normal 5 2 4 2 2 2" xfId="17030" xr:uid="{00000000-0005-0000-0000-00007D3F0000}"/>
    <cellStyle name="Normal 5 2 4 2 3" xfId="17031" xr:uid="{00000000-0005-0000-0000-00007E3F0000}"/>
    <cellStyle name="Normal 5 2 4 2 3 2" xfId="17032" xr:uid="{00000000-0005-0000-0000-00007F3F0000}"/>
    <cellStyle name="Normal 5 2 4 2 4" xfId="17033" xr:uid="{00000000-0005-0000-0000-0000803F0000}"/>
    <cellStyle name="Normal 5 2 4 2 5" xfId="17034" xr:uid="{00000000-0005-0000-0000-0000813F0000}"/>
    <cellStyle name="Normal 5 2 4 3" xfId="776" xr:uid="{00000000-0005-0000-0000-0000823F0000}"/>
    <cellStyle name="Normal 5 2 4 3 2" xfId="17035" xr:uid="{00000000-0005-0000-0000-0000833F0000}"/>
    <cellStyle name="Normal 5 2 4 3 2 2" xfId="17036" xr:uid="{00000000-0005-0000-0000-0000843F0000}"/>
    <cellStyle name="Normal 5 2 4 3 3" xfId="17037" xr:uid="{00000000-0005-0000-0000-0000853F0000}"/>
    <cellStyle name="Normal 5 2 4 4" xfId="17038" xr:uid="{00000000-0005-0000-0000-0000863F0000}"/>
    <cellStyle name="Normal 5 2 4 4 2" xfId="17039" xr:uid="{00000000-0005-0000-0000-0000873F0000}"/>
    <cellStyle name="Normal 5 2 4 5" xfId="17040" xr:uid="{00000000-0005-0000-0000-0000883F0000}"/>
    <cellStyle name="Normal 5 2 4 5 2" xfId="17041" xr:uid="{00000000-0005-0000-0000-0000893F0000}"/>
    <cellStyle name="Normal 5 2 4 6" xfId="17042" xr:uid="{00000000-0005-0000-0000-00008A3F0000}"/>
    <cellStyle name="Normal 5 2 5" xfId="775" xr:uid="{00000000-0005-0000-0000-00008B3F0000}"/>
    <cellStyle name="Normal 5 2 5 2" xfId="17043" xr:uid="{00000000-0005-0000-0000-00008C3F0000}"/>
    <cellStyle name="Normal 5 2 5 2 2" xfId="17044" xr:uid="{00000000-0005-0000-0000-00008D3F0000}"/>
    <cellStyle name="Normal 5 2 5 2 2 2" xfId="17045" xr:uid="{00000000-0005-0000-0000-00008E3F0000}"/>
    <cellStyle name="Normal 5 2 5 2 3" xfId="17046" xr:uid="{00000000-0005-0000-0000-00008F3F0000}"/>
    <cellStyle name="Normal 5 2 5 3" xfId="17047" xr:uid="{00000000-0005-0000-0000-0000903F0000}"/>
    <cellStyle name="Normal 5 2 5 3 2" xfId="17048" xr:uid="{00000000-0005-0000-0000-0000913F0000}"/>
    <cellStyle name="Normal 5 2 5 4" xfId="17049" xr:uid="{00000000-0005-0000-0000-0000923F0000}"/>
    <cellStyle name="Normal 5 2 5 4 2" xfId="17050" xr:uid="{00000000-0005-0000-0000-0000933F0000}"/>
    <cellStyle name="Normal 5 2 5 5" xfId="17051" xr:uid="{00000000-0005-0000-0000-0000943F0000}"/>
    <cellStyle name="Normal 5 2 6" xfId="774" xr:uid="{00000000-0005-0000-0000-0000953F0000}"/>
    <cellStyle name="Normal 5 2 6 2" xfId="17052" xr:uid="{00000000-0005-0000-0000-0000963F0000}"/>
    <cellStyle name="Normal 5 2 6 2 2" xfId="17053" xr:uid="{00000000-0005-0000-0000-0000973F0000}"/>
    <cellStyle name="Normal 5 2 6 3" xfId="17054" xr:uid="{00000000-0005-0000-0000-0000983F0000}"/>
    <cellStyle name="Normal 5 2 6 3 2" xfId="17055" xr:uid="{00000000-0005-0000-0000-0000993F0000}"/>
    <cellStyle name="Normal 5 2 6 4" xfId="17056" xr:uid="{00000000-0005-0000-0000-00009A3F0000}"/>
    <cellStyle name="Normal 5 2 7" xfId="17057" xr:uid="{00000000-0005-0000-0000-00009B3F0000}"/>
    <cellStyle name="Normal 5 2 7 2" xfId="17058" xr:uid="{00000000-0005-0000-0000-00009C3F0000}"/>
    <cellStyle name="Normal 5 2 7 2 2" xfId="17059" xr:uid="{00000000-0005-0000-0000-00009D3F0000}"/>
    <cellStyle name="Normal 5 2 7 3" xfId="17060" xr:uid="{00000000-0005-0000-0000-00009E3F0000}"/>
    <cellStyle name="Normal 5 2 8" xfId="17061" xr:uid="{00000000-0005-0000-0000-00009F3F0000}"/>
    <cellStyle name="Normal 5 2 8 2" xfId="17062" xr:uid="{00000000-0005-0000-0000-0000A03F0000}"/>
    <cellStyle name="Normal 5 2 8 3" xfId="17063" xr:uid="{00000000-0005-0000-0000-0000A13F0000}"/>
    <cellStyle name="Normal 5 2 9" xfId="17064" xr:uid="{00000000-0005-0000-0000-0000A23F0000}"/>
    <cellStyle name="Normal 5 2 9 2" xfId="17065" xr:uid="{00000000-0005-0000-0000-0000A33F0000}"/>
    <cellStyle name="Normal 5 3" xfId="773" xr:uid="{00000000-0005-0000-0000-0000A43F0000}"/>
    <cellStyle name="Normal 5 3 2" xfId="772" xr:uid="{00000000-0005-0000-0000-0000A53F0000}"/>
    <cellStyle name="Normal 5 3 2 2" xfId="771" xr:uid="{00000000-0005-0000-0000-0000A63F0000}"/>
    <cellStyle name="Normal 5 3 2 2 2" xfId="770" xr:uid="{00000000-0005-0000-0000-0000A73F0000}"/>
    <cellStyle name="Normal 5 3 2 2 3" xfId="769" xr:uid="{00000000-0005-0000-0000-0000A83F0000}"/>
    <cellStyle name="Normal 5 3 2 3" xfId="768" xr:uid="{00000000-0005-0000-0000-0000A93F0000}"/>
    <cellStyle name="Normal 5 3 2 4" xfId="767" xr:uid="{00000000-0005-0000-0000-0000AA3F0000}"/>
    <cellStyle name="Normal 5 3 3" xfId="766" xr:uid="{00000000-0005-0000-0000-0000AB3F0000}"/>
    <cellStyle name="Normal 5 3 3 2" xfId="765" xr:uid="{00000000-0005-0000-0000-0000AC3F0000}"/>
    <cellStyle name="Normal 5 3 3 3" xfId="764" xr:uid="{00000000-0005-0000-0000-0000AD3F0000}"/>
    <cellStyle name="Normal 5 3 4" xfId="763" xr:uid="{00000000-0005-0000-0000-0000AE3F0000}"/>
    <cellStyle name="Normal 5 3 4 2" xfId="762" xr:uid="{00000000-0005-0000-0000-0000AF3F0000}"/>
    <cellStyle name="Normal 5 3 4 3" xfId="761" xr:uid="{00000000-0005-0000-0000-0000B03F0000}"/>
    <cellStyle name="Normal 5 3 5" xfId="760" xr:uid="{00000000-0005-0000-0000-0000B13F0000}"/>
    <cellStyle name="Normal 5 3 5 2" xfId="17066" xr:uid="{00000000-0005-0000-0000-0000B23F0000}"/>
    <cellStyle name="Normal 5 3 5 2 2" xfId="17067" xr:uid="{00000000-0005-0000-0000-0000B33F0000}"/>
    <cellStyle name="Normal 5 3 5 3" xfId="17068" xr:uid="{00000000-0005-0000-0000-0000B43F0000}"/>
    <cellStyle name="Normal 5 3 5 3 2" xfId="17069" xr:uid="{00000000-0005-0000-0000-0000B53F0000}"/>
    <cellStyle name="Normal 5 3 5 4" xfId="17070" xr:uid="{00000000-0005-0000-0000-0000B63F0000}"/>
    <cellStyle name="Normal 5 3 5 5" xfId="17071" xr:uid="{00000000-0005-0000-0000-0000B73F0000}"/>
    <cellStyle name="Normal 5 3 6" xfId="759" xr:uid="{00000000-0005-0000-0000-0000B83F0000}"/>
    <cellStyle name="Normal 5 3 6 2" xfId="17072" xr:uid="{00000000-0005-0000-0000-0000B93F0000}"/>
    <cellStyle name="Normal 5 3 7" xfId="17073" xr:uid="{00000000-0005-0000-0000-0000BA3F0000}"/>
    <cellStyle name="Normal 5 4" xfId="758" xr:uid="{00000000-0005-0000-0000-0000BB3F0000}"/>
    <cellStyle name="Normal 5 4 10" xfId="17074" xr:uid="{00000000-0005-0000-0000-0000BC3F0000}"/>
    <cellStyle name="Normal 5 4 2" xfId="757" xr:uid="{00000000-0005-0000-0000-0000BD3F0000}"/>
    <cellStyle name="Normal 5 4 2 2" xfId="756" xr:uid="{00000000-0005-0000-0000-0000BE3F0000}"/>
    <cellStyle name="Normal 5 4 2 2 2" xfId="755" xr:uid="{00000000-0005-0000-0000-0000BF3F0000}"/>
    <cellStyle name="Normal 5 4 2 2 2 2" xfId="17075" xr:uid="{00000000-0005-0000-0000-0000C03F0000}"/>
    <cellStyle name="Normal 5 4 2 2 3" xfId="754" xr:uid="{00000000-0005-0000-0000-0000C13F0000}"/>
    <cellStyle name="Normal 5 4 2 2 3 2" xfId="17076" xr:uid="{00000000-0005-0000-0000-0000C23F0000}"/>
    <cellStyle name="Normal 5 4 2 2 4" xfId="17077" xr:uid="{00000000-0005-0000-0000-0000C33F0000}"/>
    <cellStyle name="Normal 5 4 2 2 5" xfId="17078" xr:uid="{00000000-0005-0000-0000-0000C43F0000}"/>
    <cellStyle name="Normal 5 4 2 3" xfId="753" xr:uid="{00000000-0005-0000-0000-0000C53F0000}"/>
    <cellStyle name="Normal 5 4 2 3 2" xfId="17079" xr:uid="{00000000-0005-0000-0000-0000C63F0000}"/>
    <cellStyle name="Normal 5 4 2 3 2 2" xfId="17080" xr:uid="{00000000-0005-0000-0000-0000C73F0000}"/>
    <cellStyle name="Normal 5 4 2 3 3" xfId="17081" xr:uid="{00000000-0005-0000-0000-0000C83F0000}"/>
    <cellStyle name="Normal 5 4 2 4" xfId="752" xr:uid="{00000000-0005-0000-0000-0000C93F0000}"/>
    <cellStyle name="Normal 5 4 2 4 2" xfId="17082" xr:uid="{00000000-0005-0000-0000-0000CA3F0000}"/>
    <cellStyle name="Normal 5 4 2 5" xfId="17083" xr:uid="{00000000-0005-0000-0000-0000CB3F0000}"/>
    <cellStyle name="Normal 5 4 2 5 2" xfId="17084" xr:uid="{00000000-0005-0000-0000-0000CC3F0000}"/>
    <cellStyle name="Normal 5 4 2 6" xfId="17085" xr:uid="{00000000-0005-0000-0000-0000CD3F0000}"/>
    <cellStyle name="Normal 5 4 3" xfId="751" xr:uid="{00000000-0005-0000-0000-0000CE3F0000}"/>
    <cellStyle name="Normal 5 4 3 2" xfId="750" xr:uid="{00000000-0005-0000-0000-0000CF3F0000}"/>
    <cellStyle name="Normal 5 4 3 2 2" xfId="17086" xr:uid="{00000000-0005-0000-0000-0000D03F0000}"/>
    <cellStyle name="Normal 5 4 3 2 2 2" xfId="17087" xr:uid="{00000000-0005-0000-0000-0000D13F0000}"/>
    <cellStyle name="Normal 5 4 3 2 3" xfId="17088" xr:uid="{00000000-0005-0000-0000-0000D23F0000}"/>
    <cellStyle name="Normal 5 4 3 3" xfId="749" xr:uid="{00000000-0005-0000-0000-0000D33F0000}"/>
    <cellStyle name="Normal 5 4 3 3 2" xfId="17089" xr:uid="{00000000-0005-0000-0000-0000D43F0000}"/>
    <cellStyle name="Normal 5 4 3 4" xfId="17090" xr:uid="{00000000-0005-0000-0000-0000D53F0000}"/>
    <cellStyle name="Normal 5 4 3 4 2" xfId="17091" xr:uid="{00000000-0005-0000-0000-0000D63F0000}"/>
    <cellStyle name="Normal 5 4 3 5" xfId="17092" xr:uid="{00000000-0005-0000-0000-0000D73F0000}"/>
    <cellStyle name="Normal 5 4 4" xfId="748" xr:uid="{00000000-0005-0000-0000-0000D83F0000}"/>
    <cellStyle name="Normal 5 4 4 2" xfId="747" xr:uid="{00000000-0005-0000-0000-0000D93F0000}"/>
    <cellStyle name="Normal 5 4 4 2 2" xfId="17093" xr:uid="{00000000-0005-0000-0000-0000DA3F0000}"/>
    <cellStyle name="Normal 5 4 4 3" xfId="746" xr:uid="{00000000-0005-0000-0000-0000DB3F0000}"/>
    <cellStyle name="Normal 5 4 4 3 2" xfId="17094" xr:uid="{00000000-0005-0000-0000-0000DC3F0000}"/>
    <cellStyle name="Normal 5 4 4 4" xfId="17095" xr:uid="{00000000-0005-0000-0000-0000DD3F0000}"/>
    <cellStyle name="Normal 5 4 4 4 2" xfId="17096" xr:uid="{00000000-0005-0000-0000-0000DE3F0000}"/>
    <cellStyle name="Normal 5 4 4 5" xfId="17097" xr:uid="{00000000-0005-0000-0000-0000DF3F0000}"/>
    <cellStyle name="Normal 5 4 5" xfId="745" xr:uid="{00000000-0005-0000-0000-0000E03F0000}"/>
    <cellStyle name="Normal 5 4 5 2" xfId="17098" xr:uid="{00000000-0005-0000-0000-0000E13F0000}"/>
    <cellStyle name="Normal 5 4 5 2 2" xfId="17099" xr:uid="{00000000-0005-0000-0000-0000E23F0000}"/>
    <cellStyle name="Normal 5 4 5 3" xfId="17100" xr:uid="{00000000-0005-0000-0000-0000E33F0000}"/>
    <cellStyle name="Normal 5 4 6" xfId="744" xr:uid="{00000000-0005-0000-0000-0000E43F0000}"/>
    <cellStyle name="Normal 5 4 6 2" xfId="17101" xr:uid="{00000000-0005-0000-0000-0000E53F0000}"/>
    <cellStyle name="Normal 5 4 6 2 2" xfId="17102" xr:uid="{00000000-0005-0000-0000-0000E63F0000}"/>
    <cellStyle name="Normal 5 4 6 3" xfId="17103" xr:uid="{00000000-0005-0000-0000-0000E73F0000}"/>
    <cellStyle name="Normal 5 4 7" xfId="17104" xr:uid="{00000000-0005-0000-0000-0000E83F0000}"/>
    <cellStyle name="Normal 5 4 7 2" xfId="17105" xr:uid="{00000000-0005-0000-0000-0000E93F0000}"/>
    <cellStyle name="Normal 5 4 8" xfId="17106" xr:uid="{00000000-0005-0000-0000-0000EA3F0000}"/>
    <cellStyle name="Normal 5 4 9" xfId="17107" xr:uid="{00000000-0005-0000-0000-0000EB3F0000}"/>
    <cellStyle name="Normal 5 5" xfId="743" xr:uid="{00000000-0005-0000-0000-0000EC3F0000}"/>
    <cellStyle name="Normal 5 5 2" xfId="742" xr:uid="{00000000-0005-0000-0000-0000ED3F0000}"/>
    <cellStyle name="Normal 5 5 2 2" xfId="741" xr:uid="{00000000-0005-0000-0000-0000EE3F0000}"/>
    <cellStyle name="Normal 5 5 2 2 2" xfId="740" xr:uid="{00000000-0005-0000-0000-0000EF3F0000}"/>
    <cellStyle name="Normal 5 5 2 2 2 2" xfId="17108" xr:uid="{00000000-0005-0000-0000-0000F03F0000}"/>
    <cellStyle name="Normal 5 5 2 2 3" xfId="739" xr:uid="{00000000-0005-0000-0000-0000F13F0000}"/>
    <cellStyle name="Normal 5 5 2 2 3 2" xfId="17109" xr:uid="{00000000-0005-0000-0000-0000F23F0000}"/>
    <cellStyle name="Normal 5 5 2 2 4" xfId="17110" xr:uid="{00000000-0005-0000-0000-0000F33F0000}"/>
    <cellStyle name="Normal 5 5 2 2 5" xfId="17111" xr:uid="{00000000-0005-0000-0000-0000F43F0000}"/>
    <cellStyle name="Normal 5 5 2 3" xfId="738" xr:uid="{00000000-0005-0000-0000-0000F53F0000}"/>
    <cellStyle name="Normal 5 5 2 3 2" xfId="17112" xr:uid="{00000000-0005-0000-0000-0000F63F0000}"/>
    <cellStyle name="Normal 5 5 2 3 2 2" xfId="17113" xr:uid="{00000000-0005-0000-0000-0000F73F0000}"/>
    <cellStyle name="Normal 5 5 2 3 3" xfId="17114" xr:uid="{00000000-0005-0000-0000-0000F83F0000}"/>
    <cellStyle name="Normal 5 5 2 4" xfId="737" xr:uid="{00000000-0005-0000-0000-0000F93F0000}"/>
    <cellStyle name="Normal 5 5 2 4 2" xfId="17115" xr:uid="{00000000-0005-0000-0000-0000FA3F0000}"/>
    <cellStyle name="Normal 5 5 2 5" xfId="17116" xr:uid="{00000000-0005-0000-0000-0000FB3F0000}"/>
    <cellStyle name="Normal 5 5 2 5 2" xfId="17117" xr:uid="{00000000-0005-0000-0000-0000FC3F0000}"/>
    <cellStyle name="Normal 5 5 2 6" xfId="17118" xr:uid="{00000000-0005-0000-0000-0000FD3F0000}"/>
    <cellStyle name="Normal 5 5 3" xfId="736" xr:uid="{00000000-0005-0000-0000-0000FE3F0000}"/>
    <cellStyle name="Normal 5 5 3 2" xfId="735" xr:uid="{00000000-0005-0000-0000-0000FF3F0000}"/>
    <cellStyle name="Normal 5 5 3 2 2" xfId="17119" xr:uid="{00000000-0005-0000-0000-000000400000}"/>
    <cellStyle name="Normal 5 5 3 2 2 2" xfId="17120" xr:uid="{00000000-0005-0000-0000-000001400000}"/>
    <cellStyle name="Normal 5 5 3 2 3" xfId="17121" xr:uid="{00000000-0005-0000-0000-000002400000}"/>
    <cellStyle name="Normal 5 5 3 3" xfId="734" xr:uid="{00000000-0005-0000-0000-000003400000}"/>
    <cellStyle name="Normal 5 5 3 3 2" xfId="17122" xr:uid="{00000000-0005-0000-0000-000004400000}"/>
    <cellStyle name="Normal 5 5 3 4" xfId="17123" xr:uid="{00000000-0005-0000-0000-000005400000}"/>
    <cellStyle name="Normal 5 5 3 4 2" xfId="17124" xr:uid="{00000000-0005-0000-0000-000006400000}"/>
    <cellStyle name="Normal 5 5 3 5" xfId="17125" xr:uid="{00000000-0005-0000-0000-000007400000}"/>
    <cellStyle name="Normal 5 5 4" xfId="733" xr:uid="{00000000-0005-0000-0000-000008400000}"/>
    <cellStyle name="Normal 5 5 4 2" xfId="732" xr:uid="{00000000-0005-0000-0000-000009400000}"/>
    <cellStyle name="Normal 5 5 4 2 2" xfId="17126" xr:uid="{00000000-0005-0000-0000-00000A400000}"/>
    <cellStyle name="Normal 5 5 4 3" xfId="731" xr:uid="{00000000-0005-0000-0000-00000B400000}"/>
    <cellStyle name="Normal 5 5 4 3 2" xfId="17127" xr:uid="{00000000-0005-0000-0000-00000C400000}"/>
    <cellStyle name="Normal 5 5 4 4" xfId="17128" xr:uid="{00000000-0005-0000-0000-00000D400000}"/>
    <cellStyle name="Normal 5 5 5" xfId="730" xr:uid="{00000000-0005-0000-0000-00000E400000}"/>
    <cellStyle name="Normal 5 5 5 2" xfId="17129" xr:uid="{00000000-0005-0000-0000-00000F400000}"/>
    <cellStyle name="Normal 5 5 5 2 2" xfId="17130" xr:uid="{00000000-0005-0000-0000-000010400000}"/>
    <cellStyle name="Normal 5 5 5 3" xfId="17131" xr:uid="{00000000-0005-0000-0000-000011400000}"/>
    <cellStyle name="Normal 5 5 6" xfId="729" xr:uid="{00000000-0005-0000-0000-000012400000}"/>
    <cellStyle name="Normal 5 5 6 2" xfId="17132" xr:uid="{00000000-0005-0000-0000-000013400000}"/>
    <cellStyle name="Normal 5 5 6 3" xfId="17133" xr:uid="{00000000-0005-0000-0000-000014400000}"/>
    <cellStyle name="Normal 5 5 7" xfId="17134" xr:uid="{00000000-0005-0000-0000-000015400000}"/>
    <cellStyle name="Normal 5 5 7 2" xfId="17135" xr:uid="{00000000-0005-0000-0000-000016400000}"/>
    <cellStyle name="Normal 5 5 8" xfId="17136" xr:uid="{00000000-0005-0000-0000-000017400000}"/>
    <cellStyle name="Normal 5 5 9" xfId="17137" xr:uid="{00000000-0005-0000-0000-000018400000}"/>
    <cellStyle name="Normal 5 6" xfId="728" xr:uid="{00000000-0005-0000-0000-000019400000}"/>
    <cellStyle name="Normal 5 6 2" xfId="727" xr:uid="{00000000-0005-0000-0000-00001A400000}"/>
    <cellStyle name="Normal 5 6 2 2" xfId="726" xr:uid="{00000000-0005-0000-0000-00001B400000}"/>
    <cellStyle name="Normal 5 6 2 2 2" xfId="725" xr:uid="{00000000-0005-0000-0000-00001C400000}"/>
    <cellStyle name="Normal 5 6 2 2 2 2" xfId="17138" xr:uid="{00000000-0005-0000-0000-00001D400000}"/>
    <cellStyle name="Normal 5 6 2 2 3" xfId="724" xr:uid="{00000000-0005-0000-0000-00001E400000}"/>
    <cellStyle name="Normal 5 6 2 3" xfId="723" xr:uid="{00000000-0005-0000-0000-00001F400000}"/>
    <cellStyle name="Normal 5 6 2 3 2" xfId="17139" xr:uid="{00000000-0005-0000-0000-000020400000}"/>
    <cellStyle name="Normal 5 6 2 4" xfId="722" xr:uid="{00000000-0005-0000-0000-000021400000}"/>
    <cellStyle name="Normal 5 6 2 4 2" xfId="17140" xr:uid="{00000000-0005-0000-0000-000022400000}"/>
    <cellStyle name="Normal 5 6 2 5" xfId="17141" xr:uid="{00000000-0005-0000-0000-000023400000}"/>
    <cellStyle name="Normal 5 6 3" xfId="721" xr:uid="{00000000-0005-0000-0000-000024400000}"/>
    <cellStyle name="Normal 5 6 3 2" xfId="720" xr:uid="{00000000-0005-0000-0000-000025400000}"/>
    <cellStyle name="Normal 5 6 3 2 2" xfId="17142" xr:uid="{00000000-0005-0000-0000-000026400000}"/>
    <cellStyle name="Normal 5 6 3 3" xfId="719" xr:uid="{00000000-0005-0000-0000-000027400000}"/>
    <cellStyle name="Normal 5 6 3 3 2" xfId="17143" xr:uid="{00000000-0005-0000-0000-000028400000}"/>
    <cellStyle name="Normal 5 6 3 4" xfId="17144" xr:uid="{00000000-0005-0000-0000-000029400000}"/>
    <cellStyle name="Normal 5 6 4" xfId="718" xr:uid="{00000000-0005-0000-0000-00002A400000}"/>
    <cellStyle name="Normal 5 6 4 2" xfId="717" xr:uid="{00000000-0005-0000-0000-00002B400000}"/>
    <cellStyle name="Normal 5 6 4 2 2" xfId="17145" xr:uid="{00000000-0005-0000-0000-00002C400000}"/>
    <cellStyle name="Normal 5 6 4 3" xfId="716" xr:uid="{00000000-0005-0000-0000-00002D400000}"/>
    <cellStyle name="Normal 5 6 5" xfId="715" xr:uid="{00000000-0005-0000-0000-00002E400000}"/>
    <cellStyle name="Normal 5 6 5 2" xfId="17146" xr:uid="{00000000-0005-0000-0000-00002F400000}"/>
    <cellStyle name="Normal 5 6 5 3" xfId="17147" xr:uid="{00000000-0005-0000-0000-000030400000}"/>
    <cellStyle name="Normal 5 6 6" xfId="714" xr:uid="{00000000-0005-0000-0000-000031400000}"/>
    <cellStyle name="Normal 5 6 6 2" xfId="17148" xr:uid="{00000000-0005-0000-0000-000032400000}"/>
    <cellStyle name="Normal 5 6 7" xfId="17149" xr:uid="{00000000-0005-0000-0000-000033400000}"/>
    <cellStyle name="Normal 5 6 8" xfId="17150" xr:uid="{00000000-0005-0000-0000-000034400000}"/>
    <cellStyle name="Normal 5 7" xfId="713" xr:uid="{00000000-0005-0000-0000-000035400000}"/>
    <cellStyle name="Normal 5 7 2" xfId="712" xr:uid="{00000000-0005-0000-0000-000036400000}"/>
    <cellStyle name="Normal 5 7 2 2" xfId="711" xr:uid="{00000000-0005-0000-0000-000037400000}"/>
    <cellStyle name="Normal 5 7 2 3" xfId="710" xr:uid="{00000000-0005-0000-0000-000038400000}"/>
    <cellStyle name="Normal 5 7 3" xfId="709" xr:uid="{00000000-0005-0000-0000-000039400000}"/>
    <cellStyle name="Normal 5 7 3 2" xfId="17151" xr:uid="{00000000-0005-0000-0000-00003A400000}"/>
    <cellStyle name="Normal 5 7 4" xfId="708" xr:uid="{00000000-0005-0000-0000-00003B400000}"/>
    <cellStyle name="Normal 5 8" xfId="707" xr:uid="{00000000-0005-0000-0000-00003C400000}"/>
    <cellStyle name="Normal 5 8 2" xfId="706" xr:uid="{00000000-0005-0000-0000-00003D400000}"/>
    <cellStyle name="Normal 5 8 3" xfId="705" xr:uid="{00000000-0005-0000-0000-00003E400000}"/>
    <cellStyle name="Normal 5 9" xfId="704" xr:uid="{00000000-0005-0000-0000-00003F400000}"/>
    <cellStyle name="Normal 5 9 2" xfId="703" xr:uid="{00000000-0005-0000-0000-000040400000}"/>
    <cellStyle name="Normal 5 9 3" xfId="702" xr:uid="{00000000-0005-0000-0000-000041400000}"/>
    <cellStyle name="Normal 50" xfId="701" xr:uid="{00000000-0005-0000-0000-000042400000}"/>
    <cellStyle name="Normal 50 2" xfId="700" xr:uid="{00000000-0005-0000-0000-000043400000}"/>
    <cellStyle name="Normal 50 2 2" xfId="699" xr:uid="{00000000-0005-0000-0000-000044400000}"/>
    <cellStyle name="Normal 50 2 2 2" xfId="17152" xr:uid="{00000000-0005-0000-0000-000045400000}"/>
    <cellStyle name="Normal 50 2 2 2 2" xfId="17153" xr:uid="{00000000-0005-0000-0000-000046400000}"/>
    <cellStyle name="Normal 50 2 2 3" xfId="17154" xr:uid="{00000000-0005-0000-0000-000047400000}"/>
    <cellStyle name="Normal 50 2 2 3 2" xfId="17155" xr:uid="{00000000-0005-0000-0000-000048400000}"/>
    <cellStyle name="Normal 50 2 2 4" xfId="17156" xr:uid="{00000000-0005-0000-0000-000049400000}"/>
    <cellStyle name="Normal 50 2 2 4 2" xfId="17157" xr:uid="{00000000-0005-0000-0000-00004A400000}"/>
    <cellStyle name="Normal 50 2 2 5" xfId="17158" xr:uid="{00000000-0005-0000-0000-00004B400000}"/>
    <cellStyle name="Normal 50 2 3" xfId="698" xr:uid="{00000000-0005-0000-0000-00004C400000}"/>
    <cellStyle name="Normal 50 2 3 2" xfId="17159" xr:uid="{00000000-0005-0000-0000-00004D400000}"/>
    <cellStyle name="Normal 50 2 3 2 2" xfId="17160" xr:uid="{00000000-0005-0000-0000-00004E400000}"/>
    <cellStyle name="Normal 50 2 3 3" xfId="17161" xr:uid="{00000000-0005-0000-0000-00004F400000}"/>
    <cellStyle name="Normal 50 2 4" xfId="697" xr:uid="{00000000-0005-0000-0000-000050400000}"/>
    <cellStyle name="Normal 50 2 4 2" xfId="17162" xr:uid="{00000000-0005-0000-0000-000051400000}"/>
    <cellStyle name="Normal 50 2 5" xfId="17163" xr:uid="{00000000-0005-0000-0000-000052400000}"/>
    <cellStyle name="Normal 50 2 5 2" xfId="17164" xr:uid="{00000000-0005-0000-0000-000053400000}"/>
    <cellStyle name="Normal 50 2 6" xfId="17165" xr:uid="{00000000-0005-0000-0000-000054400000}"/>
    <cellStyle name="Normal 50 3" xfId="17166" xr:uid="{00000000-0005-0000-0000-000055400000}"/>
    <cellStyle name="Normal 50 3 2" xfId="17167" xr:uid="{00000000-0005-0000-0000-000056400000}"/>
    <cellStyle name="Normal 50 3 2 2" xfId="17168" xr:uid="{00000000-0005-0000-0000-000057400000}"/>
    <cellStyle name="Normal 50 3 3" xfId="17169" xr:uid="{00000000-0005-0000-0000-000058400000}"/>
    <cellStyle name="Normal 50 3 3 2" xfId="17170" xr:uid="{00000000-0005-0000-0000-000059400000}"/>
    <cellStyle name="Normal 50 3 4" xfId="17171" xr:uid="{00000000-0005-0000-0000-00005A400000}"/>
    <cellStyle name="Normal 50 4" xfId="17172" xr:uid="{00000000-0005-0000-0000-00005B400000}"/>
    <cellStyle name="Normal 50 4 2" xfId="17173" xr:uid="{00000000-0005-0000-0000-00005C400000}"/>
    <cellStyle name="Normal 50 4 3" xfId="17174" xr:uid="{00000000-0005-0000-0000-00005D400000}"/>
    <cellStyle name="Normal 50 5" xfId="17175" xr:uid="{00000000-0005-0000-0000-00005E400000}"/>
    <cellStyle name="Normal 50 5 2" xfId="17176" xr:uid="{00000000-0005-0000-0000-00005F400000}"/>
    <cellStyle name="Normal 50 5 3" xfId="17177" xr:uid="{00000000-0005-0000-0000-000060400000}"/>
    <cellStyle name="Normal 50 5 4" xfId="17178" xr:uid="{00000000-0005-0000-0000-000061400000}"/>
    <cellStyle name="Normal 50 6" xfId="17179" xr:uid="{00000000-0005-0000-0000-000062400000}"/>
    <cellStyle name="Normal 50 6 2" xfId="17180" xr:uid="{00000000-0005-0000-0000-000063400000}"/>
    <cellStyle name="Normal 50 6 3" xfId="17181" xr:uid="{00000000-0005-0000-0000-000064400000}"/>
    <cellStyle name="Normal 50 7" xfId="17182" xr:uid="{00000000-0005-0000-0000-000065400000}"/>
    <cellStyle name="Normal 50 8" xfId="17183" xr:uid="{00000000-0005-0000-0000-000066400000}"/>
    <cellStyle name="Normal 51" xfId="696" xr:uid="{00000000-0005-0000-0000-000067400000}"/>
    <cellStyle name="Normal 51 2" xfId="695" xr:uid="{00000000-0005-0000-0000-000068400000}"/>
    <cellStyle name="Normal 51 2 2" xfId="694" xr:uid="{00000000-0005-0000-0000-000069400000}"/>
    <cellStyle name="Normal 51 2 2 2" xfId="17184" xr:uid="{00000000-0005-0000-0000-00006A400000}"/>
    <cellStyle name="Normal 51 2 3" xfId="693" xr:uid="{00000000-0005-0000-0000-00006B400000}"/>
    <cellStyle name="Normal 51 2 3 2" xfId="17185" xr:uid="{00000000-0005-0000-0000-00006C400000}"/>
    <cellStyle name="Normal 51 2 4" xfId="17186" xr:uid="{00000000-0005-0000-0000-00006D400000}"/>
    <cellStyle name="Normal 51 3" xfId="17187" xr:uid="{00000000-0005-0000-0000-00006E400000}"/>
    <cellStyle name="Normal 51 3 2" xfId="17188" xr:uid="{00000000-0005-0000-0000-00006F400000}"/>
    <cellStyle name="Normal 51 3 3" xfId="17189" xr:uid="{00000000-0005-0000-0000-000070400000}"/>
    <cellStyle name="Normal 51 4" xfId="17190" xr:uid="{00000000-0005-0000-0000-000071400000}"/>
    <cellStyle name="Normal 51 4 2" xfId="17191" xr:uid="{00000000-0005-0000-0000-000072400000}"/>
    <cellStyle name="Normal 51 4 3" xfId="17192" xr:uid="{00000000-0005-0000-0000-000073400000}"/>
    <cellStyle name="Normal 51 4 4" xfId="17193" xr:uid="{00000000-0005-0000-0000-000074400000}"/>
    <cellStyle name="Normal 51 5" xfId="17194" xr:uid="{00000000-0005-0000-0000-000075400000}"/>
    <cellStyle name="Normal 51 5 2" xfId="17195" xr:uid="{00000000-0005-0000-0000-000076400000}"/>
    <cellStyle name="Normal 51 5 3" xfId="17196" xr:uid="{00000000-0005-0000-0000-000077400000}"/>
    <cellStyle name="Normal 51 6" xfId="17197" xr:uid="{00000000-0005-0000-0000-000078400000}"/>
    <cellStyle name="Normal 51 7" xfId="17198" xr:uid="{00000000-0005-0000-0000-000079400000}"/>
    <cellStyle name="Normal 52" xfId="692" xr:uid="{00000000-0005-0000-0000-00007A400000}"/>
    <cellStyle name="Normal 52 2" xfId="691" xr:uid="{00000000-0005-0000-0000-00007B400000}"/>
    <cellStyle name="Normal 52 2 2" xfId="17199" xr:uid="{00000000-0005-0000-0000-00007C400000}"/>
    <cellStyle name="Normal 52 2 3" xfId="17200" xr:uid="{00000000-0005-0000-0000-00007D400000}"/>
    <cellStyle name="Normal 52 3" xfId="17201" xr:uid="{00000000-0005-0000-0000-00007E400000}"/>
    <cellStyle name="Normal 52 3 2" xfId="17202" xr:uid="{00000000-0005-0000-0000-00007F400000}"/>
    <cellStyle name="Normal 52 4" xfId="17203" xr:uid="{00000000-0005-0000-0000-000080400000}"/>
    <cellStyle name="Normal 52 5" xfId="17204" xr:uid="{00000000-0005-0000-0000-000081400000}"/>
    <cellStyle name="Normal 53" xfId="690" xr:uid="{00000000-0005-0000-0000-000082400000}"/>
    <cellStyle name="Normal 53 2" xfId="689" xr:uid="{00000000-0005-0000-0000-000083400000}"/>
    <cellStyle name="Normal 53 2 2" xfId="17205" xr:uid="{00000000-0005-0000-0000-000084400000}"/>
    <cellStyle name="Normal 53 2 3" xfId="17206" xr:uid="{00000000-0005-0000-0000-000085400000}"/>
    <cellStyle name="Normal 53 3" xfId="688" xr:uid="{00000000-0005-0000-0000-000086400000}"/>
    <cellStyle name="Normal 54" xfId="687" xr:uid="{00000000-0005-0000-0000-000087400000}"/>
    <cellStyle name="Normal 54 2" xfId="686" xr:uid="{00000000-0005-0000-0000-000088400000}"/>
    <cellStyle name="Normal 54 3" xfId="685" xr:uid="{00000000-0005-0000-0000-000089400000}"/>
    <cellStyle name="Normal 54 4" xfId="17207" xr:uid="{00000000-0005-0000-0000-00008A400000}"/>
    <cellStyle name="Normal 55" xfId="684" xr:uid="{00000000-0005-0000-0000-00008B400000}"/>
    <cellStyle name="Normal 55 2" xfId="683" xr:uid="{00000000-0005-0000-0000-00008C400000}"/>
    <cellStyle name="Normal 55 3" xfId="17208" xr:uid="{00000000-0005-0000-0000-00008D400000}"/>
    <cellStyle name="Normal 56" xfId="682" xr:uid="{00000000-0005-0000-0000-00008E400000}"/>
    <cellStyle name="Normal 56 2" xfId="681" xr:uid="{00000000-0005-0000-0000-00008F400000}"/>
    <cellStyle name="Normal 56 3" xfId="17209" xr:uid="{00000000-0005-0000-0000-000090400000}"/>
    <cellStyle name="Normal 57" xfId="680" xr:uid="{00000000-0005-0000-0000-000091400000}"/>
    <cellStyle name="Normal 57 2" xfId="679" xr:uid="{00000000-0005-0000-0000-000092400000}"/>
    <cellStyle name="Normal 57 3" xfId="17210" xr:uid="{00000000-0005-0000-0000-000093400000}"/>
    <cellStyle name="Normal 58" xfId="678" xr:uid="{00000000-0005-0000-0000-000094400000}"/>
    <cellStyle name="Normal 58 2" xfId="17211" xr:uid="{00000000-0005-0000-0000-000095400000}"/>
    <cellStyle name="Normal 58 3" xfId="17212" xr:uid="{00000000-0005-0000-0000-000096400000}"/>
    <cellStyle name="Normal 59" xfId="677" xr:uid="{00000000-0005-0000-0000-000097400000}"/>
    <cellStyle name="Normal 59 2" xfId="17213" xr:uid="{00000000-0005-0000-0000-000098400000}"/>
    <cellStyle name="Normal 59 3" xfId="17214" xr:uid="{00000000-0005-0000-0000-000099400000}"/>
    <cellStyle name="Normal 6" xfId="676" xr:uid="{00000000-0005-0000-0000-00009A400000}"/>
    <cellStyle name="Normal 6 10" xfId="17215" xr:uid="{00000000-0005-0000-0000-00009B400000}"/>
    <cellStyle name="Normal 6 10 2" xfId="17216" xr:uid="{00000000-0005-0000-0000-00009C400000}"/>
    <cellStyle name="Normal 6 11" xfId="17217" xr:uid="{00000000-0005-0000-0000-00009D400000}"/>
    <cellStyle name="Normal 6 12" xfId="17218" xr:uid="{00000000-0005-0000-0000-00009E400000}"/>
    <cellStyle name="Normal 6 12 2" xfId="17219" xr:uid="{00000000-0005-0000-0000-00009F400000}"/>
    <cellStyle name="Normal 6 13" xfId="17220" xr:uid="{00000000-0005-0000-0000-0000A0400000}"/>
    <cellStyle name="Normal 6 2" xfId="675" xr:uid="{00000000-0005-0000-0000-0000A1400000}"/>
    <cellStyle name="Normal 6 2 2" xfId="17221" xr:uid="{00000000-0005-0000-0000-0000A2400000}"/>
    <cellStyle name="Normal 6 2 2 2" xfId="17222" xr:uid="{00000000-0005-0000-0000-0000A3400000}"/>
    <cellStyle name="Normal 6 2 2 2 2" xfId="17223" xr:uid="{00000000-0005-0000-0000-0000A4400000}"/>
    <cellStyle name="Normal 6 2 2 2 3" xfId="17224" xr:uid="{00000000-0005-0000-0000-0000A5400000}"/>
    <cellStyle name="Normal 6 2 2 3" xfId="17225" xr:uid="{00000000-0005-0000-0000-0000A6400000}"/>
    <cellStyle name="Normal 6 2 2 3 2" xfId="17226" xr:uid="{00000000-0005-0000-0000-0000A7400000}"/>
    <cellStyle name="Normal 6 2 2 4" xfId="17227" xr:uid="{00000000-0005-0000-0000-0000A8400000}"/>
    <cellStyle name="Normal 6 2 2 5" xfId="17228" xr:uid="{00000000-0005-0000-0000-0000A9400000}"/>
    <cellStyle name="Normal 6 2 3" xfId="17229" xr:uid="{00000000-0005-0000-0000-0000AA400000}"/>
    <cellStyle name="Normal 6 2 3 2" xfId="17230" xr:uid="{00000000-0005-0000-0000-0000AB400000}"/>
    <cellStyle name="Normal 6 2 3 2 2" xfId="17231" xr:uid="{00000000-0005-0000-0000-0000AC400000}"/>
    <cellStyle name="Normal 6 2 3 3" xfId="17232" xr:uid="{00000000-0005-0000-0000-0000AD400000}"/>
    <cellStyle name="Normal 6 2 3 4" xfId="17233" xr:uid="{00000000-0005-0000-0000-0000AE400000}"/>
    <cellStyle name="Normal 6 2 4" xfId="17234" xr:uid="{00000000-0005-0000-0000-0000AF400000}"/>
    <cellStyle name="Normal 6 2 4 2" xfId="17235" xr:uid="{00000000-0005-0000-0000-0000B0400000}"/>
    <cellStyle name="Normal 6 2 4 2 2" xfId="17236" xr:uid="{00000000-0005-0000-0000-0000B1400000}"/>
    <cellStyle name="Normal 6 2 4 3" xfId="17237" xr:uid="{00000000-0005-0000-0000-0000B2400000}"/>
    <cellStyle name="Normal 6 2 4 4" xfId="17238" xr:uid="{00000000-0005-0000-0000-0000B3400000}"/>
    <cellStyle name="Normal 6 2 5" xfId="17239" xr:uid="{00000000-0005-0000-0000-0000B4400000}"/>
    <cellStyle name="Normal 6 2 5 2" xfId="17240" xr:uid="{00000000-0005-0000-0000-0000B5400000}"/>
    <cellStyle name="Normal 6 2 6" xfId="17241" xr:uid="{00000000-0005-0000-0000-0000B6400000}"/>
    <cellStyle name="Normal 6 2 6 2" xfId="17242" xr:uid="{00000000-0005-0000-0000-0000B7400000}"/>
    <cellStyle name="Normal 6 2 7" xfId="17243" xr:uid="{00000000-0005-0000-0000-0000B8400000}"/>
    <cellStyle name="Normal 6 2 8" xfId="17244" xr:uid="{00000000-0005-0000-0000-0000B9400000}"/>
    <cellStyle name="Normal 6 2 9" xfId="17245" xr:uid="{00000000-0005-0000-0000-0000BA400000}"/>
    <cellStyle name="Normal 6 3" xfId="674" xr:uid="{00000000-0005-0000-0000-0000BB400000}"/>
    <cellStyle name="Normal 6 3 2" xfId="673" xr:uid="{00000000-0005-0000-0000-0000BC400000}"/>
    <cellStyle name="Normal 6 3 2 2" xfId="672" xr:uid="{00000000-0005-0000-0000-0000BD400000}"/>
    <cellStyle name="Normal 6 3 2 2 2" xfId="671" xr:uid="{00000000-0005-0000-0000-0000BE400000}"/>
    <cellStyle name="Normal 6 3 2 2 3" xfId="670" xr:uid="{00000000-0005-0000-0000-0000BF400000}"/>
    <cellStyle name="Normal 6 3 2 3" xfId="669" xr:uid="{00000000-0005-0000-0000-0000C0400000}"/>
    <cellStyle name="Normal 6 3 2 3 2" xfId="17246" xr:uid="{00000000-0005-0000-0000-0000C1400000}"/>
    <cellStyle name="Normal 6 3 2 4" xfId="668" xr:uid="{00000000-0005-0000-0000-0000C2400000}"/>
    <cellStyle name="Normal 6 3 2 5" xfId="17247" xr:uid="{00000000-0005-0000-0000-0000C3400000}"/>
    <cellStyle name="Normal 6 3 3" xfId="667" xr:uid="{00000000-0005-0000-0000-0000C4400000}"/>
    <cellStyle name="Normal 6 3 3 2" xfId="666" xr:uid="{00000000-0005-0000-0000-0000C5400000}"/>
    <cellStyle name="Normal 6 3 3 2 2" xfId="17248" xr:uid="{00000000-0005-0000-0000-0000C6400000}"/>
    <cellStyle name="Normal 6 3 3 3" xfId="665" xr:uid="{00000000-0005-0000-0000-0000C7400000}"/>
    <cellStyle name="Normal 6 3 3 4" xfId="17249" xr:uid="{00000000-0005-0000-0000-0000C8400000}"/>
    <cellStyle name="Normal 6 3 4" xfId="664" xr:uid="{00000000-0005-0000-0000-0000C9400000}"/>
    <cellStyle name="Normal 6 3 4 2" xfId="663" xr:uid="{00000000-0005-0000-0000-0000CA400000}"/>
    <cellStyle name="Normal 6 3 4 3" xfId="662" xr:uid="{00000000-0005-0000-0000-0000CB400000}"/>
    <cellStyle name="Normal 6 3 5" xfId="661" xr:uid="{00000000-0005-0000-0000-0000CC400000}"/>
    <cellStyle name="Normal 6 3 5 2" xfId="17250" xr:uid="{00000000-0005-0000-0000-0000CD400000}"/>
    <cellStyle name="Normal 6 3 6" xfId="660" xr:uid="{00000000-0005-0000-0000-0000CE400000}"/>
    <cellStyle name="Normal 6 3 7" xfId="17251" xr:uid="{00000000-0005-0000-0000-0000CF400000}"/>
    <cellStyle name="Normal 6 4" xfId="659" xr:uid="{00000000-0005-0000-0000-0000D0400000}"/>
    <cellStyle name="Normal 6 4 2" xfId="17252" xr:uid="{00000000-0005-0000-0000-0000D1400000}"/>
    <cellStyle name="Normal 6 4 2 2" xfId="17253" xr:uid="{00000000-0005-0000-0000-0000D2400000}"/>
    <cellStyle name="Normal 6 4 2 2 2" xfId="17254" xr:uid="{00000000-0005-0000-0000-0000D3400000}"/>
    <cellStyle name="Normal 6 4 2 2 3" xfId="17255" xr:uid="{00000000-0005-0000-0000-0000D4400000}"/>
    <cellStyle name="Normal 6 4 2 3" xfId="17256" xr:uid="{00000000-0005-0000-0000-0000D5400000}"/>
    <cellStyle name="Normal 6 4 2 3 2" xfId="17257" xr:uid="{00000000-0005-0000-0000-0000D6400000}"/>
    <cellStyle name="Normal 6 4 2 4" xfId="17258" xr:uid="{00000000-0005-0000-0000-0000D7400000}"/>
    <cellStyle name="Normal 6 4 2 5" xfId="17259" xr:uid="{00000000-0005-0000-0000-0000D8400000}"/>
    <cellStyle name="Normal 6 4 3" xfId="17260" xr:uid="{00000000-0005-0000-0000-0000D9400000}"/>
    <cellStyle name="Normal 6 4 3 2" xfId="17261" xr:uid="{00000000-0005-0000-0000-0000DA400000}"/>
    <cellStyle name="Normal 6 4 3 3" xfId="17262" xr:uid="{00000000-0005-0000-0000-0000DB400000}"/>
    <cellStyle name="Normal 6 4 4" xfId="17263" xr:uid="{00000000-0005-0000-0000-0000DC400000}"/>
    <cellStyle name="Normal 6 4 4 2" xfId="17264" xr:uid="{00000000-0005-0000-0000-0000DD400000}"/>
    <cellStyle name="Normal 6 4 5" xfId="17265" xr:uid="{00000000-0005-0000-0000-0000DE400000}"/>
    <cellStyle name="Normal 6 4 5 2" xfId="17266" xr:uid="{00000000-0005-0000-0000-0000DF400000}"/>
    <cellStyle name="Normal 6 4 6" xfId="17267" xr:uid="{00000000-0005-0000-0000-0000E0400000}"/>
    <cellStyle name="Normal 6 4 7" xfId="17268" xr:uid="{00000000-0005-0000-0000-0000E1400000}"/>
    <cellStyle name="Normal 6 5" xfId="17269" xr:uid="{00000000-0005-0000-0000-0000E2400000}"/>
    <cellStyle name="Normal 6 5 2" xfId="17270" xr:uid="{00000000-0005-0000-0000-0000E3400000}"/>
    <cellStyle name="Normal 6 5 2 2" xfId="17271" xr:uid="{00000000-0005-0000-0000-0000E4400000}"/>
    <cellStyle name="Normal 6 5 2 3" xfId="17272" xr:uid="{00000000-0005-0000-0000-0000E5400000}"/>
    <cellStyle name="Normal 6 5 3" xfId="17273" xr:uid="{00000000-0005-0000-0000-0000E6400000}"/>
    <cellStyle name="Normal 6 5 3 2" xfId="17274" xr:uid="{00000000-0005-0000-0000-0000E7400000}"/>
    <cellStyle name="Normal 6 5 4" xfId="17275" xr:uid="{00000000-0005-0000-0000-0000E8400000}"/>
    <cellStyle name="Normal 6 5 5" xfId="17276" xr:uid="{00000000-0005-0000-0000-0000E9400000}"/>
    <cellStyle name="Normal 6 6" xfId="17277" xr:uid="{00000000-0005-0000-0000-0000EA400000}"/>
    <cellStyle name="Normal 6 6 2" xfId="17278" xr:uid="{00000000-0005-0000-0000-0000EB400000}"/>
    <cellStyle name="Normal 6 6 2 2" xfId="17279" xr:uid="{00000000-0005-0000-0000-0000EC400000}"/>
    <cellStyle name="Normal 6 6 3" xfId="17280" xr:uid="{00000000-0005-0000-0000-0000ED400000}"/>
    <cellStyle name="Normal 6 6 4" xfId="17281" xr:uid="{00000000-0005-0000-0000-0000EE400000}"/>
    <cellStyle name="Normal 6 7" xfId="17282" xr:uid="{00000000-0005-0000-0000-0000EF400000}"/>
    <cellStyle name="Normal 6 7 2" xfId="17283" xr:uid="{00000000-0005-0000-0000-0000F0400000}"/>
    <cellStyle name="Normal 6 7 2 2" xfId="17284" xr:uid="{00000000-0005-0000-0000-0000F1400000}"/>
    <cellStyle name="Normal 6 7 3" xfId="17285" xr:uid="{00000000-0005-0000-0000-0000F2400000}"/>
    <cellStyle name="Normal 6 7 4" xfId="17286" xr:uid="{00000000-0005-0000-0000-0000F3400000}"/>
    <cellStyle name="Normal 6 8" xfId="17287" xr:uid="{00000000-0005-0000-0000-0000F4400000}"/>
    <cellStyle name="Normal 6 8 2" xfId="17288" xr:uid="{00000000-0005-0000-0000-0000F5400000}"/>
    <cellStyle name="Normal 6 9" xfId="17289" xr:uid="{00000000-0005-0000-0000-0000F6400000}"/>
    <cellStyle name="Normal 6 9 2" xfId="17290" xr:uid="{00000000-0005-0000-0000-0000F7400000}"/>
    <cellStyle name="Normal 60" xfId="658" xr:uid="{00000000-0005-0000-0000-0000F8400000}"/>
    <cellStyle name="Normal 60 2" xfId="17291" xr:uid="{00000000-0005-0000-0000-0000F9400000}"/>
    <cellStyle name="Normal 60 3" xfId="17292" xr:uid="{00000000-0005-0000-0000-0000FA400000}"/>
    <cellStyle name="Normal 61" xfId="657" xr:uid="{00000000-0005-0000-0000-0000FB400000}"/>
    <cellStyle name="Normal 61 2" xfId="17293" xr:uid="{00000000-0005-0000-0000-0000FC400000}"/>
    <cellStyle name="Normal 61 3" xfId="17294" xr:uid="{00000000-0005-0000-0000-0000FD400000}"/>
    <cellStyle name="Normal 62" xfId="656" xr:uid="{00000000-0005-0000-0000-0000FE400000}"/>
    <cellStyle name="Normal 62 2" xfId="655" xr:uid="{00000000-0005-0000-0000-0000FF400000}"/>
    <cellStyle name="Normal 62 3" xfId="17295" xr:uid="{00000000-0005-0000-0000-000000410000}"/>
    <cellStyle name="Normal 63" xfId="654" xr:uid="{00000000-0005-0000-0000-000001410000}"/>
    <cellStyle name="Normal 63 2" xfId="653" xr:uid="{00000000-0005-0000-0000-000002410000}"/>
    <cellStyle name="Normal 63 3" xfId="17296" xr:uid="{00000000-0005-0000-0000-000003410000}"/>
    <cellStyle name="Normal 64" xfId="652" xr:uid="{00000000-0005-0000-0000-000004410000}"/>
    <cellStyle name="Normal 64 2" xfId="651" xr:uid="{00000000-0005-0000-0000-000005410000}"/>
    <cellStyle name="Normal 65" xfId="650" xr:uid="{00000000-0005-0000-0000-000006410000}"/>
    <cellStyle name="Normal 65 2" xfId="17297" xr:uid="{00000000-0005-0000-0000-000007410000}"/>
    <cellStyle name="Normal 66" xfId="649" xr:uid="{00000000-0005-0000-0000-000008410000}"/>
    <cellStyle name="Normal 66 2" xfId="17298" xr:uid="{00000000-0005-0000-0000-000009410000}"/>
    <cellStyle name="Normal 67" xfId="648" xr:uid="{00000000-0005-0000-0000-00000A410000}"/>
    <cellStyle name="Normal 67 2" xfId="17299" xr:uid="{00000000-0005-0000-0000-00000B410000}"/>
    <cellStyle name="Normal 67 3" xfId="17300" xr:uid="{00000000-0005-0000-0000-00000C410000}"/>
    <cellStyle name="Normal 68" xfId="647" xr:uid="{00000000-0005-0000-0000-00000D410000}"/>
    <cellStyle name="Normal 68 2" xfId="17301" xr:uid="{00000000-0005-0000-0000-00000E410000}"/>
    <cellStyle name="Normal 68 3" xfId="17302" xr:uid="{00000000-0005-0000-0000-00000F410000}"/>
    <cellStyle name="Normal 68 4" xfId="17303" xr:uid="{00000000-0005-0000-0000-000010410000}"/>
    <cellStyle name="Normal 68 5" xfId="17304" xr:uid="{00000000-0005-0000-0000-000011410000}"/>
    <cellStyle name="Normal 69" xfId="646" xr:uid="{00000000-0005-0000-0000-000012410000}"/>
    <cellStyle name="Normal 69 2" xfId="645" xr:uid="{00000000-0005-0000-0000-000013410000}"/>
    <cellStyle name="Normal 69 3" xfId="17305" xr:uid="{00000000-0005-0000-0000-000014410000}"/>
    <cellStyle name="Normal 7" xfId="644" xr:uid="{00000000-0005-0000-0000-000015410000}"/>
    <cellStyle name="Normal 7 10" xfId="17306" xr:uid="{00000000-0005-0000-0000-000016410000}"/>
    <cellStyle name="Normal 7 10 2" xfId="17307" xr:uid="{00000000-0005-0000-0000-000017410000}"/>
    <cellStyle name="Normal 7 10 2 2" xfId="17308" xr:uid="{00000000-0005-0000-0000-000018410000}"/>
    <cellStyle name="Normal 7 10 3" xfId="17309" xr:uid="{00000000-0005-0000-0000-000019410000}"/>
    <cellStyle name="Normal 7 10 3 2" xfId="17310" xr:uid="{00000000-0005-0000-0000-00001A410000}"/>
    <cellStyle name="Normal 7 10 4" xfId="17311" xr:uid="{00000000-0005-0000-0000-00001B410000}"/>
    <cellStyle name="Normal 7 11" xfId="17312" xr:uid="{00000000-0005-0000-0000-00001C410000}"/>
    <cellStyle name="Normal 7 11 2" xfId="17313" xr:uid="{00000000-0005-0000-0000-00001D410000}"/>
    <cellStyle name="Normal 7 12" xfId="17314" xr:uid="{00000000-0005-0000-0000-00001E410000}"/>
    <cellStyle name="Normal 7 13" xfId="17315" xr:uid="{00000000-0005-0000-0000-00001F410000}"/>
    <cellStyle name="Normal 7 2" xfId="643" xr:uid="{00000000-0005-0000-0000-000020410000}"/>
    <cellStyle name="Normal 7 2 10" xfId="17316" xr:uid="{00000000-0005-0000-0000-000021410000}"/>
    <cellStyle name="Normal 7 2 2" xfId="17317" xr:uid="{00000000-0005-0000-0000-000022410000}"/>
    <cellStyle name="Normal 7 2 2 2" xfId="17318" xr:uid="{00000000-0005-0000-0000-000023410000}"/>
    <cellStyle name="Normal 7 2 2 2 2" xfId="17319" xr:uid="{00000000-0005-0000-0000-000024410000}"/>
    <cellStyle name="Normal 7 2 2 2 3" xfId="17320" xr:uid="{00000000-0005-0000-0000-000025410000}"/>
    <cellStyle name="Normal 7 2 2 3" xfId="17321" xr:uid="{00000000-0005-0000-0000-000026410000}"/>
    <cellStyle name="Normal 7 2 2 3 2" xfId="17322" xr:uid="{00000000-0005-0000-0000-000027410000}"/>
    <cellStyle name="Normal 7 2 2 4" xfId="17323" xr:uid="{00000000-0005-0000-0000-000028410000}"/>
    <cellStyle name="Normal 7 2 2 5" xfId="17324" xr:uid="{00000000-0005-0000-0000-000029410000}"/>
    <cellStyle name="Normal 7 2 2 6" xfId="17325" xr:uid="{00000000-0005-0000-0000-00002A410000}"/>
    <cellStyle name="Normal 7 2 3" xfId="17326" xr:uid="{00000000-0005-0000-0000-00002B410000}"/>
    <cellStyle name="Normal 7 2 3 2" xfId="17327" xr:uid="{00000000-0005-0000-0000-00002C410000}"/>
    <cellStyle name="Normal 7 2 3 2 2" xfId="17328" xr:uid="{00000000-0005-0000-0000-00002D410000}"/>
    <cellStyle name="Normal 7 2 3 3" xfId="17329" xr:uid="{00000000-0005-0000-0000-00002E410000}"/>
    <cellStyle name="Normal 7 2 3 4" xfId="17330" xr:uid="{00000000-0005-0000-0000-00002F410000}"/>
    <cellStyle name="Normal 7 2 4" xfId="17331" xr:uid="{00000000-0005-0000-0000-000030410000}"/>
    <cellStyle name="Normal 7 2 5" xfId="17332" xr:uid="{00000000-0005-0000-0000-000031410000}"/>
    <cellStyle name="Normal 7 2 5 2" xfId="17333" xr:uid="{00000000-0005-0000-0000-000032410000}"/>
    <cellStyle name="Normal 7 2 6" xfId="17334" xr:uid="{00000000-0005-0000-0000-000033410000}"/>
    <cellStyle name="Normal 7 2 7" xfId="17335" xr:uid="{00000000-0005-0000-0000-000034410000}"/>
    <cellStyle name="Normal 7 2 8" xfId="17336" xr:uid="{00000000-0005-0000-0000-000035410000}"/>
    <cellStyle name="Normal 7 2 8 2" xfId="17337" xr:uid="{00000000-0005-0000-0000-000036410000}"/>
    <cellStyle name="Normal 7 2 9" xfId="17338" xr:uid="{00000000-0005-0000-0000-000037410000}"/>
    <cellStyle name="Normal 7 2 9 2" xfId="17339" xr:uid="{00000000-0005-0000-0000-000038410000}"/>
    <cellStyle name="Normal 7 3" xfId="642" xr:uid="{00000000-0005-0000-0000-000039410000}"/>
    <cellStyle name="Normal 7 3 2" xfId="641" xr:uid="{00000000-0005-0000-0000-00003A410000}"/>
    <cellStyle name="Normal 7 3 2 2" xfId="640" xr:uid="{00000000-0005-0000-0000-00003B410000}"/>
    <cellStyle name="Normal 7 3 2 2 2" xfId="639" xr:uid="{00000000-0005-0000-0000-00003C410000}"/>
    <cellStyle name="Normal 7 3 2 2 3" xfId="638" xr:uid="{00000000-0005-0000-0000-00003D410000}"/>
    <cellStyle name="Normal 7 3 2 3" xfId="637" xr:uid="{00000000-0005-0000-0000-00003E410000}"/>
    <cellStyle name="Normal 7 3 2 4" xfId="636" xr:uid="{00000000-0005-0000-0000-00003F410000}"/>
    <cellStyle name="Normal 7 3 3" xfId="635" xr:uid="{00000000-0005-0000-0000-000040410000}"/>
    <cellStyle name="Normal 7 3 3 2" xfId="634" xr:uid="{00000000-0005-0000-0000-000041410000}"/>
    <cellStyle name="Normal 7 3 3 3" xfId="633" xr:uid="{00000000-0005-0000-0000-000042410000}"/>
    <cellStyle name="Normal 7 3 4" xfId="632" xr:uid="{00000000-0005-0000-0000-000043410000}"/>
    <cellStyle name="Normal 7 3 4 2" xfId="631" xr:uid="{00000000-0005-0000-0000-000044410000}"/>
    <cellStyle name="Normal 7 3 4 3" xfId="630" xr:uid="{00000000-0005-0000-0000-000045410000}"/>
    <cellStyle name="Normal 7 3 5" xfId="629" xr:uid="{00000000-0005-0000-0000-000046410000}"/>
    <cellStyle name="Normal 7 3 6" xfId="628" xr:uid="{00000000-0005-0000-0000-000047410000}"/>
    <cellStyle name="Normal 7 4" xfId="17340" xr:uid="{00000000-0005-0000-0000-000048410000}"/>
    <cellStyle name="Normal 7 4 2" xfId="17341" xr:uid="{00000000-0005-0000-0000-000049410000}"/>
    <cellStyle name="Normal 7 4 2 10" xfId="17342" xr:uid="{00000000-0005-0000-0000-00004A410000}"/>
    <cellStyle name="Normal 7 4 2 2" xfId="17343" xr:uid="{00000000-0005-0000-0000-00004B410000}"/>
    <cellStyle name="Normal 7 4 2 2 2" xfId="17344" xr:uid="{00000000-0005-0000-0000-00004C410000}"/>
    <cellStyle name="Normal 7 4 2 2 2 2" xfId="17345" xr:uid="{00000000-0005-0000-0000-00004D410000}"/>
    <cellStyle name="Normal 7 4 2 2 2 2 2" xfId="17346" xr:uid="{00000000-0005-0000-0000-00004E410000}"/>
    <cellStyle name="Normal 7 4 2 2 2 3" xfId="17347" xr:uid="{00000000-0005-0000-0000-00004F410000}"/>
    <cellStyle name="Normal 7 4 2 2 2 3 2" xfId="17348" xr:uid="{00000000-0005-0000-0000-000050410000}"/>
    <cellStyle name="Normal 7 4 2 2 2 4" xfId="17349" xr:uid="{00000000-0005-0000-0000-000051410000}"/>
    <cellStyle name="Normal 7 4 2 2 2 5" xfId="17350" xr:uid="{00000000-0005-0000-0000-000052410000}"/>
    <cellStyle name="Normal 7 4 2 2 3" xfId="17351" xr:uid="{00000000-0005-0000-0000-000053410000}"/>
    <cellStyle name="Normal 7 4 2 2 3 2" xfId="17352" xr:uid="{00000000-0005-0000-0000-000054410000}"/>
    <cellStyle name="Normal 7 4 2 2 3 2 2" xfId="17353" xr:uid="{00000000-0005-0000-0000-000055410000}"/>
    <cellStyle name="Normal 7 4 2 2 3 3" xfId="17354" xr:uid="{00000000-0005-0000-0000-000056410000}"/>
    <cellStyle name="Normal 7 4 2 2 4" xfId="17355" xr:uid="{00000000-0005-0000-0000-000057410000}"/>
    <cellStyle name="Normal 7 4 2 2 4 2" xfId="17356" xr:uid="{00000000-0005-0000-0000-000058410000}"/>
    <cellStyle name="Normal 7 4 2 2 5" xfId="17357" xr:uid="{00000000-0005-0000-0000-000059410000}"/>
    <cellStyle name="Normal 7 4 2 2 5 2" xfId="17358" xr:uid="{00000000-0005-0000-0000-00005A410000}"/>
    <cellStyle name="Normal 7 4 2 2 6" xfId="17359" xr:uid="{00000000-0005-0000-0000-00005B410000}"/>
    <cellStyle name="Normal 7 4 2 3" xfId="17360" xr:uid="{00000000-0005-0000-0000-00005C410000}"/>
    <cellStyle name="Normal 7 4 2 3 2" xfId="17361" xr:uid="{00000000-0005-0000-0000-00005D410000}"/>
    <cellStyle name="Normal 7 4 2 3 2 2" xfId="17362" xr:uid="{00000000-0005-0000-0000-00005E410000}"/>
    <cellStyle name="Normal 7 4 2 3 2 2 2" xfId="17363" xr:uid="{00000000-0005-0000-0000-00005F410000}"/>
    <cellStyle name="Normal 7 4 2 3 2 3" xfId="17364" xr:uid="{00000000-0005-0000-0000-000060410000}"/>
    <cellStyle name="Normal 7 4 2 3 2 3 2" xfId="17365" xr:uid="{00000000-0005-0000-0000-000061410000}"/>
    <cellStyle name="Normal 7 4 2 3 2 4" xfId="17366" xr:uid="{00000000-0005-0000-0000-000062410000}"/>
    <cellStyle name="Normal 7 4 2 3 2 5" xfId="17367" xr:uid="{00000000-0005-0000-0000-000063410000}"/>
    <cellStyle name="Normal 7 4 2 3 3" xfId="17368" xr:uid="{00000000-0005-0000-0000-000064410000}"/>
    <cellStyle name="Normal 7 4 2 3 3 2" xfId="17369" xr:uid="{00000000-0005-0000-0000-000065410000}"/>
    <cellStyle name="Normal 7 4 2 3 3 2 2" xfId="17370" xr:uid="{00000000-0005-0000-0000-000066410000}"/>
    <cellStyle name="Normal 7 4 2 3 3 3" xfId="17371" xr:uid="{00000000-0005-0000-0000-000067410000}"/>
    <cellStyle name="Normal 7 4 2 3 4" xfId="17372" xr:uid="{00000000-0005-0000-0000-000068410000}"/>
    <cellStyle name="Normal 7 4 2 3 4 2" xfId="17373" xr:uid="{00000000-0005-0000-0000-000069410000}"/>
    <cellStyle name="Normal 7 4 2 3 5" xfId="17374" xr:uid="{00000000-0005-0000-0000-00006A410000}"/>
    <cellStyle name="Normal 7 4 2 3 5 2" xfId="17375" xr:uid="{00000000-0005-0000-0000-00006B410000}"/>
    <cellStyle name="Normal 7 4 2 3 6" xfId="17376" xr:uid="{00000000-0005-0000-0000-00006C410000}"/>
    <cellStyle name="Normal 7 4 2 4" xfId="17377" xr:uid="{00000000-0005-0000-0000-00006D410000}"/>
    <cellStyle name="Normal 7 4 2 4 2" xfId="17378" xr:uid="{00000000-0005-0000-0000-00006E410000}"/>
    <cellStyle name="Normal 7 4 2 4 2 2" xfId="17379" xr:uid="{00000000-0005-0000-0000-00006F410000}"/>
    <cellStyle name="Normal 7 4 2 4 2 2 2" xfId="17380" xr:uid="{00000000-0005-0000-0000-000070410000}"/>
    <cellStyle name="Normal 7 4 2 4 2 3" xfId="17381" xr:uid="{00000000-0005-0000-0000-000071410000}"/>
    <cellStyle name="Normal 7 4 2 4 3" xfId="17382" xr:uid="{00000000-0005-0000-0000-000072410000}"/>
    <cellStyle name="Normal 7 4 2 4 3 2" xfId="17383" xr:uid="{00000000-0005-0000-0000-000073410000}"/>
    <cellStyle name="Normal 7 4 2 4 4" xfId="17384" xr:uid="{00000000-0005-0000-0000-000074410000}"/>
    <cellStyle name="Normal 7 4 2 4 4 2" xfId="17385" xr:uid="{00000000-0005-0000-0000-000075410000}"/>
    <cellStyle name="Normal 7 4 2 4 5" xfId="17386" xr:uid="{00000000-0005-0000-0000-000076410000}"/>
    <cellStyle name="Normal 7 4 2 5" xfId="17387" xr:uid="{00000000-0005-0000-0000-000077410000}"/>
    <cellStyle name="Normal 7 4 2 5 2" xfId="17388" xr:uid="{00000000-0005-0000-0000-000078410000}"/>
    <cellStyle name="Normal 7 4 2 5 2 2" xfId="17389" xr:uid="{00000000-0005-0000-0000-000079410000}"/>
    <cellStyle name="Normal 7 4 2 5 3" xfId="17390" xr:uid="{00000000-0005-0000-0000-00007A410000}"/>
    <cellStyle name="Normal 7 4 2 5 3 2" xfId="17391" xr:uid="{00000000-0005-0000-0000-00007B410000}"/>
    <cellStyle name="Normal 7 4 2 5 4" xfId="17392" xr:uid="{00000000-0005-0000-0000-00007C410000}"/>
    <cellStyle name="Normal 7 4 2 6" xfId="17393" xr:uid="{00000000-0005-0000-0000-00007D410000}"/>
    <cellStyle name="Normal 7 4 2 6 2" xfId="17394" xr:uid="{00000000-0005-0000-0000-00007E410000}"/>
    <cellStyle name="Normal 7 4 2 6 2 2" xfId="17395" xr:uid="{00000000-0005-0000-0000-00007F410000}"/>
    <cellStyle name="Normal 7 4 2 6 3" xfId="17396" xr:uid="{00000000-0005-0000-0000-000080410000}"/>
    <cellStyle name="Normal 7 4 2 7" xfId="17397" xr:uid="{00000000-0005-0000-0000-000081410000}"/>
    <cellStyle name="Normal 7 4 2 7 2" xfId="17398" xr:uid="{00000000-0005-0000-0000-000082410000}"/>
    <cellStyle name="Normal 7 4 2 7 3" xfId="17399" xr:uid="{00000000-0005-0000-0000-000083410000}"/>
    <cellStyle name="Normal 7 4 2 8" xfId="17400" xr:uid="{00000000-0005-0000-0000-000084410000}"/>
    <cellStyle name="Normal 7 4 2 8 2" xfId="17401" xr:uid="{00000000-0005-0000-0000-000085410000}"/>
    <cellStyle name="Normal 7 4 2 9" xfId="17402" xr:uid="{00000000-0005-0000-0000-000086410000}"/>
    <cellStyle name="Normal 7 4 3" xfId="17403" xr:uid="{00000000-0005-0000-0000-000087410000}"/>
    <cellStyle name="Normal 7 4 3 2" xfId="17404" xr:uid="{00000000-0005-0000-0000-000088410000}"/>
    <cellStyle name="Normal 7 4 4" xfId="17405" xr:uid="{00000000-0005-0000-0000-000089410000}"/>
    <cellStyle name="Normal 7 4 5" xfId="17406" xr:uid="{00000000-0005-0000-0000-00008A410000}"/>
    <cellStyle name="Normal 7 4 5 2" xfId="17407" xr:uid="{00000000-0005-0000-0000-00008B410000}"/>
    <cellStyle name="Normal 7 4 5 2 2" xfId="17408" xr:uid="{00000000-0005-0000-0000-00008C410000}"/>
    <cellStyle name="Normal 7 4 5 2 2 2" xfId="17409" xr:uid="{00000000-0005-0000-0000-00008D410000}"/>
    <cellStyle name="Normal 7 4 5 2 3" xfId="17410" xr:uid="{00000000-0005-0000-0000-00008E410000}"/>
    <cellStyle name="Normal 7 4 5 3" xfId="17411" xr:uid="{00000000-0005-0000-0000-00008F410000}"/>
    <cellStyle name="Normal 7 4 5 3 2" xfId="17412" xr:uid="{00000000-0005-0000-0000-000090410000}"/>
    <cellStyle name="Normal 7 4 5 4" xfId="17413" xr:uid="{00000000-0005-0000-0000-000091410000}"/>
    <cellStyle name="Normal 7 4 5 5" xfId="17414" xr:uid="{00000000-0005-0000-0000-000092410000}"/>
    <cellStyle name="Normal 7 4 6" xfId="17415" xr:uid="{00000000-0005-0000-0000-000093410000}"/>
    <cellStyle name="Normal 7 4 6 2" xfId="17416" xr:uid="{00000000-0005-0000-0000-000094410000}"/>
    <cellStyle name="Normal 7 4 6 2 2" xfId="17417" xr:uid="{00000000-0005-0000-0000-000095410000}"/>
    <cellStyle name="Normal 7 4 6 3" xfId="17418" xr:uid="{00000000-0005-0000-0000-000096410000}"/>
    <cellStyle name="Normal 7 4 7" xfId="17419" xr:uid="{00000000-0005-0000-0000-000097410000}"/>
    <cellStyle name="Normal 7 4 7 2" xfId="17420" xr:uid="{00000000-0005-0000-0000-000098410000}"/>
    <cellStyle name="Normal 7 4 8" xfId="17421" xr:uid="{00000000-0005-0000-0000-000099410000}"/>
    <cellStyle name="Normal 7 4 8 2" xfId="17422" xr:uid="{00000000-0005-0000-0000-00009A410000}"/>
    <cellStyle name="Normal 7 4 9" xfId="17423" xr:uid="{00000000-0005-0000-0000-00009B410000}"/>
    <cellStyle name="Normal 7 5" xfId="17424" xr:uid="{00000000-0005-0000-0000-00009C410000}"/>
    <cellStyle name="Normal 7 5 2" xfId="17425" xr:uid="{00000000-0005-0000-0000-00009D410000}"/>
    <cellStyle name="Normal 7 5 2 2" xfId="17426" xr:uid="{00000000-0005-0000-0000-00009E410000}"/>
    <cellStyle name="Normal 7 5 3" xfId="17427" xr:uid="{00000000-0005-0000-0000-00009F410000}"/>
    <cellStyle name="Normal 7 5 4" xfId="17428" xr:uid="{00000000-0005-0000-0000-0000A0410000}"/>
    <cellStyle name="Normal 7 6" xfId="17429" xr:uid="{00000000-0005-0000-0000-0000A1410000}"/>
    <cellStyle name="Normal 7 6 2" xfId="17430" xr:uid="{00000000-0005-0000-0000-0000A2410000}"/>
    <cellStyle name="Normal 7 7" xfId="17431" xr:uid="{00000000-0005-0000-0000-0000A3410000}"/>
    <cellStyle name="Normal 7 7 10" xfId="17432" xr:uid="{00000000-0005-0000-0000-0000A4410000}"/>
    <cellStyle name="Normal 7 7 2" xfId="17433" xr:uid="{00000000-0005-0000-0000-0000A5410000}"/>
    <cellStyle name="Normal 7 7 2 2" xfId="17434" xr:uid="{00000000-0005-0000-0000-0000A6410000}"/>
    <cellStyle name="Normal 7 7 2 2 2" xfId="17435" xr:uid="{00000000-0005-0000-0000-0000A7410000}"/>
    <cellStyle name="Normal 7 7 2 2 2 2" xfId="17436" xr:uid="{00000000-0005-0000-0000-0000A8410000}"/>
    <cellStyle name="Normal 7 7 2 2 3" xfId="17437" xr:uid="{00000000-0005-0000-0000-0000A9410000}"/>
    <cellStyle name="Normal 7 7 2 2 3 2" xfId="17438" xr:uid="{00000000-0005-0000-0000-0000AA410000}"/>
    <cellStyle name="Normal 7 7 2 2 4" xfId="17439" xr:uid="{00000000-0005-0000-0000-0000AB410000}"/>
    <cellStyle name="Normal 7 7 2 2 5" xfId="17440" xr:uid="{00000000-0005-0000-0000-0000AC410000}"/>
    <cellStyle name="Normal 7 7 2 3" xfId="17441" xr:uid="{00000000-0005-0000-0000-0000AD410000}"/>
    <cellStyle name="Normal 7 7 2 3 2" xfId="17442" xr:uid="{00000000-0005-0000-0000-0000AE410000}"/>
    <cellStyle name="Normal 7 7 2 3 2 2" xfId="17443" xr:uid="{00000000-0005-0000-0000-0000AF410000}"/>
    <cellStyle name="Normal 7 7 2 3 3" xfId="17444" xr:uid="{00000000-0005-0000-0000-0000B0410000}"/>
    <cellStyle name="Normal 7 7 2 4" xfId="17445" xr:uid="{00000000-0005-0000-0000-0000B1410000}"/>
    <cellStyle name="Normal 7 7 2 4 2" xfId="17446" xr:uid="{00000000-0005-0000-0000-0000B2410000}"/>
    <cellStyle name="Normal 7 7 2 5" xfId="17447" xr:uid="{00000000-0005-0000-0000-0000B3410000}"/>
    <cellStyle name="Normal 7 7 2 5 2" xfId="17448" xr:uid="{00000000-0005-0000-0000-0000B4410000}"/>
    <cellStyle name="Normal 7 7 2 6" xfId="17449" xr:uid="{00000000-0005-0000-0000-0000B5410000}"/>
    <cellStyle name="Normal 7 7 3" xfId="17450" xr:uid="{00000000-0005-0000-0000-0000B6410000}"/>
    <cellStyle name="Normal 7 7 3 2" xfId="17451" xr:uid="{00000000-0005-0000-0000-0000B7410000}"/>
    <cellStyle name="Normal 7 7 3 2 2" xfId="17452" xr:uid="{00000000-0005-0000-0000-0000B8410000}"/>
    <cellStyle name="Normal 7 7 3 2 2 2" xfId="17453" xr:uid="{00000000-0005-0000-0000-0000B9410000}"/>
    <cellStyle name="Normal 7 7 3 2 3" xfId="17454" xr:uid="{00000000-0005-0000-0000-0000BA410000}"/>
    <cellStyle name="Normal 7 7 3 2 3 2" xfId="17455" xr:uid="{00000000-0005-0000-0000-0000BB410000}"/>
    <cellStyle name="Normal 7 7 3 2 4" xfId="17456" xr:uid="{00000000-0005-0000-0000-0000BC410000}"/>
    <cellStyle name="Normal 7 7 3 2 5" xfId="17457" xr:uid="{00000000-0005-0000-0000-0000BD410000}"/>
    <cellStyle name="Normal 7 7 3 3" xfId="17458" xr:uid="{00000000-0005-0000-0000-0000BE410000}"/>
    <cellStyle name="Normal 7 7 3 3 2" xfId="17459" xr:uid="{00000000-0005-0000-0000-0000BF410000}"/>
    <cellStyle name="Normal 7 7 3 3 2 2" xfId="17460" xr:uid="{00000000-0005-0000-0000-0000C0410000}"/>
    <cellStyle name="Normal 7 7 3 3 3" xfId="17461" xr:uid="{00000000-0005-0000-0000-0000C1410000}"/>
    <cellStyle name="Normal 7 7 3 4" xfId="17462" xr:uid="{00000000-0005-0000-0000-0000C2410000}"/>
    <cellStyle name="Normal 7 7 3 4 2" xfId="17463" xr:uid="{00000000-0005-0000-0000-0000C3410000}"/>
    <cellStyle name="Normal 7 7 3 5" xfId="17464" xr:uid="{00000000-0005-0000-0000-0000C4410000}"/>
    <cellStyle name="Normal 7 7 3 5 2" xfId="17465" xr:uid="{00000000-0005-0000-0000-0000C5410000}"/>
    <cellStyle name="Normal 7 7 3 6" xfId="17466" xr:uid="{00000000-0005-0000-0000-0000C6410000}"/>
    <cellStyle name="Normal 7 7 4" xfId="17467" xr:uid="{00000000-0005-0000-0000-0000C7410000}"/>
    <cellStyle name="Normal 7 7 4 2" xfId="17468" xr:uid="{00000000-0005-0000-0000-0000C8410000}"/>
    <cellStyle name="Normal 7 7 4 2 2" xfId="17469" xr:uid="{00000000-0005-0000-0000-0000C9410000}"/>
    <cellStyle name="Normal 7 7 4 2 2 2" xfId="17470" xr:uid="{00000000-0005-0000-0000-0000CA410000}"/>
    <cellStyle name="Normal 7 7 4 2 3" xfId="17471" xr:uid="{00000000-0005-0000-0000-0000CB410000}"/>
    <cellStyle name="Normal 7 7 4 3" xfId="17472" xr:uid="{00000000-0005-0000-0000-0000CC410000}"/>
    <cellStyle name="Normal 7 7 4 3 2" xfId="17473" xr:uid="{00000000-0005-0000-0000-0000CD410000}"/>
    <cellStyle name="Normal 7 7 4 4" xfId="17474" xr:uid="{00000000-0005-0000-0000-0000CE410000}"/>
    <cellStyle name="Normal 7 7 4 4 2" xfId="17475" xr:uid="{00000000-0005-0000-0000-0000CF410000}"/>
    <cellStyle name="Normal 7 7 4 5" xfId="17476" xr:uid="{00000000-0005-0000-0000-0000D0410000}"/>
    <cellStyle name="Normal 7 7 5" xfId="17477" xr:uid="{00000000-0005-0000-0000-0000D1410000}"/>
    <cellStyle name="Normal 7 7 5 2" xfId="17478" xr:uid="{00000000-0005-0000-0000-0000D2410000}"/>
    <cellStyle name="Normal 7 7 5 2 2" xfId="17479" xr:uid="{00000000-0005-0000-0000-0000D3410000}"/>
    <cellStyle name="Normal 7 7 5 3" xfId="17480" xr:uid="{00000000-0005-0000-0000-0000D4410000}"/>
    <cellStyle name="Normal 7 7 5 3 2" xfId="17481" xr:uid="{00000000-0005-0000-0000-0000D5410000}"/>
    <cellStyle name="Normal 7 7 5 4" xfId="17482" xr:uid="{00000000-0005-0000-0000-0000D6410000}"/>
    <cellStyle name="Normal 7 7 6" xfId="17483" xr:uid="{00000000-0005-0000-0000-0000D7410000}"/>
    <cellStyle name="Normal 7 7 6 2" xfId="17484" xr:uid="{00000000-0005-0000-0000-0000D8410000}"/>
    <cellStyle name="Normal 7 7 6 2 2" xfId="17485" xr:uid="{00000000-0005-0000-0000-0000D9410000}"/>
    <cellStyle name="Normal 7 7 6 3" xfId="17486" xr:uid="{00000000-0005-0000-0000-0000DA410000}"/>
    <cellStyle name="Normal 7 7 7" xfId="17487" xr:uid="{00000000-0005-0000-0000-0000DB410000}"/>
    <cellStyle name="Normal 7 7 7 2" xfId="17488" xr:uid="{00000000-0005-0000-0000-0000DC410000}"/>
    <cellStyle name="Normal 7 7 7 3" xfId="17489" xr:uid="{00000000-0005-0000-0000-0000DD410000}"/>
    <cellStyle name="Normal 7 7 8" xfId="17490" xr:uid="{00000000-0005-0000-0000-0000DE410000}"/>
    <cellStyle name="Normal 7 7 8 2" xfId="17491" xr:uid="{00000000-0005-0000-0000-0000DF410000}"/>
    <cellStyle name="Normal 7 7 9" xfId="17492" xr:uid="{00000000-0005-0000-0000-0000E0410000}"/>
    <cellStyle name="Normal 7 8" xfId="17493" xr:uid="{00000000-0005-0000-0000-0000E1410000}"/>
    <cellStyle name="Normal 7 8 2" xfId="17494" xr:uid="{00000000-0005-0000-0000-0000E2410000}"/>
    <cellStyle name="Normal 7 9" xfId="17495" xr:uid="{00000000-0005-0000-0000-0000E3410000}"/>
    <cellStyle name="Normal 70" xfId="627" xr:uid="{00000000-0005-0000-0000-0000E4410000}"/>
    <cellStyle name="Normal 70 2" xfId="626" xr:uid="{00000000-0005-0000-0000-0000E5410000}"/>
    <cellStyle name="Normal 70 3" xfId="17496" xr:uid="{00000000-0005-0000-0000-0000E6410000}"/>
    <cellStyle name="Normal 71" xfId="625" xr:uid="{00000000-0005-0000-0000-0000E7410000}"/>
    <cellStyle name="Normal 71 2" xfId="624" xr:uid="{00000000-0005-0000-0000-0000E8410000}"/>
    <cellStyle name="Normal 71 3" xfId="623" xr:uid="{00000000-0005-0000-0000-0000E9410000}"/>
    <cellStyle name="Normal 72" xfId="622" xr:uid="{00000000-0005-0000-0000-0000EA410000}"/>
    <cellStyle name="Normal 72 2" xfId="17497" xr:uid="{00000000-0005-0000-0000-0000EB410000}"/>
    <cellStyle name="Normal 72 3" xfId="17498" xr:uid="{00000000-0005-0000-0000-0000EC410000}"/>
    <cellStyle name="Normal 72 4" xfId="17499" xr:uid="{00000000-0005-0000-0000-0000ED410000}"/>
    <cellStyle name="Normal 72 5" xfId="17500" xr:uid="{00000000-0005-0000-0000-0000EE410000}"/>
    <cellStyle name="Normal 72 6" xfId="17501" xr:uid="{00000000-0005-0000-0000-0000EF410000}"/>
    <cellStyle name="Normal 73" xfId="621" xr:uid="{00000000-0005-0000-0000-0000F0410000}"/>
    <cellStyle name="Normal 73 2" xfId="620" xr:uid="{00000000-0005-0000-0000-0000F1410000}"/>
    <cellStyle name="Normal 73 2 2" xfId="619" xr:uid="{00000000-0005-0000-0000-0000F2410000}"/>
    <cellStyle name="Normal 73 3" xfId="17502" xr:uid="{00000000-0005-0000-0000-0000F3410000}"/>
    <cellStyle name="Normal 73 4" xfId="17503" xr:uid="{00000000-0005-0000-0000-0000F4410000}"/>
    <cellStyle name="Normal 73 5" xfId="17504" xr:uid="{00000000-0005-0000-0000-0000F5410000}"/>
    <cellStyle name="Normal 73 6" xfId="17505" xr:uid="{00000000-0005-0000-0000-0000F6410000}"/>
    <cellStyle name="Normal 74" xfId="618" xr:uid="{00000000-0005-0000-0000-0000F7410000}"/>
    <cellStyle name="Normal 74 2" xfId="17506" xr:uid="{00000000-0005-0000-0000-0000F8410000}"/>
    <cellStyle name="Normal 74 3" xfId="17507" xr:uid="{00000000-0005-0000-0000-0000F9410000}"/>
    <cellStyle name="Normal 74 4" xfId="17508" xr:uid="{00000000-0005-0000-0000-0000FA410000}"/>
    <cellStyle name="Normal 75" xfId="617" xr:uid="{00000000-0005-0000-0000-0000FB410000}"/>
    <cellStyle name="Normal 75 2" xfId="17509" xr:uid="{00000000-0005-0000-0000-0000FC410000}"/>
    <cellStyle name="Normal 75 3" xfId="17510" xr:uid="{00000000-0005-0000-0000-0000FD410000}"/>
    <cellStyle name="Normal 75 3 2" xfId="17511" xr:uid="{00000000-0005-0000-0000-0000FE410000}"/>
    <cellStyle name="Normal 75 3 3" xfId="17512" xr:uid="{00000000-0005-0000-0000-0000FF410000}"/>
    <cellStyle name="Normal 75 4" xfId="17513" xr:uid="{00000000-0005-0000-0000-000000420000}"/>
    <cellStyle name="Normal 75 5" xfId="17514" xr:uid="{00000000-0005-0000-0000-000001420000}"/>
    <cellStyle name="Normal 76" xfId="6523" xr:uid="{00000000-0005-0000-0000-000002420000}"/>
    <cellStyle name="Normal 76 2" xfId="17515" xr:uid="{00000000-0005-0000-0000-000003420000}"/>
    <cellStyle name="Normal 76 2 2" xfId="17516" xr:uid="{00000000-0005-0000-0000-000004420000}"/>
    <cellStyle name="Normal 76 3" xfId="17517" xr:uid="{00000000-0005-0000-0000-000005420000}"/>
    <cellStyle name="Normal 76 3 2" xfId="17518" xr:uid="{00000000-0005-0000-0000-000006420000}"/>
    <cellStyle name="Normal 76 4" xfId="17519" xr:uid="{00000000-0005-0000-0000-000007420000}"/>
    <cellStyle name="Normal 77" xfId="17520" xr:uid="{00000000-0005-0000-0000-000008420000}"/>
    <cellStyle name="Normal 77 2" xfId="17521" xr:uid="{00000000-0005-0000-0000-000009420000}"/>
    <cellStyle name="Normal 77 3" xfId="17522" xr:uid="{00000000-0005-0000-0000-00000A420000}"/>
    <cellStyle name="Normal 77 4" xfId="17523" xr:uid="{00000000-0005-0000-0000-00000B420000}"/>
    <cellStyle name="Normal 78" xfId="17524" xr:uid="{00000000-0005-0000-0000-00000C420000}"/>
    <cellStyle name="Normal 78 2" xfId="17525" xr:uid="{00000000-0005-0000-0000-00000D420000}"/>
    <cellStyle name="Normal 78 3" xfId="17526" xr:uid="{00000000-0005-0000-0000-00000E420000}"/>
    <cellStyle name="Normal 78 3 2" xfId="17527" xr:uid="{00000000-0005-0000-0000-00000F420000}"/>
    <cellStyle name="Normal 78 3 3" xfId="17528" xr:uid="{00000000-0005-0000-0000-000010420000}"/>
    <cellStyle name="Normal 78 4" xfId="17529" xr:uid="{00000000-0005-0000-0000-000011420000}"/>
    <cellStyle name="Normal 79" xfId="17530" xr:uid="{00000000-0005-0000-0000-000012420000}"/>
    <cellStyle name="Normal 79 2" xfId="17531" xr:uid="{00000000-0005-0000-0000-000013420000}"/>
    <cellStyle name="Normal 79 3" xfId="17532" xr:uid="{00000000-0005-0000-0000-000014420000}"/>
    <cellStyle name="Normal 79 3 2" xfId="17533" xr:uid="{00000000-0005-0000-0000-000015420000}"/>
    <cellStyle name="Normal 79 4" xfId="17534" xr:uid="{00000000-0005-0000-0000-000016420000}"/>
    <cellStyle name="Normal 79 4 2" xfId="17535" xr:uid="{00000000-0005-0000-0000-000017420000}"/>
    <cellStyle name="Normal 8" xfId="616" xr:uid="{00000000-0005-0000-0000-000018420000}"/>
    <cellStyle name="Normal 8 2" xfId="615" xr:uid="{00000000-0005-0000-0000-000019420000}"/>
    <cellStyle name="Normal 8 2 2" xfId="17536" xr:uid="{00000000-0005-0000-0000-00001A420000}"/>
    <cellStyle name="Normal 8 2 2 2" xfId="17537" xr:uid="{00000000-0005-0000-0000-00001B420000}"/>
    <cellStyle name="Normal 8 2 2 2 2" xfId="17538" xr:uid="{00000000-0005-0000-0000-00001C420000}"/>
    <cellStyle name="Normal 8 2 2 3" xfId="17539" xr:uid="{00000000-0005-0000-0000-00001D420000}"/>
    <cellStyle name="Normal 8 2 2 4" xfId="17540" xr:uid="{00000000-0005-0000-0000-00001E420000}"/>
    <cellStyle name="Normal 8 2 3" xfId="17541" xr:uid="{00000000-0005-0000-0000-00001F420000}"/>
    <cellStyle name="Normal 8 2 3 2" xfId="17542" xr:uid="{00000000-0005-0000-0000-000020420000}"/>
    <cellStyle name="Normal 8 2 3 2 2" xfId="17543" xr:uid="{00000000-0005-0000-0000-000021420000}"/>
    <cellStyle name="Normal 8 2 3 3" xfId="17544" xr:uid="{00000000-0005-0000-0000-000022420000}"/>
    <cellStyle name="Normal 8 2 3 4" xfId="17545" xr:uid="{00000000-0005-0000-0000-000023420000}"/>
    <cellStyle name="Normal 8 2 4" xfId="17546" xr:uid="{00000000-0005-0000-0000-000024420000}"/>
    <cellStyle name="Normal 8 2 4 2" xfId="17547" xr:uid="{00000000-0005-0000-0000-000025420000}"/>
    <cellStyle name="Normal 8 2 5" xfId="17548" xr:uid="{00000000-0005-0000-0000-000026420000}"/>
    <cellStyle name="Normal 8 2 5 2" xfId="17549" xr:uid="{00000000-0005-0000-0000-000027420000}"/>
    <cellStyle name="Normal 8 2 6" xfId="17550" xr:uid="{00000000-0005-0000-0000-000028420000}"/>
    <cellStyle name="Normal 8 2 7" xfId="17551" xr:uid="{00000000-0005-0000-0000-000029420000}"/>
    <cellStyle name="Normal 8 3" xfId="614" xr:uid="{00000000-0005-0000-0000-00002A420000}"/>
    <cellStyle name="Normal 8 3 2" xfId="613" xr:uid="{00000000-0005-0000-0000-00002B420000}"/>
    <cellStyle name="Normal 8 3 2 2" xfId="612" xr:uid="{00000000-0005-0000-0000-00002C420000}"/>
    <cellStyle name="Normal 8 3 2 2 2" xfId="611" xr:uid="{00000000-0005-0000-0000-00002D420000}"/>
    <cellStyle name="Normal 8 3 2 2 3" xfId="610" xr:uid="{00000000-0005-0000-0000-00002E420000}"/>
    <cellStyle name="Normal 8 3 2 3" xfId="609" xr:uid="{00000000-0005-0000-0000-00002F420000}"/>
    <cellStyle name="Normal 8 3 2 4" xfId="608" xr:uid="{00000000-0005-0000-0000-000030420000}"/>
    <cellStyle name="Normal 8 3 3" xfId="607" xr:uid="{00000000-0005-0000-0000-000031420000}"/>
    <cellStyle name="Normal 8 3 3 2" xfId="606" xr:uid="{00000000-0005-0000-0000-000032420000}"/>
    <cellStyle name="Normal 8 3 3 3" xfId="605" xr:uid="{00000000-0005-0000-0000-000033420000}"/>
    <cellStyle name="Normal 8 3 4" xfId="604" xr:uid="{00000000-0005-0000-0000-000034420000}"/>
    <cellStyle name="Normal 8 3 4 2" xfId="603" xr:uid="{00000000-0005-0000-0000-000035420000}"/>
    <cellStyle name="Normal 8 3 4 3" xfId="602" xr:uid="{00000000-0005-0000-0000-000036420000}"/>
    <cellStyle name="Normal 8 3 5" xfId="601" xr:uid="{00000000-0005-0000-0000-000037420000}"/>
    <cellStyle name="Normal 8 3 6" xfId="600" xr:uid="{00000000-0005-0000-0000-000038420000}"/>
    <cellStyle name="Normal 8 4" xfId="599" xr:uid="{00000000-0005-0000-0000-000039420000}"/>
    <cellStyle name="Normal 8 4 2" xfId="17552" xr:uid="{00000000-0005-0000-0000-00003A420000}"/>
    <cellStyle name="Normal 8 4 2 2" xfId="17553" xr:uid="{00000000-0005-0000-0000-00003B420000}"/>
    <cellStyle name="Normal 8 4 3" xfId="17554" xr:uid="{00000000-0005-0000-0000-00003C420000}"/>
    <cellStyle name="Normal 8 4 4" xfId="17555" xr:uid="{00000000-0005-0000-0000-00003D420000}"/>
    <cellStyle name="Normal 8 5" xfId="17556" xr:uid="{00000000-0005-0000-0000-00003E420000}"/>
    <cellStyle name="Normal 8 5 2" xfId="17557" xr:uid="{00000000-0005-0000-0000-00003F420000}"/>
    <cellStyle name="Normal 8 6" xfId="17558" xr:uid="{00000000-0005-0000-0000-000040420000}"/>
    <cellStyle name="Normal 8 7" xfId="17559" xr:uid="{00000000-0005-0000-0000-000041420000}"/>
    <cellStyle name="Normal 8 7 2" xfId="17560" xr:uid="{00000000-0005-0000-0000-000042420000}"/>
    <cellStyle name="Normal 8 8" xfId="17561" xr:uid="{00000000-0005-0000-0000-000043420000}"/>
    <cellStyle name="Normal 8 9" xfId="17562" xr:uid="{00000000-0005-0000-0000-000044420000}"/>
    <cellStyle name="Normal 80" xfId="17563" xr:uid="{00000000-0005-0000-0000-000045420000}"/>
    <cellStyle name="Normal 80 2" xfId="17564" xr:uid="{00000000-0005-0000-0000-000046420000}"/>
    <cellStyle name="Normal 80 3" xfId="17565" xr:uid="{00000000-0005-0000-0000-000047420000}"/>
    <cellStyle name="Normal 80 3 2" xfId="17566" xr:uid="{00000000-0005-0000-0000-000048420000}"/>
    <cellStyle name="Normal 80 4" xfId="17567" xr:uid="{00000000-0005-0000-0000-000049420000}"/>
    <cellStyle name="Normal 80 4 2" xfId="17568" xr:uid="{00000000-0005-0000-0000-00004A420000}"/>
    <cellStyle name="Normal 81" xfId="17569" xr:uid="{00000000-0005-0000-0000-00004B420000}"/>
    <cellStyle name="Normal 81 2" xfId="17570" xr:uid="{00000000-0005-0000-0000-00004C420000}"/>
    <cellStyle name="Normal 81 3" xfId="17571" xr:uid="{00000000-0005-0000-0000-00004D420000}"/>
    <cellStyle name="Normal 81 4" xfId="17572" xr:uid="{00000000-0005-0000-0000-00004E420000}"/>
    <cellStyle name="Normal 81 4 2" xfId="17573" xr:uid="{00000000-0005-0000-0000-00004F420000}"/>
    <cellStyle name="Normal 82" xfId="17574" xr:uid="{00000000-0005-0000-0000-000050420000}"/>
    <cellStyle name="Normal 82 2" xfId="17575" xr:uid="{00000000-0005-0000-0000-000051420000}"/>
    <cellStyle name="Normal 82 3" xfId="17576" xr:uid="{00000000-0005-0000-0000-000052420000}"/>
    <cellStyle name="Normal 83" xfId="17577" xr:uid="{00000000-0005-0000-0000-000053420000}"/>
    <cellStyle name="Normal 83 2" xfId="17578" xr:uid="{00000000-0005-0000-0000-000054420000}"/>
    <cellStyle name="Normal 83 2 2" xfId="17579" xr:uid="{00000000-0005-0000-0000-000055420000}"/>
    <cellStyle name="Normal 83 3" xfId="17580" xr:uid="{00000000-0005-0000-0000-000056420000}"/>
    <cellStyle name="Normal 84" xfId="17581" xr:uid="{00000000-0005-0000-0000-000057420000}"/>
    <cellStyle name="Normal 84 2" xfId="17582" xr:uid="{00000000-0005-0000-0000-000058420000}"/>
    <cellStyle name="Normal 84 3" xfId="17583" xr:uid="{00000000-0005-0000-0000-000059420000}"/>
    <cellStyle name="Normal 84 4" xfId="17584" xr:uid="{00000000-0005-0000-0000-00005A420000}"/>
    <cellStyle name="Normal 85" xfId="17585" xr:uid="{00000000-0005-0000-0000-00005B420000}"/>
    <cellStyle name="Normal 85 2" xfId="17586" xr:uid="{00000000-0005-0000-0000-00005C420000}"/>
    <cellStyle name="Normal 86" xfId="17587" xr:uid="{00000000-0005-0000-0000-00005D420000}"/>
    <cellStyle name="Normal 86 2" xfId="17588" xr:uid="{00000000-0005-0000-0000-00005E420000}"/>
    <cellStyle name="Normal 86 3" xfId="17589" xr:uid="{00000000-0005-0000-0000-00005F420000}"/>
    <cellStyle name="Normal 86 3 2" xfId="17590" xr:uid="{00000000-0005-0000-0000-000060420000}"/>
    <cellStyle name="Normal 86 4" xfId="17591" xr:uid="{00000000-0005-0000-0000-000061420000}"/>
    <cellStyle name="Normal 87" xfId="17592" xr:uid="{00000000-0005-0000-0000-000062420000}"/>
    <cellStyle name="Normal 87 2" xfId="17593" xr:uid="{00000000-0005-0000-0000-000063420000}"/>
    <cellStyle name="Normal 87 3" xfId="17594" xr:uid="{00000000-0005-0000-0000-000064420000}"/>
    <cellStyle name="Normal 87 3 2" xfId="17595" xr:uid="{00000000-0005-0000-0000-000065420000}"/>
    <cellStyle name="Normal 87 4" xfId="17596" xr:uid="{00000000-0005-0000-0000-000066420000}"/>
    <cellStyle name="Normal 88" xfId="17597" xr:uid="{00000000-0005-0000-0000-000067420000}"/>
    <cellStyle name="Normal 89" xfId="17598" xr:uid="{00000000-0005-0000-0000-000068420000}"/>
    <cellStyle name="Normal 9" xfId="598" xr:uid="{00000000-0005-0000-0000-000069420000}"/>
    <cellStyle name="Normal 9 2" xfId="597" xr:uid="{00000000-0005-0000-0000-00006A420000}"/>
    <cellStyle name="Normal 9 2 2" xfId="596" xr:uid="{00000000-0005-0000-0000-00006B420000}"/>
    <cellStyle name="Normal 9 2 2 2" xfId="17599" xr:uid="{00000000-0005-0000-0000-00006C420000}"/>
    <cellStyle name="Normal 9 2 2 2 2" xfId="17600" xr:uid="{00000000-0005-0000-0000-00006D420000}"/>
    <cellStyle name="Normal 9 2 2 3" xfId="17601" xr:uid="{00000000-0005-0000-0000-00006E420000}"/>
    <cellStyle name="Normal 9 2 2 4" xfId="17602" xr:uid="{00000000-0005-0000-0000-00006F420000}"/>
    <cellStyle name="Normal 9 2 3" xfId="17603" xr:uid="{00000000-0005-0000-0000-000070420000}"/>
    <cellStyle name="Normal 9 2 3 2" xfId="17604" xr:uid="{00000000-0005-0000-0000-000071420000}"/>
    <cellStyle name="Normal 9 2 4" xfId="17605" xr:uid="{00000000-0005-0000-0000-000072420000}"/>
    <cellStyle name="Normal 9 2 4 2" xfId="17606" xr:uid="{00000000-0005-0000-0000-000073420000}"/>
    <cellStyle name="Normal 9 2 5" xfId="17607" xr:uid="{00000000-0005-0000-0000-000074420000}"/>
    <cellStyle name="Normal 9 2 6" xfId="17608" xr:uid="{00000000-0005-0000-0000-000075420000}"/>
    <cellStyle name="Normal 9 3" xfId="595" xr:uid="{00000000-0005-0000-0000-000076420000}"/>
    <cellStyle name="Normal 9 3 2" xfId="594" xr:uid="{00000000-0005-0000-0000-000077420000}"/>
    <cellStyle name="Normal 9 3 2 2" xfId="593" xr:uid="{00000000-0005-0000-0000-000078420000}"/>
    <cellStyle name="Normal 9 3 2 2 2" xfId="592" xr:uid="{00000000-0005-0000-0000-000079420000}"/>
    <cellStyle name="Normal 9 3 2 2 3" xfId="591" xr:uid="{00000000-0005-0000-0000-00007A420000}"/>
    <cellStyle name="Normal 9 3 2 3" xfId="590" xr:uid="{00000000-0005-0000-0000-00007B420000}"/>
    <cellStyle name="Normal 9 3 2 4" xfId="589" xr:uid="{00000000-0005-0000-0000-00007C420000}"/>
    <cellStyle name="Normal 9 3 3" xfId="588" xr:uid="{00000000-0005-0000-0000-00007D420000}"/>
    <cellStyle name="Normal 9 3 3 2" xfId="587" xr:uid="{00000000-0005-0000-0000-00007E420000}"/>
    <cellStyle name="Normal 9 3 3 3" xfId="586" xr:uid="{00000000-0005-0000-0000-00007F420000}"/>
    <cellStyle name="Normal 9 3 4" xfId="585" xr:uid="{00000000-0005-0000-0000-000080420000}"/>
    <cellStyle name="Normal 9 3 4 2" xfId="584" xr:uid="{00000000-0005-0000-0000-000081420000}"/>
    <cellStyle name="Normal 9 3 4 3" xfId="583" xr:uid="{00000000-0005-0000-0000-000082420000}"/>
    <cellStyle name="Normal 9 3 5" xfId="582" xr:uid="{00000000-0005-0000-0000-000083420000}"/>
    <cellStyle name="Normal 9 3 6" xfId="581" xr:uid="{00000000-0005-0000-0000-000084420000}"/>
    <cellStyle name="Normal 9 4" xfId="17609" xr:uid="{00000000-0005-0000-0000-000085420000}"/>
    <cellStyle name="Normal 9 4 2" xfId="17610" xr:uid="{00000000-0005-0000-0000-000086420000}"/>
    <cellStyle name="Normal 9 5" xfId="17611" xr:uid="{00000000-0005-0000-0000-000087420000}"/>
    <cellStyle name="Normal 9 6" xfId="17612" xr:uid="{00000000-0005-0000-0000-000088420000}"/>
    <cellStyle name="Normal 9 6 2" xfId="17613" xr:uid="{00000000-0005-0000-0000-000089420000}"/>
    <cellStyle name="Normal 9 7" xfId="17614" xr:uid="{00000000-0005-0000-0000-00008A420000}"/>
    <cellStyle name="Normal 9 8" xfId="17615" xr:uid="{00000000-0005-0000-0000-00008B420000}"/>
    <cellStyle name="Normal 9_NOL Analysis(For Ann Kellog and  Pete Winne)" xfId="580" xr:uid="{00000000-0005-0000-0000-00008C420000}"/>
    <cellStyle name="Normal 90" xfId="17616" xr:uid="{00000000-0005-0000-0000-00008D420000}"/>
    <cellStyle name="Normal 90 2" xfId="17617" xr:uid="{00000000-0005-0000-0000-00008E420000}"/>
    <cellStyle name="Normal 90 3" xfId="17618" xr:uid="{00000000-0005-0000-0000-00008F420000}"/>
    <cellStyle name="Normal 91" xfId="17619" xr:uid="{00000000-0005-0000-0000-000090420000}"/>
    <cellStyle name="Normal 91 2" xfId="17620" xr:uid="{00000000-0005-0000-0000-000091420000}"/>
    <cellStyle name="Normal 91 2 2" xfId="17621" xr:uid="{00000000-0005-0000-0000-000092420000}"/>
    <cellStyle name="Normal 91 2 3" xfId="17622" xr:uid="{00000000-0005-0000-0000-000093420000}"/>
    <cellStyle name="Normal 91 3" xfId="17623" xr:uid="{00000000-0005-0000-0000-000094420000}"/>
    <cellStyle name="Normal 92" xfId="17624" xr:uid="{00000000-0005-0000-0000-000095420000}"/>
    <cellStyle name="Normal 92 2" xfId="17625" xr:uid="{00000000-0005-0000-0000-000096420000}"/>
    <cellStyle name="Normal 92 2 2" xfId="17626" xr:uid="{00000000-0005-0000-0000-000097420000}"/>
    <cellStyle name="Normal 92 2 3" xfId="17627" xr:uid="{00000000-0005-0000-0000-000098420000}"/>
    <cellStyle name="Normal 93" xfId="17628" xr:uid="{00000000-0005-0000-0000-000099420000}"/>
    <cellStyle name="Normal 94" xfId="17629" xr:uid="{00000000-0005-0000-0000-00009A420000}"/>
    <cellStyle name="Normal 94 2" xfId="17630" xr:uid="{00000000-0005-0000-0000-00009B420000}"/>
    <cellStyle name="Normal 94 2 2" xfId="17631" xr:uid="{00000000-0005-0000-0000-00009C420000}"/>
    <cellStyle name="Normal 94 3" xfId="17632" xr:uid="{00000000-0005-0000-0000-00009D420000}"/>
    <cellStyle name="Normal 95" xfId="17633" xr:uid="{00000000-0005-0000-0000-00009E420000}"/>
    <cellStyle name="Normal 95 2" xfId="17634" xr:uid="{00000000-0005-0000-0000-00009F420000}"/>
    <cellStyle name="Normal 95 3" xfId="17635" xr:uid="{00000000-0005-0000-0000-0000A0420000}"/>
    <cellStyle name="Normal 96" xfId="17636" xr:uid="{00000000-0005-0000-0000-0000A1420000}"/>
    <cellStyle name="Normal 96 2" xfId="17637" xr:uid="{00000000-0005-0000-0000-0000A2420000}"/>
    <cellStyle name="Normal 96 3" xfId="17638" xr:uid="{00000000-0005-0000-0000-0000A3420000}"/>
    <cellStyle name="Normal 97" xfId="17639" xr:uid="{00000000-0005-0000-0000-0000A4420000}"/>
    <cellStyle name="Normal 97 2" xfId="17640" xr:uid="{00000000-0005-0000-0000-0000A5420000}"/>
    <cellStyle name="Normal 97 3" xfId="17641" xr:uid="{00000000-0005-0000-0000-0000A6420000}"/>
    <cellStyle name="Normal 97 4" xfId="17642" xr:uid="{00000000-0005-0000-0000-0000A7420000}"/>
    <cellStyle name="Normal 97 5" xfId="17643" xr:uid="{00000000-0005-0000-0000-0000A8420000}"/>
    <cellStyle name="Normal 98" xfId="17644" xr:uid="{00000000-0005-0000-0000-0000A9420000}"/>
    <cellStyle name="Normal 98 2" xfId="17645" xr:uid="{00000000-0005-0000-0000-0000AA420000}"/>
    <cellStyle name="Normal 98 2 2" xfId="17646" xr:uid="{00000000-0005-0000-0000-0000AB420000}"/>
    <cellStyle name="Normal 98 3" xfId="17647" xr:uid="{00000000-0005-0000-0000-0000AC420000}"/>
    <cellStyle name="Normal 98 4" xfId="17648" xr:uid="{00000000-0005-0000-0000-0000AD420000}"/>
    <cellStyle name="Normal 99" xfId="17649" xr:uid="{00000000-0005-0000-0000-0000AE420000}"/>
    <cellStyle name="Normal 99 2" xfId="17650" xr:uid="{00000000-0005-0000-0000-0000AF420000}"/>
    <cellStyle name="Normal 99 2 2" xfId="17651" xr:uid="{00000000-0005-0000-0000-0000B0420000}"/>
    <cellStyle name="Normal 99 3" xfId="17652" xr:uid="{00000000-0005-0000-0000-0000B1420000}"/>
    <cellStyle name="Normal 99 4" xfId="17653" xr:uid="{00000000-0005-0000-0000-0000B2420000}"/>
    <cellStyle name="Note 10" xfId="579" xr:uid="{00000000-0005-0000-0000-0000B3420000}"/>
    <cellStyle name="Note 10 2" xfId="578" xr:uid="{00000000-0005-0000-0000-0000B4420000}"/>
    <cellStyle name="Note 10 3" xfId="577" xr:uid="{00000000-0005-0000-0000-0000B5420000}"/>
    <cellStyle name="Note 10 3 2" xfId="576" xr:uid="{00000000-0005-0000-0000-0000B6420000}"/>
    <cellStyle name="Note 10 3 2 2" xfId="575" xr:uid="{00000000-0005-0000-0000-0000B7420000}"/>
    <cellStyle name="Note 10 3 2 2 2" xfId="574" xr:uid="{00000000-0005-0000-0000-0000B8420000}"/>
    <cellStyle name="Note 10 3 2 2 3" xfId="573" xr:uid="{00000000-0005-0000-0000-0000B9420000}"/>
    <cellStyle name="Note 10 3 2 3" xfId="572" xr:uid="{00000000-0005-0000-0000-0000BA420000}"/>
    <cellStyle name="Note 10 3 2 4" xfId="571" xr:uid="{00000000-0005-0000-0000-0000BB420000}"/>
    <cellStyle name="Note 10 3 3" xfId="570" xr:uid="{00000000-0005-0000-0000-0000BC420000}"/>
    <cellStyle name="Note 10 3 3 2" xfId="569" xr:uid="{00000000-0005-0000-0000-0000BD420000}"/>
    <cellStyle name="Note 10 3 3 3" xfId="568" xr:uid="{00000000-0005-0000-0000-0000BE420000}"/>
    <cellStyle name="Note 10 3 4" xfId="567" xr:uid="{00000000-0005-0000-0000-0000BF420000}"/>
    <cellStyle name="Note 10 3 4 2" xfId="566" xr:uid="{00000000-0005-0000-0000-0000C0420000}"/>
    <cellStyle name="Note 10 3 4 3" xfId="565" xr:uid="{00000000-0005-0000-0000-0000C1420000}"/>
    <cellStyle name="Note 10 3 5" xfId="564" xr:uid="{00000000-0005-0000-0000-0000C2420000}"/>
    <cellStyle name="Note 10 3 6" xfId="563" xr:uid="{00000000-0005-0000-0000-0000C3420000}"/>
    <cellStyle name="Note 11" xfId="562" xr:uid="{00000000-0005-0000-0000-0000C4420000}"/>
    <cellStyle name="Note 11 2" xfId="561" xr:uid="{00000000-0005-0000-0000-0000C5420000}"/>
    <cellStyle name="Note 11 3" xfId="560" xr:uid="{00000000-0005-0000-0000-0000C6420000}"/>
    <cellStyle name="Note 11 3 2" xfId="559" xr:uid="{00000000-0005-0000-0000-0000C7420000}"/>
    <cellStyle name="Note 11 3 2 2" xfId="558" xr:uid="{00000000-0005-0000-0000-0000C8420000}"/>
    <cellStyle name="Note 11 3 2 2 2" xfId="557" xr:uid="{00000000-0005-0000-0000-0000C9420000}"/>
    <cellStyle name="Note 11 3 2 2 3" xfId="556" xr:uid="{00000000-0005-0000-0000-0000CA420000}"/>
    <cellStyle name="Note 11 3 2 3" xfId="555" xr:uid="{00000000-0005-0000-0000-0000CB420000}"/>
    <cellStyle name="Note 11 3 2 4" xfId="554" xr:uid="{00000000-0005-0000-0000-0000CC420000}"/>
    <cellStyle name="Note 11 3 3" xfId="553" xr:uid="{00000000-0005-0000-0000-0000CD420000}"/>
    <cellStyle name="Note 11 3 3 2" xfId="552" xr:uid="{00000000-0005-0000-0000-0000CE420000}"/>
    <cellStyle name="Note 11 3 3 3" xfId="551" xr:uid="{00000000-0005-0000-0000-0000CF420000}"/>
    <cellStyle name="Note 11 3 4" xfId="550" xr:uid="{00000000-0005-0000-0000-0000D0420000}"/>
    <cellStyle name="Note 11 3 4 2" xfId="549" xr:uid="{00000000-0005-0000-0000-0000D1420000}"/>
    <cellStyle name="Note 11 3 4 3" xfId="548" xr:uid="{00000000-0005-0000-0000-0000D2420000}"/>
    <cellStyle name="Note 11 3 5" xfId="547" xr:uid="{00000000-0005-0000-0000-0000D3420000}"/>
    <cellStyle name="Note 11 3 6" xfId="546" xr:uid="{00000000-0005-0000-0000-0000D4420000}"/>
    <cellStyle name="Note 12" xfId="545" xr:uid="{00000000-0005-0000-0000-0000D5420000}"/>
    <cellStyle name="Note 12 2" xfId="544" xr:uid="{00000000-0005-0000-0000-0000D6420000}"/>
    <cellStyle name="Note 12 2 2" xfId="17654" xr:uid="{00000000-0005-0000-0000-0000D7420000}"/>
    <cellStyle name="Note 12 3" xfId="543" xr:uid="{00000000-0005-0000-0000-0000D8420000}"/>
    <cellStyle name="Note 12 3 2" xfId="542" xr:uid="{00000000-0005-0000-0000-0000D9420000}"/>
    <cellStyle name="Note 12 3 2 2" xfId="541" xr:uid="{00000000-0005-0000-0000-0000DA420000}"/>
    <cellStyle name="Note 12 3 2 2 2" xfId="540" xr:uid="{00000000-0005-0000-0000-0000DB420000}"/>
    <cellStyle name="Note 12 3 2 2 3" xfId="539" xr:uid="{00000000-0005-0000-0000-0000DC420000}"/>
    <cellStyle name="Note 12 3 2 3" xfId="538" xr:uid="{00000000-0005-0000-0000-0000DD420000}"/>
    <cellStyle name="Note 12 3 2 4" xfId="537" xr:uid="{00000000-0005-0000-0000-0000DE420000}"/>
    <cellStyle name="Note 12 3 3" xfId="536" xr:uid="{00000000-0005-0000-0000-0000DF420000}"/>
    <cellStyle name="Note 12 3 3 2" xfId="535" xr:uid="{00000000-0005-0000-0000-0000E0420000}"/>
    <cellStyle name="Note 12 3 3 3" xfId="534" xr:uid="{00000000-0005-0000-0000-0000E1420000}"/>
    <cellStyle name="Note 12 3 4" xfId="533" xr:uid="{00000000-0005-0000-0000-0000E2420000}"/>
    <cellStyle name="Note 12 3 4 2" xfId="532" xr:uid="{00000000-0005-0000-0000-0000E3420000}"/>
    <cellStyle name="Note 12 3 4 3" xfId="531" xr:uid="{00000000-0005-0000-0000-0000E4420000}"/>
    <cellStyle name="Note 12 3 5" xfId="530" xr:uid="{00000000-0005-0000-0000-0000E5420000}"/>
    <cellStyle name="Note 12 3 6" xfId="529" xr:uid="{00000000-0005-0000-0000-0000E6420000}"/>
    <cellStyle name="Note 13" xfId="528" xr:uid="{00000000-0005-0000-0000-0000E7420000}"/>
    <cellStyle name="Note 13 2" xfId="527" xr:uid="{00000000-0005-0000-0000-0000E8420000}"/>
    <cellStyle name="Note 13 2 2" xfId="526" xr:uid="{00000000-0005-0000-0000-0000E9420000}"/>
    <cellStyle name="Note 13 2 2 2" xfId="525" xr:uid="{00000000-0005-0000-0000-0000EA420000}"/>
    <cellStyle name="Note 13 2 2 2 2" xfId="524" xr:uid="{00000000-0005-0000-0000-0000EB420000}"/>
    <cellStyle name="Note 13 2 2 2 3" xfId="523" xr:uid="{00000000-0005-0000-0000-0000EC420000}"/>
    <cellStyle name="Note 13 2 2 3" xfId="522" xr:uid="{00000000-0005-0000-0000-0000ED420000}"/>
    <cellStyle name="Note 13 2 2 4" xfId="521" xr:uid="{00000000-0005-0000-0000-0000EE420000}"/>
    <cellStyle name="Note 13 2 3" xfId="520" xr:uid="{00000000-0005-0000-0000-0000EF420000}"/>
    <cellStyle name="Note 13 2 3 2" xfId="519" xr:uid="{00000000-0005-0000-0000-0000F0420000}"/>
    <cellStyle name="Note 13 2 3 3" xfId="518" xr:uid="{00000000-0005-0000-0000-0000F1420000}"/>
    <cellStyle name="Note 13 2 4" xfId="517" xr:uid="{00000000-0005-0000-0000-0000F2420000}"/>
    <cellStyle name="Note 13 2 4 2" xfId="516" xr:uid="{00000000-0005-0000-0000-0000F3420000}"/>
    <cellStyle name="Note 13 2 4 3" xfId="515" xr:uid="{00000000-0005-0000-0000-0000F4420000}"/>
    <cellStyle name="Note 13 2 5" xfId="514" xr:uid="{00000000-0005-0000-0000-0000F5420000}"/>
    <cellStyle name="Note 13 2 6" xfId="513" xr:uid="{00000000-0005-0000-0000-0000F6420000}"/>
    <cellStyle name="Note 13 3" xfId="512" xr:uid="{00000000-0005-0000-0000-0000F7420000}"/>
    <cellStyle name="Note 13 3 2" xfId="511" xr:uid="{00000000-0005-0000-0000-0000F8420000}"/>
    <cellStyle name="Note 13 3 2 2" xfId="510" xr:uid="{00000000-0005-0000-0000-0000F9420000}"/>
    <cellStyle name="Note 13 3 2 3" xfId="509" xr:uid="{00000000-0005-0000-0000-0000FA420000}"/>
    <cellStyle name="Note 13 3 3" xfId="508" xr:uid="{00000000-0005-0000-0000-0000FB420000}"/>
    <cellStyle name="Note 13 3 4" xfId="507" xr:uid="{00000000-0005-0000-0000-0000FC420000}"/>
    <cellStyle name="Note 13 4" xfId="506" xr:uid="{00000000-0005-0000-0000-0000FD420000}"/>
    <cellStyle name="Note 13 4 2" xfId="505" xr:uid="{00000000-0005-0000-0000-0000FE420000}"/>
    <cellStyle name="Note 13 4 3" xfId="504" xr:uid="{00000000-0005-0000-0000-0000FF420000}"/>
    <cellStyle name="Note 13 5" xfId="503" xr:uid="{00000000-0005-0000-0000-000000430000}"/>
    <cellStyle name="Note 13 5 2" xfId="502" xr:uid="{00000000-0005-0000-0000-000001430000}"/>
    <cellStyle name="Note 13 5 3" xfId="501" xr:uid="{00000000-0005-0000-0000-000002430000}"/>
    <cellStyle name="Note 13 6" xfId="500" xr:uid="{00000000-0005-0000-0000-000003430000}"/>
    <cellStyle name="Note 13 7" xfId="499" xr:uid="{00000000-0005-0000-0000-000004430000}"/>
    <cellStyle name="Note 14" xfId="498" xr:uid="{00000000-0005-0000-0000-000005430000}"/>
    <cellStyle name="Note 14 2" xfId="497" xr:uid="{00000000-0005-0000-0000-000006430000}"/>
    <cellStyle name="Note 14 2 2" xfId="496" xr:uid="{00000000-0005-0000-0000-000007430000}"/>
    <cellStyle name="Note 14 2 2 2" xfId="495" xr:uid="{00000000-0005-0000-0000-000008430000}"/>
    <cellStyle name="Note 14 2 2 3" xfId="494" xr:uid="{00000000-0005-0000-0000-000009430000}"/>
    <cellStyle name="Note 14 2 3" xfId="493" xr:uid="{00000000-0005-0000-0000-00000A430000}"/>
    <cellStyle name="Note 14 2 4" xfId="492" xr:uid="{00000000-0005-0000-0000-00000B430000}"/>
    <cellStyle name="Note 14 3" xfId="491" xr:uid="{00000000-0005-0000-0000-00000C430000}"/>
    <cellStyle name="Note 14 3 2" xfId="490" xr:uid="{00000000-0005-0000-0000-00000D430000}"/>
    <cellStyle name="Note 14 3 3" xfId="489" xr:uid="{00000000-0005-0000-0000-00000E430000}"/>
    <cellStyle name="Note 14 4" xfId="488" xr:uid="{00000000-0005-0000-0000-00000F430000}"/>
    <cellStyle name="Note 14 4 2" xfId="487" xr:uid="{00000000-0005-0000-0000-000010430000}"/>
    <cellStyle name="Note 14 4 3" xfId="486" xr:uid="{00000000-0005-0000-0000-000011430000}"/>
    <cellStyle name="Note 14 5" xfId="485" xr:uid="{00000000-0005-0000-0000-000012430000}"/>
    <cellStyle name="Note 14 6" xfId="484" xr:uid="{00000000-0005-0000-0000-000013430000}"/>
    <cellStyle name="Note 15" xfId="483" xr:uid="{00000000-0005-0000-0000-000014430000}"/>
    <cellStyle name="Note 15 2" xfId="482" xr:uid="{00000000-0005-0000-0000-000015430000}"/>
    <cellStyle name="Note 15 2 2" xfId="481" xr:uid="{00000000-0005-0000-0000-000016430000}"/>
    <cellStyle name="Note 15 2 2 2" xfId="480" xr:uid="{00000000-0005-0000-0000-000017430000}"/>
    <cellStyle name="Note 15 2 2 3" xfId="479" xr:uid="{00000000-0005-0000-0000-000018430000}"/>
    <cellStyle name="Note 15 2 3" xfId="478" xr:uid="{00000000-0005-0000-0000-000019430000}"/>
    <cellStyle name="Note 15 2 4" xfId="477" xr:uid="{00000000-0005-0000-0000-00001A430000}"/>
    <cellStyle name="Note 15 3" xfId="476" xr:uid="{00000000-0005-0000-0000-00001B430000}"/>
    <cellStyle name="Note 15 3 2" xfId="475" xr:uid="{00000000-0005-0000-0000-00001C430000}"/>
    <cellStyle name="Note 15 3 3" xfId="474" xr:uid="{00000000-0005-0000-0000-00001D430000}"/>
    <cellStyle name="Note 15 4" xfId="473" xr:uid="{00000000-0005-0000-0000-00001E430000}"/>
    <cellStyle name="Note 15 4 2" xfId="472" xr:uid="{00000000-0005-0000-0000-00001F430000}"/>
    <cellStyle name="Note 15 4 3" xfId="471" xr:uid="{00000000-0005-0000-0000-000020430000}"/>
    <cellStyle name="Note 15 5" xfId="470" xr:uid="{00000000-0005-0000-0000-000021430000}"/>
    <cellStyle name="Note 15 6" xfId="469" xr:uid="{00000000-0005-0000-0000-000022430000}"/>
    <cellStyle name="Note 16" xfId="468" xr:uid="{00000000-0005-0000-0000-000023430000}"/>
    <cellStyle name="Note 16 2" xfId="467" xr:uid="{00000000-0005-0000-0000-000024430000}"/>
    <cellStyle name="Note 16 2 2" xfId="466" xr:uid="{00000000-0005-0000-0000-000025430000}"/>
    <cellStyle name="Note 16 2 2 2" xfId="465" xr:uid="{00000000-0005-0000-0000-000026430000}"/>
    <cellStyle name="Note 16 2 2 3" xfId="464" xr:uid="{00000000-0005-0000-0000-000027430000}"/>
    <cellStyle name="Note 16 2 3" xfId="463" xr:uid="{00000000-0005-0000-0000-000028430000}"/>
    <cellStyle name="Note 16 2 4" xfId="462" xr:uid="{00000000-0005-0000-0000-000029430000}"/>
    <cellStyle name="Note 16 3" xfId="461" xr:uid="{00000000-0005-0000-0000-00002A430000}"/>
    <cellStyle name="Note 16 3 2" xfId="460" xr:uid="{00000000-0005-0000-0000-00002B430000}"/>
    <cellStyle name="Note 16 3 3" xfId="459" xr:uid="{00000000-0005-0000-0000-00002C430000}"/>
    <cellStyle name="Note 16 4" xfId="458" xr:uid="{00000000-0005-0000-0000-00002D430000}"/>
    <cellStyle name="Note 16 4 2" xfId="457" xr:uid="{00000000-0005-0000-0000-00002E430000}"/>
    <cellStyle name="Note 16 4 3" xfId="456" xr:uid="{00000000-0005-0000-0000-00002F430000}"/>
    <cellStyle name="Note 16 5" xfId="455" xr:uid="{00000000-0005-0000-0000-000030430000}"/>
    <cellStyle name="Note 16 6" xfId="454" xr:uid="{00000000-0005-0000-0000-000031430000}"/>
    <cellStyle name="Note 17" xfId="453" xr:uid="{00000000-0005-0000-0000-000032430000}"/>
    <cellStyle name="Note 17 2" xfId="452" xr:uid="{00000000-0005-0000-0000-000033430000}"/>
    <cellStyle name="Note 17 2 2" xfId="451" xr:uid="{00000000-0005-0000-0000-000034430000}"/>
    <cellStyle name="Note 17 2 2 2" xfId="450" xr:uid="{00000000-0005-0000-0000-000035430000}"/>
    <cellStyle name="Note 17 2 2 3" xfId="449" xr:uid="{00000000-0005-0000-0000-000036430000}"/>
    <cellStyle name="Note 17 2 3" xfId="448" xr:uid="{00000000-0005-0000-0000-000037430000}"/>
    <cellStyle name="Note 17 2 4" xfId="447" xr:uid="{00000000-0005-0000-0000-000038430000}"/>
    <cellStyle name="Note 17 3" xfId="446" xr:uid="{00000000-0005-0000-0000-000039430000}"/>
    <cellStyle name="Note 17 3 2" xfId="445" xr:uid="{00000000-0005-0000-0000-00003A430000}"/>
    <cellStyle name="Note 17 3 3" xfId="444" xr:uid="{00000000-0005-0000-0000-00003B430000}"/>
    <cellStyle name="Note 17 4" xfId="443" xr:uid="{00000000-0005-0000-0000-00003C430000}"/>
    <cellStyle name="Note 17 4 2" xfId="442" xr:uid="{00000000-0005-0000-0000-00003D430000}"/>
    <cellStyle name="Note 17 4 3" xfId="441" xr:uid="{00000000-0005-0000-0000-00003E430000}"/>
    <cellStyle name="Note 17 5" xfId="440" xr:uid="{00000000-0005-0000-0000-00003F430000}"/>
    <cellStyle name="Note 17 6" xfId="439" xr:uid="{00000000-0005-0000-0000-000040430000}"/>
    <cellStyle name="Note 18" xfId="438" xr:uid="{00000000-0005-0000-0000-000041430000}"/>
    <cellStyle name="Note 18 2" xfId="437" xr:uid="{00000000-0005-0000-0000-000042430000}"/>
    <cellStyle name="Note 18 2 2" xfId="436" xr:uid="{00000000-0005-0000-0000-000043430000}"/>
    <cellStyle name="Note 18 2 2 2" xfId="435" xr:uid="{00000000-0005-0000-0000-000044430000}"/>
    <cellStyle name="Note 18 2 2 3" xfId="434" xr:uid="{00000000-0005-0000-0000-000045430000}"/>
    <cellStyle name="Note 18 2 3" xfId="433" xr:uid="{00000000-0005-0000-0000-000046430000}"/>
    <cellStyle name="Note 18 2 4" xfId="432" xr:uid="{00000000-0005-0000-0000-000047430000}"/>
    <cellStyle name="Note 18 3" xfId="431" xr:uid="{00000000-0005-0000-0000-000048430000}"/>
    <cellStyle name="Note 18 3 2" xfId="430" xr:uid="{00000000-0005-0000-0000-000049430000}"/>
    <cellStyle name="Note 18 3 3" xfId="429" xr:uid="{00000000-0005-0000-0000-00004A430000}"/>
    <cellStyle name="Note 18 4" xfId="428" xr:uid="{00000000-0005-0000-0000-00004B430000}"/>
    <cellStyle name="Note 18 4 2" xfId="427" xr:uid="{00000000-0005-0000-0000-00004C430000}"/>
    <cellStyle name="Note 18 4 3" xfId="426" xr:uid="{00000000-0005-0000-0000-00004D430000}"/>
    <cellStyle name="Note 18 5" xfId="425" xr:uid="{00000000-0005-0000-0000-00004E430000}"/>
    <cellStyle name="Note 18 6" xfId="424" xr:uid="{00000000-0005-0000-0000-00004F430000}"/>
    <cellStyle name="Note 19" xfId="423" xr:uid="{00000000-0005-0000-0000-000050430000}"/>
    <cellStyle name="Note 19 2" xfId="422" xr:uid="{00000000-0005-0000-0000-000051430000}"/>
    <cellStyle name="Note 19 2 2" xfId="421" xr:uid="{00000000-0005-0000-0000-000052430000}"/>
    <cellStyle name="Note 19 2 2 2" xfId="420" xr:uid="{00000000-0005-0000-0000-000053430000}"/>
    <cellStyle name="Note 19 2 2 3" xfId="419" xr:uid="{00000000-0005-0000-0000-000054430000}"/>
    <cellStyle name="Note 19 2 3" xfId="418" xr:uid="{00000000-0005-0000-0000-000055430000}"/>
    <cellStyle name="Note 19 2 4" xfId="417" xr:uid="{00000000-0005-0000-0000-000056430000}"/>
    <cellStyle name="Note 19 3" xfId="416" xr:uid="{00000000-0005-0000-0000-000057430000}"/>
    <cellStyle name="Note 19 3 2" xfId="415" xr:uid="{00000000-0005-0000-0000-000058430000}"/>
    <cellStyle name="Note 19 3 3" xfId="414" xr:uid="{00000000-0005-0000-0000-000059430000}"/>
    <cellStyle name="Note 19 4" xfId="413" xr:uid="{00000000-0005-0000-0000-00005A430000}"/>
    <cellStyle name="Note 19 4 2" xfId="412" xr:uid="{00000000-0005-0000-0000-00005B430000}"/>
    <cellStyle name="Note 19 4 3" xfId="411" xr:uid="{00000000-0005-0000-0000-00005C430000}"/>
    <cellStyle name="Note 19 5" xfId="410" xr:uid="{00000000-0005-0000-0000-00005D430000}"/>
    <cellStyle name="Note 19 6" xfId="409" xr:uid="{00000000-0005-0000-0000-00005E430000}"/>
    <cellStyle name="Note 2" xfId="408" xr:uid="{00000000-0005-0000-0000-00005F430000}"/>
    <cellStyle name="Note 2 10" xfId="17655" xr:uid="{00000000-0005-0000-0000-000060430000}"/>
    <cellStyle name="Note 2 10 2" xfId="17656" xr:uid="{00000000-0005-0000-0000-000061430000}"/>
    <cellStyle name="Note 2 11" xfId="17657" xr:uid="{00000000-0005-0000-0000-000062430000}"/>
    <cellStyle name="Note 2 12" xfId="17658" xr:uid="{00000000-0005-0000-0000-000063430000}"/>
    <cellStyle name="Note 2 12 2" xfId="17659" xr:uid="{00000000-0005-0000-0000-000064430000}"/>
    <cellStyle name="Note 2 12 2 2" xfId="17660" xr:uid="{00000000-0005-0000-0000-000065430000}"/>
    <cellStyle name="Note 2 12 3" xfId="17661" xr:uid="{00000000-0005-0000-0000-000066430000}"/>
    <cellStyle name="Note 2 12 4" xfId="17662" xr:uid="{00000000-0005-0000-0000-000067430000}"/>
    <cellStyle name="Note 2 12 4 2" xfId="17663" xr:uid="{00000000-0005-0000-0000-000068430000}"/>
    <cellStyle name="Note 2 12 5" xfId="17664" xr:uid="{00000000-0005-0000-0000-000069430000}"/>
    <cellStyle name="Note 2 13" xfId="17665" xr:uid="{00000000-0005-0000-0000-00006A430000}"/>
    <cellStyle name="Note 2 13 2" xfId="17666" xr:uid="{00000000-0005-0000-0000-00006B430000}"/>
    <cellStyle name="Note 2 13 2 2" xfId="17667" xr:uid="{00000000-0005-0000-0000-00006C430000}"/>
    <cellStyle name="Note 2 13 3" xfId="17668" xr:uid="{00000000-0005-0000-0000-00006D430000}"/>
    <cellStyle name="Note 2 14" xfId="17669" xr:uid="{00000000-0005-0000-0000-00006E430000}"/>
    <cellStyle name="Note 2 15" xfId="17670" xr:uid="{00000000-0005-0000-0000-00006F430000}"/>
    <cellStyle name="Note 2 2" xfId="407" xr:uid="{00000000-0005-0000-0000-000070430000}"/>
    <cellStyle name="Note 2 2 10" xfId="17671" xr:uid="{00000000-0005-0000-0000-000071430000}"/>
    <cellStyle name="Note 2 2 10 2" xfId="17672" xr:uid="{00000000-0005-0000-0000-000072430000}"/>
    <cellStyle name="Note 2 2 11" xfId="17673" xr:uid="{00000000-0005-0000-0000-000073430000}"/>
    <cellStyle name="Note 2 2 2" xfId="406" xr:uid="{00000000-0005-0000-0000-000074430000}"/>
    <cellStyle name="Note 2 2 2 2" xfId="17674" xr:uid="{00000000-0005-0000-0000-000075430000}"/>
    <cellStyle name="Note 2 2 2 2 2" xfId="17675" xr:uid="{00000000-0005-0000-0000-000076430000}"/>
    <cellStyle name="Note 2 2 2 2 3" xfId="17676" xr:uid="{00000000-0005-0000-0000-000077430000}"/>
    <cellStyle name="Note 2 2 2 3" xfId="17677" xr:uid="{00000000-0005-0000-0000-000078430000}"/>
    <cellStyle name="Note 2 2 2 3 2" xfId="17678" xr:uid="{00000000-0005-0000-0000-000079430000}"/>
    <cellStyle name="Note 2 2 2 4" xfId="17679" xr:uid="{00000000-0005-0000-0000-00007A430000}"/>
    <cellStyle name="Note 2 2 2 5" xfId="17680" xr:uid="{00000000-0005-0000-0000-00007B430000}"/>
    <cellStyle name="Note 2 2 3" xfId="17681" xr:uid="{00000000-0005-0000-0000-00007C430000}"/>
    <cellStyle name="Note 2 2 3 2" xfId="17682" xr:uid="{00000000-0005-0000-0000-00007D430000}"/>
    <cellStyle name="Note 2 2 3 2 2" xfId="17683" xr:uid="{00000000-0005-0000-0000-00007E430000}"/>
    <cellStyle name="Note 2 2 3 2 3" xfId="17684" xr:uid="{00000000-0005-0000-0000-00007F430000}"/>
    <cellStyle name="Note 2 2 3 3" xfId="17685" xr:uid="{00000000-0005-0000-0000-000080430000}"/>
    <cellStyle name="Note 2 2 3 3 2" xfId="17686" xr:uid="{00000000-0005-0000-0000-000081430000}"/>
    <cellStyle name="Note 2 2 3 4" xfId="17687" xr:uid="{00000000-0005-0000-0000-000082430000}"/>
    <cellStyle name="Note 2 2 3 5" xfId="17688" xr:uid="{00000000-0005-0000-0000-000083430000}"/>
    <cellStyle name="Note 2 2 4" xfId="17689" xr:uid="{00000000-0005-0000-0000-000084430000}"/>
    <cellStyle name="Note 2 2 4 2" xfId="17690" xr:uid="{00000000-0005-0000-0000-000085430000}"/>
    <cellStyle name="Note 2 2 4 2 2" xfId="17691" xr:uid="{00000000-0005-0000-0000-000086430000}"/>
    <cellStyle name="Note 2 2 4 3" xfId="17692" xr:uid="{00000000-0005-0000-0000-000087430000}"/>
    <cellStyle name="Note 2 2 4 4" xfId="17693" xr:uid="{00000000-0005-0000-0000-000088430000}"/>
    <cellStyle name="Note 2 2 5" xfId="17694" xr:uid="{00000000-0005-0000-0000-000089430000}"/>
    <cellStyle name="Note 2 2 5 2" xfId="17695" xr:uid="{00000000-0005-0000-0000-00008A430000}"/>
    <cellStyle name="Note 2 2 6" xfId="17696" xr:uid="{00000000-0005-0000-0000-00008B430000}"/>
    <cellStyle name="Note 2 2 6 2" xfId="17697" xr:uid="{00000000-0005-0000-0000-00008C430000}"/>
    <cellStyle name="Note 2 2 7" xfId="17698" xr:uid="{00000000-0005-0000-0000-00008D430000}"/>
    <cellStyle name="Note 2 2 8" xfId="17699" xr:uid="{00000000-0005-0000-0000-00008E430000}"/>
    <cellStyle name="Note 2 2 9" xfId="17700" xr:uid="{00000000-0005-0000-0000-00008F430000}"/>
    <cellStyle name="Note 2 2 9 2" xfId="17701" xr:uid="{00000000-0005-0000-0000-000090430000}"/>
    <cellStyle name="Note 2 3" xfId="405" xr:uid="{00000000-0005-0000-0000-000091430000}"/>
    <cellStyle name="Note 2 3 2" xfId="404" xr:uid="{00000000-0005-0000-0000-000092430000}"/>
    <cellStyle name="Note 2 3 2 2" xfId="403" xr:uid="{00000000-0005-0000-0000-000093430000}"/>
    <cellStyle name="Note 2 3 2 2 2" xfId="402" xr:uid="{00000000-0005-0000-0000-000094430000}"/>
    <cellStyle name="Note 2 3 2 2 3" xfId="401" xr:uid="{00000000-0005-0000-0000-000095430000}"/>
    <cellStyle name="Note 2 3 2 3" xfId="400" xr:uid="{00000000-0005-0000-0000-000096430000}"/>
    <cellStyle name="Note 2 3 2 3 2" xfId="17702" xr:uid="{00000000-0005-0000-0000-000097430000}"/>
    <cellStyle name="Note 2 3 2 4" xfId="399" xr:uid="{00000000-0005-0000-0000-000098430000}"/>
    <cellStyle name="Note 2 3 2 5" xfId="17703" xr:uid="{00000000-0005-0000-0000-000099430000}"/>
    <cellStyle name="Note 2 3 3" xfId="398" xr:uid="{00000000-0005-0000-0000-00009A430000}"/>
    <cellStyle name="Note 2 3 3 2" xfId="397" xr:uid="{00000000-0005-0000-0000-00009B430000}"/>
    <cellStyle name="Note 2 3 3 2 2" xfId="17704" xr:uid="{00000000-0005-0000-0000-00009C430000}"/>
    <cellStyle name="Note 2 3 3 3" xfId="396" xr:uid="{00000000-0005-0000-0000-00009D430000}"/>
    <cellStyle name="Note 2 3 3 4" xfId="17705" xr:uid="{00000000-0005-0000-0000-00009E430000}"/>
    <cellStyle name="Note 2 3 4" xfId="395" xr:uid="{00000000-0005-0000-0000-00009F430000}"/>
    <cellStyle name="Note 2 3 4 2" xfId="394" xr:uid="{00000000-0005-0000-0000-0000A0430000}"/>
    <cellStyle name="Note 2 3 4 3" xfId="393" xr:uid="{00000000-0005-0000-0000-0000A1430000}"/>
    <cellStyle name="Note 2 3 5" xfId="392" xr:uid="{00000000-0005-0000-0000-0000A2430000}"/>
    <cellStyle name="Note 2 3 5 2" xfId="17706" xr:uid="{00000000-0005-0000-0000-0000A3430000}"/>
    <cellStyle name="Note 2 3 6" xfId="391" xr:uid="{00000000-0005-0000-0000-0000A4430000}"/>
    <cellStyle name="Note 2 3 7" xfId="17707" xr:uid="{00000000-0005-0000-0000-0000A5430000}"/>
    <cellStyle name="Note 2 3 8" xfId="17708" xr:uid="{00000000-0005-0000-0000-0000A6430000}"/>
    <cellStyle name="Note 2 4" xfId="17709" xr:uid="{00000000-0005-0000-0000-0000A7430000}"/>
    <cellStyle name="Note 2 4 2" xfId="17710" xr:uid="{00000000-0005-0000-0000-0000A8430000}"/>
    <cellStyle name="Note 2 4 2 2" xfId="17711" xr:uid="{00000000-0005-0000-0000-0000A9430000}"/>
    <cellStyle name="Note 2 4 2 2 2" xfId="17712" xr:uid="{00000000-0005-0000-0000-0000AA430000}"/>
    <cellStyle name="Note 2 4 2 3" xfId="17713" xr:uid="{00000000-0005-0000-0000-0000AB430000}"/>
    <cellStyle name="Note 2 4 2 4" xfId="17714" xr:uid="{00000000-0005-0000-0000-0000AC430000}"/>
    <cellStyle name="Note 2 4 3" xfId="17715" xr:uid="{00000000-0005-0000-0000-0000AD430000}"/>
    <cellStyle name="Note 2 4 3 2" xfId="17716" xr:uid="{00000000-0005-0000-0000-0000AE430000}"/>
    <cellStyle name="Note 2 4 4" xfId="17717" xr:uid="{00000000-0005-0000-0000-0000AF430000}"/>
    <cellStyle name="Note 2 4 4 2" xfId="17718" xr:uid="{00000000-0005-0000-0000-0000B0430000}"/>
    <cellStyle name="Note 2 4 5" xfId="17719" xr:uid="{00000000-0005-0000-0000-0000B1430000}"/>
    <cellStyle name="Note 2 4 6" xfId="17720" xr:uid="{00000000-0005-0000-0000-0000B2430000}"/>
    <cellStyle name="Note 2 5" xfId="17721" xr:uid="{00000000-0005-0000-0000-0000B3430000}"/>
    <cellStyle name="Note 2 5 2" xfId="17722" xr:uid="{00000000-0005-0000-0000-0000B4430000}"/>
    <cellStyle name="Note 2 5 2 2" xfId="17723" xr:uid="{00000000-0005-0000-0000-0000B5430000}"/>
    <cellStyle name="Note 2 5 3" xfId="17724" xr:uid="{00000000-0005-0000-0000-0000B6430000}"/>
    <cellStyle name="Note 2 5 4" xfId="17725" xr:uid="{00000000-0005-0000-0000-0000B7430000}"/>
    <cellStyle name="Note 2 6" xfId="17726" xr:uid="{00000000-0005-0000-0000-0000B8430000}"/>
    <cellStyle name="Note 2 6 10" xfId="17727" xr:uid="{00000000-0005-0000-0000-0000B9430000}"/>
    <cellStyle name="Note 2 6 2" xfId="17728" xr:uid="{00000000-0005-0000-0000-0000BA430000}"/>
    <cellStyle name="Note 2 6 2 2" xfId="17729" xr:uid="{00000000-0005-0000-0000-0000BB430000}"/>
    <cellStyle name="Note 2 6 2 2 2" xfId="17730" xr:uid="{00000000-0005-0000-0000-0000BC430000}"/>
    <cellStyle name="Note 2 6 2 2 2 2" xfId="17731" xr:uid="{00000000-0005-0000-0000-0000BD430000}"/>
    <cellStyle name="Note 2 6 2 2 3" xfId="17732" xr:uid="{00000000-0005-0000-0000-0000BE430000}"/>
    <cellStyle name="Note 2 6 2 2 3 2" xfId="17733" xr:uid="{00000000-0005-0000-0000-0000BF430000}"/>
    <cellStyle name="Note 2 6 2 2 4" xfId="17734" xr:uid="{00000000-0005-0000-0000-0000C0430000}"/>
    <cellStyle name="Note 2 6 2 2 5" xfId="17735" xr:uid="{00000000-0005-0000-0000-0000C1430000}"/>
    <cellStyle name="Note 2 6 2 3" xfId="17736" xr:uid="{00000000-0005-0000-0000-0000C2430000}"/>
    <cellStyle name="Note 2 6 2 3 2" xfId="17737" xr:uid="{00000000-0005-0000-0000-0000C3430000}"/>
    <cellStyle name="Note 2 6 2 3 2 2" xfId="17738" xr:uid="{00000000-0005-0000-0000-0000C4430000}"/>
    <cellStyle name="Note 2 6 2 3 3" xfId="17739" xr:uid="{00000000-0005-0000-0000-0000C5430000}"/>
    <cellStyle name="Note 2 6 2 4" xfId="17740" xr:uid="{00000000-0005-0000-0000-0000C6430000}"/>
    <cellStyle name="Note 2 6 2 4 2" xfId="17741" xr:uid="{00000000-0005-0000-0000-0000C7430000}"/>
    <cellStyle name="Note 2 6 2 5" xfId="17742" xr:uid="{00000000-0005-0000-0000-0000C8430000}"/>
    <cellStyle name="Note 2 6 2 5 2" xfId="17743" xr:uid="{00000000-0005-0000-0000-0000C9430000}"/>
    <cellStyle name="Note 2 6 2 6" xfId="17744" xr:uid="{00000000-0005-0000-0000-0000CA430000}"/>
    <cellStyle name="Note 2 6 3" xfId="17745" xr:uid="{00000000-0005-0000-0000-0000CB430000}"/>
    <cellStyle name="Note 2 6 3 2" xfId="17746" xr:uid="{00000000-0005-0000-0000-0000CC430000}"/>
    <cellStyle name="Note 2 6 3 2 2" xfId="17747" xr:uid="{00000000-0005-0000-0000-0000CD430000}"/>
    <cellStyle name="Note 2 6 3 2 2 2" xfId="17748" xr:uid="{00000000-0005-0000-0000-0000CE430000}"/>
    <cellStyle name="Note 2 6 3 2 3" xfId="17749" xr:uid="{00000000-0005-0000-0000-0000CF430000}"/>
    <cellStyle name="Note 2 6 3 2 3 2" xfId="17750" xr:uid="{00000000-0005-0000-0000-0000D0430000}"/>
    <cellStyle name="Note 2 6 3 2 4" xfId="17751" xr:uid="{00000000-0005-0000-0000-0000D1430000}"/>
    <cellStyle name="Note 2 6 3 2 5" xfId="17752" xr:uid="{00000000-0005-0000-0000-0000D2430000}"/>
    <cellStyle name="Note 2 6 3 3" xfId="17753" xr:uid="{00000000-0005-0000-0000-0000D3430000}"/>
    <cellStyle name="Note 2 6 3 3 2" xfId="17754" xr:uid="{00000000-0005-0000-0000-0000D4430000}"/>
    <cellStyle name="Note 2 6 3 3 2 2" xfId="17755" xr:uid="{00000000-0005-0000-0000-0000D5430000}"/>
    <cellStyle name="Note 2 6 3 3 3" xfId="17756" xr:uid="{00000000-0005-0000-0000-0000D6430000}"/>
    <cellStyle name="Note 2 6 3 4" xfId="17757" xr:uid="{00000000-0005-0000-0000-0000D7430000}"/>
    <cellStyle name="Note 2 6 3 4 2" xfId="17758" xr:uid="{00000000-0005-0000-0000-0000D8430000}"/>
    <cellStyle name="Note 2 6 3 5" xfId="17759" xr:uid="{00000000-0005-0000-0000-0000D9430000}"/>
    <cellStyle name="Note 2 6 3 5 2" xfId="17760" xr:uid="{00000000-0005-0000-0000-0000DA430000}"/>
    <cellStyle name="Note 2 6 3 6" xfId="17761" xr:uid="{00000000-0005-0000-0000-0000DB430000}"/>
    <cellStyle name="Note 2 6 4" xfId="17762" xr:uid="{00000000-0005-0000-0000-0000DC430000}"/>
    <cellStyle name="Note 2 6 4 2" xfId="17763" xr:uid="{00000000-0005-0000-0000-0000DD430000}"/>
    <cellStyle name="Note 2 6 4 2 2" xfId="17764" xr:uid="{00000000-0005-0000-0000-0000DE430000}"/>
    <cellStyle name="Note 2 6 4 2 2 2" xfId="17765" xr:uid="{00000000-0005-0000-0000-0000DF430000}"/>
    <cellStyle name="Note 2 6 4 2 3" xfId="17766" xr:uid="{00000000-0005-0000-0000-0000E0430000}"/>
    <cellStyle name="Note 2 6 4 3" xfId="17767" xr:uid="{00000000-0005-0000-0000-0000E1430000}"/>
    <cellStyle name="Note 2 6 4 3 2" xfId="17768" xr:uid="{00000000-0005-0000-0000-0000E2430000}"/>
    <cellStyle name="Note 2 6 4 4" xfId="17769" xr:uid="{00000000-0005-0000-0000-0000E3430000}"/>
    <cellStyle name="Note 2 6 4 4 2" xfId="17770" xr:uid="{00000000-0005-0000-0000-0000E4430000}"/>
    <cellStyle name="Note 2 6 4 5" xfId="17771" xr:uid="{00000000-0005-0000-0000-0000E5430000}"/>
    <cellStyle name="Note 2 6 5" xfId="17772" xr:uid="{00000000-0005-0000-0000-0000E6430000}"/>
    <cellStyle name="Note 2 6 5 2" xfId="17773" xr:uid="{00000000-0005-0000-0000-0000E7430000}"/>
    <cellStyle name="Note 2 6 5 2 2" xfId="17774" xr:uid="{00000000-0005-0000-0000-0000E8430000}"/>
    <cellStyle name="Note 2 6 5 3" xfId="17775" xr:uid="{00000000-0005-0000-0000-0000E9430000}"/>
    <cellStyle name="Note 2 6 5 3 2" xfId="17776" xr:uid="{00000000-0005-0000-0000-0000EA430000}"/>
    <cellStyle name="Note 2 6 5 4" xfId="17777" xr:uid="{00000000-0005-0000-0000-0000EB430000}"/>
    <cellStyle name="Note 2 6 6" xfId="17778" xr:uid="{00000000-0005-0000-0000-0000EC430000}"/>
    <cellStyle name="Note 2 6 6 2" xfId="17779" xr:uid="{00000000-0005-0000-0000-0000ED430000}"/>
    <cellStyle name="Note 2 6 6 2 2" xfId="17780" xr:uid="{00000000-0005-0000-0000-0000EE430000}"/>
    <cellStyle name="Note 2 6 6 3" xfId="17781" xr:uid="{00000000-0005-0000-0000-0000EF430000}"/>
    <cellStyle name="Note 2 6 7" xfId="17782" xr:uid="{00000000-0005-0000-0000-0000F0430000}"/>
    <cellStyle name="Note 2 6 7 2" xfId="17783" xr:uid="{00000000-0005-0000-0000-0000F1430000}"/>
    <cellStyle name="Note 2 6 7 3" xfId="17784" xr:uid="{00000000-0005-0000-0000-0000F2430000}"/>
    <cellStyle name="Note 2 6 8" xfId="17785" xr:uid="{00000000-0005-0000-0000-0000F3430000}"/>
    <cellStyle name="Note 2 6 8 2" xfId="17786" xr:uid="{00000000-0005-0000-0000-0000F4430000}"/>
    <cellStyle name="Note 2 6 9" xfId="17787" xr:uid="{00000000-0005-0000-0000-0000F5430000}"/>
    <cellStyle name="Note 2 7" xfId="17788" xr:uid="{00000000-0005-0000-0000-0000F6430000}"/>
    <cellStyle name="Note 2 7 2" xfId="17789" xr:uid="{00000000-0005-0000-0000-0000F7430000}"/>
    <cellStyle name="Note 2 7 2 2" xfId="17790" xr:uid="{00000000-0005-0000-0000-0000F8430000}"/>
    <cellStyle name="Note 2 7 3" xfId="17791" xr:uid="{00000000-0005-0000-0000-0000F9430000}"/>
    <cellStyle name="Note 2 7 4" xfId="17792" xr:uid="{00000000-0005-0000-0000-0000FA430000}"/>
    <cellStyle name="Note 2 8" xfId="17793" xr:uid="{00000000-0005-0000-0000-0000FB430000}"/>
    <cellStyle name="Note 2 8 2" xfId="17794" xr:uid="{00000000-0005-0000-0000-0000FC430000}"/>
    <cellStyle name="Note 2 9" xfId="17795" xr:uid="{00000000-0005-0000-0000-0000FD430000}"/>
    <cellStyle name="Note 2 9 2" xfId="17796" xr:uid="{00000000-0005-0000-0000-0000FE430000}"/>
    <cellStyle name="Note 20" xfId="390" xr:uid="{00000000-0005-0000-0000-0000FF430000}"/>
    <cellStyle name="Note 20 2" xfId="389" xr:uid="{00000000-0005-0000-0000-000000440000}"/>
    <cellStyle name="Note 20 2 2" xfId="388" xr:uid="{00000000-0005-0000-0000-000001440000}"/>
    <cellStyle name="Note 20 2 2 2" xfId="387" xr:uid="{00000000-0005-0000-0000-000002440000}"/>
    <cellStyle name="Note 20 2 2 3" xfId="386" xr:uid="{00000000-0005-0000-0000-000003440000}"/>
    <cellStyle name="Note 20 2 3" xfId="385" xr:uid="{00000000-0005-0000-0000-000004440000}"/>
    <cellStyle name="Note 20 2 4" xfId="384" xr:uid="{00000000-0005-0000-0000-000005440000}"/>
    <cellStyle name="Note 20 3" xfId="383" xr:uid="{00000000-0005-0000-0000-000006440000}"/>
    <cellStyle name="Note 20 3 2" xfId="382" xr:uid="{00000000-0005-0000-0000-000007440000}"/>
    <cellStyle name="Note 20 3 3" xfId="381" xr:uid="{00000000-0005-0000-0000-000008440000}"/>
    <cellStyle name="Note 20 4" xfId="380" xr:uid="{00000000-0005-0000-0000-000009440000}"/>
    <cellStyle name="Note 20 4 2" xfId="379" xr:uid="{00000000-0005-0000-0000-00000A440000}"/>
    <cellStyle name="Note 20 4 3" xfId="378" xr:uid="{00000000-0005-0000-0000-00000B440000}"/>
    <cellStyle name="Note 20 5" xfId="377" xr:uid="{00000000-0005-0000-0000-00000C440000}"/>
    <cellStyle name="Note 20 6" xfId="376" xr:uid="{00000000-0005-0000-0000-00000D440000}"/>
    <cellStyle name="Note 21" xfId="375" xr:uid="{00000000-0005-0000-0000-00000E440000}"/>
    <cellStyle name="Note 22" xfId="374" xr:uid="{00000000-0005-0000-0000-00000F440000}"/>
    <cellStyle name="Note 22 2" xfId="373" xr:uid="{00000000-0005-0000-0000-000010440000}"/>
    <cellStyle name="Note 22 2 2" xfId="372" xr:uid="{00000000-0005-0000-0000-000011440000}"/>
    <cellStyle name="Note 22 2 2 2" xfId="371" xr:uid="{00000000-0005-0000-0000-000012440000}"/>
    <cellStyle name="Note 22 2 2 3" xfId="370" xr:uid="{00000000-0005-0000-0000-000013440000}"/>
    <cellStyle name="Note 22 2 3" xfId="369" xr:uid="{00000000-0005-0000-0000-000014440000}"/>
    <cellStyle name="Note 22 2 4" xfId="368" xr:uid="{00000000-0005-0000-0000-000015440000}"/>
    <cellStyle name="Note 22 3" xfId="367" xr:uid="{00000000-0005-0000-0000-000016440000}"/>
    <cellStyle name="Note 22 3 2" xfId="366" xr:uid="{00000000-0005-0000-0000-000017440000}"/>
    <cellStyle name="Note 22 3 3" xfId="365" xr:uid="{00000000-0005-0000-0000-000018440000}"/>
    <cellStyle name="Note 22 4" xfId="364" xr:uid="{00000000-0005-0000-0000-000019440000}"/>
    <cellStyle name="Note 22 4 2" xfId="363" xr:uid="{00000000-0005-0000-0000-00001A440000}"/>
    <cellStyle name="Note 22 4 3" xfId="362" xr:uid="{00000000-0005-0000-0000-00001B440000}"/>
    <cellStyle name="Note 22 5" xfId="361" xr:uid="{00000000-0005-0000-0000-00001C440000}"/>
    <cellStyle name="Note 22 6" xfId="360" xr:uid="{00000000-0005-0000-0000-00001D440000}"/>
    <cellStyle name="Note 23" xfId="359" xr:uid="{00000000-0005-0000-0000-00001E440000}"/>
    <cellStyle name="Note 23 2" xfId="358" xr:uid="{00000000-0005-0000-0000-00001F440000}"/>
    <cellStyle name="Note 23 2 2" xfId="357" xr:uid="{00000000-0005-0000-0000-000020440000}"/>
    <cellStyle name="Note 23 2 3" xfId="356" xr:uid="{00000000-0005-0000-0000-000021440000}"/>
    <cellStyle name="Note 23 3" xfId="355" xr:uid="{00000000-0005-0000-0000-000022440000}"/>
    <cellStyle name="Note 23 4" xfId="354" xr:uid="{00000000-0005-0000-0000-000023440000}"/>
    <cellStyle name="Note 3" xfId="353" xr:uid="{00000000-0005-0000-0000-000024440000}"/>
    <cellStyle name="Note 3 10" xfId="17797" xr:uid="{00000000-0005-0000-0000-000025440000}"/>
    <cellStyle name="Note 3 11" xfId="17798" xr:uid="{00000000-0005-0000-0000-000026440000}"/>
    <cellStyle name="Note 3 12" xfId="17799" xr:uid="{00000000-0005-0000-0000-000027440000}"/>
    <cellStyle name="Note 3 2" xfId="352" xr:uid="{00000000-0005-0000-0000-000028440000}"/>
    <cellStyle name="Note 3 2 2" xfId="17800" xr:uid="{00000000-0005-0000-0000-000029440000}"/>
    <cellStyle name="Note 3 2 2 2" xfId="17801" xr:uid="{00000000-0005-0000-0000-00002A440000}"/>
    <cellStyle name="Note 3 2 2 2 2" xfId="17802" xr:uid="{00000000-0005-0000-0000-00002B440000}"/>
    <cellStyle name="Note 3 2 2 2 3" xfId="17803" xr:uid="{00000000-0005-0000-0000-00002C440000}"/>
    <cellStyle name="Note 3 2 2 3" xfId="17804" xr:uid="{00000000-0005-0000-0000-00002D440000}"/>
    <cellStyle name="Note 3 2 2 3 2" xfId="17805" xr:uid="{00000000-0005-0000-0000-00002E440000}"/>
    <cellStyle name="Note 3 2 2 4" xfId="17806" xr:uid="{00000000-0005-0000-0000-00002F440000}"/>
    <cellStyle name="Note 3 2 2 5" xfId="17807" xr:uid="{00000000-0005-0000-0000-000030440000}"/>
    <cellStyle name="Note 3 2 3" xfId="17808" xr:uid="{00000000-0005-0000-0000-000031440000}"/>
    <cellStyle name="Note 3 2 3 2" xfId="17809" xr:uid="{00000000-0005-0000-0000-000032440000}"/>
    <cellStyle name="Note 3 2 3 2 2" xfId="17810" xr:uid="{00000000-0005-0000-0000-000033440000}"/>
    <cellStyle name="Note 3 2 3 2 3" xfId="17811" xr:uid="{00000000-0005-0000-0000-000034440000}"/>
    <cellStyle name="Note 3 2 3 3" xfId="17812" xr:uid="{00000000-0005-0000-0000-000035440000}"/>
    <cellStyle name="Note 3 2 3 3 2" xfId="17813" xr:uid="{00000000-0005-0000-0000-000036440000}"/>
    <cellStyle name="Note 3 2 3 4" xfId="17814" xr:uid="{00000000-0005-0000-0000-000037440000}"/>
    <cellStyle name="Note 3 2 3 5" xfId="17815" xr:uid="{00000000-0005-0000-0000-000038440000}"/>
    <cellStyle name="Note 3 2 4" xfId="17816" xr:uid="{00000000-0005-0000-0000-000039440000}"/>
    <cellStyle name="Note 3 2 4 2" xfId="17817" xr:uid="{00000000-0005-0000-0000-00003A440000}"/>
    <cellStyle name="Note 3 2 4 2 2" xfId="17818" xr:uid="{00000000-0005-0000-0000-00003B440000}"/>
    <cellStyle name="Note 3 2 4 3" xfId="17819" xr:uid="{00000000-0005-0000-0000-00003C440000}"/>
    <cellStyle name="Note 3 2 4 4" xfId="17820" xr:uid="{00000000-0005-0000-0000-00003D440000}"/>
    <cellStyle name="Note 3 2 5" xfId="17821" xr:uid="{00000000-0005-0000-0000-00003E440000}"/>
    <cellStyle name="Note 3 2 5 2" xfId="17822" xr:uid="{00000000-0005-0000-0000-00003F440000}"/>
    <cellStyle name="Note 3 2 6" xfId="17823" xr:uid="{00000000-0005-0000-0000-000040440000}"/>
    <cellStyle name="Note 3 2 6 2" xfId="17824" xr:uid="{00000000-0005-0000-0000-000041440000}"/>
    <cellStyle name="Note 3 2 7" xfId="17825" xr:uid="{00000000-0005-0000-0000-000042440000}"/>
    <cellStyle name="Note 3 2 8" xfId="17826" xr:uid="{00000000-0005-0000-0000-000043440000}"/>
    <cellStyle name="Note 3 2 9" xfId="17827" xr:uid="{00000000-0005-0000-0000-000044440000}"/>
    <cellStyle name="Note 3 3" xfId="351" xr:uid="{00000000-0005-0000-0000-000045440000}"/>
    <cellStyle name="Note 3 3 2" xfId="350" xr:uid="{00000000-0005-0000-0000-000046440000}"/>
    <cellStyle name="Note 3 3 2 2" xfId="349" xr:uid="{00000000-0005-0000-0000-000047440000}"/>
    <cellStyle name="Note 3 3 2 2 2" xfId="348" xr:uid="{00000000-0005-0000-0000-000048440000}"/>
    <cellStyle name="Note 3 3 2 2 3" xfId="347" xr:uid="{00000000-0005-0000-0000-000049440000}"/>
    <cellStyle name="Note 3 3 2 3" xfId="346" xr:uid="{00000000-0005-0000-0000-00004A440000}"/>
    <cellStyle name="Note 3 3 2 3 2" xfId="17828" xr:uid="{00000000-0005-0000-0000-00004B440000}"/>
    <cellStyle name="Note 3 3 2 4" xfId="345" xr:uid="{00000000-0005-0000-0000-00004C440000}"/>
    <cellStyle name="Note 3 3 2 5" xfId="17829" xr:uid="{00000000-0005-0000-0000-00004D440000}"/>
    <cellStyle name="Note 3 3 2 6" xfId="17830" xr:uid="{00000000-0005-0000-0000-00004E440000}"/>
    <cellStyle name="Note 3 3 3" xfId="344" xr:uid="{00000000-0005-0000-0000-00004F440000}"/>
    <cellStyle name="Note 3 3 3 2" xfId="343" xr:uid="{00000000-0005-0000-0000-000050440000}"/>
    <cellStyle name="Note 3 3 3 2 2" xfId="17831" xr:uid="{00000000-0005-0000-0000-000051440000}"/>
    <cellStyle name="Note 3 3 3 3" xfId="342" xr:uid="{00000000-0005-0000-0000-000052440000}"/>
    <cellStyle name="Note 3 3 3 4" xfId="17832" xr:uid="{00000000-0005-0000-0000-000053440000}"/>
    <cellStyle name="Note 3 3 4" xfId="341" xr:uid="{00000000-0005-0000-0000-000054440000}"/>
    <cellStyle name="Note 3 3 4 2" xfId="340" xr:uid="{00000000-0005-0000-0000-000055440000}"/>
    <cellStyle name="Note 3 3 4 3" xfId="339" xr:uid="{00000000-0005-0000-0000-000056440000}"/>
    <cellStyle name="Note 3 3 5" xfId="338" xr:uid="{00000000-0005-0000-0000-000057440000}"/>
    <cellStyle name="Note 3 3 5 2" xfId="17833" xr:uid="{00000000-0005-0000-0000-000058440000}"/>
    <cellStyle name="Note 3 3 6" xfId="337" xr:uid="{00000000-0005-0000-0000-000059440000}"/>
    <cellStyle name="Note 3 3 7" xfId="17834" xr:uid="{00000000-0005-0000-0000-00005A440000}"/>
    <cellStyle name="Note 3 3 8" xfId="17835" xr:uid="{00000000-0005-0000-0000-00005B440000}"/>
    <cellStyle name="Note 3 4" xfId="17836" xr:uid="{00000000-0005-0000-0000-00005C440000}"/>
    <cellStyle name="Note 3 4 2" xfId="17837" xr:uid="{00000000-0005-0000-0000-00005D440000}"/>
    <cellStyle name="Note 3 4 2 2" xfId="17838" xr:uid="{00000000-0005-0000-0000-00005E440000}"/>
    <cellStyle name="Note 3 4 2 2 2" xfId="17839" xr:uid="{00000000-0005-0000-0000-00005F440000}"/>
    <cellStyle name="Note 3 4 2 3" xfId="17840" xr:uid="{00000000-0005-0000-0000-000060440000}"/>
    <cellStyle name="Note 3 4 2 4" xfId="17841" xr:uid="{00000000-0005-0000-0000-000061440000}"/>
    <cellStyle name="Note 3 4 3" xfId="17842" xr:uid="{00000000-0005-0000-0000-000062440000}"/>
    <cellStyle name="Note 3 4 3 2" xfId="17843" xr:uid="{00000000-0005-0000-0000-000063440000}"/>
    <cellStyle name="Note 3 4 4" xfId="17844" xr:uid="{00000000-0005-0000-0000-000064440000}"/>
    <cellStyle name="Note 3 4 4 2" xfId="17845" xr:uid="{00000000-0005-0000-0000-000065440000}"/>
    <cellStyle name="Note 3 4 5" xfId="17846" xr:uid="{00000000-0005-0000-0000-000066440000}"/>
    <cellStyle name="Note 3 4 6" xfId="17847" xr:uid="{00000000-0005-0000-0000-000067440000}"/>
    <cellStyle name="Note 3 4 7" xfId="17848" xr:uid="{00000000-0005-0000-0000-000068440000}"/>
    <cellStyle name="Note 3 5" xfId="17849" xr:uid="{00000000-0005-0000-0000-000069440000}"/>
    <cellStyle name="Note 3 5 2" xfId="17850" xr:uid="{00000000-0005-0000-0000-00006A440000}"/>
    <cellStyle name="Note 3 5 2 2" xfId="17851" xr:uid="{00000000-0005-0000-0000-00006B440000}"/>
    <cellStyle name="Note 3 5 3" xfId="17852" xr:uid="{00000000-0005-0000-0000-00006C440000}"/>
    <cellStyle name="Note 3 5 4" xfId="17853" xr:uid="{00000000-0005-0000-0000-00006D440000}"/>
    <cellStyle name="Note 3 5 5" xfId="17854" xr:uid="{00000000-0005-0000-0000-00006E440000}"/>
    <cellStyle name="Note 3 6" xfId="17855" xr:uid="{00000000-0005-0000-0000-00006F440000}"/>
    <cellStyle name="Note 3 6 2" xfId="17856" xr:uid="{00000000-0005-0000-0000-000070440000}"/>
    <cellStyle name="Note 3 6 2 2" xfId="17857" xr:uid="{00000000-0005-0000-0000-000071440000}"/>
    <cellStyle name="Note 3 6 3" xfId="17858" xr:uid="{00000000-0005-0000-0000-000072440000}"/>
    <cellStyle name="Note 3 6 4" xfId="17859" xr:uid="{00000000-0005-0000-0000-000073440000}"/>
    <cellStyle name="Note 3 7" xfId="17860" xr:uid="{00000000-0005-0000-0000-000074440000}"/>
    <cellStyle name="Note 3 7 2" xfId="17861" xr:uid="{00000000-0005-0000-0000-000075440000}"/>
    <cellStyle name="Note 3 8" xfId="17862" xr:uid="{00000000-0005-0000-0000-000076440000}"/>
    <cellStyle name="Note 3 8 2" xfId="17863" xr:uid="{00000000-0005-0000-0000-000077440000}"/>
    <cellStyle name="Note 3 9" xfId="17864" xr:uid="{00000000-0005-0000-0000-000078440000}"/>
    <cellStyle name="Note 3 9 2" xfId="17865" xr:uid="{00000000-0005-0000-0000-000079440000}"/>
    <cellStyle name="Note 4" xfId="336" xr:uid="{00000000-0005-0000-0000-00007A440000}"/>
    <cellStyle name="Note 4 10" xfId="17866" xr:uid="{00000000-0005-0000-0000-00007B440000}"/>
    <cellStyle name="Note 4 2" xfId="335" xr:uid="{00000000-0005-0000-0000-00007C440000}"/>
    <cellStyle name="Note 4 2 2" xfId="17867" xr:uid="{00000000-0005-0000-0000-00007D440000}"/>
    <cellStyle name="Note 4 2 2 2" xfId="17868" xr:uid="{00000000-0005-0000-0000-00007E440000}"/>
    <cellStyle name="Note 4 2 2 2 2" xfId="17869" xr:uid="{00000000-0005-0000-0000-00007F440000}"/>
    <cellStyle name="Note 4 2 2 3" xfId="17870" xr:uid="{00000000-0005-0000-0000-000080440000}"/>
    <cellStyle name="Note 4 2 2 4" xfId="17871" xr:uid="{00000000-0005-0000-0000-000081440000}"/>
    <cellStyle name="Note 4 2 3" xfId="17872" xr:uid="{00000000-0005-0000-0000-000082440000}"/>
    <cellStyle name="Note 4 2 3 2" xfId="17873" xr:uid="{00000000-0005-0000-0000-000083440000}"/>
    <cellStyle name="Note 4 2 4" xfId="17874" xr:uid="{00000000-0005-0000-0000-000084440000}"/>
    <cellStyle name="Note 4 2 4 2" xfId="17875" xr:uid="{00000000-0005-0000-0000-000085440000}"/>
    <cellStyle name="Note 4 2 5" xfId="17876" xr:uid="{00000000-0005-0000-0000-000086440000}"/>
    <cellStyle name="Note 4 2 6" xfId="17877" xr:uid="{00000000-0005-0000-0000-000087440000}"/>
    <cellStyle name="Note 4 3" xfId="334" xr:uid="{00000000-0005-0000-0000-000088440000}"/>
    <cellStyle name="Note 4 3 2" xfId="333" xr:uid="{00000000-0005-0000-0000-000089440000}"/>
    <cellStyle name="Note 4 3 2 2" xfId="332" xr:uid="{00000000-0005-0000-0000-00008A440000}"/>
    <cellStyle name="Note 4 3 2 2 2" xfId="331" xr:uid="{00000000-0005-0000-0000-00008B440000}"/>
    <cellStyle name="Note 4 3 2 2 3" xfId="330" xr:uid="{00000000-0005-0000-0000-00008C440000}"/>
    <cellStyle name="Note 4 3 2 3" xfId="329" xr:uid="{00000000-0005-0000-0000-00008D440000}"/>
    <cellStyle name="Note 4 3 2 4" xfId="328" xr:uid="{00000000-0005-0000-0000-00008E440000}"/>
    <cellStyle name="Note 4 3 3" xfId="327" xr:uid="{00000000-0005-0000-0000-00008F440000}"/>
    <cellStyle name="Note 4 3 3 2" xfId="326" xr:uid="{00000000-0005-0000-0000-000090440000}"/>
    <cellStyle name="Note 4 3 3 3" xfId="325" xr:uid="{00000000-0005-0000-0000-000091440000}"/>
    <cellStyle name="Note 4 3 4" xfId="324" xr:uid="{00000000-0005-0000-0000-000092440000}"/>
    <cellStyle name="Note 4 3 4 2" xfId="323" xr:uid="{00000000-0005-0000-0000-000093440000}"/>
    <cellStyle name="Note 4 3 4 3" xfId="322" xr:uid="{00000000-0005-0000-0000-000094440000}"/>
    <cellStyle name="Note 4 3 5" xfId="321" xr:uid="{00000000-0005-0000-0000-000095440000}"/>
    <cellStyle name="Note 4 3 6" xfId="320" xr:uid="{00000000-0005-0000-0000-000096440000}"/>
    <cellStyle name="Note 4 4" xfId="17878" xr:uid="{00000000-0005-0000-0000-000097440000}"/>
    <cellStyle name="Note 4 4 2" xfId="17879" xr:uid="{00000000-0005-0000-0000-000098440000}"/>
    <cellStyle name="Note 4 4 2 2" xfId="17880" xr:uid="{00000000-0005-0000-0000-000099440000}"/>
    <cellStyle name="Note 4 4 3" xfId="17881" xr:uid="{00000000-0005-0000-0000-00009A440000}"/>
    <cellStyle name="Note 4 4 4" xfId="17882" xr:uid="{00000000-0005-0000-0000-00009B440000}"/>
    <cellStyle name="Note 4 5" xfId="17883" xr:uid="{00000000-0005-0000-0000-00009C440000}"/>
    <cellStyle name="Note 4 5 2" xfId="17884" xr:uid="{00000000-0005-0000-0000-00009D440000}"/>
    <cellStyle name="Note 4 6" xfId="17885" xr:uid="{00000000-0005-0000-0000-00009E440000}"/>
    <cellStyle name="Note 4 7" xfId="17886" xr:uid="{00000000-0005-0000-0000-00009F440000}"/>
    <cellStyle name="Note 4 7 2" xfId="17887" xr:uid="{00000000-0005-0000-0000-0000A0440000}"/>
    <cellStyle name="Note 4 8" xfId="17888" xr:uid="{00000000-0005-0000-0000-0000A1440000}"/>
    <cellStyle name="Note 4 9" xfId="17889" xr:uid="{00000000-0005-0000-0000-0000A2440000}"/>
    <cellStyle name="Note 5" xfId="319" xr:uid="{00000000-0005-0000-0000-0000A3440000}"/>
    <cellStyle name="Note 5 2" xfId="318" xr:uid="{00000000-0005-0000-0000-0000A4440000}"/>
    <cellStyle name="Note 5 2 2" xfId="17890" xr:uid="{00000000-0005-0000-0000-0000A5440000}"/>
    <cellStyle name="Note 5 2 2 2" xfId="17891" xr:uid="{00000000-0005-0000-0000-0000A6440000}"/>
    <cellStyle name="Note 5 2 3" xfId="17892" xr:uid="{00000000-0005-0000-0000-0000A7440000}"/>
    <cellStyle name="Note 5 2 3 2" xfId="17893" xr:uid="{00000000-0005-0000-0000-0000A8440000}"/>
    <cellStyle name="Note 5 2 4" xfId="17894" xr:uid="{00000000-0005-0000-0000-0000A9440000}"/>
    <cellStyle name="Note 5 2 5" xfId="17895" xr:uid="{00000000-0005-0000-0000-0000AA440000}"/>
    <cellStyle name="Note 5 3" xfId="317" xr:uid="{00000000-0005-0000-0000-0000AB440000}"/>
    <cellStyle name="Note 5 3 2" xfId="316" xr:uid="{00000000-0005-0000-0000-0000AC440000}"/>
    <cellStyle name="Note 5 3 2 2" xfId="315" xr:uid="{00000000-0005-0000-0000-0000AD440000}"/>
    <cellStyle name="Note 5 3 2 2 2" xfId="314" xr:uid="{00000000-0005-0000-0000-0000AE440000}"/>
    <cellStyle name="Note 5 3 2 2 3" xfId="313" xr:uid="{00000000-0005-0000-0000-0000AF440000}"/>
    <cellStyle name="Note 5 3 2 3" xfId="312" xr:uid="{00000000-0005-0000-0000-0000B0440000}"/>
    <cellStyle name="Note 5 3 2 4" xfId="311" xr:uid="{00000000-0005-0000-0000-0000B1440000}"/>
    <cellStyle name="Note 5 3 3" xfId="310" xr:uid="{00000000-0005-0000-0000-0000B2440000}"/>
    <cellStyle name="Note 5 3 3 2" xfId="309" xr:uid="{00000000-0005-0000-0000-0000B3440000}"/>
    <cellStyle name="Note 5 3 3 3" xfId="308" xr:uid="{00000000-0005-0000-0000-0000B4440000}"/>
    <cellStyle name="Note 5 3 4" xfId="307" xr:uid="{00000000-0005-0000-0000-0000B5440000}"/>
    <cellStyle name="Note 5 3 4 2" xfId="306" xr:uid="{00000000-0005-0000-0000-0000B6440000}"/>
    <cellStyle name="Note 5 3 4 3" xfId="305" xr:uid="{00000000-0005-0000-0000-0000B7440000}"/>
    <cellStyle name="Note 5 3 5" xfId="304" xr:uid="{00000000-0005-0000-0000-0000B8440000}"/>
    <cellStyle name="Note 5 3 6" xfId="303" xr:uid="{00000000-0005-0000-0000-0000B9440000}"/>
    <cellStyle name="Note 5 4" xfId="17896" xr:uid="{00000000-0005-0000-0000-0000BA440000}"/>
    <cellStyle name="Note 5 4 2" xfId="17897" xr:uid="{00000000-0005-0000-0000-0000BB440000}"/>
    <cellStyle name="Note 5 5" xfId="17898" xr:uid="{00000000-0005-0000-0000-0000BC440000}"/>
    <cellStyle name="Note 5 5 2" xfId="17899" xr:uid="{00000000-0005-0000-0000-0000BD440000}"/>
    <cellStyle name="Note 5 6" xfId="17900" xr:uid="{00000000-0005-0000-0000-0000BE440000}"/>
    <cellStyle name="Note 5 6 2" xfId="17901" xr:uid="{00000000-0005-0000-0000-0000BF440000}"/>
    <cellStyle name="Note 5 7" xfId="17902" xr:uid="{00000000-0005-0000-0000-0000C0440000}"/>
    <cellStyle name="Note 5 8" xfId="17903" xr:uid="{00000000-0005-0000-0000-0000C1440000}"/>
    <cellStyle name="Note 6" xfId="302" xr:uid="{00000000-0005-0000-0000-0000C2440000}"/>
    <cellStyle name="Note 6 2" xfId="301" xr:uid="{00000000-0005-0000-0000-0000C3440000}"/>
    <cellStyle name="Note 6 2 2" xfId="17904" xr:uid="{00000000-0005-0000-0000-0000C4440000}"/>
    <cellStyle name="Note 6 2 2 2" xfId="17905" xr:uid="{00000000-0005-0000-0000-0000C5440000}"/>
    <cellStyle name="Note 6 2 2 2 2" xfId="17906" xr:uid="{00000000-0005-0000-0000-0000C6440000}"/>
    <cellStyle name="Note 6 2 2 3" xfId="17907" xr:uid="{00000000-0005-0000-0000-0000C7440000}"/>
    <cellStyle name="Note 6 2 3" xfId="17908" xr:uid="{00000000-0005-0000-0000-0000C8440000}"/>
    <cellStyle name="Note 6 2 3 2" xfId="17909" xr:uid="{00000000-0005-0000-0000-0000C9440000}"/>
    <cellStyle name="Note 6 2 3 2 2" xfId="17910" xr:uid="{00000000-0005-0000-0000-0000CA440000}"/>
    <cellStyle name="Note 6 2 3 3" xfId="17911" xr:uid="{00000000-0005-0000-0000-0000CB440000}"/>
    <cellStyle name="Note 6 2 3 3 2" xfId="17912" xr:uid="{00000000-0005-0000-0000-0000CC440000}"/>
    <cellStyle name="Note 6 2 3 4" xfId="17913" xr:uid="{00000000-0005-0000-0000-0000CD440000}"/>
    <cellStyle name="Note 6 2 4" xfId="17914" xr:uid="{00000000-0005-0000-0000-0000CE440000}"/>
    <cellStyle name="Note 6 2 4 2" xfId="17915" xr:uid="{00000000-0005-0000-0000-0000CF440000}"/>
    <cellStyle name="Note 6 2 5" xfId="17916" xr:uid="{00000000-0005-0000-0000-0000D0440000}"/>
    <cellStyle name="Note 6 2 5 2" xfId="17917" xr:uid="{00000000-0005-0000-0000-0000D1440000}"/>
    <cellStyle name="Note 6 2 6" xfId="17918" xr:uid="{00000000-0005-0000-0000-0000D2440000}"/>
    <cellStyle name="Note 6 3" xfId="300" xr:uid="{00000000-0005-0000-0000-0000D3440000}"/>
    <cellStyle name="Note 6 3 2" xfId="299" xr:uid="{00000000-0005-0000-0000-0000D4440000}"/>
    <cellStyle name="Note 6 3 2 2" xfId="298" xr:uid="{00000000-0005-0000-0000-0000D5440000}"/>
    <cellStyle name="Note 6 3 2 2 2" xfId="297" xr:uid="{00000000-0005-0000-0000-0000D6440000}"/>
    <cellStyle name="Note 6 3 2 2 3" xfId="296" xr:uid="{00000000-0005-0000-0000-0000D7440000}"/>
    <cellStyle name="Note 6 3 2 3" xfId="295" xr:uid="{00000000-0005-0000-0000-0000D8440000}"/>
    <cellStyle name="Note 6 3 2 3 2" xfId="17919" xr:uid="{00000000-0005-0000-0000-0000D9440000}"/>
    <cellStyle name="Note 6 3 2 4" xfId="294" xr:uid="{00000000-0005-0000-0000-0000DA440000}"/>
    <cellStyle name="Note 6 3 3" xfId="293" xr:uid="{00000000-0005-0000-0000-0000DB440000}"/>
    <cellStyle name="Note 6 3 3 2" xfId="292" xr:uid="{00000000-0005-0000-0000-0000DC440000}"/>
    <cellStyle name="Note 6 3 3 2 2" xfId="17920" xr:uid="{00000000-0005-0000-0000-0000DD440000}"/>
    <cellStyle name="Note 6 3 3 3" xfId="291" xr:uid="{00000000-0005-0000-0000-0000DE440000}"/>
    <cellStyle name="Note 6 3 3 3 2" xfId="17921" xr:uid="{00000000-0005-0000-0000-0000DF440000}"/>
    <cellStyle name="Note 6 3 3 4" xfId="17922" xr:uid="{00000000-0005-0000-0000-0000E0440000}"/>
    <cellStyle name="Note 6 3 4" xfId="290" xr:uid="{00000000-0005-0000-0000-0000E1440000}"/>
    <cellStyle name="Note 6 3 4 2" xfId="289" xr:uid="{00000000-0005-0000-0000-0000E2440000}"/>
    <cellStyle name="Note 6 3 4 3" xfId="288" xr:uid="{00000000-0005-0000-0000-0000E3440000}"/>
    <cellStyle name="Note 6 3 5" xfId="287" xr:uid="{00000000-0005-0000-0000-0000E4440000}"/>
    <cellStyle name="Note 6 3 5 2" xfId="17923" xr:uid="{00000000-0005-0000-0000-0000E5440000}"/>
    <cellStyle name="Note 6 3 6" xfId="286" xr:uid="{00000000-0005-0000-0000-0000E6440000}"/>
    <cellStyle name="Note 6 4" xfId="17924" xr:uid="{00000000-0005-0000-0000-0000E7440000}"/>
    <cellStyle name="Note 6 4 2" xfId="17925" xr:uid="{00000000-0005-0000-0000-0000E8440000}"/>
    <cellStyle name="Note 6 4 2 2" xfId="17926" xr:uid="{00000000-0005-0000-0000-0000E9440000}"/>
    <cellStyle name="Note 6 4 3" xfId="17927" xr:uid="{00000000-0005-0000-0000-0000EA440000}"/>
    <cellStyle name="Note 6 4 3 2" xfId="17928" xr:uid="{00000000-0005-0000-0000-0000EB440000}"/>
    <cellStyle name="Note 6 4 4" xfId="17929" xr:uid="{00000000-0005-0000-0000-0000EC440000}"/>
    <cellStyle name="Note 6 5" xfId="17930" xr:uid="{00000000-0005-0000-0000-0000ED440000}"/>
    <cellStyle name="Note 6 5 2" xfId="17931" xr:uid="{00000000-0005-0000-0000-0000EE440000}"/>
    <cellStyle name="Note 6 5 2 2" xfId="17932" xr:uid="{00000000-0005-0000-0000-0000EF440000}"/>
    <cellStyle name="Note 6 5 3" xfId="17933" xr:uid="{00000000-0005-0000-0000-0000F0440000}"/>
    <cellStyle name="Note 6 6" xfId="17934" xr:uid="{00000000-0005-0000-0000-0000F1440000}"/>
    <cellStyle name="Note 6 6 2" xfId="17935" xr:uid="{00000000-0005-0000-0000-0000F2440000}"/>
    <cellStyle name="Note 6 6 2 2" xfId="17936" xr:uid="{00000000-0005-0000-0000-0000F3440000}"/>
    <cellStyle name="Note 6 6 3" xfId="17937" xr:uid="{00000000-0005-0000-0000-0000F4440000}"/>
    <cellStyle name="Note 6 7" xfId="17938" xr:uid="{00000000-0005-0000-0000-0000F5440000}"/>
    <cellStyle name="Note 6 7 2" xfId="17939" xr:uid="{00000000-0005-0000-0000-0000F6440000}"/>
    <cellStyle name="Note 6 8" xfId="17940" xr:uid="{00000000-0005-0000-0000-0000F7440000}"/>
    <cellStyle name="Note 7" xfId="285" xr:uid="{00000000-0005-0000-0000-0000F8440000}"/>
    <cellStyle name="Note 7 10" xfId="17941" xr:uid="{00000000-0005-0000-0000-0000F9440000}"/>
    <cellStyle name="Note 7 10 2" xfId="17942" xr:uid="{00000000-0005-0000-0000-0000FA440000}"/>
    <cellStyle name="Note 7 11" xfId="17943" xr:uid="{00000000-0005-0000-0000-0000FB440000}"/>
    <cellStyle name="Note 7 11 2" xfId="17944" xr:uid="{00000000-0005-0000-0000-0000FC440000}"/>
    <cellStyle name="Note 7 12" xfId="17945" xr:uid="{00000000-0005-0000-0000-0000FD440000}"/>
    <cellStyle name="Note 7 13" xfId="17946" xr:uid="{00000000-0005-0000-0000-0000FE440000}"/>
    <cellStyle name="Note 7 14" xfId="17947" xr:uid="{00000000-0005-0000-0000-0000FF440000}"/>
    <cellStyle name="Note 7 2" xfId="284" xr:uid="{00000000-0005-0000-0000-000000450000}"/>
    <cellStyle name="Note 7 2 2" xfId="17948" xr:uid="{00000000-0005-0000-0000-000001450000}"/>
    <cellStyle name="Note 7 2 2 2" xfId="17949" xr:uid="{00000000-0005-0000-0000-000002450000}"/>
    <cellStyle name="Note 7 2 2 2 2" xfId="17950" xr:uid="{00000000-0005-0000-0000-000003450000}"/>
    <cellStyle name="Note 7 2 2 2 3" xfId="17951" xr:uid="{00000000-0005-0000-0000-000004450000}"/>
    <cellStyle name="Note 7 2 2 2 4" xfId="17952" xr:uid="{00000000-0005-0000-0000-000005450000}"/>
    <cellStyle name="Note 7 2 2 3" xfId="17953" xr:uid="{00000000-0005-0000-0000-000006450000}"/>
    <cellStyle name="Note 7 2 2 3 2" xfId="17954" xr:uid="{00000000-0005-0000-0000-000007450000}"/>
    <cellStyle name="Note 7 2 2 3 2 2" xfId="17955" xr:uid="{00000000-0005-0000-0000-000008450000}"/>
    <cellStyle name="Note 7 2 2 3 3" xfId="17956" xr:uid="{00000000-0005-0000-0000-000009450000}"/>
    <cellStyle name="Note 7 2 2 4" xfId="17957" xr:uid="{00000000-0005-0000-0000-00000A450000}"/>
    <cellStyle name="Note 7 2 2 4 2" xfId="17958" xr:uid="{00000000-0005-0000-0000-00000B450000}"/>
    <cellStyle name="Note 7 2 2 5" xfId="17959" xr:uid="{00000000-0005-0000-0000-00000C450000}"/>
    <cellStyle name="Note 7 2 2 5 2" xfId="17960" xr:uid="{00000000-0005-0000-0000-00000D450000}"/>
    <cellStyle name="Note 7 2 2 6" xfId="17961" xr:uid="{00000000-0005-0000-0000-00000E450000}"/>
    <cellStyle name="Note 7 2 2 6 2" xfId="17962" xr:uid="{00000000-0005-0000-0000-00000F450000}"/>
    <cellStyle name="Note 7 2 2 6 2 2" xfId="17963" xr:uid="{00000000-0005-0000-0000-000010450000}"/>
    <cellStyle name="Note 7 2 2 7" xfId="17964" xr:uid="{00000000-0005-0000-0000-000011450000}"/>
    <cellStyle name="Note 7 2 2 7 2" xfId="17965" xr:uid="{00000000-0005-0000-0000-000012450000}"/>
    <cellStyle name="Note 7 2 2 8" xfId="17966" xr:uid="{00000000-0005-0000-0000-000013450000}"/>
    <cellStyle name="Note 7 2 3" xfId="17967" xr:uid="{00000000-0005-0000-0000-000014450000}"/>
    <cellStyle name="Note 7 2 3 2" xfId="17968" xr:uid="{00000000-0005-0000-0000-000015450000}"/>
    <cellStyle name="Note 7 2 3 2 2" xfId="17969" xr:uid="{00000000-0005-0000-0000-000016450000}"/>
    <cellStyle name="Note 7 2 3 2 2 2" xfId="17970" xr:uid="{00000000-0005-0000-0000-000017450000}"/>
    <cellStyle name="Note 7 2 3 2 3" xfId="17971" xr:uid="{00000000-0005-0000-0000-000018450000}"/>
    <cellStyle name="Note 7 2 3 3" xfId="17972" xr:uid="{00000000-0005-0000-0000-000019450000}"/>
    <cellStyle name="Note 7 2 3 3 2" xfId="17973" xr:uid="{00000000-0005-0000-0000-00001A450000}"/>
    <cellStyle name="Note 7 2 3 3 2 2" xfId="17974" xr:uid="{00000000-0005-0000-0000-00001B450000}"/>
    <cellStyle name="Note 7 2 3 4" xfId="17975" xr:uid="{00000000-0005-0000-0000-00001C450000}"/>
    <cellStyle name="Note 7 2 3 4 2" xfId="17976" xr:uid="{00000000-0005-0000-0000-00001D450000}"/>
    <cellStyle name="Note 7 2 3 4 2 2" xfId="17977" xr:uid="{00000000-0005-0000-0000-00001E450000}"/>
    <cellStyle name="Note 7 2 3 5" xfId="17978" xr:uid="{00000000-0005-0000-0000-00001F450000}"/>
    <cellStyle name="Note 7 2 4" xfId="17979" xr:uid="{00000000-0005-0000-0000-000020450000}"/>
    <cellStyle name="Note 7 2 4 2" xfId="17980" xr:uid="{00000000-0005-0000-0000-000021450000}"/>
    <cellStyle name="Note 7 2 4 2 2" xfId="17981" xr:uid="{00000000-0005-0000-0000-000022450000}"/>
    <cellStyle name="Note 7 2 4 2 2 2" xfId="17982" xr:uid="{00000000-0005-0000-0000-000023450000}"/>
    <cellStyle name="Note 7 2 4 3" xfId="17983" xr:uid="{00000000-0005-0000-0000-000024450000}"/>
    <cellStyle name="Note 7 2 4 3 2" xfId="17984" xr:uid="{00000000-0005-0000-0000-000025450000}"/>
    <cellStyle name="Note 7 2 4 4" xfId="17985" xr:uid="{00000000-0005-0000-0000-000026450000}"/>
    <cellStyle name="Note 7 2 4 5" xfId="17986" xr:uid="{00000000-0005-0000-0000-000027450000}"/>
    <cellStyle name="Note 7 2 5" xfId="17987" xr:uid="{00000000-0005-0000-0000-000028450000}"/>
    <cellStyle name="Note 7 2 5 2" xfId="17988" xr:uid="{00000000-0005-0000-0000-000029450000}"/>
    <cellStyle name="Note 7 2 5 3" xfId="17989" xr:uid="{00000000-0005-0000-0000-00002A450000}"/>
    <cellStyle name="Note 7 2 5 3 2" xfId="17990" xr:uid="{00000000-0005-0000-0000-00002B450000}"/>
    <cellStyle name="Note 7 2 6" xfId="17991" xr:uid="{00000000-0005-0000-0000-00002C450000}"/>
    <cellStyle name="Note 7 2 6 2" xfId="17992" xr:uid="{00000000-0005-0000-0000-00002D450000}"/>
    <cellStyle name="Note 7 2 7" xfId="17993" xr:uid="{00000000-0005-0000-0000-00002E450000}"/>
    <cellStyle name="Note 7 2 8" xfId="17994" xr:uid="{00000000-0005-0000-0000-00002F450000}"/>
    <cellStyle name="Note 7 3" xfId="283" xr:uid="{00000000-0005-0000-0000-000030450000}"/>
    <cellStyle name="Note 7 3 10" xfId="17995" xr:uid="{00000000-0005-0000-0000-000031450000}"/>
    <cellStyle name="Note 7 3 2" xfId="282" xr:uid="{00000000-0005-0000-0000-000032450000}"/>
    <cellStyle name="Note 7 3 2 2" xfId="281" xr:uid="{00000000-0005-0000-0000-000033450000}"/>
    <cellStyle name="Note 7 3 2 2 2" xfId="280" xr:uid="{00000000-0005-0000-0000-000034450000}"/>
    <cellStyle name="Note 7 3 2 2 2 2" xfId="17996" xr:uid="{00000000-0005-0000-0000-000035450000}"/>
    <cellStyle name="Note 7 3 2 2 3" xfId="279" xr:uid="{00000000-0005-0000-0000-000036450000}"/>
    <cellStyle name="Note 7 3 2 3" xfId="278" xr:uid="{00000000-0005-0000-0000-000037450000}"/>
    <cellStyle name="Note 7 3 2 3 2" xfId="17997" xr:uid="{00000000-0005-0000-0000-000038450000}"/>
    <cellStyle name="Note 7 3 2 3 2 2" xfId="17998" xr:uid="{00000000-0005-0000-0000-000039450000}"/>
    <cellStyle name="Note 7 3 2 3 3" xfId="17999" xr:uid="{00000000-0005-0000-0000-00003A450000}"/>
    <cellStyle name="Note 7 3 2 4" xfId="277" xr:uid="{00000000-0005-0000-0000-00003B450000}"/>
    <cellStyle name="Note 7 3 2 4 2" xfId="18000" xr:uid="{00000000-0005-0000-0000-00003C450000}"/>
    <cellStyle name="Note 7 3 2 5" xfId="18001" xr:uid="{00000000-0005-0000-0000-00003D450000}"/>
    <cellStyle name="Note 7 3 2 5 2" xfId="18002" xr:uid="{00000000-0005-0000-0000-00003E450000}"/>
    <cellStyle name="Note 7 3 2 5 2 2" xfId="18003" xr:uid="{00000000-0005-0000-0000-00003F450000}"/>
    <cellStyle name="Note 7 3 2 6" xfId="18004" xr:uid="{00000000-0005-0000-0000-000040450000}"/>
    <cellStyle name="Note 7 3 2 6 2" xfId="18005" xr:uid="{00000000-0005-0000-0000-000041450000}"/>
    <cellStyle name="Note 7 3 2 6 2 2" xfId="18006" xr:uid="{00000000-0005-0000-0000-000042450000}"/>
    <cellStyle name="Note 7 3 2 7" xfId="18007" xr:uid="{00000000-0005-0000-0000-000043450000}"/>
    <cellStyle name="Note 7 3 3" xfId="276" xr:uid="{00000000-0005-0000-0000-000044450000}"/>
    <cellStyle name="Note 7 3 3 2" xfId="275" xr:uid="{00000000-0005-0000-0000-000045450000}"/>
    <cellStyle name="Note 7 3 3 2 2" xfId="18008" xr:uid="{00000000-0005-0000-0000-000046450000}"/>
    <cellStyle name="Note 7 3 3 3" xfId="274" xr:uid="{00000000-0005-0000-0000-000047450000}"/>
    <cellStyle name="Note 7 3 3 3 2" xfId="18009" xr:uid="{00000000-0005-0000-0000-000048450000}"/>
    <cellStyle name="Note 7 3 3 4" xfId="18010" xr:uid="{00000000-0005-0000-0000-000049450000}"/>
    <cellStyle name="Note 7 3 4" xfId="273" xr:uid="{00000000-0005-0000-0000-00004A450000}"/>
    <cellStyle name="Note 7 3 4 2" xfId="272" xr:uid="{00000000-0005-0000-0000-00004B450000}"/>
    <cellStyle name="Note 7 3 4 3" xfId="271" xr:uid="{00000000-0005-0000-0000-00004C450000}"/>
    <cellStyle name="Note 7 3 4 4" xfId="18011" xr:uid="{00000000-0005-0000-0000-00004D450000}"/>
    <cellStyle name="Note 7 3 5" xfId="270" xr:uid="{00000000-0005-0000-0000-00004E450000}"/>
    <cellStyle name="Note 7 3 5 2" xfId="18012" xr:uid="{00000000-0005-0000-0000-00004F450000}"/>
    <cellStyle name="Note 7 3 5 2 2" xfId="18013" xr:uid="{00000000-0005-0000-0000-000050450000}"/>
    <cellStyle name="Note 7 3 5 3" xfId="18014" xr:uid="{00000000-0005-0000-0000-000051450000}"/>
    <cellStyle name="Note 7 3 6" xfId="269" xr:uid="{00000000-0005-0000-0000-000052450000}"/>
    <cellStyle name="Note 7 3 6 2" xfId="18015" xr:uid="{00000000-0005-0000-0000-000053450000}"/>
    <cellStyle name="Note 7 3 7" xfId="18016" xr:uid="{00000000-0005-0000-0000-000054450000}"/>
    <cellStyle name="Note 7 3 7 2" xfId="18017" xr:uid="{00000000-0005-0000-0000-000055450000}"/>
    <cellStyle name="Note 7 3 8" xfId="18018" xr:uid="{00000000-0005-0000-0000-000056450000}"/>
    <cellStyle name="Note 7 3 8 2" xfId="18019" xr:uid="{00000000-0005-0000-0000-000057450000}"/>
    <cellStyle name="Note 7 3 8 2 2" xfId="18020" xr:uid="{00000000-0005-0000-0000-000058450000}"/>
    <cellStyle name="Note 7 3 9" xfId="18021" xr:uid="{00000000-0005-0000-0000-000059450000}"/>
    <cellStyle name="Note 7 3 9 2" xfId="18022" xr:uid="{00000000-0005-0000-0000-00005A450000}"/>
    <cellStyle name="Note 7 4" xfId="18023" xr:uid="{00000000-0005-0000-0000-00005B450000}"/>
    <cellStyle name="Note 7 4 2" xfId="18024" xr:uid="{00000000-0005-0000-0000-00005C450000}"/>
    <cellStyle name="Note 7 4 2 2" xfId="18025" xr:uid="{00000000-0005-0000-0000-00005D450000}"/>
    <cellStyle name="Note 7 4 2 2 2" xfId="18026" xr:uid="{00000000-0005-0000-0000-00005E450000}"/>
    <cellStyle name="Note 7 4 2 3" xfId="18027" xr:uid="{00000000-0005-0000-0000-00005F450000}"/>
    <cellStyle name="Note 7 4 3" xfId="18028" xr:uid="{00000000-0005-0000-0000-000060450000}"/>
    <cellStyle name="Note 7 4 3 2" xfId="18029" xr:uid="{00000000-0005-0000-0000-000061450000}"/>
    <cellStyle name="Note 7 4 4" xfId="18030" xr:uid="{00000000-0005-0000-0000-000062450000}"/>
    <cellStyle name="Note 7 4 4 2" xfId="18031" xr:uid="{00000000-0005-0000-0000-000063450000}"/>
    <cellStyle name="Note 7 4 5" xfId="18032" xr:uid="{00000000-0005-0000-0000-000064450000}"/>
    <cellStyle name="Note 7 5" xfId="18033" xr:uid="{00000000-0005-0000-0000-000065450000}"/>
    <cellStyle name="Note 7 5 2" xfId="18034" xr:uid="{00000000-0005-0000-0000-000066450000}"/>
    <cellStyle name="Note 7 5 2 2" xfId="18035" xr:uid="{00000000-0005-0000-0000-000067450000}"/>
    <cellStyle name="Note 7 5 3" xfId="18036" xr:uid="{00000000-0005-0000-0000-000068450000}"/>
    <cellStyle name="Note 7 5 3 2" xfId="18037" xr:uid="{00000000-0005-0000-0000-000069450000}"/>
    <cellStyle name="Note 7 5 4" xfId="18038" xr:uid="{00000000-0005-0000-0000-00006A450000}"/>
    <cellStyle name="Note 7 5 4 2" xfId="18039" xr:uid="{00000000-0005-0000-0000-00006B450000}"/>
    <cellStyle name="Note 7 5 5" xfId="18040" xr:uid="{00000000-0005-0000-0000-00006C450000}"/>
    <cellStyle name="Note 7 6" xfId="18041" xr:uid="{00000000-0005-0000-0000-00006D450000}"/>
    <cellStyle name="Note 7 6 2" xfId="18042" xr:uid="{00000000-0005-0000-0000-00006E450000}"/>
    <cellStyle name="Note 7 6 2 2" xfId="18043" xr:uid="{00000000-0005-0000-0000-00006F450000}"/>
    <cellStyle name="Note 7 6 3" xfId="18044" xr:uid="{00000000-0005-0000-0000-000070450000}"/>
    <cellStyle name="Note 7 6 3 2" xfId="18045" xr:uid="{00000000-0005-0000-0000-000071450000}"/>
    <cellStyle name="Note 7 6 3 3" xfId="18046" xr:uid="{00000000-0005-0000-0000-000072450000}"/>
    <cellStyle name="Note 7 7" xfId="18047" xr:uid="{00000000-0005-0000-0000-000073450000}"/>
    <cellStyle name="Note 7 7 2" xfId="18048" xr:uid="{00000000-0005-0000-0000-000074450000}"/>
    <cellStyle name="Note 7 7 2 2" xfId="18049" xr:uid="{00000000-0005-0000-0000-000075450000}"/>
    <cellStyle name="Note 7 7 3" xfId="18050" xr:uid="{00000000-0005-0000-0000-000076450000}"/>
    <cellStyle name="Note 7 8" xfId="18051" xr:uid="{00000000-0005-0000-0000-000077450000}"/>
    <cellStyle name="Note 7 8 2" xfId="18052" xr:uid="{00000000-0005-0000-0000-000078450000}"/>
    <cellStyle name="Note 7 8 2 2" xfId="18053" xr:uid="{00000000-0005-0000-0000-000079450000}"/>
    <cellStyle name="Note 7 8 3" xfId="18054" xr:uid="{00000000-0005-0000-0000-00007A450000}"/>
    <cellStyle name="Note 7 9" xfId="18055" xr:uid="{00000000-0005-0000-0000-00007B450000}"/>
    <cellStyle name="Note 7 9 2" xfId="18056" xr:uid="{00000000-0005-0000-0000-00007C450000}"/>
    <cellStyle name="Note 8" xfId="268" xr:uid="{00000000-0005-0000-0000-00007D450000}"/>
    <cellStyle name="Note 8 10" xfId="18057" xr:uid="{00000000-0005-0000-0000-00007E450000}"/>
    <cellStyle name="Note 8 11" xfId="18058" xr:uid="{00000000-0005-0000-0000-00007F450000}"/>
    <cellStyle name="Note 8 12" xfId="18059" xr:uid="{00000000-0005-0000-0000-000080450000}"/>
    <cellStyle name="Note 8 2" xfId="267" xr:uid="{00000000-0005-0000-0000-000081450000}"/>
    <cellStyle name="Note 8 2 2" xfId="18060" xr:uid="{00000000-0005-0000-0000-000082450000}"/>
    <cellStyle name="Note 8 2 2 2" xfId="18061" xr:uid="{00000000-0005-0000-0000-000083450000}"/>
    <cellStyle name="Note 8 2 2 2 2" xfId="18062" xr:uid="{00000000-0005-0000-0000-000084450000}"/>
    <cellStyle name="Note 8 2 2 3" xfId="18063" xr:uid="{00000000-0005-0000-0000-000085450000}"/>
    <cellStyle name="Note 8 2 2 3 2" xfId="18064" xr:uid="{00000000-0005-0000-0000-000086450000}"/>
    <cellStyle name="Note 8 2 2 4" xfId="18065" xr:uid="{00000000-0005-0000-0000-000087450000}"/>
    <cellStyle name="Note 8 2 2 4 2" xfId="18066" xr:uid="{00000000-0005-0000-0000-000088450000}"/>
    <cellStyle name="Note 8 2 2 5" xfId="18067" xr:uid="{00000000-0005-0000-0000-000089450000}"/>
    <cellStyle name="Note 8 2 3" xfId="18068" xr:uid="{00000000-0005-0000-0000-00008A450000}"/>
    <cellStyle name="Note 8 2 3 2" xfId="18069" xr:uid="{00000000-0005-0000-0000-00008B450000}"/>
    <cellStyle name="Note 8 2 3 2 2" xfId="18070" xr:uid="{00000000-0005-0000-0000-00008C450000}"/>
    <cellStyle name="Note 8 2 3 3" xfId="18071" xr:uid="{00000000-0005-0000-0000-00008D450000}"/>
    <cellStyle name="Note 8 2 3 3 2" xfId="18072" xr:uid="{00000000-0005-0000-0000-00008E450000}"/>
    <cellStyle name="Note 8 2 3 4" xfId="18073" xr:uid="{00000000-0005-0000-0000-00008F450000}"/>
    <cellStyle name="Note 8 2 4" xfId="18074" xr:uid="{00000000-0005-0000-0000-000090450000}"/>
    <cellStyle name="Note 8 2 4 2" xfId="18075" xr:uid="{00000000-0005-0000-0000-000091450000}"/>
    <cellStyle name="Note 8 2 4 2 2" xfId="18076" xr:uid="{00000000-0005-0000-0000-000092450000}"/>
    <cellStyle name="Note 8 2 4 2 2 2" xfId="18077" xr:uid="{00000000-0005-0000-0000-000093450000}"/>
    <cellStyle name="Note 8 2 4 3" xfId="18078" xr:uid="{00000000-0005-0000-0000-000094450000}"/>
    <cellStyle name="Note 8 2 4 3 2" xfId="18079" xr:uid="{00000000-0005-0000-0000-000095450000}"/>
    <cellStyle name="Note 8 2 4 4" xfId="18080" xr:uid="{00000000-0005-0000-0000-000096450000}"/>
    <cellStyle name="Note 8 2 4 5" xfId="18081" xr:uid="{00000000-0005-0000-0000-000097450000}"/>
    <cellStyle name="Note 8 2 5" xfId="18082" xr:uid="{00000000-0005-0000-0000-000098450000}"/>
    <cellStyle name="Note 8 2 5 2" xfId="18083" xr:uid="{00000000-0005-0000-0000-000099450000}"/>
    <cellStyle name="Note 8 2 6" xfId="18084" xr:uid="{00000000-0005-0000-0000-00009A450000}"/>
    <cellStyle name="Note 8 2 6 2" xfId="18085" xr:uid="{00000000-0005-0000-0000-00009B450000}"/>
    <cellStyle name="Note 8 2 6 2 2" xfId="18086" xr:uid="{00000000-0005-0000-0000-00009C450000}"/>
    <cellStyle name="Note 8 2 7" xfId="18087" xr:uid="{00000000-0005-0000-0000-00009D450000}"/>
    <cellStyle name="Note 8 2 8" xfId="18088" xr:uid="{00000000-0005-0000-0000-00009E450000}"/>
    <cellStyle name="Note 8 3" xfId="266" xr:uid="{00000000-0005-0000-0000-00009F450000}"/>
    <cellStyle name="Note 8 3 2" xfId="265" xr:uid="{00000000-0005-0000-0000-0000A0450000}"/>
    <cellStyle name="Note 8 3 2 2" xfId="264" xr:uid="{00000000-0005-0000-0000-0000A1450000}"/>
    <cellStyle name="Note 8 3 2 2 2" xfId="263" xr:uid="{00000000-0005-0000-0000-0000A2450000}"/>
    <cellStyle name="Note 8 3 2 2 2 2" xfId="18089" xr:uid="{00000000-0005-0000-0000-0000A3450000}"/>
    <cellStyle name="Note 8 3 2 2 3" xfId="262" xr:uid="{00000000-0005-0000-0000-0000A4450000}"/>
    <cellStyle name="Note 8 3 2 3" xfId="261" xr:uid="{00000000-0005-0000-0000-0000A5450000}"/>
    <cellStyle name="Note 8 3 2 3 2" xfId="18090" xr:uid="{00000000-0005-0000-0000-0000A6450000}"/>
    <cellStyle name="Note 8 3 2 4" xfId="260" xr:uid="{00000000-0005-0000-0000-0000A7450000}"/>
    <cellStyle name="Note 8 3 2 5" xfId="18091" xr:uid="{00000000-0005-0000-0000-0000A8450000}"/>
    <cellStyle name="Note 8 3 3" xfId="259" xr:uid="{00000000-0005-0000-0000-0000A9450000}"/>
    <cellStyle name="Note 8 3 3 2" xfId="258" xr:uid="{00000000-0005-0000-0000-0000AA450000}"/>
    <cellStyle name="Note 8 3 3 2 2" xfId="18092" xr:uid="{00000000-0005-0000-0000-0000AB450000}"/>
    <cellStyle name="Note 8 3 3 2 2 2" xfId="18093" xr:uid="{00000000-0005-0000-0000-0000AC450000}"/>
    <cellStyle name="Note 8 3 3 3" xfId="257" xr:uid="{00000000-0005-0000-0000-0000AD450000}"/>
    <cellStyle name="Note 8 3 3 3 2" xfId="18094" xr:uid="{00000000-0005-0000-0000-0000AE450000}"/>
    <cellStyle name="Note 8 3 3 4" xfId="18095" xr:uid="{00000000-0005-0000-0000-0000AF450000}"/>
    <cellStyle name="Note 8 3 3 5" xfId="18096" xr:uid="{00000000-0005-0000-0000-0000B0450000}"/>
    <cellStyle name="Note 8 3 4" xfId="256" xr:uid="{00000000-0005-0000-0000-0000B1450000}"/>
    <cellStyle name="Note 8 3 4 2" xfId="255" xr:uid="{00000000-0005-0000-0000-0000B2450000}"/>
    <cellStyle name="Note 8 3 4 3" xfId="254" xr:uid="{00000000-0005-0000-0000-0000B3450000}"/>
    <cellStyle name="Note 8 3 5" xfId="253" xr:uid="{00000000-0005-0000-0000-0000B4450000}"/>
    <cellStyle name="Note 8 3 6" xfId="252" xr:uid="{00000000-0005-0000-0000-0000B5450000}"/>
    <cellStyle name="Note 8 4" xfId="18097" xr:uid="{00000000-0005-0000-0000-0000B6450000}"/>
    <cellStyle name="Note 8 4 2" xfId="18098" xr:uid="{00000000-0005-0000-0000-0000B7450000}"/>
    <cellStyle name="Note 8 4 2 2" xfId="18099" xr:uid="{00000000-0005-0000-0000-0000B8450000}"/>
    <cellStyle name="Note 8 4 3" xfId="18100" xr:uid="{00000000-0005-0000-0000-0000B9450000}"/>
    <cellStyle name="Note 8 4 3 2" xfId="18101" xr:uid="{00000000-0005-0000-0000-0000BA450000}"/>
    <cellStyle name="Note 8 4 4" xfId="18102" xr:uid="{00000000-0005-0000-0000-0000BB450000}"/>
    <cellStyle name="Note 8 5" xfId="18103" xr:uid="{00000000-0005-0000-0000-0000BC450000}"/>
    <cellStyle name="Note 8 5 2" xfId="18104" xr:uid="{00000000-0005-0000-0000-0000BD450000}"/>
    <cellStyle name="Note 8 5 2 2" xfId="18105" xr:uid="{00000000-0005-0000-0000-0000BE450000}"/>
    <cellStyle name="Note 8 5 3" xfId="18106" xr:uid="{00000000-0005-0000-0000-0000BF450000}"/>
    <cellStyle name="Note 8 5 3 2" xfId="18107" xr:uid="{00000000-0005-0000-0000-0000C0450000}"/>
    <cellStyle name="Note 8 5 3 3" xfId="18108" xr:uid="{00000000-0005-0000-0000-0000C1450000}"/>
    <cellStyle name="Note 8 6" xfId="18109" xr:uid="{00000000-0005-0000-0000-0000C2450000}"/>
    <cellStyle name="Note 8 6 2" xfId="18110" xr:uid="{00000000-0005-0000-0000-0000C3450000}"/>
    <cellStyle name="Note 8 6 2 2" xfId="18111" xr:uid="{00000000-0005-0000-0000-0000C4450000}"/>
    <cellStyle name="Note 8 6 3" xfId="18112" xr:uid="{00000000-0005-0000-0000-0000C5450000}"/>
    <cellStyle name="Note 8 6 3 2" xfId="18113" xr:uid="{00000000-0005-0000-0000-0000C6450000}"/>
    <cellStyle name="Note 8 6 4" xfId="18114" xr:uid="{00000000-0005-0000-0000-0000C7450000}"/>
    <cellStyle name="Note 8 7" xfId="18115" xr:uid="{00000000-0005-0000-0000-0000C8450000}"/>
    <cellStyle name="Note 8 7 2" xfId="18116" xr:uid="{00000000-0005-0000-0000-0000C9450000}"/>
    <cellStyle name="Note 8 7 2 2" xfId="18117" xr:uid="{00000000-0005-0000-0000-0000CA450000}"/>
    <cellStyle name="Note 8 7 2 2 2" xfId="18118" xr:uid="{00000000-0005-0000-0000-0000CB450000}"/>
    <cellStyle name="Note 8 7 3" xfId="18119" xr:uid="{00000000-0005-0000-0000-0000CC450000}"/>
    <cellStyle name="Note 8 7 4" xfId="18120" xr:uid="{00000000-0005-0000-0000-0000CD450000}"/>
    <cellStyle name="Note 8 8" xfId="18121" xr:uid="{00000000-0005-0000-0000-0000CE450000}"/>
    <cellStyle name="Note 8 8 2" xfId="18122" xr:uid="{00000000-0005-0000-0000-0000CF450000}"/>
    <cellStyle name="Note 8 8 3" xfId="18123" xr:uid="{00000000-0005-0000-0000-0000D0450000}"/>
    <cellStyle name="Note 8 9" xfId="18124" xr:uid="{00000000-0005-0000-0000-0000D1450000}"/>
    <cellStyle name="Note 8 9 2" xfId="18125" xr:uid="{00000000-0005-0000-0000-0000D2450000}"/>
    <cellStyle name="Note 9" xfId="251" xr:uid="{00000000-0005-0000-0000-0000D3450000}"/>
    <cellStyle name="Note 9 10" xfId="18126" xr:uid="{00000000-0005-0000-0000-0000D4450000}"/>
    <cellStyle name="Note 9 11" xfId="18127" xr:uid="{00000000-0005-0000-0000-0000D5450000}"/>
    <cellStyle name="Note 9 2" xfId="250" xr:uid="{00000000-0005-0000-0000-0000D6450000}"/>
    <cellStyle name="Note 9 2 2" xfId="18128" xr:uid="{00000000-0005-0000-0000-0000D7450000}"/>
    <cellStyle name="Note 9 2 2 2" xfId="18129" xr:uid="{00000000-0005-0000-0000-0000D8450000}"/>
    <cellStyle name="Note 9 2 2 2 2" xfId="18130" xr:uid="{00000000-0005-0000-0000-0000D9450000}"/>
    <cellStyle name="Note 9 2 2 2 2 2" xfId="18131" xr:uid="{00000000-0005-0000-0000-0000DA450000}"/>
    <cellStyle name="Note 9 2 2 3" xfId="18132" xr:uid="{00000000-0005-0000-0000-0000DB450000}"/>
    <cellStyle name="Note 9 2 2 3 2" xfId="18133" xr:uid="{00000000-0005-0000-0000-0000DC450000}"/>
    <cellStyle name="Note 9 2 2 4" xfId="18134" xr:uid="{00000000-0005-0000-0000-0000DD450000}"/>
    <cellStyle name="Note 9 2 2 5" xfId="18135" xr:uid="{00000000-0005-0000-0000-0000DE450000}"/>
    <cellStyle name="Note 9 2 3" xfId="18136" xr:uid="{00000000-0005-0000-0000-0000DF450000}"/>
    <cellStyle name="Note 9 2 3 2" xfId="18137" xr:uid="{00000000-0005-0000-0000-0000E0450000}"/>
    <cellStyle name="Note 9 2 3 2 2" xfId="18138" xr:uid="{00000000-0005-0000-0000-0000E1450000}"/>
    <cellStyle name="Note 9 2 3 2 2 2" xfId="18139" xr:uid="{00000000-0005-0000-0000-0000E2450000}"/>
    <cellStyle name="Note 9 2 3 3" xfId="18140" xr:uid="{00000000-0005-0000-0000-0000E3450000}"/>
    <cellStyle name="Note 9 2 3 3 2" xfId="18141" xr:uid="{00000000-0005-0000-0000-0000E4450000}"/>
    <cellStyle name="Note 9 2 3 4" xfId="18142" xr:uid="{00000000-0005-0000-0000-0000E5450000}"/>
    <cellStyle name="Note 9 2 3 5" xfId="18143" xr:uid="{00000000-0005-0000-0000-0000E6450000}"/>
    <cellStyle name="Note 9 2 4" xfId="18144" xr:uid="{00000000-0005-0000-0000-0000E7450000}"/>
    <cellStyle name="Note 9 2 4 2" xfId="18145" xr:uid="{00000000-0005-0000-0000-0000E8450000}"/>
    <cellStyle name="Note 9 2 4 3" xfId="18146" xr:uid="{00000000-0005-0000-0000-0000E9450000}"/>
    <cellStyle name="Note 9 2 5" xfId="18147" xr:uid="{00000000-0005-0000-0000-0000EA450000}"/>
    <cellStyle name="Note 9 2 6" xfId="18148" xr:uid="{00000000-0005-0000-0000-0000EB450000}"/>
    <cellStyle name="Note 9 3" xfId="249" xr:uid="{00000000-0005-0000-0000-0000EC450000}"/>
    <cellStyle name="Note 9 3 2" xfId="248" xr:uid="{00000000-0005-0000-0000-0000ED450000}"/>
    <cellStyle name="Note 9 3 2 2" xfId="247" xr:uid="{00000000-0005-0000-0000-0000EE450000}"/>
    <cellStyle name="Note 9 3 2 2 2" xfId="246" xr:uid="{00000000-0005-0000-0000-0000EF450000}"/>
    <cellStyle name="Note 9 3 2 2 3" xfId="245" xr:uid="{00000000-0005-0000-0000-0000F0450000}"/>
    <cellStyle name="Note 9 3 2 3" xfId="244" xr:uid="{00000000-0005-0000-0000-0000F1450000}"/>
    <cellStyle name="Note 9 3 2 4" xfId="243" xr:uid="{00000000-0005-0000-0000-0000F2450000}"/>
    <cellStyle name="Note 9 3 3" xfId="242" xr:uid="{00000000-0005-0000-0000-0000F3450000}"/>
    <cellStyle name="Note 9 3 3 2" xfId="241" xr:uid="{00000000-0005-0000-0000-0000F4450000}"/>
    <cellStyle name="Note 9 3 3 3" xfId="240" xr:uid="{00000000-0005-0000-0000-0000F5450000}"/>
    <cellStyle name="Note 9 3 4" xfId="239" xr:uid="{00000000-0005-0000-0000-0000F6450000}"/>
    <cellStyle name="Note 9 3 4 2" xfId="238" xr:uid="{00000000-0005-0000-0000-0000F7450000}"/>
    <cellStyle name="Note 9 3 4 3" xfId="237" xr:uid="{00000000-0005-0000-0000-0000F8450000}"/>
    <cellStyle name="Note 9 3 5" xfId="236" xr:uid="{00000000-0005-0000-0000-0000F9450000}"/>
    <cellStyle name="Note 9 3 6" xfId="235" xr:uid="{00000000-0005-0000-0000-0000FA450000}"/>
    <cellStyle name="Note 9 4" xfId="18149" xr:uid="{00000000-0005-0000-0000-0000FB450000}"/>
    <cellStyle name="Note 9 4 2" xfId="18150" xr:uid="{00000000-0005-0000-0000-0000FC450000}"/>
    <cellStyle name="Note 9 4 2 2" xfId="18151" xr:uid="{00000000-0005-0000-0000-0000FD450000}"/>
    <cellStyle name="Note 9 4 3" xfId="18152" xr:uid="{00000000-0005-0000-0000-0000FE450000}"/>
    <cellStyle name="Note 9 4 3 2" xfId="18153" xr:uid="{00000000-0005-0000-0000-0000FF450000}"/>
    <cellStyle name="Note 9 4 3 3" xfId="18154" xr:uid="{00000000-0005-0000-0000-000000460000}"/>
    <cellStyle name="Note 9 5" xfId="18155" xr:uid="{00000000-0005-0000-0000-000001460000}"/>
    <cellStyle name="Note 9 5 2" xfId="18156" xr:uid="{00000000-0005-0000-0000-000002460000}"/>
    <cellStyle name="Note 9 5 3" xfId="18157" xr:uid="{00000000-0005-0000-0000-000003460000}"/>
    <cellStyle name="Note 9 6" xfId="18158" xr:uid="{00000000-0005-0000-0000-000004460000}"/>
    <cellStyle name="Note 9 6 2" xfId="18159" xr:uid="{00000000-0005-0000-0000-000005460000}"/>
    <cellStyle name="Note 9 6 2 2" xfId="18160" xr:uid="{00000000-0005-0000-0000-000006460000}"/>
    <cellStyle name="Note 9 6 3" xfId="18161" xr:uid="{00000000-0005-0000-0000-000007460000}"/>
    <cellStyle name="Note 9 7" xfId="18162" xr:uid="{00000000-0005-0000-0000-000008460000}"/>
    <cellStyle name="Note 9 7 2" xfId="18163" xr:uid="{00000000-0005-0000-0000-000009460000}"/>
    <cellStyle name="Note 9 8" xfId="18164" xr:uid="{00000000-0005-0000-0000-00000A460000}"/>
    <cellStyle name="Note 9 8 2" xfId="18165" xr:uid="{00000000-0005-0000-0000-00000B460000}"/>
    <cellStyle name="Note 9 9" xfId="18166" xr:uid="{00000000-0005-0000-0000-00000C460000}"/>
    <cellStyle name="Output 10" xfId="234" xr:uid="{00000000-0005-0000-0000-00000D460000}"/>
    <cellStyle name="Output 11" xfId="233" xr:uid="{00000000-0005-0000-0000-00000E460000}"/>
    <cellStyle name="Output 2" xfId="232" xr:uid="{00000000-0005-0000-0000-00000F460000}"/>
    <cellStyle name="Output 2 2" xfId="231" xr:uid="{00000000-0005-0000-0000-000010460000}"/>
    <cellStyle name="Output 2 2 2" xfId="18167" xr:uid="{00000000-0005-0000-0000-000011460000}"/>
    <cellStyle name="Output 2 2 3" xfId="18168" xr:uid="{00000000-0005-0000-0000-000012460000}"/>
    <cellStyle name="Output 2 2 4" xfId="18169" xr:uid="{00000000-0005-0000-0000-000013460000}"/>
    <cellStyle name="Output 2 3" xfId="18170" xr:uid="{00000000-0005-0000-0000-000014460000}"/>
    <cellStyle name="Output 2 3 2" xfId="18171" xr:uid="{00000000-0005-0000-0000-000015460000}"/>
    <cellStyle name="Output 2 3 3" xfId="18172" xr:uid="{00000000-0005-0000-0000-000016460000}"/>
    <cellStyle name="Output 2 4" xfId="18173" xr:uid="{00000000-0005-0000-0000-000017460000}"/>
    <cellStyle name="Output 2 4 2" xfId="18174" xr:uid="{00000000-0005-0000-0000-000018460000}"/>
    <cellStyle name="Output 2 4 3" xfId="18175" xr:uid="{00000000-0005-0000-0000-000019460000}"/>
    <cellStyle name="Output 2 5" xfId="18176" xr:uid="{00000000-0005-0000-0000-00001A460000}"/>
    <cellStyle name="Output 2 6" xfId="18177" xr:uid="{00000000-0005-0000-0000-00001B460000}"/>
    <cellStyle name="Output 3" xfId="230" xr:uid="{00000000-0005-0000-0000-00001C460000}"/>
    <cellStyle name="Output 3 2" xfId="18178" xr:uid="{00000000-0005-0000-0000-00001D460000}"/>
    <cellStyle name="Output 3 2 2" xfId="18179" xr:uid="{00000000-0005-0000-0000-00001E460000}"/>
    <cellStyle name="Output 3 2 3" xfId="18180" xr:uid="{00000000-0005-0000-0000-00001F460000}"/>
    <cellStyle name="Output 3 3" xfId="18181" xr:uid="{00000000-0005-0000-0000-000020460000}"/>
    <cellStyle name="Output 3 4" xfId="18182" xr:uid="{00000000-0005-0000-0000-000021460000}"/>
    <cellStyle name="Output 3 5" xfId="18183" xr:uid="{00000000-0005-0000-0000-000022460000}"/>
    <cellStyle name="Output 4" xfId="229" xr:uid="{00000000-0005-0000-0000-000023460000}"/>
    <cellStyle name="Output 4 2" xfId="18184" xr:uid="{00000000-0005-0000-0000-000024460000}"/>
    <cellStyle name="Output 4 3" xfId="18185" xr:uid="{00000000-0005-0000-0000-000025460000}"/>
    <cellStyle name="Output 5" xfId="228" xr:uid="{00000000-0005-0000-0000-000026460000}"/>
    <cellStyle name="Output 5 2" xfId="18186" xr:uid="{00000000-0005-0000-0000-000027460000}"/>
    <cellStyle name="Output 5 3" xfId="18187" xr:uid="{00000000-0005-0000-0000-000028460000}"/>
    <cellStyle name="Output 6" xfId="227" xr:uid="{00000000-0005-0000-0000-000029460000}"/>
    <cellStyle name="Output 6 2" xfId="18188" xr:uid="{00000000-0005-0000-0000-00002A460000}"/>
    <cellStyle name="Output 6 3" xfId="18189" xr:uid="{00000000-0005-0000-0000-00002B460000}"/>
    <cellStyle name="Output 6 4" xfId="18190" xr:uid="{00000000-0005-0000-0000-00002C460000}"/>
    <cellStyle name="Output 7" xfId="226" xr:uid="{00000000-0005-0000-0000-00002D460000}"/>
    <cellStyle name="Output 8" xfId="225" xr:uid="{00000000-0005-0000-0000-00002E460000}"/>
    <cellStyle name="Output 9" xfId="224" xr:uid="{00000000-0005-0000-0000-00002F460000}"/>
    <cellStyle name="Percen - Style1" xfId="223" xr:uid="{00000000-0005-0000-0000-000030460000}"/>
    <cellStyle name="Percen - Style2" xfId="222" xr:uid="{00000000-0005-0000-0000-000031460000}"/>
    <cellStyle name="Percen - Style3" xfId="221" xr:uid="{00000000-0005-0000-0000-000032460000}"/>
    <cellStyle name="Percent (0)" xfId="220" xr:uid="{00000000-0005-0000-0000-000033460000}"/>
    <cellStyle name="Percent [2]" xfId="219" xr:uid="{00000000-0005-0000-0000-000034460000}"/>
    <cellStyle name="Percent [2] 2" xfId="18191" xr:uid="{00000000-0005-0000-0000-000035460000}"/>
    <cellStyle name="Percent [2] 2 2" xfId="18192" xr:uid="{00000000-0005-0000-0000-000036460000}"/>
    <cellStyle name="Percent [2] 3" xfId="18193" xr:uid="{00000000-0005-0000-0000-000037460000}"/>
    <cellStyle name="Percent 10" xfId="218" xr:uid="{00000000-0005-0000-0000-000038460000}"/>
    <cellStyle name="Percent 10 10" xfId="18194" xr:uid="{00000000-0005-0000-0000-000039460000}"/>
    <cellStyle name="Percent 10 11" xfId="18195" xr:uid="{00000000-0005-0000-0000-00003A460000}"/>
    <cellStyle name="Percent 10 2" xfId="18196" xr:uid="{00000000-0005-0000-0000-00003B460000}"/>
    <cellStyle name="Percent 10 2 2" xfId="18197" xr:uid="{00000000-0005-0000-0000-00003C460000}"/>
    <cellStyle name="Percent 10 2 2 2" xfId="18198" xr:uid="{00000000-0005-0000-0000-00003D460000}"/>
    <cellStyle name="Percent 10 2 2 2 2" xfId="18199" xr:uid="{00000000-0005-0000-0000-00003E460000}"/>
    <cellStyle name="Percent 10 2 2 2 3" xfId="18200" xr:uid="{00000000-0005-0000-0000-00003F460000}"/>
    <cellStyle name="Percent 10 2 2 3" xfId="18201" xr:uid="{00000000-0005-0000-0000-000040460000}"/>
    <cellStyle name="Percent 10 2 2 3 2" xfId="18202" xr:uid="{00000000-0005-0000-0000-000041460000}"/>
    <cellStyle name="Percent 10 2 2 4" xfId="18203" xr:uid="{00000000-0005-0000-0000-000042460000}"/>
    <cellStyle name="Percent 10 2 2 4 2" xfId="18204" xr:uid="{00000000-0005-0000-0000-000043460000}"/>
    <cellStyle name="Percent 10 2 2 5" xfId="18205" xr:uid="{00000000-0005-0000-0000-000044460000}"/>
    <cellStyle name="Percent 10 2 3" xfId="18206" xr:uid="{00000000-0005-0000-0000-000045460000}"/>
    <cellStyle name="Percent 10 2 3 2" xfId="18207" xr:uid="{00000000-0005-0000-0000-000046460000}"/>
    <cellStyle name="Percent 10 2 3 2 2" xfId="18208" xr:uid="{00000000-0005-0000-0000-000047460000}"/>
    <cellStyle name="Percent 10 2 3 3" xfId="18209" xr:uid="{00000000-0005-0000-0000-000048460000}"/>
    <cellStyle name="Percent 10 2 3 3 2" xfId="18210" xr:uid="{00000000-0005-0000-0000-000049460000}"/>
    <cellStyle name="Percent 10 2 3 4" xfId="18211" xr:uid="{00000000-0005-0000-0000-00004A460000}"/>
    <cellStyle name="Percent 10 2 4" xfId="18212" xr:uid="{00000000-0005-0000-0000-00004B460000}"/>
    <cellStyle name="Percent 10 2 4 2" xfId="18213" xr:uid="{00000000-0005-0000-0000-00004C460000}"/>
    <cellStyle name="Percent 10 2 5" xfId="18214" xr:uid="{00000000-0005-0000-0000-00004D460000}"/>
    <cellStyle name="Percent 10 2 5 2" xfId="18215" xr:uid="{00000000-0005-0000-0000-00004E460000}"/>
    <cellStyle name="Percent 10 2 6" xfId="18216" xr:uid="{00000000-0005-0000-0000-00004F460000}"/>
    <cellStyle name="Percent 10 2 6 2" xfId="18217" xr:uid="{00000000-0005-0000-0000-000050460000}"/>
    <cellStyle name="Percent 10 2 7" xfId="18218" xr:uid="{00000000-0005-0000-0000-000051460000}"/>
    <cellStyle name="Percent 10 3" xfId="18219" xr:uid="{00000000-0005-0000-0000-000052460000}"/>
    <cellStyle name="Percent 10 3 2" xfId="18220" xr:uid="{00000000-0005-0000-0000-000053460000}"/>
    <cellStyle name="Percent 10 3 2 2" xfId="18221" xr:uid="{00000000-0005-0000-0000-000054460000}"/>
    <cellStyle name="Percent 10 3 2 2 2" xfId="18222" xr:uid="{00000000-0005-0000-0000-000055460000}"/>
    <cellStyle name="Percent 10 3 2 3" xfId="18223" xr:uid="{00000000-0005-0000-0000-000056460000}"/>
    <cellStyle name="Percent 10 3 2 3 2" xfId="18224" xr:uid="{00000000-0005-0000-0000-000057460000}"/>
    <cellStyle name="Percent 10 3 2 4" xfId="18225" xr:uid="{00000000-0005-0000-0000-000058460000}"/>
    <cellStyle name="Percent 10 3 2 4 2" xfId="18226" xr:uid="{00000000-0005-0000-0000-000059460000}"/>
    <cellStyle name="Percent 10 3 2 5" xfId="18227" xr:uid="{00000000-0005-0000-0000-00005A460000}"/>
    <cellStyle name="Percent 10 3 3" xfId="18228" xr:uid="{00000000-0005-0000-0000-00005B460000}"/>
    <cellStyle name="Percent 10 3 3 2" xfId="18229" xr:uid="{00000000-0005-0000-0000-00005C460000}"/>
    <cellStyle name="Percent 10 3 3 2 2" xfId="18230" xr:uid="{00000000-0005-0000-0000-00005D460000}"/>
    <cellStyle name="Percent 10 3 3 3" xfId="18231" xr:uid="{00000000-0005-0000-0000-00005E460000}"/>
    <cellStyle name="Percent 10 3 4" xfId="18232" xr:uid="{00000000-0005-0000-0000-00005F460000}"/>
    <cellStyle name="Percent 10 3 4 2" xfId="18233" xr:uid="{00000000-0005-0000-0000-000060460000}"/>
    <cellStyle name="Percent 10 3 5" xfId="18234" xr:uid="{00000000-0005-0000-0000-000061460000}"/>
    <cellStyle name="Percent 10 3 5 2" xfId="18235" xr:uid="{00000000-0005-0000-0000-000062460000}"/>
    <cellStyle name="Percent 10 3 6" xfId="18236" xr:uid="{00000000-0005-0000-0000-000063460000}"/>
    <cellStyle name="Percent 10 4" xfId="18237" xr:uid="{00000000-0005-0000-0000-000064460000}"/>
    <cellStyle name="Percent 10 4 2" xfId="18238" xr:uid="{00000000-0005-0000-0000-000065460000}"/>
    <cellStyle name="Percent 10 4 2 2" xfId="18239" xr:uid="{00000000-0005-0000-0000-000066460000}"/>
    <cellStyle name="Percent 10 4 2 2 2" xfId="18240" xr:uid="{00000000-0005-0000-0000-000067460000}"/>
    <cellStyle name="Percent 10 4 2 3" xfId="18241" xr:uid="{00000000-0005-0000-0000-000068460000}"/>
    <cellStyle name="Percent 10 4 3" xfId="18242" xr:uid="{00000000-0005-0000-0000-000069460000}"/>
    <cellStyle name="Percent 10 4 3 2" xfId="18243" xr:uid="{00000000-0005-0000-0000-00006A460000}"/>
    <cellStyle name="Percent 10 4 4" xfId="18244" xr:uid="{00000000-0005-0000-0000-00006B460000}"/>
    <cellStyle name="Percent 10 4 4 2" xfId="18245" xr:uid="{00000000-0005-0000-0000-00006C460000}"/>
    <cellStyle name="Percent 10 4 5" xfId="18246" xr:uid="{00000000-0005-0000-0000-00006D460000}"/>
    <cellStyle name="Percent 10 5" xfId="18247" xr:uid="{00000000-0005-0000-0000-00006E460000}"/>
    <cellStyle name="Percent 10 5 2" xfId="18248" xr:uid="{00000000-0005-0000-0000-00006F460000}"/>
    <cellStyle name="Percent 10 5 2 2" xfId="18249" xr:uid="{00000000-0005-0000-0000-000070460000}"/>
    <cellStyle name="Percent 10 5 3" xfId="18250" xr:uid="{00000000-0005-0000-0000-000071460000}"/>
    <cellStyle name="Percent 10 5 3 2" xfId="18251" xr:uid="{00000000-0005-0000-0000-000072460000}"/>
    <cellStyle name="Percent 10 5 4" xfId="18252" xr:uid="{00000000-0005-0000-0000-000073460000}"/>
    <cellStyle name="Percent 10 5 4 2" xfId="18253" xr:uid="{00000000-0005-0000-0000-000074460000}"/>
    <cellStyle name="Percent 10 5 5" xfId="18254" xr:uid="{00000000-0005-0000-0000-000075460000}"/>
    <cellStyle name="Percent 10 6" xfId="18255" xr:uid="{00000000-0005-0000-0000-000076460000}"/>
    <cellStyle name="Percent 10 6 2" xfId="18256" xr:uid="{00000000-0005-0000-0000-000077460000}"/>
    <cellStyle name="Percent 10 6 2 2" xfId="18257" xr:uid="{00000000-0005-0000-0000-000078460000}"/>
    <cellStyle name="Percent 10 6 3" xfId="18258" xr:uid="{00000000-0005-0000-0000-000079460000}"/>
    <cellStyle name="Percent 10 6 3 2" xfId="18259" xr:uid="{00000000-0005-0000-0000-00007A460000}"/>
    <cellStyle name="Percent 10 6 4" xfId="18260" xr:uid="{00000000-0005-0000-0000-00007B460000}"/>
    <cellStyle name="Percent 10 7" xfId="18261" xr:uid="{00000000-0005-0000-0000-00007C460000}"/>
    <cellStyle name="Percent 10 7 2" xfId="18262" xr:uid="{00000000-0005-0000-0000-00007D460000}"/>
    <cellStyle name="Percent 10 7 2 2" xfId="18263" xr:uid="{00000000-0005-0000-0000-00007E460000}"/>
    <cellStyle name="Percent 10 7 3" xfId="18264" xr:uid="{00000000-0005-0000-0000-00007F460000}"/>
    <cellStyle name="Percent 10 8" xfId="18265" xr:uid="{00000000-0005-0000-0000-000080460000}"/>
    <cellStyle name="Percent 10 8 2" xfId="18266" xr:uid="{00000000-0005-0000-0000-000081460000}"/>
    <cellStyle name="Percent 10 8 2 2" xfId="18267" xr:uid="{00000000-0005-0000-0000-000082460000}"/>
    <cellStyle name="Percent 10 8 3" xfId="18268" xr:uid="{00000000-0005-0000-0000-000083460000}"/>
    <cellStyle name="Percent 10 9" xfId="18269" xr:uid="{00000000-0005-0000-0000-000084460000}"/>
    <cellStyle name="Percent 10 9 2" xfId="18270" xr:uid="{00000000-0005-0000-0000-000085460000}"/>
    <cellStyle name="Percent 11" xfId="217" xr:uid="{00000000-0005-0000-0000-000086460000}"/>
    <cellStyle name="Percent 11 2" xfId="18271" xr:uid="{00000000-0005-0000-0000-000087460000}"/>
    <cellStyle name="Percent 12" xfId="216" xr:uid="{00000000-0005-0000-0000-000088460000}"/>
    <cellStyle name="Percent 12 2" xfId="18272" xr:uid="{00000000-0005-0000-0000-000089460000}"/>
    <cellStyle name="Percent 13" xfId="215" xr:uid="{00000000-0005-0000-0000-00008A460000}"/>
    <cellStyle name="Percent 13 2" xfId="18273" xr:uid="{00000000-0005-0000-0000-00008B460000}"/>
    <cellStyle name="Percent 13 2 2" xfId="18274" xr:uid="{00000000-0005-0000-0000-00008C460000}"/>
    <cellStyle name="Percent 13 3" xfId="18275" xr:uid="{00000000-0005-0000-0000-00008D460000}"/>
    <cellStyle name="Percent 13 4" xfId="18276" xr:uid="{00000000-0005-0000-0000-00008E460000}"/>
    <cellStyle name="Percent 14" xfId="214" xr:uid="{00000000-0005-0000-0000-00008F460000}"/>
    <cellStyle name="Percent 14 2" xfId="18277" xr:uid="{00000000-0005-0000-0000-000090460000}"/>
    <cellStyle name="Percent 14 2 2" xfId="18278" xr:uid="{00000000-0005-0000-0000-000091460000}"/>
    <cellStyle name="Percent 14 3" xfId="18279" xr:uid="{00000000-0005-0000-0000-000092460000}"/>
    <cellStyle name="Percent 14 4" xfId="18280" xr:uid="{00000000-0005-0000-0000-000093460000}"/>
    <cellStyle name="Percent 15" xfId="213" xr:uid="{00000000-0005-0000-0000-000094460000}"/>
    <cellStyle name="Percent 15 2" xfId="18281" xr:uid="{00000000-0005-0000-0000-000095460000}"/>
    <cellStyle name="Percent 16" xfId="212" xr:uid="{00000000-0005-0000-0000-000096460000}"/>
    <cellStyle name="Percent 16 2" xfId="18282" xr:uid="{00000000-0005-0000-0000-000097460000}"/>
    <cellStyle name="Percent 17" xfId="211" xr:uid="{00000000-0005-0000-0000-000098460000}"/>
    <cellStyle name="Percent 18" xfId="210" xr:uid="{00000000-0005-0000-0000-000099460000}"/>
    <cellStyle name="Percent 19" xfId="209" xr:uid="{00000000-0005-0000-0000-00009A460000}"/>
    <cellStyle name="Percent 19 2" xfId="18283" xr:uid="{00000000-0005-0000-0000-00009B460000}"/>
    <cellStyle name="Percent 2" xfId="208" xr:uid="{00000000-0005-0000-0000-00009C460000}"/>
    <cellStyle name="Percent 2 2" xfId="207" xr:uid="{00000000-0005-0000-0000-00009D460000}"/>
    <cellStyle name="Percent 2 2 2" xfId="18284" xr:uid="{00000000-0005-0000-0000-00009E460000}"/>
    <cellStyle name="Percent 2 2 2 2" xfId="206" xr:uid="{00000000-0005-0000-0000-00009F460000}"/>
    <cellStyle name="Percent 2 3" xfId="205" xr:uid="{00000000-0005-0000-0000-0000A0460000}"/>
    <cellStyle name="Percent 2 4" xfId="204" xr:uid="{00000000-0005-0000-0000-0000A1460000}"/>
    <cellStyle name="Percent 20" xfId="203" xr:uid="{00000000-0005-0000-0000-0000A2460000}"/>
    <cellStyle name="Percent 20 2" xfId="18285" xr:uid="{00000000-0005-0000-0000-0000A3460000}"/>
    <cellStyle name="Percent 21" xfId="202" xr:uid="{00000000-0005-0000-0000-0000A4460000}"/>
    <cellStyle name="Percent 21 2" xfId="18286" xr:uid="{00000000-0005-0000-0000-0000A5460000}"/>
    <cellStyle name="Percent 21 3" xfId="18287" xr:uid="{00000000-0005-0000-0000-0000A6460000}"/>
    <cellStyle name="Percent 21 3 2" xfId="18288" xr:uid="{00000000-0005-0000-0000-0000A7460000}"/>
    <cellStyle name="Percent 21 3 3" xfId="18289" xr:uid="{00000000-0005-0000-0000-0000A8460000}"/>
    <cellStyle name="Percent 21 4" xfId="18290" xr:uid="{00000000-0005-0000-0000-0000A9460000}"/>
    <cellStyle name="Percent 22" xfId="201" xr:uid="{00000000-0005-0000-0000-0000AA460000}"/>
    <cellStyle name="Percent 22 2" xfId="200" xr:uid="{00000000-0005-0000-0000-0000AB460000}"/>
    <cellStyle name="Percent 22 2 2" xfId="18291" xr:uid="{00000000-0005-0000-0000-0000AC460000}"/>
    <cellStyle name="Percent 22 3" xfId="18292" xr:uid="{00000000-0005-0000-0000-0000AD460000}"/>
    <cellStyle name="Percent 23" xfId="18293" xr:uid="{00000000-0005-0000-0000-0000AE460000}"/>
    <cellStyle name="Percent 23 2" xfId="18294" xr:uid="{00000000-0005-0000-0000-0000AF460000}"/>
    <cellStyle name="Percent 23 2 2" xfId="18295" xr:uid="{00000000-0005-0000-0000-0000B0460000}"/>
    <cellStyle name="Percent 23 3" xfId="18296" xr:uid="{00000000-0005-0000-0000-0000B1460000}"/>
    <cellStyle name="Percent 24" xfId="18297" xr:uid="{00000000-0005-0000-0000-0000B2460000}"/>
    <cellStyle name="Percent 24 2" xfId="18298" xr:uid="{00000000-0005-0000-0000-0000B3460000}"/>
    <cellStyle name="Percent 24 2 2" xfId="18299" xr:uid="{00000000-0005-0000-0000-0000B4460000}"/>
    <cellStyle name="Percent 24 3" xfId="18300" xr:uid="{00000000-0005-0000-0000-0000B5460000}"/>
    <cellStyle name="Percent 25" xfId="18301" xr:uid="{00000000-0005-0000-0000-0000B6460000}"/>
    <cellStyle name="Percent 25 2" xfId="18302" xr:uid="{00000000-0005-0000-0000-0000B7460000}"/>
    <cellStyle name="Percent 25 2 2" xfId="18303" xr:uid="{00000000-0005-0000-0000-0000B8460000}"/>
    <cellStyle name="Percent 25 3" xfId="18304" xr:uid="{00000000-0005-0000-0000-0000B9460000}"/>
    <cellStyle name="Percent 26" xfId="18305" xr:uid="{00000000-0005-0000-0000-0000BA460000}"/>
    <cellStyle name="Percent 27" xfId="18306" xr:uid="{00000000-0005-0000-0000-0000BB460000}"/>
    <cellStyle name="Percent 27 2" xfId="18307" xr:uid="{00000000-0005-0000-0000-0000BC460000}"/>
    <cellStyle name="Percent 28" xfId="18308" xr:uid="{00000000-0005-0000-0000-0000BD460000}"/>
    <cellStyle name="Percent 28 2" xfId="18309" xr:uid="{00000000-0005-0000-0000-0000BE460000}"/>
    <cellStyle name="Percent 29" xfId="18310" xr:uid="{00000000-0005-0000-0000-0000BF460000}"/>
    <cellStyle name="Percent 3" xfId="199" xr:uid="{00000000-0005-0000-0000-0000C0460000}"/>
    <cellStyle name="Percent 3 2" xfId="198" xr:uid="{00000000-0005-0000-0000-0000C1460000}"/>
    <cellStyle name="Percent 3 2 2" xfId="18311" xr:uid="{00000000-0005-0000-0000-0000C2460000}"/>
    <cellStyle name="Percent 3 3" xfId="18312" xr:uid="{00000000-0005-0000-0000-0000C3460000}"/>
    <cellStyle name="Percent 30" xfId="18313" xr:uid="{00000000-0005-0000-0000-0000C4460000}"/>
    <cellStyle name="Percent 30 2" xfId="18314" xr:uid="{00000000-0005-0000-0000-0000C5460000}"/>
    <cellStyle name="Percent 31" xfId="18315" xr:uid="{00000000-0005-0000-0000-0000C6460000}"/>
    <cellStyle name="Percent 32" xfId="18316" xr:uid="{00000000-0005-0000-0000-0000C7460000}"/>
    <cellStyle name="Percent 33" xfId="18317" xr:uid="{00000000-0005-0000-0000-0000C8460000}"/>
    <cellStyle name="Percent 34" xfId="18318" xr:uid="{00000000-0005-0000-0000-0000C9460000}"/>
    <cellStyle name="Percent 35" xfId="18319" xr:uid="{00000000-0005-0000-0000-0000CA460000}"/>
    <cellStyle name="Percent 36" xfId="18320" xr:uid="{00000000-0005-0000-0000-0000CB460000}"/>
    <cellStyle name="Percent 4" xfId="197" xr:uid="{00000000-0005-0000-0000-0000CC460000}"/>
    <cellStyle name="Percent 4 2" xfId="196" xr:uid="{00000000-0005-0000-0000-0000CD460000}"/>
    <cellStyle name="Percent 4 3" xfId="195" xr:uid="{00000000-0005-0000-0000-0000CE460000}"/>
    <cellStyle name="Percent 5" xfId="194" xr:uid="{00000000-0005-0000-0000-0000CF460000}"/>
    <cellStyle name="Percent 5 2" xfId="18321" xr:uid="{00000000-0005-0000-0000-0000D0460000}"/>
    <cellStyle name="Percent 5 2 2" xfId="18322" xr:uid="{00000000-0005-0000-0000-0000D1460000}"/>
    <cellStyle name="Percent 5 3" xfId="18323" xr:uid="{00000000-0005-0000-0000-0000D2460000}"/>
    <cellStyle name="Percent 6" xfId="193" xr:uid="{00000000-0005-0000-0000-0000D3460000}"/>
    <cellStyle name="Percent 7" xfId="192" xr:uid="{00000000-0005-0000-0000-0000D4460000}"/>
    <cellStyle name="Percent 8" xfId="191" xr:uid="{00000000-0005-0000-0000-0000D5460000}"/>
    <cellStyle name="Percent 9" xfId="190" xr:uid="{00000000-0005-0000-0000-0000D6460000}"/>
    <cellStyle name="Percent 9 2" xfId="18324" xr:uid="{00000000-0005-0000-0000-0000D7460000}"/>
    <cellStyle name="Percent 9 2 10" xfId="18325" xr:uid="{00000000-0005-0000-0000-0000D8460000}"/>
    <cellStyle name="Percent 9 2 11" xfId="18326" xr:uid="{00000000-0005-0000-0000-0000D9460000}"/>
    <cellStyle name="Percent 9 2 2" xfId="18327" xr:uid="{00000000-0005-0000-0000-0000DA460000}"/>
    <cellStyle name="Percent 9 2 2 2" xfId="18328" xr:uid="{00000000-0005-0000-0000-0000DB460000}"/>
    <cellStyle name="Percent 9 2 2 2 2" xfId="18329" xr:uid="{00000000-0005-0000-0000-0000DC460000}"/>
    <cellStyle name="Percent 9 2 2 2 2 2" xfId="18330" xr:uid="{00000000-0005-0000-0000-0000DD460000}"/>
    <cellStyle name="Percent 9 2 2 2 3" xfId="18331" xr:uid="{00000000-0005-0000-0000-0000DE460000}"/>
    <cellStyle name="Percent 9 2 2 2 3 2" xfId="18332" xr:uid="{00000000-0005-0000-0000-0000DF460000}"/>
    <cellStyle name="Percent 9 2 2 2 4" xfId="18333" xr:uid="{00000000-0005-0000-0000-0000E0460000}"/>
    <cellStyle name="Percent 9 2 2 2 5" xfId="18334" xr:uid="{00000000-0005-0000-0000-0000E1460000}"/>
    <cellStyle name="Percent 9 2 2 3" xfId="18335" xr:uid="{00000000-0005-0000-0000-0000E2460000}"/>
    <cellStyle name="Percent 9 2 2 3 2" xfId="18336" xr:uid="{00000000-0005-0000-0000-0000E3460000}"/>
    <cellStyle name="Percent 9 2 2 3 2 2" xfId="18337" xr:uid="{00000000-0005-0000-0000-0000E4460000}"/>
    <cellStyle name="Percent 9 2 2 3 3" xfId="18338" xr:uid="{00000000-0005-0000-0000-0000E5460000}"/>
    <cellStyle name="Percent 9 2 2 4" xfId="18339" xr:uid="{00000000-0005-0000-0000-0000E6460000}"/>
    <cellStyle name="Percent 9 2 2 4 2" xfId="18340" xr:uid="{00000000-0005-0000-0000-0000E7460000}"/>
    <cellStyle name="Percent 9 2 2 5" xfId="18341" xr:uid="{00000000-0005-0000-0000-0000E8460000}"/>
    <cellStyle name="Percent 9 2 2 5 2" xfId="18342" xr:uid="{00000000-0005-0000-0000-0000E9460000}"/>
    <cellStyle name="Percent 9 2 2 6" xfId="18343" xr:uid="{00000000-0005-0000-0000-0000EA460000}"/>
    <cellStyle name="Percent 9 2 3" xfId="18344" xr:uid="{00000000-0005-0000-0000-0000EB460000}"/>
    <cellStyle name="Percent 9 2 3 2" xfId="18345" xr:uid="{00000000-0005-0000-0000-0000EC460000}"/>
    <cellStyle name="Percent 9 2 3 2 2" xfId="18346" xr:uid="{00000000-0005-0000-0000-0000ED460000}"/>
    <cellStyle name="Percent 9 2 3 2 2 2" xfId="18347" xr:uid="{00000000-0005-0000-0000-0000EE460000}"/>
    <cellStyle name="Percent 9 2 3 2 3" xfId="18348" xr:uid="{00000000-0005-0000-0000-0000EF460000}"/>
    <cellStyle name="Percent 9 2 3 2 3 2" xfId="18349" xr:uid="{00000000-0005-0000-0000-0000F0460000}"/>
    <cellStyle name="Percent 9 2 3 2 4" xfId="18350" xr:uid="{00000000-0005-0000-0000-0000F1460000}"/>
    <cellStyle name="Percent 9 2 3 2 5" xfId="18351" xr:uid="{00000000-0005-0000-0000-0000F2460000}"/>
    <cellStyle name="Percent 9 2 3 3" xfId="18352" xr:uid="{00000000-0005-0000-0000-0000F3460000}"/>
    <cellStyle name="Percent 9 2 3 3 2" xfId="18353" xr:uid="{00000000-0005-0000-0000-0000F4460000}"/>
    <cellStyle name="Percent 9 2 3 3 2 2" xfId="18354" xr:uid="{00000000-0005-0000-0000-0000F5460000}"/>
    <cellStyle name="Percent 9 2 3 3 3" xfId="18355" xr:uid="{00000000-0005-0000-0000-0000F6460000}"/>
    <cellStyle name="Percent 9 2 3 4" xfId="18356" xr:uid="{00000000-0005-0000-0000-0000F7460000}"/>
    <cellStyle name="Percent 9 2 3 4 2" xfId="18357" xr:uid="{00000000-0005-0000-0000-0000F8460000}"/>
    <cellStyle name="Percent 9 2 3 5" xfId="18358" xr:uid="{00000000-0005-0000-0000-0000F9460000}"/>
    <cellStyle name="Percent 9 2 3 5 2" xfId="18359" xr:uid="{00000000-0005-0000-0000-0000FA460000}"/>
    <cellStyle name="Percent 9 2 3 6" xfId="18360" xr:uid="{00000000-0005-0000-0000-0000FB460000}"/>
    <cellStyle name="Percent 9 2 4" xfId="18361" xr:uid="{00000000-0005-0000-0000-0000FC460000}"/>
    <cellStyle name="Percent 9 2 4 2" xfId="18362" xr:uid="{00000000-0005-0000-0000-0000FD460000}"/>
    <cellStyle name="Percent 9 2 4 2 2" xfId="18363" xr:uid="{00000000-0005-0000-0000-0000FE460000}"/>
    <cellStyle name="Percent 9 2 4 2 2 2" xfId="18364" xr:uid="{00000000-0005-0000-0000-0000FF460000}"/>
    <cellStyle name="Percent 9 2 4 2 3" xfId="18365" xr:uid="{00000000-0005-0000-0000-000000470000}"/>
    <cellStyle name="Percent 9 2 4 2 3 2" xfId="18366" xr:uid="{00000000-0005-0000-0000-000001470000}"/>
    <cellStyle name="Percent 9 2 4 2 4" xfId="18367" xr:uid="{00000000-0005-0000-0000-000002470000}"/>
    <cellStyle name="Percent 9 2 4 3" xfId="18368" xr:uid="{00000000-0005-0000-0000-000003470000}"/>
    <cellStyle name="Percent 9 2 4 3 2" xfId="18369" xr:uid="{00000000-0005-0000-0000-000004470000}"/>
    <cellStyle name="Percent 9 2 4 4" xfId="18370" xr:uid="{00000000-0005-0000-0000-000005470000}"/>
    <cellStyle name="Percent 9 2 4 4 2" xfId="18371" xr:uid="{00000000-0005-0000-0000-000006470000}"/>
    <cellStyle name="Percent 9 2 4 5" xfId="18372" xr:uid="{00000000-0005-0000-0000-000007470000}"/>
    <cellStyle name="Percent 9 2 4 5 2" xfId="18373" xr:uid="{00000000-0005-0000-0000-000008470000}"/>
    <cellStyle name="Percent 9 2 4 6" xfId="18374" xr:uid="{00000000-0005-0000-0000-000009470000}"/>
    <cellStyle name="Percent 9 2 5" xfId="18375" xr:uid="{00000000-0005-0000-0000-00000A470000}"/>
    <cellStyle name="Percent 9 2 5 2" xfId="18376" xr:uid="{00000000-0005-0000-0000-00000B470000}"/>
    <cellStyle name="Percent 9 2 5 2 2" xfId="18377" xr:uid="{00000000-0005-0000-0000-00000C470000}"/>
    <cellStyle name="Percent 9 2 5 3" xfId="18378" xr:uid="{00000000-0005-0000-0000-00000D470000}"/>
    <cellStyle name="Percent 9 2 5 3 2" xfId="18379" xr:uid="{00000000-0005-0000-0000-00000E470000}"/>
    <cellStyle name="Percent 9 2 5 4" xfId="18380" xr:uid="{00000000-0005-0000-0000-00000F470000}"/>
    <cellStyle name="Percent 9 2 5 4 2" xfId="18381" xr:uid="{00000000-0005-0000-0000-000010470000}"/>
    <cellStyle name="Percent 9 2 5 5" xfId="18382" xr:uid="{00000000-0005-0000-0000-000011470000}"/>
    <cellStyle name="Percent 9 2 6" xfId="18383" xr:uid="{00000000-0005-0000-0000-000012470000}"/>
    <cellStyle name="Percent 9 2 6 2" xfId="18384" xr:uid="{00000000-0005-0000-0000-000013470000}"/>
    <cellStyle name="Percent 9 2 6 2 2" xfId="18385" xr:uid="{00000000-0005-0000-0000-000014470000}"/>
    <cellStyle name="Percent 9 2 6 3" xfId="18386" xr:uid="{00000000-0005-0000-0000-000015470000}"/>
    <cellStyle name="Percent 9 2 6 3 2" xfId="18387" xr:uid="{00000000-0005-0000-0000-000016470000}"/>
    <cellStyle name="Percent 9 2 6 4" xfId="18388" xr:uid="{00000000-0005-0000-0000-000017470000}"/>
    <cellStyle name="Percent 9 2 7" xfId="18389" xr:uid="{00000000-0005-0000-0000-000018470000}"/>
    <cellStyle name="Percent 9 2 7 2" xfId="18390" xr:uid="{00000000-0005-0000-0000-000019470000}"/>
    <cellStyle name="Percent 9 2 7 2 2" xfId="18391" xr:uid="{00000000-0005-0000-0000-00001A470000}"/>
    <cellStyle name="Percent 9 2 7 3" xfId="18392" xr:uid="{00000000-0005-0000-0000-00001B470000}"/>
    <cellStyle name="Percent 9 2 8" xfId="18393" xr:uid="{00000000-0005-0000-0000-00001C470000}"/>
    <cellStyle name="Percent 9 2 8 2" xfId="18394" xr:uid="{00000000-0005-0000-0000-00001D470000}"/>
    <cellStyle name="Percent 9 2 9" xfId="18395" xr:uid="{00000000-0005-0000-0000-00001E470000}"/>
    <cellStyle name="Percent 9 3" xfId="18396" xr:uid="{00000000-0005-0000-0000-00001F470000}"/>
    <cellStyle name="Percent 9 4" xfId="18397" xr:uid="{00000000-0005-0000-0000-000020470000}"/>
    <cellStyle name="Percent 9 4 2" xfId="18398" xr:uid="{00000000-0005-0000-0000-000021470000}"/>
    <cellStyle name="Percent 9 4 2 2" xfId="18399" xr:uid="{00000000-0005-0000-0000-000022470000}"/>
    <cellStyle name="Percent 9 4 3" xfId="18400" xr:uid="{00000000-0005-0000-0000-000023470000}"/>
    <cellStyle name="Percent 9 4 3 2" xfId="18401" xr:uid="{00000000-0005-0000-0000-000024470000}"/>
    <cellStyle name="Percent 9 4 4" xfId="18402" xr:uid="{00000000-0005-0000-0000-000025470000}"/>
    <cellStyle name="Percent 9 4 5" xfId="18403" xr:uid="{00000000-0005-0000-0000-000026470000}"/>
    <cellStyle name="Percent 9 5" xfId="18404" xr:uid="{00000000-0005-0000-0000-000027470000}"/>
    <cellStyle name="Percent 9 5 2" xfId="18405" xr:uid="{00000000-0005-0000-0000-000028470000}"/>
    <cellStyle name="Percent 9 6" xfId="18406" xr:uid="{00000000-0005-0000-0000-000029470000}"/>
    <cellStyle name="Processing" xfId="189" xr:uid="{00000000-0005-0000-0000-00002A470000}"/>
    <cellStyle name="PSChar" xfId="188" xr:uid="{00000000-0005-0000-0000-00002B470000}"/>
    <cellStyle name="PSDate" xfId="187" xr:uid="{00000000-0005-0000-0000-00002C470000}"/>
    <cellStyle name="PSDec" xfId="186" xr:uid="{00000000-0005-0000-0000-00002D470000}"/>
    <cellStyle name="PSHeading" xfId="185" xr:uid="{00000000-0005-0000-0000-00002E470000}"/>
    <cellStyle name="PSInt" xfId="184" xr:uid="{00000000-0005-0000-0000-00002F470000}"/>
    <cellStyle name="PSSpacer" xfId="183" xr:uid="{00000000-0005-0000-0000-000030470000}"/>
    <cellStyle name="purple - Style8" xfId="182" xr:uid="{00000000-0005-0000-0000-000031470000}"/>
    <cellStyle name="RED" xfId="181" xr:uid="{00000000-0005-0000-0000-000032470000}"/>
    <cellStyle name="Red - Style7" xfId="180" xr:uid="{00000000-0005-0000-0000-000033470000}"/>
    <cellStyle name="RED_04 07E Wild Horse Wind Expansion (C) (2)" xfId="179" xr:uid="{00000000-0005-0000-0000-000034470000}"/>
    <cellStyle name="Report" xfId="178" xr:uid="{00000000-0005-0000-0000-000035470000}"/>
    <cellStyle name="Report Bar" xfId="177" xr:uid="{00000000-0005-0000-0000-000036470000}"/>
    <cellStyle name="Report Heading" xfId="176" xr:uid="{00000000-0005-0000-0000-000037470000}"/>
    <cellStyle name="Report Percent" xfId="175" xr:uid="{00000000-0005-0000-0000-000038470000}"/>
    <cellStyle name="Report Unit Cost" xfId="174" xr:uid="{00000000-0005-0000-0000-000039470000}"/>
    <cellStyle name="Reports" xfId="173" xr:uid="{00000000-0005-0000-0000-00003A470000}"/>
    <cellStyle name="Reports Total" xfId="172" xr:uid="{00000000-0005-0000-0000-00003B470000}"/>
    <cellStyle name="Reports Unit Cost Total" xfId="171" xr:uid="{00000000-0005-0000-0000-00003C470000}"/>
    <cellStyle name="Reports_Book9" xfId="170" xr:uid="{00000000-0005-0000-0000-00003D470000}"/>
    <cellStyle name="RevList" xfId="169" xr:uid="{00000000-0005-0000-0000-00003E470000}"/>
    <cellStyle name="round100" xfId="168" xr:uid="{00000000-0005-0000-0000-00003F470000}"/>
    <cellStyle name="SAPBEXaggData" xfId="167" xr:uid="{00000000-0005-0000-0000-000040470000}"/>
    <cellStyle name="SAPBEXaggData 2" xfId="166" xr:uid="{00000000-0005-0000-0000-000041470000}"/>
    <cellStyle name="SAPBEXaggData 3" xfId="165" xr:uid="{00000000-0005-0000-0000-000042470000}"/>
    <cellStyle name="SAPBEXaggDataEmph" xfId="164" xr:uid="{00000000-0005-0000-0000-000043470000}"/>
    <cellStyle name="SAPBEXaggDataEmph 2" xfId="163" xr:uid="{00000000-0005-0000-0000-000044470000}"/>
    <cellStyle name="SAPBEXaggDataEmph 3" xfId="162" xr:uid="{00000000-0005-0000-0000-000045470000}"/>
    <cellStyle name="SAPBEXaggItem" xfId="161" xr:uid="{00000000-0005-0000-0000-000046470000}"/>
    <cellStyle name="SAPBEXaggItem 2" xfId="160" xr:uid="{00000000-0005-0000-0000-000047470000}"/>
    <cellStyle name="SAPBEXaggItem 3" xfId="159" xr:uid="{00000000-0005-0000-0000-000048470000}"/>
    <cellStyle name="SAPBEXaggItemX" xfId="158" xr:uid="{00000000-0005-0000-0000-000049470000}"/>
    <cellStyle name="SAPBEXaggItemX 2" xfId="157" xr:uid="{00000000-0005-0000-0000-00004A470000}"/>
    <cellStyle name="SAPBEXaggItemX 3" xfId="156" xr:uid="{00000000-0005-0000-0000-00004B470000}"/>
    <cellStyle name="SAPBEXchaText" xfId="155" xr:uid="{00000000-0005-0000-0000-00004C470000}"/>
    <cellStyle name="SAPBEXchaText 2" xfId="154" xr:uid="{00000000-0005-0000-0000-00004D470000}"/>
    <cellStyle name="SAPBEXchaText 3" xfId="153" xr:uid="{00000000-0005-0000-0000-00004E470000}"/>
    <cellStyle name="SAPBEXchaText 4" xfId="152" xr:uid="{00000000-0005-0000-0000-00004F470000}"/>
    <cellStyle name="SAPBEXexcBad7" xfId="151" xr:uid="{00000000-0005-0000-0000-000050470000}"/>
    <cellStyle name="SAPBEXexcBad7 2" xfId="150" xr:uid="{00000000-0005-0000-0000-000051470000}"/>
    <cellStyle name="SAPBEXexcBad7 3" xfId="149" xr:uid="{00000000-0005-0000-0000-000052470000}"/>
    <cellStyle name="SAPBEXexcBad8" xfId="148" xr:uid="{00000000-0005-0000-0000-000053470000}"/>
    <cellStyle name="SAPBEXexcBad8 2" xfId="147" xr:uid="{00000000-0005-0000-0000-000054470000}"/>
    <cellStyle name="SAPBEXexcBad8 3" xfId="146" xr:uid="{00000000-0005-0000-0000-000055470000}"/>
    <cellStyle name="SAPBEXexcBad9" xfId="145" xr:uid="{00000000-0005-0000-0000-000056470000}"/>
    <cellStyle name="SAPBEXexcBad9 2" xfId="144" xr:uid="{00000000-0005-0000-0000-000057470000}"/>
    <cellStyle name="SAPBEXexcBad9 3" xfId="143" xr:uid="{00000000-0005-0000-0000-000058470000}"/>
    <cellStyle name="SAPBEXexcCritical4" xfId="142" xr:uid="{00000000-0005-0000-0000-000059470000}"/>
    <cellStyle name="SAPBEXexcCritical4 2" xfId="141" xr:uid="{00000000-0005-0000-0000-00005A470000}"/>
    <cellStyle name="SAPBEXexcCritical4 3" xfId="140" xr:uid="{00000000-0005-0000-0000-00005B470000}"/>
    <cellStyle name="SAPBEXexcCritical5" xfId="139" xr:uid="{00000000-0005-0000-0000-00005C470000}"/>
    <cellStyle name="SAPBEXexcCritical5 2" xfId="138" xr:uid="{00000000-0005-0000-0000-00005D470000}"/>
    <cellStyle name="SAPBEXexcCritical5 3" xfId="137" xr:uid="{00000000-0005-0000-0000-00005E470000}"/>
    <cellStyle name="SAPBEXexcCritical6" xfId="136" xr:uid="{00000000-0005-0000-0000-00005F470000}"/>
    <cellStyle name="SAPBEXexcCritical6 2" xfId="135" xr:uid="{00000000-0005-0000-0000-000060470000}"/>
    <cellStyle name="SAPBEXexcCritical6 3" xfId="134" xr:uid="{00000000-0005-0000-0000-000061470000}"/>
    <cellStyle name="SAPBEXexcGood1" xfId="133" xr:uid="{00000000-0005-0000-0000-000062470000}"/>
    <cellStyle name="SAPBEXexcGood1 2" xfId="132" xr:uid="{00000000-0005-0000-0000-000063470000}"/>
    <cellStyle name="SAPBEXexcGood1 3" xfId="131" xr:uid="{00000000-0005-0000-0000-000064470000}"/>
    <cellStyle name="SAPBEXexcGood2" xfId="130" xr:uid="{00000000-0005-0000-0000-000065470000}"/>
    <cellStyle name="SAPBEXexcGood2 2" xfId="129" xr:uid="{00000000-0005-0000-0000-000066470000}"/>
    <cellStyle name="SAPBEXexcGood2 3" xfId="128" xr:uid="{00000000-0005-0000-0000-000067470000}"/>
    <cellStyle name="SAPBEXexcGood3" xfId="127" xr:uid="{00000000-0005-0000-0000-000068470000}"/>
    <cellStyle name="SAPBEXexcGood3 2" xfId="126" xr:uid="{00000000-0005-0000-0000-000069470000}"/>
    <cellStyle name="SAPBEXexcGood3 3" xfId="125" xr:uid="{00000000-0005-0000-0000-00006A470000}"/>
    <cellStyle name="SAPBEXfilterDrill" xfId="124" xr:uid="{00000000-0005-0000-0000-00006B470000}"/>
    <cellStyle name="SAPBEXfilterDrill 2" xfId="123" xr:uid="{00000000-0005-0000-0000-00006C470000}"/>
    <cellStyle name="SAPBEXfilterDrill 3" xfId="122" xr:uid="{00000000-0005-0000-0000-00006D470000}"/>
    <cellStyle name="SAPBEXfilterItem" xfId="121" xr:uid="{00000000-0005-0000-0000-00006E470000}"/>
    <cellStyle name="SAPBEXfilterItem 2" xfId="120" xr:uid="{00000000-0005-0000-0000-00006F470000}"/>
    <cellStyle name="SAPBEXfilterItem 3" xfId="119" xr:uid="{00000000-0005-0000-0000-000070470000}"/>
    <cellStyle name="SAPBEXfilterText" xfId="118" xr:uid="{00000000-0005-0000-0000-000071470000}"/>
    <cellStyle name="SAPBEXformats" xfId="117" xr:uid="{00000000-0005-0000-0000-000072470000}"/>
    <cellStyle name="SAPBEXformats 2" xfId="116" xr:uid="{00000000-0005-0000-0000-000073470000}"/>
    <cellStyle name="SAPBEXformats 3" xfId="115" xr:uid="{00000000-0005-0000-0000-000074470000}"/>
    <cellStyle name="SAPBEXheaderItem" xfId="114" xr:uid="{00000000-0005-0000-0000-000075470000}"/>
    <cellStyle name="SAPBEXheaderItem 2" xfId="113" xr:uid="{00000000-0005-0000-0000-000076470000}"/>
    <cellStyle name="SAPBEXheaderItem 3" xfId="112" xr:uid="{00000000-0005-0000-0000-000077470000}"/>
    <cellStyle name="SAPBEXheaderText" xfId="111" xr:uid="{00000000-0005-0000-0000-000078470000}"/>
    <cellStyle name="SAPBEXheaderText 2" xfId="110" xr:uid="{00000000-0005-0000-0000-000079470000}"/>
    <cellStyle name="SAPBEXheaderText 3" xfId="109" xr:uid="{00000000-0005-0000-0000-00007A470000}"/>
    <cellStyle name="SAPBEXHLevel0" xfId="108" xr:uid="{00000000-0005-0000-0000-00007B470000}"/>
    <cellStyle name="SAPBEXHLevel0 2" xfId="107" xr:uid="{00000000-0005-0000-0000-00007C470000}"/>
    <cellStyle name="SAPBEXHLevel0 3" xfId="106" xr:uid="{00000000-0005-0000-0000-00007D470000}"/>
    <cellStyle name="SAPBEXHLevel0X" xfId="105" xr:uid="{00000000-0005-0000-0000-00007E470000}"/>
    <cellStyle name="SAPBEXHLevel0X 2" xfId="104" xr:uid="{00000000-0005-0000-0000-00007F470000}"/>
    <cellStyle name="SAPBEXHLevel0X 3" xfId="103" xr:uid="{00000000-0005-0000-0000-000080470000}"/>
    <cellStyle name="SAPBEXHLevel1" xfId="102" xr:uid="{00000000-0005-0000-0000-000081470000}"/>
    <cellStyle name="SAPBEXHLevel1 2" xfId="101" xr:uid="{00000000-0005-0000-0000-000082470000}"/>
    <cellStyle name="SAPBEXHLevel1 3" xfId="100" xr:uid="{00000000-0005-0000-0000-000083470000}"/>
    <cellStyle name="SAPBEXHLevel1X" xfId="99" xr:uid="{00000000-0005-0000-0000-000084470000}"/>
    <cellStyle name="SAPBEXHLevel1X 2" xfId="98" xr:uid="{00000000-0005-0000-0000-000085470000}"/>
    <cellStyle name="SAPBEXHLevel1X 3" xfId="97" xr:uid="{00000000-0005-0000-0000-000086470000}"/>
    <cellStyle name="SAPBEXHLevel2" xfId="96" xr:uid="{00000000-0005-0000-0000-000087470000}"/>
    <cellStyle name="SAPBEXHLevel2 2" xfId="95" xr:uid="{00000000-0005-0000-0000-000088470000}"/>
    <cellStyle name="SAPBEXHLevel2 3" xfId="94" xr:uid="{00000000-0005-0000-0000-000089470000}"/>
    <cellStyle name="SAPBEXHLevel2X" xfId="93" xr:uid="{00000000-0005-0000-0000-00008A470000}"/>
    <cellStyle name="SAPBEXHLevel2X 2" xfId="92" xr:uid="{00000000-0005-0000-0000-00008B470000}"/>
    <cellStyle name="SAPBEXHLevel2X 3" xfId="91" xr:uid="{00000000-0005-0000-0000-00008C470000}"/>
    <cellStyle name="SAPBEXHLevel3" xfId="90" xr:uid="{00000000-0005-0000-0000-00008D470000}"/>
    <cellStyle name="SAPBEXHLevel3 2" xfId="89" xr:uid="{00000000-0005-0000-0000-00008E470000}"/>
    <cellStyle name="SAPBEXHLevel3 3" xfId="88" xr:uid="{00000000-0005-0000-0000-00008F470000}"/>
    <cellStyle name="SAPBEXHLevel3X" xfId="87" xr:uid="{00000000-0005-0000-0000-000090470000}"/>
    <cellStyle name="SAPBEXHLevel3X 2" xfId="86" xr:uid="{00000000-0005-0000-0000-000091470000}"/>
    <cellStyle name="SAPBEXHLevel3X 3" xfId="85" xr:uid="{00000000-0005-0000-0000-000092470000}"/>
    <cellStyle name="SAPBEXinputData" xfId="84" xr:uid="{00000000-0005-0000-0000-000093470000}"/>
    <cellStyle name="SAPBEXItemHeader" xfId="18407" xr:uid="{00000000-0005-0000-0000-000094470000}"/>
    <cellStyle name="SAPBEXresData" xfId="83" xr:uid="{00000000-0005-0000-0000-000095470000}"/>
    <cellStyle name="SAPBEXresData 2" xfId="82" xr:uid="{00000000-0005-0000-0000-000096470000}"/>
    <cellStyle name="SAPBEXresData 3" xfId="81" xr:uid="{00000000-0005-0000-0000-000097470000}"/>
    <cellStyle name="SAPBEXresDataEmph" xfId="80" xr:uid="{00000000-0005-0000-0000-000098470000}"/>
    <cellStyle name="SAPBEXresDataEmph 2" xfId="79" xr:uid="{00000000-0005-0000-0000-000099470000}"/>
    <cellStyle name="SAPBEXresDataEmph 3" xfId="78" xr:uid="{00000000-0005-0000-0000-00009A470000}"/>
    <cellStyle name="SAPBEXresItem" xfId="77" xr:uid="{00000000-0005-0000-0000-00009B470000}"/>
    <cellStyle name="SAPBEXresItem 2" xfId="76" xr:uid="{00000000-0005-0000-0000-00009C470000}"/>
    <cellStyle name="SAPBEXresItem 3" xfId="75" xr:uid="{00000000-0005-0000-0000-00009D470000}"/>
    <cellStyle name="SAPBEXresItemX" xfId="74" xr:uid="{00000000-0005-0000-0000-00009E470000}"/>
    <cellStyle name="SAPBEXresItemX 2" xfId="73" xr:uid="{00000000-0005-0000-0000-00009F470000}"/>
    <cellStyle name="SAPBEXresItemX 3" xfId="72" xr:uid="{00000000-0005-0000-0000-0000A0470000}"/>
    <cellStyle name="SAPBEXstdData" xfId="71" xr:uid="{00000000-0005-0000-0000-0000A1470000}"/>
    <cellStyle name="SAPBEXstdData 2" xfId="70" xr:uid="{00000000-0005-0000-0000-0000A2470000}"/>
    <cellStyle name="SAPBEXstdData 3" xfId="69" xr:uid="{00000000-0005-0000-0000-0000A3470000}"/>
    <cellStyle name="SAPBEXstdDataEmph" xfId="68" xr:uid="{00000000-0005-0000-0000-0000A4470000}"/>
    <cellStyle name="SAPBEXstdDataEmph 2" xfId="67" xr:uid="{00000000-0005-0000-0000-0000A5470000}"/>
    <cellStyle name="SAPBEXstdDataEmph 3" xfId="66" xr:uid="{00000000-0005-0000-0000-0000A6470000}"/>
    <cellStyle name="SAPBEXstdItem" xfId="65" xr:uid="{00000000-0005-0000-0000-0000A7470000}"/>
    <cellStyle name="SAPBEXstdItem 2" xfId="64" xr:uid="{00000000-0005-0000-0000-0000A8470000}"/>
    <cellStyle name="SAPBEXstdItem 3" xfId="63" xr:uid="{00000000-0005-0000-0000-0000A9470000}"/>
    <cellStyle name="SAPBEXstdItemX" xfId="62" xr:uid="{00000000-0005-0000-0000-0000AA470000}"/>
    <cellStyle name="SAPBEXstdItemX 2" xfId="61" xr:uid="{00000000-0005-0000-0000-0000AB470000}"/>
    <cellStyle name="SAPBEXstdItemX 3" xfId="60" xr:uid="{00000000-0005-0000-0000-0000AC470000}"/>
    <cellStyle name="SAPBEXtitle" xfId="59" xr:uid="{00000000-0005-0000-0000-0000AD470000}"/>
    <cellStyle name="SAPBEXtitle 2" xfId="58" xr:uid="{00000000-0005-0000-0000-0000AE470000}"/>
    <cellStyle name="SAPBEXtitle 3" xfId="57" xr:uid="{00000000-0005-0000-0000-0000AF470000}"/>
    <cellStyle name="SAPBEXunassignedItem" xfId="18408" xr:uid="{00000000-0005-0000-0000-0000B0470000}"/>
    <cellStyle name="SAPBEXundefined" xfId="56" xr:uid="{00000000-0005-0000-0000-0000B1470000}"/>
    <cellStyle name="SAPBEXundefined 2" xfId="55" xr:uid="{00000000-0005-0000-0000-0000B2470000}"/>
    <cellStyle name="SAPBEXundefined 3" xfId="54" xr:uid="{00000000-0005-0000-0000-0000B3470000}"/>
    <cellStyle name="SAPBorder" xfId="18409" xr:uid="{00000000-0005-0000-0000-0000B4470000}"/>
    <cellStyle name="SAPDataCell" xfId="18410" xr:uid="{00000000-0005-0000-0000-0000B5470000}"/>
    <cellStyle name="SAPDataTotalCell" xfId="18411" xr:uid="{00000000-0005-0000-0000-0000B6470000}"/>
    <cellStyle name="SAPDimensionCell" xfId="18412" xr:uid="{00000000-0005-0000-0000-0000B7470000}"/>
    <cellStyle name="SAPEditableDataCell" xfId="18413" xr:uid="{00000000-0005-0000-0000-0000B8470000}"/>
    <cellStyle name="SAPEditableDataTotalCell" xfId="18414" xr:uid="{00000000-0005-0000-0000-0000B9470000}"/>
    <cellStyle name="SAPEmphasized" xfId="18415" xr:uid="{00000000-0005-0000-0000-0000BA470000}"/>
    <cellStyle name="SAPEmphasizedTotal" xfId="18416" xr:uid="{00000000-0005-0000-0000-0000BB470000}"/>
    <cellStyle name="SAPExceptionLevel1" xfId="18417" xr:uid="{00000000-0005-0000-0000-0000BC470000}"/>
    <cellStyle name="SAPExceptionLevel2" xfId="18418" xr:uid="{00000000-0005-0000-0000-0000BD470000}"/>
    <cellStyle name="SAPExceptionLevel3" xfId="18419" xr:uid="{00000000-0005-0000-0000-0000BE470000}"/>
    <cellStyle name="SAPExceptionLevel4" xfId="18420" xr:uid="{00000000-0005-0000-0000-0000BF470000}"/>
    <cellStyle name="SAPExceptionLevel5" xfId="18421" xr:uid="{00000000-0005-0000-0000-0000C0470000}"/>
    <cellStyle name="SAPExceptionLevel6" xfId="18422" xr:uid="{00000000-0005-0000-0000-0000C1470000}"/>
    <cellStyle name="SAPExceptionLevel7" xfId="18423" xr:uid="{00000000-0005-0000-0000-0000C2470000}"/>
    <cellStyle name="SAPExceptionLevel8" xfId="18424" xr:uid="{00000000-0005-0000-0000-0000C3470000}"/>
    <cellStyle name="SAPExceptionLevel9" xfId="18425" xr:uid="{00000000-0005-0000-0000-0000C4470000}"/>
    <cellStyle name="SAPHierarchyCell0" xfId="18426" xr:uid="{00000000-0005-0000-0000-0000C5470000}"/>
    <cellStyle name="SAPHierarchyCell1" xfId="18427" xr:uid="{00000000-0005-0000-0000-0000C6470000}"/>
    <cellStyle name="SAPHierarchyCell2" xfId="18428" xr:uid="{00000000-0005-0000-0000-0000C7470000}"/>
    <cellStyle name="SAPHierarchyCell3" xfId="18429" xr:uid="{00000000-0005-0000-0000-0000C8470000}"/>
    <cellStyle name="SAPHierarchyCell4" xfId="18430" xr:uid="{00000000-0005-0000-0000-0000C9470000}"/>
    <cellStyle name="SAPLockedDataCell" xfId="18431" xr:uid="{00000000-0005-0000-0000-0000CA470000}"/>
    <cellStyle name="SAPLockedDataTotalCell" xfId="18432" xr:uid="{00000000-0005-0000-0000-0000CB470000}"/>
    <cellStyle name="SAPMemberCell" xfId="18433" xr:uid="{00000000-0005-0000-0000-0000CC470000}"/>
    <cellStyle name="SAPMemberTotalCell" xfId="18434" xr:uid="{00000000-0005-0000-0000-0000CD470000}"/>
    <cellStyle name="SAPReadonlyDataCell" xfId="18435" xr:uid="{00000000-0005-0000-0000-0000CE470000}"/>
    <cellStyle name="SAPReadonlyDataTotalCell" xfId="18436" xr:uid="{00000000-0005-0000-0000-0000CF470000}"/>
    <cellStyle name="shade" xfId="53" xr:uid="{00000000-0005-0000-0000-0000D0470000}"/>
    <cellStyle name="Sheet Title" xfId="52" xr:uid="{00000000-0005-0000-0000-0000D1470000}"/>
    <cellStyle name="StmtTtl1" xfId="51" xr:uid="{00000000-0005-0000-0000-0000D2470000}"/>
    <cellStyle name="StmtTtl1 2" xfId="50" xr:uid="{00000000-0005-0000-0000-0000D3470000}"/>
    <cellStyle name="StmtTtl1 3" xfId="49" xr:uid="{00000000-0005-0000-0000-0000D4470000}"/>
    <cellStyle name="StmtTtl1 4" xfId="48" xr:uid="{00000000-0005-0000-0000-0000D5470000}"/>
    <cellStyle name="StmtTtl2" xfId="47" xr:uid="{00000000-0005-0000-0000-0000D6470000}"/>
    <cellStyle name="STYL1 - Style1" xfId="46" xr:uid="{00000000-0005-0000-0000-0000D7470000}"/>
    <cellStyle name="Style 1" xfId="45" xr:uid="{00000000-0005-0000-0000-0000D8470000}"/>
    <cellStyle name="Style 1 2" xfId="44" xr:uid="{00000000-0005-0000-0000-0000D9470000}"/>
    <cellStyle name="Style 1 3" xfId="43" xr:uid="{00000000-0005-0000-0000-0000DA470000}"/>
    <cellStyle name="Style 1 4" xfId="42" xr:uid="{00000000-0005-0000-0000-0000DB470000}"/>
    <cellStyle name="Style 1_3.01 Income Statement" xfId="41" xr:uid="{00000000-0005-0000-0000-0000DC470000}"/>
    <cellStyle name="Subtotal" xfId="40" xr:uid="{00000000-0005-0000-0000-0000DD470000}"/>
    <cellStyle name="Sub-total" xfId="39" xr:uid="{00000000-0005-0000-0000-0000DE470000}"/>
    <cellStyle name="taples Plaza" xfId="38" xr:uid="{00000000-0005-0000-0000-0000DF470000}"/>
    <cellStyle name="Test" xfId="37" xr:uid="{00000000-0005-0000-0000-0000E0470000}"/>
    <cellStyle name="Tickmark" xfId="36" xr:uid="{00000000-0005-0000-0000-0000E1470000}"/>
    <cellStyle name="Title 10" xfId="35" xr:uid="{00000000-0005-0000-0000-0000E2470000}"/>
    <cellStyle name="Title 2" xfId="34" xr:uid="{00000000-0005-0000-0000-0000E3470000}"/>
    <cellStyle name="Title 2 2" xfId="33" xr:uid="{00000000-0005-0000-0000-0000E4470000}"/>
    <cellStyle name="Title 2 2 2" xfId="18437" xr:uid="{00000000-0005-0000-0000-0000E5470000}"/>
    <cellStyle name="Title 2 2 3" xfId="18438" xr:uid="{00000000-0005-0000-0000-0000E6470000}"/>
    <cellStyle name="Title 2 3" xfId="18439" xr:uid="{00000000-0005-0000-0000-0000E7470000}"/>
    <cellStyle name="Title 2 3 2" xfId="18440" xr:uid="{00000000-0005-0000-0000-0000E8470000}"/>
    <cellStyle name="Title 3" xfId="32" xr:uid="{00000000-0005-0000-0000-0000E9470000}"/>
    <cellStyle name="Title 3 2" xfId="18441" xr:uid="{00000000-0005-0000-0000-0000EA470000}"/>
    <cellStyle name="Title 3 3" xfId="18442" xr:uid="{00000000-0005-0000-0000-0000EB470000}"/>
    <cellStyle name="Title 3 4" xfId="18443" xr:uid="{00000000-0005-0000-0000-0000EC470000}"/>
    <cellStyle name="Title 3 5" xfId="18444" xr:uid="{00000000-0005-0000-0000-0000ED470000}"/>
    <cellStyle name="Title 4" xfId="31" xr:uid="{00000000-0005-0000-0000-0000EE470000}"/>
    <cellStyle name="Title 4 2" xfId="18445" xr:uid="{00000000-0005-0000-0000-0000EF470000}"/>
    <cellStyle name="Title 4 3" xfId="18446" xr:uid="{00000000-0005-0000-0000-0000F0470000}"/>
    <cellStyle name="Title 5" xfId="30" xr:uid="{00000000-0005-0000-0000-0000F1470000}"/>
    <cellStyle name="Title 6" xfId="29" xr:uid="{00000000-0005-0000-0000-0000F2470000}"/>
    <cellStyle name="Title 7" xfId="28" xr:uid="{00000000-0005-0000-0000-0000F3470000}"/>
    <cellStyle name="Title 8" xfId="27" xr:uid="{00000000-0005-0000-0000-0000F4470000}"/>
    <cellStyle name="Title 9" xfId="26" xr:uid="{00000000-0005-0000-0000-0000F5470000}"/>
    <cellStyle name="Title: Major" xfId="25" xr:uid="{00000000-0005-0000-0000-0000F6470000}"/>
    <cellStyle name="Title: Minor" xfId="24" xr:uid="{00000000-0005-0000-0000-0000F7470000}"/>
    <cellStyle name="Title: Worksheet" xfId="23" xr:uid="{00000000-0005-0000-0000-0000F8470000}"/>
    <cellStyle name="Total 10" xfId="22" xr:uid="{00000000-0005-0000-0000-0000F9470000}"/>
    <cellStyle name="Total 11" xfId="21" xr:uid="{00000000-0005-0000-0000-0000FA470000}"/>
    <cellStyle name="Total 2" xfId="20" xr:uid="{00000000-0005-0000-0000-0000FB470000}"/>
    <cellStyle name="Total 2 2" xfId="19" xr:uid="{00000000-0005-0000-0000-0000FC470000}"/>
    <cellStyle name="Total 2 2 2" xfId="18447" xr:uid="{00000000-0005-0000-0000-0000FD470000}"/>
    <cellStyle name="Total 2 2 3" xfId="18448" xr:uid="{00000000-0005-0000-0000-0000FE470000}"/>
    <cellStyle name="Total 2 2 4" xfId="18449" xr:uid="{00000000-0005-0000-0000-0000FF470000}"/>
    <cellStyle name="Total 2 3" xfId="18450" xr:uid="{00000000-0005-0000-0000-000000480000}"/>
    <cellStyle name="Total 2 3 2" xfId="18451" xr:uid="{00000000-0005-0000-0000-000001480000}"/>
    <cellStyle name="Total 2 3 3" xfId="18452" xr:uid="{00000000-0005-0000-0000-000002480000}"/>
    <cellStyle name="Total 2 4" xfId="18453" xr:uid="{00000000-0005-0000-0000-000003480000}"/>
    <cellStyle name="Total 2 4 2" xfId="18454" xr:uid="{00000000-0005-0000-0000-000004480000}"/>
    <cellStyle name="Total 2 4 3" xfId="18455" xr:uid="{00000000-0005-0000-0000-000005480000}"/>
    <cellStyle name="Total 2 5" xfId="18456" xr:uid="{00000000-0005-0000-0000-000006480000}"/>
    <cellStyle name="Total 2 6" xfId="18457" xr:uid="{00000000-0005-0000-0000-000007480000}"/>
    <cellStyle name="Total 3" xfId="18" xr:uid="{00000000-0005-0000-0000-000008480000}"/>
    <cellStyle name="Total 3 2" xfId="18458" xr:uid="{00000000-0005-0000-0000-000009480000}"/>
    <cellStyle name="Total 3 2 2" xfId="18459" xr:uid="{00000000-0005-0000-0000-00000A480000}"/>
    <cellStyle name="Total 3 2 3" xfId="18460" xr:uid="{00000000-0005-0000-0000-00000B480000}"/>
    <cellStyle name="Total 3 3" xfId="18461" xr:uid="{00000000-0005-0000-0000-00000C480000}"/>
    <cellStyle name="Total 3 4" xfId="18462" xr:uid="{00000000-0005-0000-0000-00000D480000}"/>
    <cellStyle name="Total 3 5" xfId="18463" xr:uid="{00000000-0005-0000-0000-00000E480000}"/>
    <cellStyle name="Total 4" xfId="17" xr:uid="{00000000-0005-0000-0000-00000F480000}"/>
    <cellStyle name="Total 4 2" xfId="18464" xr:uid="{00000000-0005-0000-0000-000010480000}"/>
    <cellStyle name="Total 4 3" xfId="18465" xr:uid="{00000000-0005-0000-0000-000011480000}"/>
    <cellStyle name="Total 5" xfId="16" xr:uid="{00000000-0005-0000-0000-000012480000}"/>
    <cellStyle name="Total 5 2" xfId="18466" xr:uid="{00000000-0005-0000-0000-000013480000}"/>
    <cellStyle name="Total 5 3" xfId="18467" xr:uid="{00000000-0005-0000-0000-000014480000}"/>
    <cellStyle name="Total 6" xfId="15" xr:uid="{00000000-0005-0000-0000-000015480000}"/>
    <cellStyle name="Total 6 2" xfId="18468" xr:uid="{00000000-0005-0000-0000-000016480000}"/>
    <cellStyle name="Total 6 3" xfId="18469" xr:uid="{00000000-0005-0000-0000-000017480000}"/>
    <cellStyle name="Total 6 4" xfId="18470" xr:uid="{00000000-0005-0000-0000-000018480000}"/>
    <cellStyle name="Total 7" xfId="14" xr:uid="{00000000-0005-0000-0000-000019480000}"/>
    <cellStyle name="Total 8" xfId="13" xr:uid="{00000000-0005-0000-0000-00001A480000}"/>
    <cellStyle name="Total 9" xfId="12" xr:uid="{00000000-0005-0000-0000-00001B480000}"/>
    <cellStyle name="Total4 - Style4" xfId="11" xr:uid="{00000000-0005-0000-0000-00001C480000}"/>
    <cellStyle name="Warning Text 10" xfId="10" xr:uid="{00000000-0005-0000-0000-00001D480000}"/>
    <cellStyle name="Warning Text 2" xfId="9" xr:uid="{00000000-0005-0000-0000-00001E480000}"/>
    <cellStyle name="Warning Text 2 2" xfId="8" xr:uid="{00000000-0005-0000-0000-00001F480000}"/>
    <cellStyle name="Warning Text 2 2 2" xfId="18471" xr:uid="{00000000-0005-0000-0000-000020480000}"/>
    <cellStyle name="Warning Text 2 2 3" xfId="18472" xr:uid="{00000000-0005-0000-0000-000021480000}"/>
    <cellStyle name="Warning Text 2 3" xfId="18473" xr:uid="{00000000-0005-0000-0000-000022480000}"/>
    <cellStyle name="Warning Text 2 4" xfId="18474" xr:uid="{00000000-0005-0000-0000-000023480000}"/>
    <cellStyle name="Warning Text 2 4 2" xfId="18475" xr:uid="{00000000-0005-0000-0000-000024480000}"/>
    <cellStyle name="Warning Text 2 5" xfId="18476" xr:uid="{00000000-0005-0000-0000-000025480000}"/>
    <cellStyle name="Warning Text 2 6" xfId="18477" xr:uid="{00000000-0005-0000-0000-000026480000}"/>
    <cellStyle name="Warning Text 2 7" xfId="18478" xr:uid="{00000000-0005-0000-0000-000027480000}"/>
    <cellStyle name="Warning Text 2 8" xfId="18479" xr:uid="{00000000-0005-0000-0000-000028480000}"/>
    <cellStyle name="Warning Text 3" xfId="7" xr:uid="{00000000-0005-0000-0000-000029480000}"/>
    <cellStyle name="Warning Text 3 2" xfId="18480" xr:uid="{00000000-0005-0000-0000-00002A480000}"/>
    <cellStyle name="Warning Text 3 3" xfId="18481" xr:uid="{00000000-0005-0000-0000-00002B480000}"/>
    <cellStyle name="Warning Text 3 4" xfId="18482" xr:uid="{00000000-0005-0000-0000-00002C480000}"/>
    <cellStyle name="Warning Text 4" xfId="6" xr:uid="{00000000-0005-0000-0000-00002D480000}"/>
    <cellStyle name="Warning Text 4 2" xfId="18483" xr:uid="{00000000-0005-0000-0000-00002E480000}"/>
    <cellStyle name="Warning Text 4 3" xfId="18484" xr:uid="{00000000-0005-0000-0000-00002F480000}"/>
    <cellStyle name="Warning Text 5" xfId="5" xr:uid="{00000000-0005-0000-0000-000030480000}"/>
    <cellStyle name="Warning Text 5 2" xfId="18485" xr:uid="{00000000-0005-0000-0000-000031480000}"/>
    <cellStyle name="Warning Text 5 3" xfId="18486" xr:uid="{00000000-0005-0000-0000-000032480000}"/>
    <cellStyle name="Warning Text 6" xfId="4" xr:uid="{00000000-0005-0000-0000-000033480000}"/>
    <cellStyle name="Warning Text 6 2" xfId="18487" xr:uid="{00000000-0005-0000-0000-000034480000}"/>
    <cellStyle name="Warning Text 7" xfId="3" xr:uid="{00000000-0005-0000-0000-000035480000}"/>
    <cellStyle name="Warning Text 8" xfId="2" xr:uid="{00000000-0005-0000-0000-000036480000}"/>
    <cellStyle name="Warning Text 9" xfId="1" xr:uid="{00000000-0005-0000-0000-0000374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36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chroeder/2019%20-%2019XXXX,%2019XXXX%202019%20GRC/01%20Initial%20Filing%202019-06-14)/Workpapers/RevReq-COS-Attrition%20WP/NEW-PSE-WP-SEF-4.00G-GAS-MODEL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lfwd"/>
      <sheetName val="COC, Def, ConvF"/>
      <sheetName val="COC-Restating"/>
      <sheetName val="Summary"/>
      <sheetName val="Detailed Summary"/>
      <sheetName val="Common Adj"/>
      <sheetName val="Gas Adj"/>
      <sheetName val="Named Ranges G"/>
      <sheetName val="Dirty Only ==&gt;"/>
      <sheetName val="ETR GRC vs CBR TBPI 100%"/>
      <sheetName val="ETR GRC vs CBR"/>
      <sheetName val="Check ETR"/>
      <sheetName val="FIT Adj"/>
      <sheetName val="Verify"/>
      <sheetName val="ARAM"/>
      <sheetName val="Matrix"/>
      <sheetName val="Sheet1"/>
    </sheetNames>
    <sheetDataSet>
      <sheetData sheetId="0">
        <row r="3">
          <cell r="N3">
            <v>53719678.683770433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8">
          <cell r="C8" t="str">
            <v>PUGET SOUND ENERGY - NATURAL GAS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33"/>
    <pageSetUpPr fitToPage="1"/>
  </sheetPr>
  <dimension ref="A1:AH46"/>
  <sheetViews>
    <sheetView zoomScaleNormal="100" workbookViewId="0">
      <pane ySplit="10" topLeftCell="A11" activePane="bottomLeft" state="frozen"/>
      <selection activeCell="C4" sqref="C4"/>
      <selection pane="bottomLeft" activeCell="C38" sqref="C38"/>
    </sheetView>
  </sheetViews>
  <sheetFormatPr defaultColWidth="9.109375" defaultRowHeight="13.2" outlineLevelCol="1"/>
  <cols>
    <col min="1" max="1" width="5" style="230" bestFit="1" customWidth="1"/>
    <col min="2" max="2" width="76.44140625" style="230" bestFit="1" customWidth="1"/>
    <col min="3" max="3" width="25.88671875" style="230" customWidth="1"/>
    <col min="4" max="4" width="5" style="230" bestFit="1" customWidth="1"/>
    <col min="5" max="5" width="41.6640625" style="230" bestFit="1" customWidth="1"/>
    <col min="6" max="8" width="12.109375" style="230" customWidth="1"/>
    <col min="9" max="9" width="5" style="230" bestFit="1" customWidth="1"/>
    <col min="10" max="10" width="61.6640625" style="230" bestFit="1" customWidth="1"/>
    <col min="11" max="11" width="7.88671875" style="230" customWidth="1"/>
    <col min="12" max="12" width="9.109375" style="230"/>
    <col min="13" max="13" width="11.6640625" style="230" bestFit="1" customWidth="1"/>
    <col min="14" max="14" width="5" style="826" bestFit="1" customWidth="1"/>
    <col min="15" max="15" width="77.88671875" style="826" bestFit="1" customWidth="1"/>
    <col min="16" max="16" width="25" style="826" bestFit="1" customWidth="1"/>
    <col min="17" max="17" width="5.109375" style="826" bestFit="1" customWidth="1"/>
    <col min="18" max="18" width="43.44140625" style="826" bestFit="1" customWidth="1"/>
    <col min="19" max="19" width="16.88671875" style="826" bestFit="1" customWidth="1"/>
    <col min="20" max="20" width="13.44140625" style="826" bestFit="1" customWidth="1"/>
    <col min="21" max="21" width="12.33203125" style="826" bestFit="1" customWidth="1"/>
    <col min="22" max="22" width="4.44140625" style="826" customWidth="1"/>
    <col min="23" max="23" width="47" style="826" customWidth="1"/>
    <col min="24" max="24" width="14.5546875" style="826" hidden="1" customWidth="1" outlineLevel="1"/>
    <col min="25" max="25" width="25.109375" style="826" hidden="1" customWidth="1" outlineLevel="1"/>
    <col min="26" max="26" width="4.5546875" style="826" hidden="1" customWidth="1" outlineLevel="1"/>
    <col min="27" max="27" width="20.88671875" style="826" hidden="1" customWidth="1" outlineLevel="1"/>
    <col min="28" max="28" width="13.109375" style="826" hidden="1" customWidth="1" outlineLevel="1"/>
    <col min="29" max="29" width="0" style="826" hidden="1" customWidth="1" outlineLevel="1"/>
    <col min="30" max="30" width="14.5546875" style="826" bestFit="1" customWidth="1" collapsed="1"/>
    <col min="31" max="31" width="25.109375" style="826" bestFit="1" customWidth="1"/>
    <col min="32" max="32" width="4.5546875" style="826" bestFit="1" customWidth="1"/>
    <col min="33" max="33" width="17.33203125" style="826" bestFit="1" customWidth="1"/>
    <col min="34" max="34" width="13.109375" style="826" bestFit="1" customWidth="1"/>
    <col min="35" max="16384" width="9.109375" style="230"/>
  </cols>
  <sheetData>
    <row r="1" spans="1:34" ht="17.399999999999999">
      <c r="A1" s="826"/>
      <c r="B1" s="826"/>
      <c r="C1" s="271" t="s">
        <v>1376</v>
      </c>
      <c r="D1" s="826"/>
      <c r="E1" s="826"/>
      <c r="F1" s="826"/>
      <c r="G1" s="270" t="s">
        <v>1475</v>
      </c>
      <c r="H1" s="268"/>
      <c r="I1" s="826"/>
      <c r="J1" s="826"/>
      <c r="K1" s="270" t="s">
        <v>1377</v>
      </c>
      <c r="L1" s="269"/>
      <c r="M1" s="268"/>
      <c r="P1" s="271" t="s">
        <v>1378</v>
      </c>
      <c r="T1" s="270" t="s">
        <v>1379</v>
      </c>
      <c r="U1" s="1105"/>
      <c r="V1" s="1170" t="s">
        <v>1380</v>
      </c>
      <c r="W1" s="1171"/>
      <c r="X1" s="1172"/>
      <c r="Y1" s="1172"/>
      <c r="Z1" s="1172"/>
      <c r="AA1" s="1172"/>
      <c r="AB1" s="1172"/>
      <c r="AC1" s="1172"/>
      <c r="AD1" s="1173"/>
      <c r="AE1" s="1173"/>
      <c r="AF1" s="1173"/>
      <c r="AG1" s="1174" t="s">
        <v>1381</v>
      </c>
      <c r="AH1" s="1175"/>
    </row>
    <row r="2" spans="1:34" ht="17.399999999999999">
      <c r="A2" s="266" t="s">
        <v>32</v>
      </c>
      <c r="B2" s="266"/>
      <c r="C2" s="266"/>
      <c r="D2" s="266" t="s">
        <v>32</v>
      </c>
      <c r="E2" s="266"/>
      <c r="F2" s="266"/>
      <c r="G2" s="266"/>
      <c r="H2" s="266"/>
      <c r="I2" s="266"/>
      <c r="J2" s="266" t="s">
        <v>32</v>
      </c>
      <c r="K2" s="264"/>
      <c r="L2" s="264"/>
      <c r="M2" s="264"/>
      <c r="N2" s="266" t="s">
        <v>32</v>
      </c>
      <c r="O2" s="266"/>
      <c r="P2" s="266"/>
      <c r="Q2" s="266" t="s">
        <v>32</v>
      </c>
      <c r="R2" s="266"/>
      <c r="S2" s="266"/>
      <c r="T2" s="264"/>
      <c r="U2" s="264"/>
      <c r="V2" s="1176" t="s">
        <v>1382</v>
      </c>
      <c r="W2" s="1177"/>
      <c r="X2" s="1172"/>
      <c r="Y2" s="1172"/>
      <c r="Z2" s="1172"/>
      <c r="AA2" s="1172"/>
      <c r="AB2" s="1172"/>
      <c r="AC2" s="1172"/>
      <c r="AD2" s="1173"/>
      <c r="AE2" s="1173"/>
      <c r="AF2" s="1173"/>
      <c r="AG2" s="1173"/>
      <c r="AH2" s="1178"/>
    </row>
    <row r="3" spans="1:34" ht="16.2" thickBot="1">
      <c r="A3" s="266" t="s">
        <v>31</v>
      </c>
      <c r="B3" s="266"/>
      <c r="C3" s="266"/>
      <c r="D3" s="266" t="s">
        <v>31</v>
      </c>
      <c r="E3" s="266"/>
      <c r="F3" s="266"/>
      <c r="G3" s="266"/>
      <c r="H3" s="266"/>
      <c r="I3" s="266"/>
      <c r="J3" s="266" t="s">
        <v>31</v>
      </c>
      <c r="K3" s="264"/>
      <c r="L3" s="264"/>
      <c r="M3" s="264"/>
      <c r="N3" s="266" t="s">
        <v>31</v>
      </c>
      <c r="O3" s="266"/>
      <c r="P3" s="266"/>
      <c r="Q3" s="266" t="s">
        <v>31</v>
      </c>
      <c r="R3" s="266"/>
      <c r="S3" s="266"/>
      <c r="T3" s="264"/>
      <c r="U3" s="264"/>
      <c r="V3" s="1179"/>
      <c r="W3" s="1177"/>
      <c r="X3" s="1172"/>
      <c r="Y3" s="1172"/>
      <c r="Z3" s="1172"/>
      <c r="AA3" s="1172"/>
      <c r="AB3" s="1172"/>
      <c r="AC3" s="1172"/>
      <c r="AD3" s="1173"/>
      <c r="AE3" s="1173"/>
      <c r="AF3" s="1173"/>
      <c r="AG3" s="1173"/>
      <c r="AH3" s="1180"/>
    </row>
    <row r="4" spans="1:34" ht="18.600000000000001" thickBot="1">
      <c r="A4" s="266" t="str">
        <f>CASE_E</f>
        <v>2019 GENERAL RATE CASE</v>
      </c>
      <c r="B4" s="266"/>
      <c r="C4" s="266"/>
      <c r="D4" s="266" t="str">
        <f>CASE_E</f>
        <v>2019 GENERAL RATE CASE</v>
      </c>
      <c r="E4" s="266"/>
      <c r="F4" s="266"/>
      <c r="G4" s="266"/>
      <c r="H4" s="266"/>
      <c r="I4" s="266"/>
      <c r="J4" s="266" t="str">
        <f>CASE_E</f>
        <v>2019 GENERAL RATE CASE</v>
      </c>
      <c r="K4" s="264"/>
      <c r="L4" s="264"/>
      <c r="M4" s="264"/>
      <c r="N4" s="266" t="str">
        <f>CASE_E</f>
        <v>2019 GENERAL RATE CASE</v>
      </c>
      <c r="O4" s="266"/>
      <c r="P4" s="266"/>
      <c r="Q4" s="266" t="str">
        <f>CASE_E</f>
        <v>2019 GENERAL RATE CASE</v>
      </c>
      <c r="R4" s="266"/>
      <c r="S4" s="266"/>
      <c r="T4" s="264"/>
      <c r="U4" s="264"/>
      <c r="V4" s="1179"/>
      <c r="W4" s="1177"/>
      <c r="X4" s="1181" t="s">
        <v>1383</v>
      </c>
      <c r="Y4" s="1182"/>
      <c r="Z4" s="1182"/>
      <c r="AA4" s="1183"/>
      <c r="AB4" s="1184"/>
      <c r="AC4" s="1185"/>
      <c r="AD4" s="1181" t="s">
        <v>1384</v>
      </c>
      <c r="AE4" s="1182"/>
      <c r="AF4" s="1182"/>
      <c r="AG4" s="1183"/>
      <c r="AH4" s="1184"/>
    </row>
    <row r="5" spans="1:34" ht="14.4">
      <c r="A5" s="266" t="str">
        <f>TESTYEAR_E</f>
        <v>12 MONTHS ENDED DECEMBER 31, 2018</v>
      </c>
      <c r="B5" s="266"/>
      <c r="C5" s="266"/>
      <c r="D5" s="266" t="str">
        <f>TESTYEAR_E</f>
        <v>12 MONTHS ENDED DECEMBER 31, 2018</v>
      </c>
      <c r="E5" s="266"/>
      <c r="F5" s="266"/>
      <c r="G5" s="266"/>
      <c r="H5" s="266"/>
      <c r="I5" s="266"/>
      <c r="J5" s="266" t="str">
        <f>TESTYEAR_E</f>
        <v>12 MONTHS ENDED DECEMBER 31, 2018</v>
      </c>
      <c r="K5" s="264"/>
      <c r="L5" s="264"/>
      <c r="M5" s="264"/>
      <c r="N5" s="266" t="str">
        <f>TESTYEAR_E</f>
        <v>12 MONTHS ENDED DECEMBER 31, 2018</v>
      </c>
      <c r="O5" s="266"/>
      <c r="P5" s="266"/>
      <c r="Q5" s="266" t="str">
        <f>TESTYEAR_E</f>
        <v>12 MONTHS ENDED DECEMBER 31, 2018</v>
      </c>
      <c r="R5" s="266"/>
      <c r="S5" s="266"/>
      <c r="T5" s="264"/>
      <c r="U5" s="264"/>
      <c r="V5" s="1168" t="s">
        <v>1130</v>
      </c>
      <c r="W5" s="1186"/>
      <c r="X5" s="1187" t="s">
        <v>1385</v>
      </c>
      <c r="Y5" s="1188"/>
      <c r="Z5" s="1188"/>
      <c r="AA5" s="1188"/>
      <c r="AB5" s="1189"/>
      <c r="AC5" s="1172"/>
      <c r="AD5" s="1187" t="s">
        <v>1385</v>
      </c>
      <c r="AE5" s="1190"/>
      <c r="AF5" s="1190"/>
      <c r="AG5" s="1190"/>
      <c r="AH5" s="1191"/>
    </row>
    <row r="6" spans="1:34" s="265" customFormat="1" ht="14.4">
      <c r="A6" s="267" t="s">
        <v>30</v>
      </c>
      <c r="B6" s="266"/>
      <c r="C6" s="266"/>
      <c r="D6" s="267" t="s">
        <v>29</v>
      </c>
      <c r="E6" s="267"/>
      <c r="F6" s="266"/>
      <c r="G6" s="266"/>
      <c r="H6" s="266"/>
      <c r="I6" s="266"/>
      <c r="J6" s="267" t="s">
        <v>8</v>
      </c>
      <c r="K6" s="266"/>
      <c r="L6" s="266"/>
      <c r="M6" s="266"/>
      <c r="N6" s="267" t="s">
        <v>30</v>
      </c>
      <c r="O6" s="266"/>
      <c r="P6" s="266"/>
      <c r="Q6" s="267" t="s">
        <v>30</v>
      </c>
      <c r="R6" s="266"/>
      <c r="S6" s="266"/>
      <c r="T6" s="266"/>
      <c r="U6" s="266"/>
      <c r="V6" s="1168">
        <v>3</v>
      </c>
      <c r="W6" s="1192" t="s">
        <v>1386</v>
      </c>
      <c r="X6" s="1193">
        <v>199079031.3739852</v>
      </c>
      <c r="Y6" s="1194"/>
      <c r="Z6" s="1194"/>
      <c r="AA6" s="1194"/>
      <c r="AB6" s="1195"/>
      <c r="AC6" s="1172"/>
      <c r="AD6" s="1193">
        <f>+X6</f>
        <v>199079031.3739852</v>
      </c>
      <c r="AE6" s="1196"/>
      <c r="AF6" s="1196"/>
      <c r="AG6" s="1196"/>
      <c r="AH6" s="1197"/>
    </row>
    <row r="7" spans="1:34" ht="14.4">
      <c r="A7" s="826"/>
      <c r="B7" s="264"/>
      <c r="C7" s="264"/>
      <c r="D7" s="826"/>
      <c r="E7" s="264"/>
      <c r="F7" s="264"/>
      <c r="G7" s="264"/>
      <c r="H7" s="264"/>
      <c r="I7" s="264"/>
      <c r="J7" s="264"/>
      <c r="K7" s="264"/>
      <c r="L7" s="264"/>
      <c r="M7" s="264"/>
      <c r="O7" s="264"/>
      <c r="P7" s="264"/>
      <c r="V7" s="1168">
        <v>4</v>
      </c>
      <c r="W7" s="1192" t="s">
        <v>1127</v>
      </c>
      <c r="X7" s="1198">
        <v>85738601.034227908</v>
      </c>
      <c r="Y7" s="1199"/>
      <c r="Z7" s="1199"/>
      <c r="AA7" s="1199"/>
      <c r="AB7" s="1200"/>
      <c r="AC7" s="1172"/>
      <c r="AD7" s="1198">
        <f>+X7</f>
        <v>85738601.034227908</v>
      </c>
      <c r="AE7" s="1199"/>
      <c r="AF7" s="1199"/>
      <c r="AG7" s="1199"/>
      <c r="AH7" s="1200"/>
    </row>
    <row r="8" spans="1:34" ht="14.4">
      <c r="A8" s="826"/>
      <c r="B8" s="826"/>
      <c r="C8" s="826"/>
      <c r="D8" s="826"/>
      <c r="E8" s="826"/>
      <c r="F8" s="826"/>
      <c r="G8" s="826"/>
      <c r="H8" s="826"/>
      <c r="I8" s="264"/>
      <c r="J8" s="264"/>
      <c r="K8" s="264"/>
      <c r="L8" s="264"/>
      <c r="M8" s="826"/>
      <c r="V8" s="1168">
        <v>5</v>
      </c>
      <c r="W8" s="1192" t="s">
        <v>1126</v>
      </c>
      <c r="X8" s="1198">
        <v>1961447671.7378278</v>
      </c>
      <c r="Y8" s="1199"/>
      <c r="Z8" s="1201"/>
      <c r="AA8" s="1202" t="s">
        <v>1387</v>
      </c>
      <c r="AB8" s="1203">
        <v>3.8393999999999998E-2</v>
      </c>
      <c r="AC8" s="1172"/>
      <c r="AD8" s="1198">
        <f>+X8</f>
        <v>1961447671.7378278</v>
      </c>
      <c r="AE8" s="1199"/>
      <c r="AF8" s="1204"/>
      <c r="AG8" s="1202" t="s">
        <v>1388</v>
      </c>
      <c r="AH8" s="1205">
        <v>3.8172439532610514E-2</v>
      </c>
    </row>
    <row r="9" spans="1:34" ht="14.4">
      <c r="A9" s="1044" t="s">
        <v>26</v>
      </c>
      <c r="B9" s="1044"/>
      <c r="C9" s="826"/>
      <c r="D9" s="1044" t="s">
        <v>26</v>
      </c>
      <c r="E9" s="1044"/>
      <c r="F9" s="1043" t="s">
        <v>28</v>
      </c>
      <c r="G9" s="826"/>
      <c r="H9" s="1043" t="s">
        <v>27</v>
      </c>
      <c r="I9" s="1044" t="s">
        <v>26</v>
      </c>
      <c r="J9" s="1044"/>
      <c r="K9" s="1044"/>
      <c r="L9" s="826"/>
      <c r="M9" s="826"/>
      <c r="N9" s="1044" t="s">
        <v>26</v>
      </c>
      <c r="O9" s="1044"/>
      <c r="Q9" s="1044" t="s">
        <v>26</v>
      </c>
      <c r="R9" s="265"/>
      <c r="S9" s="1043"/>
      <c r="T9" s="1043" t="s">
        <v>1389</v>
      </c>
      <c r="U9" s="1043"/>
      <c r="V9" s="1168">
        <v>6</v>
      </c>
      <c r="W9" s="1169"/>
      <c r="X9" s="1206">
        <f>SUM(X6:X8)</f>
        <v>2246265304.1460409</v>
      </c>
      <c r="Y9" s="1207"/>
      <c r="Z9" s="1208"/>
      <c r="AA9" s="1209"/>
      <c r="AB9" s="1203">
        <f>1-AB8</f>
        <v>0.96160599999999996</v>
      </c>
      <c r="AC9" s="1172"/>
      <c r="AD9" s="1206">
        <f>SUM(AD6:AD8)</f>
        <v>2246265304.1460409</v>
      </c>
      <c r="AE9" s="1207"/>
      <c r="AF9" s="1210"/>
      <c r="AG9" s="1211"/>
      <c r="AH9" s="1203">
        <f>1-AH8</f>
        <v>0.96182756046738949</v>
      </c>
    </row>
    <row r="10" spans="1:34" ht="14.4">
      <c r="A10" s="1153" t="s">
        <v>23</v>
      </c>
      <c r="B10" s="1153" t="s">
        <v>22</v>
      </c>
      <c r="C10" s="1154"/>
      <c r="D10" s="1153" t="s">
        <v>23</v>
      </c>
      <c r="E10" s="1153" t="s">
        <v>22</v>
      </c>
      <c r="F10" s="1155" t="s">
        <v>25</v>
      </c>
      <c r="G10" s="1155" t="s">
        <v>24</v>
      </c>
      <c r="H10" s="1155" t="s">
        <v>24</v>
      </c>
      <c r="I10" s="1153" t="s">
        <v>23</v>
      </c>
      <c r="J10" s="1153" t="s">
        <v>22</v>
      </c>
      <c r="K10" s="1153"/>
      <c r="L10" s="1154"/>
      <c r="M10" s="1154"/>
      <c r="N10" s="1153" t="s">
        <v>23</v>
      </c>
      <c r="O10" s="1153" t="s">
        <v>22</v>
      </c>
      <c r="P10" s="1153" t="s">
        <v>1390</v>
      </c>
      <c r="Q10" s="1153" t="s">
        <v>23</v>
      </c>
      <c r="R10" s="1155" t="s">
        <v>774</v>
      </c>
      <c r="S10" s="1155" t="s">
        <v>1131</v>
      </c>
      <c r="T10" s="1155" t="s">
        <v>1391</v>
      </c>
      <c r="U10" s="1155" t="s">
        <v>1392</v>
      </c>
      <c r="V10" s="1168">
        <v>7</v>
      </c>
      <c r="W10" s="1192" t="s">
        <v>1393</v>
      </c>
      <c r="X10" s="1212">
        <v>6.5500000000000003E-2</v>
      </c>
      <c r="Y10" s="1213"/>
      <c r="Z10" s="1208"/>
      <c r="AA10" s="1208" t="s">
        <v>1394</v>
      </c>
      <c r="AB10" s="1214" t="s">
        <v>1395</v>
      </c>
      <c r="AC10" s="1172"/>
      <c r="AD10" s="1212">
        <f>+X10</f>
        <v>6.5500000000000003E-2</v>
      </c>
      <c r="AE10" s="1213"/>
      <c r="AF10" s="1210"/>
      <c r="AG10" s="1208" t="s">
        <v>1394</v>
      </c>
      <c r="AH10" s="1214" t="s">
        <v>1395</v>
      </c>
    </row>
    <row r="11" spans="1:34" ht="14.4">
      <c r="A11" s="826"/>
      <c r="B11" s="826"/>
      <c r="C11" s="826"/>
      <c r="D11" s="826"/>
      <c r="E11" s="826"/>
      <c r="F11" s="826"/>
      <c r="G11" s="826"/>
      <c r="H11" s="826"/>
      <c r="I11" s="826"/>
      <c r="J11" s="826"/>
      <c r="K11" s="826"/>
      <c r="L11" s="826"/>
      <c r="M11" s="826"/>
      <c r="R11"/>
      <c r="S11"/>
      <c r="T11"/>
      <c r="U11"/>
      <c r="V11" s="1168">
        <v>8</v>
      </c>
      <c r="W11" s="1215"/>
      <c r="X11" s="1216"/>
      <c r="Y11" s="1208" t="s">
        <v>1122</v>
      </c>
      <c r="Z11" s="1208"/>
      <c r="AA11" s="1208" t="s">
        <v>1396</v>
      </c>
      <c r="AB11" s="1214" t="s">
        <v>1396</v>
      </c>
      <c r="AC11" s="1172"/>
      <c r="AD11" s="1216"/>
      <c r="AE11" s="1208" t="s">
        <v>1122</v>
      </c>
      <c r="AF11" s="1208"/>
      <c r="AG11" s="1208" t="s">
        <v>1396</v>
      </c>
      <c r="AH11" s="1214" t="s">
        <v>1396</v>
      </c>
    </row>
    <row r="12" spans="1:34" ht="14.4">
      <c r="A12" s="233">
        <v>1</v>
      </c>
      <c r="B12" s="965" t="s">
        <v>21</v>
      </c>
      <c r="C12" s="231">
        <f>'SEF-4E p 1'!I48</f>
        <v>5428588080.5290194</v>
      </c>
      <c r="D12" s="233">
        <v>1</v>
      </c>
      <c r="E12" s="965" t="s">
        <v>20</v>
      </c>
      <c r="F12" s="258">
        <v>0.51500000000000001</v>
      </c>
      <c r="G12" s="258">
        <v>5.5728155339805824E-2</v>
      </c>
      <c r="H12" s="258">
        <f>ROUND(F12*G12,4)</f>
        <v>2.87E-2</v>
      </c>
      <c r="I12" s="233">
        <v>1</v>
      </c>
      <c r="J12" s="247" t="s">
        <v>19</v>
      </c>
      <c r="K12" s="965"/>
      <c r="L12" s="965"/>
      <c r="M12" s="771">
        <f>'SEF-6E'!AY15</f>
        <v>8.4790000000000004E-3</v>
      </c>
      <c r="N12" s="233">
        <v>1</v>
      </c>
      <c r="O12" s="965" t="s">
        <v>1489</v>
      </c>
      <c r="P12" s="231">
        <v>118407430</v>
      </c>
      <c r="Q12" s="233">
        <v>1</v>
      </c>
      <c r="R12" s="826" t="s">
        <v>1397</v>
      </c>
      <c r="S12" s="231">
        <f>'SEF-11'!G36</f>
        <v>705507351.22625172</v>
      </c>
      <c r="T12" s="231">
        <f>AH37</f>
        <v>670031043.74581277</v>
      </c>
      <c r="V12" s="1168">
        <v>9</v>
      </c>
      <c r="W12" s="1217"/>
      <c r="X12" s="1216"/>
      <c r="Y12" s="1208" t="s">
        <v>1120</v>
      </c>
      <c r="Z12" s="1218" t="s">
        <v>1398</v>
      </c>
      <c r="AA12" s="1218" t="s">
        <v>1119</v>
      </c>
      <c r="AB12" s="1219" t="s">
        <v>1399</v>
      </c>
      <c r="AC12" s="1220"/>
      <c r="AD12" s="1216"/>
      <c r="AE12" s="1208" t="s">
        <v>1120</v>
      </c>
      <c r="AF12" s="1218" t="s">
        <v>1398</v>
      </c>
      <c r="AG12" s="1218" t="s">
        <v>1119</v>
      </c>
      <c r="AH12" s="1219" t="s">
        <v>1399</v>
      </c>
    </row>
    <row r="13" spans="1:34" ht="14.4">
      <c r="A13" s="233">
        <f t="shared" ref="A13:A40" si="0">A12+1</f>
        <v>2</v>
      </c>
      <c r="B13" s="247" t="s">
        <v>18</v>
      </c>
      <c r="C13" s="258">
        <f>H14</f>
        <v>7.6200000000000004E-2</v>
      </c>
      <c r="D13" s="233">
        <f t="shared" ref="D13:D18" si="1">D12+1</f>
        <v>2</v>
      </c>
      <c r="E13" s="965" t="s">
        <v>11</v>
      </c>
      <c r="F13" s="258">
        <v>0.48499999999999999</v>
      </c>
      <c r="G13" s="258">
        <v>9.8000000000000004E-2</v>
      </c>
      <c r="H13" s="258">
        <f>ROUND(F13*G13,4)</f>
        <v>4.7500000000000001E-2</v>
      </c>
      <c r="I13" s="233">
        <f t="shared" ref="I13:I20" si="2">I12+1</f>
        <v>2</v>
      </c>
      <c r="J13" s="247" t="s">
        <v>17</v>
      </c>
      <c r="K13" s="965"/>
      <c r="L13" s="965"/>
      <c r="M13" s="771">
        <v>2E-3</v>
      </c>
      <c r="N13" s="233">
        <f>N12+1</f>
        <v>2</v>
      </c>
      <c r="O13" s="965" t="s">
        <v>1488</v>
      </c>
      <c r="P13" s="234">
        <f>C26</f>
        <v>-3117000</v>
      </c>
      <c r="Q13" s="233">
        <f>Q12+1</f>
        <v>2</v>
      </c>
      <c r="R13" s="826" t="s">
        <v>1088</v>
      </c>
      <c r="S13" s="1156">
        <f>'SEF-11'!G37</f>
        <v>0.95111500000000004</v>
      </c>
      <c r="T13" s="1156">
        <f>AH38</f>
        <v>0.95238599999999995</v>
      </c>
      <c r="V13" s="1168" t="s">
        <v>1117</v>
      </c>
      <c r="W13" s="1192"/>
      <c r="X13" s="1221" t="s">
        <v>1116</v>
      </c>
      <c r="Y13" s="1208" t="s">
        <v>1115</v>
      </c>
      <c r="Z13" s="1208" t="s">
        <v>1114</v>
      </c>
      <c r="AA13" s="1218" t="s">
        <v>1113</v>
      </c>
      <c r="AB13" s="1219" t="s">
        <v>1112</v>
      </c>
      <c r="AC13" s="1220"/>
      <c r="AD13" s="1221" t="s">
        <v>1116</v>
      </c>
      <c r="AE13" s="1208" t="s">
        <v>1115</v>
      </c>
      <c r="AF13" s="1208" t="s">
        <v>1114</v>
      </c>
      <c r="AG13" s="1218" t="s">
        <v>1113</v>
      </c>
      <c r="AH13" s="1219" t="s">
        <v>1112</v>
      </c>
    </row>
    <row r="14" spans="1:34" ht="14.4">
      <c r="A14" s="233">
        <f t="shared" si="0"/>
        <v>3</v>
      </c>
      <c r="B14" s="247"/>
      <c r="C14" s="1157"/>
      <c r="D14" s="233">
        <f t="shared" si="1"/>
        <v>3</v>
      </c>
      <c r="E14" s="965" t="s">
        <v>16</v>
      </c>
      <c r="F14" s="1158">
        <f>SUM(F12:F13)</f>
        <v>1</v>
      </c>
      <c r="G14" s="1157"/>
      <c r="H14" s="1159">
        <f>SUM(H12:H13)</f>
        <v>7.6200000000000004E-2</v>
      </c>
      <c r="I14" s="233">
        <f t="shared" si="2"/>
        <v>3</v>
      </c>
      <c r="J14" s="247" t="str">
        <f>"STATE UTILITY TAX ( "&amp;M14*100&amp;"% - ( LINE 1 * "&amp;M14*100&amp;"% )  )"</f>
        <v>STATE UTILITY TAX ( 3.8406% - ( LINE 1 * 3.8406% )  )</v>
      </c>
      <c r="K14" s="826"/>
      <c r="L14" s="256">
        <v>3.8733999999999998E-2</v>
      </c>
      <c r="M14" s="1160">
        <f>ROUND(L14-(L14*M12),6)</f>
        <v>3.8406000000000003E-2</v>
      </c>
      <c r="N14" s="233">
        <f t="shared" ref="N14:N17" si="3">N13+1</f>
        <v>3</v>
      </c>
      <c r="O14" s="965" t="s">
        <v>1400</v>
      </c>
      <c r="P14" s="234">
        <f>U18</f>
        <v>30596913.694002554</v>
      </c>
      <c r="Q14" s="233">
        <f t="shared" ref="Q14:Q18" si="4">Q13+1</f>
        <v>3</v>
      </c>
      <c r="R14" s="826" t="s">
        <v>1401</v>
      </c>
      <c r="S14" s="1161">
        <f>S12/S13</f>
        <v>741768714.85178101</v>
      </c>
      <c r="T14" s="1161">
        <f>T12/T13</f>
        <v>703528867.23010707</v>
      </c>
      <c r="V14" s="1168">
        <v>10</v>
      </c>
      <c r="W14" s="1192" t="s">
        <v>1111</v>
      </c>
      <c r="X14" s="1193">
        <f>X6*$AD$10/0.65</f>
        <v>20061040.853840046</v>
      </c>
      <c r="Y14" s="1222">
        <f t="shared" ref="Y14:Y35" si="5">+X14/$X$40</f>
        <v>0.96804716672893398</v>
      </c>
      <c r="Z14" s="1223" t="s">
        <v>1090</v>
      </c>
      <c r="AA14" s="1224">
        <f>+X14</f>
        <v>20061040.853840046</v>
      </c>
      <c r="AB14" s="1225">
        <v>0</v>
      </c>
      <c r="AC14" s="1226"/>
      <c r="AD14" s="1193">
        <f>AD6*$AD$10/0.65</f>
        <v>20061040.853840046</v>
      </c>
      <c r="AE14" s="1222">
        <f t="shared" ref="AE14:AE35" si="6">+AD14/$AD$40</f>
        <v>0.98905888701150779</v>
      </c>
      <c r="AF14" s="1223" t="s">
        <v>1090</v>
      </c>
      <c r="AG14" s="1224">
        <f>+AD14</f>
        <v>20061040.853840046</v>
      </c>
      <c r="AH14" s="1225">
        <v>0</v>
      </c>
    </row>
    <row r="15" spans="1:34" ht="14.4">
      <c r="A15" s="233">
        <f t="shared" si="0"/>
        <v>4</v>
      </c>
      <c r="B15" s="965" t="s">
        <v>15</v>
      </c>
      <c r="C15" s="239">
        <f>+C13*C12</f>
        <v>413658411.73631132</v>
      </c>
      <c r="D15" s="233">
        <f t="shared" si="1"/>
        <v>4</v>
      </c>
      <c r="E15" s="965"/>
      <c r="F15" s="826"/>
      <c r="G15" s="826"/>
      <c r="H15" s="826"/>
      <c r="I15" s="233">
        <f t="shared" si="2"/>
        <v>4</v>
      </c>
      <c r="J15" s="247"/>
      <c r="K15" s="965"/>
      <c r="L15" s="965"/>
      <c r="M15" s="255"/>
      <c r="N15" s="233">
        <f t="shared" si="3"/>
        <v>4</v>
      </c>
      <c r="P15" s="1123"/>
      <c r="Q15" s="233">
        <f t="shared" si="4"/>
        <v>4</v>
      </c>
      <c r="R15" s="826" t="s">
        <v>1403</v>
      </c>
      <c r="S15" s="521">
        <f>'SEF-11'!C39</f>
        <v>20503307.194246825</v>
      </c>
      <c r="T15" s="521">
        <f>AD40</f>
        <v>20282959</v>
      </c>
      <c r="V15" s="1168" t="s">
        <v>1110</v>
      </c>
      <c r="W15" s="1192" t="s">
        <v>1109</v>
      </c>
      <c r="X15" s="1198">
        <v>4769481.1386719989</v>
      </c>
      <c r="Y15" s="1222">
        <f t="shared" si="5"/>
        <v>0.23015170233177235</v>
      </c>
      <c r="Z15" s="1223" t="s">
        <v>1093</v>
      </c>
      <c r="AA15" s="1199"/>
      <c r="AB15" s="1227">
        <f>+X15</f>
        <v>4769481.1386719989</v>
      </c>
      <c r="AC15" s="1226"/>
      <c r="AD15" s="1198">
        <f>+X15/$AB$9*$AH$9</f>
        <v>4770580.0590929296</v>
      </c>
      <c r="AE15" s="1222">
        <f t="shared" si="6"/>
        <v>0.23520138551248512</v>
      </c>
      <c r="AF15" s="1223" t="s">
        <v>1093</v>
      </c>
      <c r="AG15" s="1199"/>
      <c r="AH15" s="1227">
        <f>+AD15</f>
        <v>4770580.0590929296</v>
      </c>
    </row>
    <row r="16" spans="1:34" ht="15" thickBot="1">
      <c r="A16" s="233">
        <f t="shared" si="0"/>
        <v>5</v>
      </c>
      <c r="B16" s="965"/>
      <c r="C16" s="250"/>
      <c r="D16" s="233">
        <f t="shared" si="1"/>
        <v>5</v>
      </c>
      <c r="E16" s="965" t="s">
        <v>14</v>
      </c>
      <c r="F16" s="254">
        <f>+F12</f>
        <v>0.51500000000000001</v>
      </c>
      <c r="G16" s="254">
        <f>G12*0.79</f>
        <v>4.40252427184466E-2</v>
      </c>
      <c r="H16" s="254">
        <f>ROUND(H12*0.79,4)</f>
        <v>2.2700000000000001E-2</v>
      </c>
      <c r="I16" s="233">
        <f t="shared" si="2"/>
        <v>5</v>
      </c>
      <c r="J16" s="247" t="s">
        <v>13</v>
      </c>
      <c r="K16" s="965"/>
      <c r="L16" s="965"/>
      <c r="M16" s="771">
        <f>ROUND(SUM(M12:M14),6)</f>
        <v>4.8884999999999998E-2</v>
      </c>
      <c r="N16" s="233">
        <f t="shared" si="3"/>
        <v>5</v>
      </c>
      <c r="O16" s="826" t="s">
        <v>1402</v>
      </c>
      <c r="P16" s="235">
        <f>SUM(P12:P15)</f>
        <v>145887343.69400257</v>
      </c>
      <c r="Q16" s="233">
        <f t="shared" si="4"/>
        <v>5</v>
      </c>
      <c r="R16" s="826" t="s">
        <v>1404</v>
      </c>
      <c r="S16" s="1162">
        <f>S14/S15</f>
        <v>36.178003276462611</v>
      </c>
      <c r="T16" s="1162">
        <f>T14/T15</f>
        <v>34.685711647403473</v>
      </c>
      <c r="U16" s="380">
        <f>S16-T16</f>
        <v>1.4922916290591388</v>
      </c>
      <c r="V16" s="1168">
        <v>11</v>
      </c>
      <c r="W16" s="1169" t="s">
        <v>1108</v>
      </c>
      <c r="X16" s="1228">
        <f>X7*$AD$10/0.65</f>
        <v>8639812.8734491207</v>
      </c>
      <c r="Y16" s="1222">
        <f t="shared" si="5"/>
        <v>0.41691487665803839</v>
      </c>
      <c r="Z16" s="1223" t="s">
        <v>1090</v>
      </c>
      <c r="AA16" s="1229">
        <f>+X16</f>
        <v>8639812.8734491207</v>
      </c>
      <c r="AB16" s="1200"/>
      <c r="AC16" s="1226"/>
      <c r="AD16" s="1230">
        <f>AD7*$AD$10/0.65</f>
        <v>8639812.8734491207</v>
      </c>
      <c r="AE16" s="1222">
        <f t="shared" si="6"/>
        <v>0.42596412453671678</v>
      </c>
      <c r="AF16" s="1223" t="s">
        <v>1090</v>
      </c>
      <c r="AG16" s="1229">
        <f>+AD16</f>
        <v>8639812.8734491207</v>
      </c>
      <c r="AH16" s="1200"/>
    </row>
    <row r="17" spans="1:34" ht="15" thickTop="1">
      <c r="A17" s="233">
        <f t="shared" si="0"/>
        <v>6</v>
      </c>
      <c r="B17" s="247" t="s">
        <v>12</v>
      </c>
      <c r="C17" s="239">
        <f>'SEF-4E p 1'!G46</f>
        <v>335137119.89627838</v>
      </c>
      <c r="D17" s="233">
        <f t="shared" si="1"/>
        <v>6</v>
      </c>
      <c r="E17" s="965" t="s">
        <v>11</v>
      </c>
      <c r="F17" s="254">
        <f>+F13</f>
        <v>0.48499999999999999</v>
      </c>
      <c r="G17" s="254">
        <f>+G13</f>
        <v>9.8000000000000004E-2</v>
      </c>
      <c r="H17" s="254">
        <f>ROUND(F17*G17,4)</f>
        <v>4.7500000000000001E-2</v>
      </c>
      <c r="I17" s="233">
        <f t="shared" si="2"/>
        <v>6</v>
      </c>
      <c r="J17" s="965"/>
      <c r="K17" s="965"/>
      <c r="L17" s="965"/>
      <c r="M17" s="771"/>
      <c r="N17" s="233">
        <f t="shared" si="3"/>
        <v>6</v>
      </c>
      <c r="Q17" s="233">
        <f t="shared" si="4"/>
        <v>6</v>
      </c>
      <c r="R17" s="826" t="s">
        <v>1405</v>
      </c>
      <c r="U17" s="234">
        <f>S15</f>
        <v>20503307.194246825</v>
      </c>
      <c r="V17" s="1168">
        <v>12</v>
      </c>
      <c r="W17" s="1169" t="s">
        <v>1107</v>
      </c>
      <c r="X17" s="1198">
        <f>X8*$AD$10/0.65</f>
        <v>197653573.07511958</v>
      </c>
      <c r="Y17" s="1222">
        <f t="shared" si="5"/>
        <v>9.5377893302377821</v>
      </c>
      <c r="Z17" s="1223" t="s">
        <v>1090</v>
      </c>
      <c r="AA17" s="1229">
        <f>+X17</f>
        <v>197653573.07511958</v>
      </c>
      <c r="AB17" s="1200"/>
      <c r="AC17" s="1226"/>
      <c r="AD17" s="1198">
        <f>AD8*$AD$10/0.65</f>
        <v>197653573.07511958</v>
      </c>
      <c r="AE17" s="1222">
        <f t="shared" si="6"/>
        <v>9.7448095751275527</v>
      </c>
      <c r="AF17" s="1223" t="s">
        <v>1090</v>
      </c>
      <c r="AG17" s="1229">
        <f>+AD17</f>
        <v>197653573.07511958</v>
      </c>
      <c r="AH17" s="1200"/>
    </row>
    <row r="18" spans="1:34" ht="15" thickBot="1">
      <c r="A18" s="233">
        <f t="shared" si="0"/>
        <v>7</v>
      </c>
      <c r="B18" s="247" t="s">
        <v>10</v>
      </c>
      <c r="C18" s="1163">
        <f>+C15-C17</f>
        <v>78521291.840032935</v>
      </c>
      <c r="D18" s="233">
        <f t="shared" si="1"/>
        <v>7</v>
      </c>
      <c r="E18" s="965" t="s">
        <v>9</v>
      </c>
      <c r="F18" s="1164">
        <f>SUM(F16:F17)</f>
        <v>1</v>
      </c>
      <c r="G18" s="1123"/>
      <c r="H18" s="1165">
        <f>SUM(H16:H17)</f>
        <v>7.0199999999999999E-2</v>
      </c>
      <c r="I18" s="233">
        <f t="shared" si="2"/>
        <v>7</v>
      </c>
      <c r="J18" s="965" t="str">
        <f>"CONVERSION FACTOR EXCLUDING FEDERAL INCOME TAX ( 1 - LINE "&amp;$I$17&amp;" )"</f>
        <v>CONVERSION FACTOR EXCLUDING FEDERAL INCOME TAX ( 1 - LINE 6 )</v>
      </c>
      <c r="K18" s="965"/>
      <c r="L18" s="965"/>
      <c r="M18" s="771">
        <f>ROUND(1-M16,6)</f>
        <v>0.95111500000000004</v>
      </c>
      <c r="N18" s="241"/>
      <c r="Q18" s="233">
        <f t="shared" si="4"/>
        <v>7</v>
      </c>
      <c r="R18" s="826" t="s">
        <v>1406</v>
      </c>
      <c r="U18" s="357">
        <f>U16*U17</f>
        <v>30596913.694002554</v>
      </c>
      <c r="V18" s="1168">
        <v>13</v>
      </c>
      <c r="W18" s="1169" t="s">
        <v>1407</v>
      </c>
      <c r="X18" s="1198">
        <v>69962949.456452519</v>
      </c>
      <c r="Y18" s="1222">
        <f t="shared" si="5"/>
        <v>3.3760678466668006</v>
      </c>
      <c r="Z18" s="1223" t="s">
        <v>1093</v>
      </c>
      <c r="AA18" s="1199"/>
      <c r="AB18" s="1227">
        <f>+X18</f>
        <v>69962949.456452519</v>
      </c>
      <c r="AC18" s="1226"/>
      <c r="AD18" s="1198">
        <v>69979069.388921246</v>
      </c>
      <c r="AE18" s="1222">
        <f t="shared" si="6"/>
        <v>3.4501410464282478</v>
      </c>
      <c r="AF18" s="1223" t="s">
        <v>1093</v>
      </c>
      <c r="AG18" s="1199"/>
      <c r="AH18" s="1227">
        <f>+AD18</f>
        <v>69979069.388921246</v>
      </c>
    </row>
    <row r="19" spans="1:34" ht="15" thickTop="1">
      <c r="A19" s="233">
        <f t="shared" si="0"/>
        <v>8</v>
      </c>
      <c r="B19" s="965"/>
      <c r="C19" s="250"/>
      <c r="D19" s="233"/>
      <c r="E19" s="826"/>
      <c r="F19" s="826"/>
      <c r="G19" s="826"/>
      <c r="H19" s="826"/>
      <c r="I19" s="233">
        <f t="shared" si="2"/>
        <v>8</v>
      </c>
      <c r="J19" s="247" t="str">
        <f>"FEDERAL INCOME TAX ( LINE "&amp;I18&amp;"  * "&amp;FIT_E*100&amp;"% )"</f>
        <v>FEDERAL INCOME TAX ( LINE 7  * 21% )</v>
      </c>
      <c r="K19" s="965"/>
      <c r="L19" s="249">
        <f>+FIT_E</f>
        <v>0.21</v>
      </c>
      <c r="M19" s="771">
        <f>ROUND((M18)*FIT_E,6)</f>
        <v>0.19973399999999999</v>
      </c>
      <c r="N19" s="241"/>
      <c r="Q19"/>
      <c r="R19"/>
      <c r="S19"/>
      <c r="T19"/>
      <c r="V19" s="1168">
        <v>14</v>
      </c>
      <c r="W19" s="1169" t="s">
        <v>1408</v>
      </c>
      <c r="X19" s="1198">
        <v>378349379.60972166</v>
      </c>
      <c r="Y19" s="1222">
        <f t="shared" si="5"/>
        <v>18.257280249480782</v>
      </c>
      <c r="Z19" s="1223" t="s">
        <v>1093</v>
      </c>
      <c r="AA19" s="1199"/>
      <c r="AB19" s="1227">
        <f>+X19</f>
        <v>378349379.60972166</v>
      </c>
      <c r="AC19" s="1226"/>
      <c r="AD19" s="1198">
        <v>370094613.96061605</v>
      </c>
      <c r="AE19" s="1222">
        <f t="shared" si="6"/>
        <v>18.246579010518932</v>
      </c>
      <c r="AF19" s="1223" t="s">
        <v>1093</v>
      </c>
      <c r="AG19" s="1199"/>
      <c r="AH19" s="1227">
        <f>+AD19</f>
        <v>370094613.96061605</v>
      </c>
    </row>
    <row r="20" spans="1:34" ht="15" thickBot="1">
      <c r="A20" s="233">
        <f t="shared" si="0"/>
        <v>9</v>
      </c>
      <c r="B20" s="965" t="s">
        <v>8</v>
      </c>
      <c r="C20" s="1166">
        <f>+M20</f>
        <v>0.75138099999999997</v>
      </c>
      <c r="D20" s="233"/>
      <c r="E20" s="826"/>
      <c r="F20" s="826"/>
      <c r="G20" s="826"/>
      <c r="H20" s="826"/>
      <c r="I20" s="233">
        <f t="shared" si="2"/>
        <v>9</v>
      </c>
      <c r="J20" s="247" t="str">
        <f>"CONVERSION FACTOR INCL FEDERAL INCOME TAX ( LINE "&amp;I18&amp;" - LINE "&amp;I19&amp;" ) "</f>
        <v xml:space="preserve">CONVERSION FACTOR INCL FEDERAL INCOME TAX ( LINE 7 - LINE 8 ) </v>
      </c>
      <c r="K20" s="965"/>
      <c r="L20" s="965"/>
      <c r="M20" s="246">
        <f>ROUND(1-M19-M16,6)</f>
        <v>0.75138099999999997</v>
      </c>
      <c r="N20" s="241"/>
      <c r="V20" s="1168">
        <v>15</v>
      </c>
      <c r="W20" s="1169" t="s">
        <v>1106</v>
      </c>
      <c r="X20" s="1198">
        <v>7238267.1874165451</v>
      </c>
      <c r="Y20" s="1222">
        <f t="shared" si="5"/>
        <v>0.34928317497864692</v>
      </c>
      <c r="Z20" s="1223" t="s">
        <v>1090</v>
      </c>
      <c r="AA20" s="1229">
        <f>+X20</f>
        <v>7238267.1874165451</v>
      </c>
      <c r="AB20" s="1200"/>
      <c r="AC20" s="1226"/>
      <c r="AD20" s="1198">
        <f>+X20</f>
        <v>7238267.1874165451</v>
      </c>
      <c r="AE20" s="1222">
        <f t="shared" si="6"/>
        <v>0.35686445885023704</v>
      </c>
      <c r="AF20" s="1223" t="s">
        <v>1090</v>
      </c>
      <c r="AG20" s="1229">
        <f>+AD20</f>
        <v>7238267.1874165451</v>
      </c>
      <c r="AH20" s="1200"/>
    </row>
    <row r="21" spans="1:34" ht="15" thickTop="1">
      <c r="A21" s="233">
        <f t="shared" si="0"/>
        <v>10</v>
      </c>
      <c r="B21" s="826" t="s">
        <v>1481</v>
      </c>
      <c r="C21" s="244">
        <f>ROUND(+C18/C20,0)</f>
        <v>104502632</v>
      </c>
      <c r="D21" s="233"/>
      <c r="E21" s="826"/>
      <c r="F21" s="826"/>
      <c r="G21" s="826"/>
      <c r="H21" s="826"/>
      <c r="I21" s="233"/>
      <c r="J21" s="826"/>
      <c r="K21" s="241"/>
      <c r="L21" s="241"/>
      <c r="M21" s="241"/>
      <c r="N21" s="241"/>
      <c r="V21" s="1168" t="s">
        <v>1105</v>
      </c>
      <c r="W21" s="1231" t="s">
        <v>1409</v>
      </c>
      <c r="X21" s="1198">
        <v>8206061.1260157973</v>
      </c>
      <c r="Y21" s="1222">
        <f t="shared" si="5"/>
        <v>0.39598415061915598</v>
      </c>
      <c r="Z21" s="1223" t="s">
        <v>1090</v>
      </c>
      <c r="AA21" s="1229">
        <f>+X21</f>
        <v>8206061.1260157973</v>
      </c>
      <c r="AB21" s="1200"/>
      <c r="AC21" s="1226"/>
      <c r="AD21" s="1198">
        <f>+X21</f>
        <v>8206061.1260157973</v>
      </c>
      <c r="AE21" s="1222">
        <f t="shared" si="6"/>
        <v>0.40457909154259974</v>
      </c>
      <c r="AF21" s="1223" t="s">
        <v>1090</v>
      </c>
      <c r="AG21" s="1229">
        <f>+AD21</f>
        <v>8206061.1260157973</v>
      </c>
      <c r="AH21" s="1200"/>
    </row>
    <row r="22" spans="1:34" ht="14.4">
      <c r="A22" s="233">
        <f t="shared" si="0"/>
        <v>11</v>
      </c>
      <c r="B22" s="826" t="s">
        <v>7</v>
      </c>
      <c r="C22" s="1123"/>
      <c r="D22" s="233"/>
      <c r="E22" s="826"/>
      <c r="F22" s="826"/>
      <c r="G22" s="826"/>
      <c r="H22" s="826"/>
      <c r="I22" s="233"/>
      <c r="J22" s="826"/>
      <c r="K22" s="241"/>
      <c r="L22" s="243"/>
      <c r="M22" s="242"/>
      <c r="N22" s="241"/>
      <c r="V22" s="1168" t="s">
        <v>1103</v>
      </c>
      <c r="W22" s="1231" t="s">
        <v>1085</v>
      </c>
      <c r="X22" s="1198">
        <v>2763777.09</v>
      </c>
      <c r="Y22" s="1222">
        <f t="shared" si="5"/>
        <v>0.13336628946312651</v>
      </c>
      <c r="Z22" s="1223" t="s">
        <v>1090</v>
      </c>
      <c r="AA22" s="1229">
        <f>+X22</f>
        <v>2763777.09</v>
      </c>
      <c r="AB22" s="1200"/>
      <c r="AC22" s="1226"/>
      <c r="AD22" s="1198">
        <f>+X22</f>
        <v>2763777.09</v>
      </c>
      <c r="AE22" s="1222">
        <f t="shared" si="6"/>
        <v>0.13626104011747003</v>
      </c>
      <c r="AF22" s="1223" t="s">
        <v>1090</v>
      </c>
      <c r="AG22" s="1229">
        <f>+AD22</f>
        <v>2763777.09</v>
      </c>
      <c r="AH22" s="1200"/>
    </row>
    <row r="23" spans="1:34" ht="14.4">
      <c r="A23" s="233">
        <f t="shared" si="0"/>
        <v>12</v>
      </c>
      <c r="B23" s="240" t="s">
        <v>6</v>
      </c>
      <c r="C23" s="239">
        <v>-3117000</v>
      </c>
      <c r="D23" s="233"/>
      <c r="E23" s="826"/>
      <c r="F23" s="826"/>
      <c r="G23" s="826"/>
      <c r="H23" s="826"/>
      <c r="I23" s="826"/>
      <c r="J23" s="826"/>
      <c r="K23" s="826"/>
      <c r="L23" s="826"/>
      <c r="M23" s="826"/>
      <c r="N23" s="241"/>
      <c r="V23" s="1168" t="s">
        <v>1102</v>
      </c>
      <c r="W23" s="1231" t="s">
        <v>1082</v>
      </c>
      <c r="X23" s="1198">
        <v>1262663.2680056884</v>
      </c>
      <c r="Y23" s="1222">
        <f t="shared" si="5"/>
        <v>6.092991924153475E-2</v>
      </c>
      <c r="Z23" s="1223" t="s">
        <v>1093</v>
      </c>
      <c r="AA23" s="1199"/>
      <c r="AB23" s="1227">
        <f>+X23</f>
        <v>1262663.2680056884</v>
      </c>
      <c r="AC23" s="1226"/>
      <c r="AD23" s="1198">
        <f>+X23/$AB$9*$AH$9</f>
        <v>1262954.1940854082</v>
      </c>
      <c r="AE23" s="1222">
        <f t="shared" si="6"/>
        <v>6.2266762659501915E-2</v>
      </c>
      <c r="AF23" s="1223" t="s">
        <v>1093</v>
      </c>
      <c r="AG23" s="1199"/>
      <c r="AH23" s="1227">
        <f>+AD23</f>
        <v>1262954.1940854082</v>
      </c>
    </row>
    <row r="24" spans="1:34" ht="14.4">
      <c r="A24" s="233">
        <f t="shared" si="0"/>
        <v>13</v>
      </c>
      <c r="B24" s="240" t="s">
        <v>5</v>
      </c>
      <c r="C24" s="239">
        <v>-25799000</v>
      </c>
      <c r="D24" s="233"/>
      <c r="E24"/>
      <c r="F24"/>
      <c r="G24"/>
      <c r="H24"/>
      <c r="I24" s="826"/>
      <c r="J24" s="826"/>
      <c r="K24" s="826"/>
      <c r="L24" s="826"/>
      <c r="M24" s="826"/>
      <c r="V24" s="1168" t="s">
        <v>1101</v>
      </c>
      <c r="W24" s="1231" t="s">
        <v>1100</v>
      </c>
      <c r="X24" s="1198">
        <v>2119540.3036357597</v>
      </c>
      <c r="Y24" s="1222">
        <f t="shared" si="5"/>
        <v>0.1022785906599471</v>
      </c>
      <c r="Z24" s="1223" t="s">
        <v>1090</v>
      </c>
      <c r="AA24" s="1229">
        <f>+X24</f>
        <v>2119540.3036357597</v>
      </c>
      <c r="AB24" s="1200"/>
      <c r="AC24" s="1226"/>
      <c r="AD24" s="1198">
        <f>+X24</f>
        <v>2119540.3036357597</v>
      </c>
      <c r="AE24" s="1222">
        <f t="shared" si="6"/>
        <v>0.10449857457364874</v>
      </c>
      <c r="AF24" s="1223" t="s">
        <v>1090</v>
      </c>
      <c r="AG24" s="1229">
        <f>+AD24</f>
        <v>2119540.3036357597</v>
      </c>
      <c r="AH24" s="1200"/>
    </row>
    <row r="25" spans="1:34" ht="14.4">
      <c r="A25" s="233">
        <f t="shared" si="0"/>
        <v>14</v>
      </c>
      <c r="B25" s="240" t="s">
        <v>4</v>
      </c>
      <c r="C25" s="239">
        <v>25799000</v>
      </c>
      <c r="D25" s="826"/>
      <c r="E25"/>
      <c r="F25"/>
      <c r="G25"/>
      <c r="H25"/>
      <c r="I25" s="826"/>
      <c r="J25" s="826"/>
      <c r="K25" s="826"/>
      <c r="L25" s="826"/>
      <c r="M25" s="826"/>
      <c r="V25" s="1168" t="s">
        <v>1099</v>
      </c>
      <c r="W25" s="1231" t="s">
        <v>1410</v>
      </c>
      <c r="X25" s="1198">
        <v>313332.07420681993</v>
      </c>
      <c r="Y25" s="1222">
        <f t="shared" si="5"/>
        <v>1.5119864861007507E-2</v>
      </c>
      <c r="Z25" s="1223" t="s">
        <v>1093</v>
      </c>
      <c r="AA25" s="1199"/>
      <c r="AB25" s="1227">
        <f>+X25</f>
        <v>313332.07420681993</v>
      </c>
      <c r="AC25" s="1226"/>
      <c r="AD25" s="1198">
        <f>+X25/$AB$9*$AH$9</f>
        <v>313404.2680167685</v>
      </c>
      <c r="AE25" s="1222">
        <f t="shared" si="6"/>
        <v>1.5451604867749744E-2</v>
      </c>
      <c r="AF25" s="1223" t="s">
        <v>1093</v>
      </c>
      <c r="AG25" s="1199"/>
      <c r="AH25" s="1227">
        <f>+AD25</f>
        <v>313404.2680167685</v>
      </c>
    </row>
    <row r="26" spans="1:34" ht="14.4">
      <c r="A26" s="233">
        <f t="shared" si="0"/>
        <v>15</v>
      </c>
      <c r="B26" s="826" t="s">
        <v>3</v>
      </c>
      <c r="C26" s="1167">
        <f>SUM(C23:C25)</f>
        <v>-3117000</v>
      </c>
      <c r="D26" s="826"/>
      <c r="E26"/>
      <c r="F26"/>
      <c r="G26"/>
      <c r="H26"/>
      <c r="I26" s="826"/>
      <c r="J26" s="826"/>
      <c r="K26" s="826"/>
      <c r="L26" s="826"/>
      <c r="M26" s="826"/>
      <c r="V26" s="1168">
        <v>16</v>
      </c>
      <c r="W26" s="1169" t="s">
        <v>1411</v>
      </c>
      <c r="X26" s="1198">
        <v>171115373.90212974</v>
      </c>
      <c r="Y26" s="1222">
        <f t="shared" si="5"/>
        <v>8.2571863592018406</v>
      </c>
      <c r="Z26" s="1223" t="s">
        <v>1093</v>
      </c>
      <c r="AA26" s="1199"/>
      <c r="AB26" s="1227">
        <f>+X26</f>
        <v>171115373.90212974</v>
      </c>
      <c r="AC26" s="1226"/>
      <c r="AD26" s="1198">
        <v>171056253.11371228</v>
      </c>
      <c r="AE26" s="1222">
        <f t="shared" si="6"/>
        <v>8.433495976287892</v>
      </c>
      <c r="AF26" s="1223" t="s">
        <v>1093</v>
      </c>
      <c r="AG26" s="1199"/>
      <c r="AH26" s="1227">
        <f>+AD26</f>
        <v>171056253.11371228</v>
      </c>
    </row>
    <row r="27" spans="1:34" ht="14.4">
      <c r="A27" s="233">
        <f t="shared" si="0"/>
        <v>16</v>
      </c>
      <c r="B27" s="826"/>
      <c r="C27" s="1123"/>
      <c r="D27" s="826"/>
      <c r="E27"/>
      <c r="F27"/>
      <c r="G27"/>
      <c r="H27"/>
      <c r="I27" s="826"/>
      <c r="J27" s="826"/>
      <c r="K27" s="826"/>
      <c r="L27" s="826"/>
      <c r="M27" s="826"/>
      <c r="V27" s="1168">
        <v>17</v>
      </c>
      <c r="W27" s="1169" t="s">
        <v>1412</v>
      </c>
      <c r="X27" s="1198">
        <v>108374278.4084733</v>
      </c>
      <c r="Y27" s="1222">
        <f t="shared" si="5"/>
        <v>5.2296096660175699</v>
      </c>
      <c r="Z27" s="1223" t="s">
        <v>1093</v>
      </c>
      <c r="AA27" s="1199"/>
      <c r="AB27" s="1227">
        <f>+X27</f>
        <v>108374278.4084733</v>
      </c>
      <c r="AC27" s="1226"/>
      <c r="AD27" s="1198">
        <v>108399248.56857753</v>
      </c>
      <c r="AE27" s="1222">
        <f t="shared" si="6"/>
        <v>5.3443508202416385</v>
      </c>
      <c r="AF27" s="1223" t="s">
        <v>1093</v>
      </c>
      <c r="AG27" s="1199"/>
      <c r="AH27" s="1227">
        <f>+AD27</f>
        <v>108399248.56857753</v>
      </c>
    </row>
    <row r="28" spans="1:34" ht="14.4">
      <c r="A28" s="233">
        <f t="shared" si="0"/>
        <v>17</v>
      </c>
      <c r="B28" s="826" t="s">
        <v>2</v>
      </c>
      <c r="C28" s="234">
        <f>C21+C26</f>
        <v>101385632</v>
      </c>
      <c r="D28" s="826"/>
      <c r="E28"/>
      <c r="F28"/>
      <c r="G28"/>
      <c r="H28"/>
      <c r="I28" s="826"/>
      <c r="J28" s="826"/>
      <c r="K28" s="826"/>
      <c r="L28" s="826"/>
      <c r="M28" s="826"/>
      <c r="V28" s="1168">
        <v>18</v>
      </c>
      <c r="W28" s="1169" t="s">
        <v>1413</v>
      </c>
      <c r="X28" s="1198">
        <v>-11639833.365925668</v>
      </c>
      <c r="Y28" s="1222">
        <f t="shared" si="5"/>
        <v>-0.56168111082453498</v>
      </c>
      <c r="Z28" s="1223" t="s">
        <v>1090</v>
      </c>
      <c r="AA28" s="1229">
        <f>+X28</f>
        <v>-11639833.365925668</v>
      </c>
      <c r="AB28" s="1200"/>
      <c r="AC28" s="1226"/>
      <c r="AD28" s="1198">
        <f>+X28</f>
        <v>-11639833.365925668</v>
      </c>
      <c r="AE28" s="1222">
        <f t="shared" si="6"/>
        <v>-0.57387254817828448</v>
      </c>
      <c r="AF28" s="1223" t="s">
        <v>1090</v>
      </c>
      <c r="AG28" s="1229">
        <f>+AD28</f>
        <v>-11639833.365925668</v>
      </c>
      <c r="AH28" s="1200"/>
    </row>
    <row r="29" spans="1:34" ht="14.4">
      <c r="A29" s="233">
        <f t="shared" si="0"/>
        <v>18</v>
      </c>
      <c r="B29" s="826"/>
      <c r="C29" s="234"/>
      <c r="D29" s="826"/>
      <c r="E29"/>
      <c r="F29"/>
      <c r="G29"/>
      <c r="H29"/>
      <c r="I29" s="826"/>
      <c r="J29" s="826"/>
      <c r="K29" s="826"/>
      <c r="L29" s="826"/>
      <c r="M29" s="826"/>
      <c r="V29" s="1168">
        <v>19</v>
      </c>
      <c r="W29" s="1169" t="s">
        <v>1096</v>
      </c>
      <c r="X29" s="1198">
        <v>138209148.65181684</v>
      </c>
      <c r="Y29" s="1222">
        <f t="shared" si="5"/>
        <v>6.6692937691116345</v>
      </c>
      <c r="Z29" s="1223" t="s">
        <v>1090</v>
      </c>
      <c r="AA29" s="1229">
        <f>+X29</f>
        <v>138209148.65181684</v>
      </c>
      <c r="AB29" s="1200"/>
      <c r="AC29" s="1226"/>
      <c r="AD29" s="1198">
        <f>+X29</f>
        <v>138209148.65181684</v>
      </c>
      <c r="AE29" s="1222">
        <f t="shared" si="6"/>
        <v>6.814052557707031</v>
      </c>
      <c r="AF29" s="1223" t="s">
        <v>1090</v>
      </c>
      <c r="AG29" s="1229">
        <f>+AD29</f>
        <v>138209148.65181684</v>
      </c>
      <c r="AH29" s="1200"/>
    </row>
    <row r="30" spans="1:34" ht="14.4">
      <c r="A30" s="233">
        <f t="shared" si="0"/>
        <v>19</v>
      </c>
      <c r="B30" s="826" t="s">
        <v>1414</v>
      </c>
      <c r="C30" s="234">
        <f>C32-C28</f>
        <v>44501712</v>
      </c>
      <c r="D30" s="826"/>
      <c r="E30"/>
      <c r="F30"/>
      <c r="G30"/>
      <c r="H30"/>
      <c r="I30" s="826"/>
      <c r="J30" s="826"/>
      <c r="K30" s="826"/>
      <c r="L30" s="826"/>
      <c r="M30" s="826"/>
      <c r="V30" s="1168">
        <v>20</v>
      </c>
      <c r="W30" s="1169" t="s">
        <v>1095</v>
      </c>
      <c r="X30" s="1198">
        <v>-36228866.83523047</v>
      </c>
      <c r="Y30" s="1222">
        <f t="shared" si="5"/>
        <v>-1.7482269314521348</v>
      </c>
      <c r="Z30" s="1223" t="s">
        <v>1093</v>
      </c>
      <c r="AA30" s="1199"/>
      <c r="AB30" s="1227">
        <f>+X30</f>
        <v>-36228866.83523047</v>
      </c>
      <c r="AC30" s="1226"/>
      <c r="AD30" s="1198">
        <v>-39617468.444088995</v>
      </c>
      <c r="AE30" s="1222">
        <f t="shared" si="6"/>
        <v>-1.9532390931761483</v>
      </c>
      <c r="AF30" s="1223" t="s">
        <v>1093</v>
      </c>
      <c r="AG30" s="1199"/>
      <c r="AH30" s="1227">
        <f>+AD30</f>
        <v>-39617468.444088995</v>
      </c>
    </row>
    <row r="31" spans="1:34" ht="14.4">
      <c r="A31" s="233">
        <f t="shared" si="0"/>
        <v>20</v>
      </c>
      <c r="B31" s="826"/>
      <c r="C31" s="1132"/>
      <c r="D31" s="826"/>
      <c r="E31"/>
      <c r="F31"/>
      <c r="G31"/>
      <c r="H31"/>
      <c r="I31" s="826"/>
      <c r="J31" s="826"/>
      <c r="K31" s="826"/>
      <c r="L31" s="826"/>
      <c r="M31" s="826"/>
      <c r="V31" s="1168">
        <v>21</v>
      </c>
      <c r="W31" s="1169" t="s">
        <v>1094</v>
      </c>
      <c r="X31" s="1198">
        <v>-16223873.273980575</v>
      </c>
      <c r="Y31" s="1222">
        <f t="shared" si="5"/>
        <v>-0.78288433140994562</v>
      </c>
      <c r="Z31" s="1223" t="s">
        <v>1093</v>
      </c>
      <c r="AA31" s="1199"/>
      <c r="AB31" s="1227">
        <f>+X31</f>
        <v>-16223873.273980575</v>
      </c>
      <c r="AC31" s="1226"/>
      <c r="AD31" s="1198">
        <v>-16227611.363120463</v>
      </c>
      <c r="AE31" s="1222">
        <f t="shared" si="6"/>
        <v>-0.80006134031629517</v>
      </c>
      <c r="AF31" s="1223" t="s">
        <v>1093</v>
      </c>
      <c r="AG31" s="1199"/>
      <c r="AH31" s="1227">
        <f>+AD31</f>
        <v>-16227611.363120463</v>
      </c>
    </row>
    <row r="32" spans="1:34" ht="14.4">
      <c r="A32" s="233">
        <f t="shared" si="0"/>
        <v>21</v>
      </c>
      <c r="B32" s="826" t="s">
        <v>1415</v>
      </c>
      <c r="C32" s="234">
        <v>145887344</v>
      </c>
      <c r="D32" s="826"/>
      <c r="E32"/>
      <c r="F32"/>
      <c r="G32"/>
      <c r="H32"/>
      <c r="I32" s="826"/>
      <c r="J32" s="826"/>
      <c r="K32" s="826"/>
      <c r="L32" s="826"/>
      <c r="M32" s="826"/>
      <c r="V32" s="1168">
        <v>22</v>
      </c>
      <c r="W32" s="1169" t="s">
        <v>1079</v>
      </c>
      <c r="X32" s="1198">
        <v>662134.87</v>
      </c>
      <c r="Y32" s="1222">
        <f t="shared" si="5"/>
        <v>3.1951372292491807E-2</v>
      </c>
      <c r="Z32" s="1223" t="s">
        <v>1090</v>
      </c>
      <c r="AA32" s="1229">
        <f>+X32</f>
        <v>662134.87</v>
      </c>
      <c r="AB32" s="1200"/>
      <c r="AC32" s="1226"/>
      <c r="AD32" s="1198">
        <f>+X32</f>
        <v>662134.87</v>
      </c>
      <c r="AE32" s="1222">
        <f t="shared" si="6"/>
        <v>3.264488529508934E-2</v>
      </c>
      <c r="AF32" s="1223" t="s">
        <v>1090</v>
      </c>
      <c r="AG32" s="1229">
        <f>+AD32</f>
        <v>662134.87</v>
      </c>
      <c r="AH32" s="1200"/>
    </row>
    <row r="33" spans="1:34" ht="14.4">
      <c r="A33" s="233">
        <f t="shared" si="0"/>
        <v>22</v>
      </c>
      <c r="B33" s="826"/>
      <c r="C33" s="234"/>
      <c r="D33" s="826"/>
      <c r="E33"/>
      <c r="F33"/>
      <c r="G33"/>
      <c r="H33"/>
      <c r="I33" s="826"/>
      <c r="J33" s="826"/>
      <c r="K33" s="826"/>
      <c r="L33" s="826"/>
      <c r="M33" s="826"/>
      <c r="V33" s="1168">
        <v>23</v>
      </c>
      <c r="W33" s="1232" t="s">
        <v>1092</v>
      </c>
      <c r="X33" s="1198">
        <v>161583689.16694248</v>
      </c>
      <c r="Y33" s="1222">
        <f t="shared" si="5"/>
        <v>7.7972341329301305</v>
      </c>
      <c r="Z33" s="1223" t="s">
        <v>1090</v>
      </c>
      <c r="AA33" s="1229">
        <f>+X33</f>
        <v>161583689.16694248</v>
      </c>
      <c r="AB33" s="1200"/>
      <c r="AC33" s="1226"/>
      <c r="AD33" s="1198">
        <f>+X33</f>
        <v>161583689.16694248</v>
      </c>
      <c r="AE33" s="1222">
        <f t="shared" si="6"/>
        <v>7.9664751660220032</v>
      </c>
      <c r="AF33" s="1223" t="s">
        <v>1090</v>
      </c>
      <c r="AG33" s="1229">
        <f>+AD33</f>
        <v>161583689.16694248</v>
      </c>
      <c r="AH33" s="1200"/>
    </row>
    <row r="34" spans="1:34" ht="14.4">
      <c r="A34" s="233">
        <f t="shared" si="0"/>
        <v>23</v>
      </c>
      <c r="B34" s="826" t="s">
        <v>1416</v>
      </c>
      <c r="C34" s="234">
        <f>C36-C32</f>
        <v>-6005585.110568285</v>
      </c>
      <c r="D34" s="826"/>
      <c r="E34" s="826"/>
      <c r="F34" s="826"/>
      <c r="G34" s="826"/>
      <c r="H34" s="826"/>
      <c r="I34" s="826"/>
      <c r="J34" s="826"/>
      <c r="K34" s="826"/>
      <c r="L34" s="826"/>
      <c r="M34" s="826"/>
      <c r="V34" s="1168">
        <v>24</v>
      </c>
      <c r="W34" s="1186" t="s">
        <v>1091</v>
      </c>
      <c r="X34" s="1198">
        <v>3490805.0455442886</v>
      </c>
      <c r="Y34" s="1222">
        <f t="shared" si="5"/>
        <v>0.16844908290465715</v>
      </c>
      <c r="Z34" s="1223" t="s">
        <v>1090</v>
      </c>
      <c r="AA34" s="1229">
        <f>+X34</f>
        <v>3490805.0455442886</v>
      </c>
      <c r="AB34" s="1200"/>
      <c r="AC34" s="1226"/>
      <c r="AD34" s="1198">
        <f>+X34</f>
        <v>3490805.0455442886</v>
      </c>
      <c r="AE34" s="1222">
        <f t="shared" si="6"/>
        <v>0.17210531488745251</v>
      </c>
      <c r="AF34" s="1223" t="s">
        <v>1090</v>
      </c>
      <c r="AG34" s="1229">
        <f>+AD34</f>
        <v>3490805.0455442886</v>
      </c>
      <c r="AH34" s="1200"/>
    </row>
    <row r="35" spans="1:34" ht="14.4">
      <c r="A35" s="233">
        <f t="shared" si="0"/>
        <v>24</v>
      </c>
      <c r="B35" s="826"/>
      <c r="C35" s="1132"/>
      <c r="D35" s="826"/>
      <c r="E35" s="826"/>
      <c r="F35" s="826"/>
      <c r="G35" s="826"/>
      <c r="H35" s="826"/>
      <c r="I35" s="826"/>
      <c r="J35" s="826"/>
      <c r="K35" s="826"/>
      <c r="L35" s="826"/>
      <c r="M35" s="826"/>
      <c r="V35" s="1168">
        <f t="shared" ref="V35:V46" si="7">+V34+1</f>
        <v>25</v>
      </c>
      <c r="W35" s="1186" t="s">
        <v>1417</v>
      </c>
      <c r="X35" s="1198">
        <v>19415532.153878614</v>
      </c>
      <c r="Y35" s="1222">
        <f t="shared" si="5"/>
        <v>0.93689809163112181</v>
      </c>
      <c r="Z35" s="1223" t="s">
        <v>1090</v>
      </c>
      <c r="AA35" s="1229">
        <f>+X35</f>
        <v>19415532.153878614</v>
      </c>
      <c r="AB35" s="1200"/>
      <c r="AC35" s="1226"/>
      <c r="AD35" s="1198">
        <f>+X35</f>
        <v>19415532.153878614</v>
      </c>
      <c r="AE35" s="1222">
        <f t="shared" si="6"/>
        <v>0.95723371298431426</v>
      </c>
      <c r="AF35" s="1223" t="s">
        <v>1090</v>
      </c>
      <c r="AG35" s="1229">
        <f>+AD35</f>
        <v>19415532.153878614</v>
      </c>
      <c r="AH35" s="1200"/>
    </row>
    <row r="36" spans="1:34" ht="15" thickBot="1">
      <c r="A36" s="233">
        <f t="shared" si="0"/>
        <v>25</v>
      </c>
      <c r="B36" s="826" t="s">
        <v>1</v>
      </c>
      <c r="C36" s="235">
        <v>139881758.88943172</v>
      </c>
      <c r="D36" s="826"/>
      <c r="E36" s="826"/>
      <c r="F36" s="826"/>
      <c r="G36" s="826"/>
      <c r="H36" s="826"/>
      <c r="I36" s="826"/>
      <c r="J36" s="826"/>
      <c r="K36" s="826"/>
      <c r="L36" s="826"/>
      <c r="M36" s="826"/>
      <c r="V36" s="1168">
        <f t="shared" si="7"/>
        <v>26</v>
      </c>
      <c r="W36" s="1233" t="s">
        <v>1418</v>
      </c>
      <c r="X36" s="1234"/>
      <c r="Y36" s="1235"/>
      <c r="Z36" s="1223"/>
      <c r="AA36" s="1235"/>
      <c r="AB36" s="1236"/>
      <c r="AC36" s="1226"/>
      <c r="AD36" s="1234"/>
      <c r="AE36" s="1235"/>
      <c r="AF36" s="1223"/>
      <c r="AG36" s="1235"/>
      <c r="AH36" s="1236"/>
    </row>
    <row r="37" spans="1:34" ht="15" thickTop="1">
      <c r="A37" s="233">
        <f t="shared" si="0"/>
        <v>26</v>
      </c>
      <c r="B37" s="826"/>
      <c r="C37" s="234"/>
      <c r="D37" s="826"/>
      <c r="E37" s="826"/>
      <c r="F37" s="826"/>
      <c r="G37" s="826"/>
      <c r="H37" s="826"/>
      <c r="I37" s="826"/>
      <c r="J37" s="826"/>
      <c r="K37" s="826"/>
      <c r="L37" s="826"/>
      <c r="M37" s="826"/>
      <c r="V37" s="1168">
        <f t="shared" si="7"/>
        <v>27</v>
      </c>
      <c r="W37" s="1192" t="s">
        <v>1089</v>
      </c>
      <c r="X37" s="1237">
        <f>SUM(X14:X36)</f>
        <v>1240098266.7801845</v>
      </c>
      <c r="Y37" s="1238">
        <f>SUM(Y14:Y36)</f>
        <v>59.841043262330352</v>
      </c>
      <c r="Z37" s="1238"/>
      <c r="AA37" s="1239">
        <f>SUM(AA14:AA36)</f>
        <v>558403549.03173339</v>
      </c>
      <c r="AB37" s="1240">
        <f>SUM(AB14:AB36)</f>
        <v>681694717.74845052</v>
      </c>
      <c r="AC37" s="1220"/>
      <c r="AD37" s="1237">
        <f>SUM(AD14:AD36)</f>
        <v>1228434592.7775466</v>
      </c>
      <c r="AE37" s="1238">
        <f>SUM(AE14:AE36)</f>
        <v>60.564861013501336</v>
      </c>
      <c r="AF37" s="1238"/>
      <c r="AG37" s="1239">
        <f>SUM(AG14:AG36)</f>
        <v>558403549.03173339</v>
      </c>
      <c r="AH37" s="1240">
        <f>SUM(AH14:AH36)</f>
        <v>670031043.74581277</v>
      </c>
    </row>
    <row r="38" spans="1:34" ht="14.4">
      <c r="A38" s="233">
        <f t="shared" si="0"/>
        <v>27</v>
      </c>
      <c r="B38" s="826"/>
      <c r="C38" s="234"/>
      <c r="D38" s="826"/>
      <c r="E38" s="826"/>
      <c r="F38" s="826"/>
      <c r="G38" s="826"/>
      <c r="H38" s="826"/>
      <c r="I38" s="826"/>
      <c r="J38" s="826"/>
      <c r="K38" s="826"/>
      <c r="L38" s="826"/>
      <c r="M38" s="826"/>
      <c r="V38" s="1168">
        <f t="shared" si="7"/>
        <v>28</v>
      </c>
      <c r="W38" s="1169" t="s">
        <v>1088</v>
      </c>
      <c r="X38" s="1241">
        <v>0.95238599999999995</v>
      </c>
      <c r="Y38" s="1242">
        <f>+X38</f>
        <v>0.95238599999999995</v>
      </c>
      <c r="Z38" s="1242"/>
      <c r="AA38" s="1243">
        <f>+Y38</f>
        <v>0.95238599999999995</v>
      </c>
      <c r="AB38" s="1244">
        <f>+AA38</f>
        <v>0.95238599999999995</v>
      </c>
      <c r="AC38" s="1220"/>
      <c r="AD38" s="1241">
        <f>+X38</f>
        <v>0.95238599999999995</v>
      </c>
      <c r="AE38" s="1242">
        <f>+AD38</f>
        <v>0.95238599999999995</v>
      </c>
      <c r="AF38" s="1242"/>
      <c r="AG38" s="1243">
        <f>+AE38</f>
        <v>0.95238599999999995</v>
      </c>
      <c r="AH38" s="1244">
        <f>+AG38</f>
        <v>0.95238599999999995</v>
      </c>
    </row>
    <row r="39" spans="1:34" ht="14.4">
      <c r="A39" s="233">
        <f t="shared" si="0"/>
        <v>28</v>
      </c>
      <c r="B39" s="826"/>
      <c r="C39" s="234"/>
      <c r="D39" s="826"/>
      <c r="E39" s="826"/>
      <c r="F39" s="826"/>
      <c r="G39" s="826"/>
      <c r="H39" s="826"/>
      <c r="I39" s="826"/>
      <c r="J39" s="826"/>
      <c r="K39" s="826"/>
      <c r="L39" s="826"/>
      <c r="M39" s="826"/>
      <c r="V39" s="1168">
        <f t="shared" si="7"/>
        <v>29</v>
      </c>
      <c r="W39" s="1169" t="s">
        <v>1087</v>
      </c>
      <c r="X39" s="1237">
        <f>+X37/X38</f>
        <v>1302096279.0089149</v>
      </c>
      <c r="Y39" s="1238">
        <f>+Y37/X38</f>
        <v>62.832762411806087</v>
      </c>
      <c r="Z39" s="1238"/>
      <c r="AA39" s="1239">
        <f>+AA37/AA38</f>
        <v>586320618.98403943</v>
      </c>
      <c r="AB39" s="1240">
        <f>+AB37/AB38</f>
        <v>715775660.02487493</v>
      </c>
      <c r="AC39" s="1220"/>
      <c r="AD39" s="1237">
        <f>+AD37/AD38</f>
        <v>1289849486.2141471</v>
      </c>
      <c r="AE39" s="1238">
        <f>+AE37/AE38</f>
        <v>63.59276702251119</v>
      </c>
      <c r="AF39" s="1238"/>
      <c r="AG39" s="1239">
        <f>+AG37/AG38</f>
        <v>586320618.98403943</v>
      </c>
      <c r="AH39" s="1240">
        <f>+AH37/AH38</f>
        <v>703528867.23010707</v>
      </c>
    </row>
    <row r="40" spans="1:34" ht="14.4">
      <c r="A40" s="233">
        <f t="shared" si="0"/>
        <v>29</v>
      </c>
      <c r="B40" s="232" t="s">
        <v>0</v>
      </c>
      <c r="C40" s="231">
        <v>354912.10943168448</v>
      </c>
      <c r="D40" s="826"/>
      <c r="E40" s="826"/>
      <c r="F40" s="826"/>
      <c r="G40" s="826"/>
      <c r="H40" s="826"/>
      <c r="I40" s="826"/>
      <c r="J40" s="826"/>
      <c r="K40" s="826"/>
      <c r="L40" s="826"/>
      <c r="M40" s="826"/>
      <c r="V40" s="1168">
        <f t="shared" si="7"/>
        <v>30</v>
      </c>
      <c r="W40" s="1169" t="s">
        <v>1419</v>
      </c>
      <c r="X40" s="1228">
        <v>20723206</v>
      </c>
      <c r="Y40" s="1245" t="s">
        <v>1420</v>
      </c>
      <c r="Z40" s="1245"/>
      <c r="AA40" s="1199"/>
      <c r="AB40" s="1200"/>
      <c r="AC40" s="1220"/>
      <c r="AD40" s="1228">
        <v>20282959</v>
      </c>
      <c r="AE40" s="1245" t="s">
        <v>1420</v>
      </c>
      <c r="AF40" s="1245"/>
      <c r="AG40" s="1199"/>
      <c r="AH40" s="1200"/>
    </row>
    <row r="41" spans="1:34" ht="14.4">
      <c r="A41" s="826"/>
      <c r="B41" s="826"/>
      <c r="C41" s="826"/>
      <c r="D41" s="826"/>
      <c r="E41" s="826"/>
      <c r="F41" s="826"/>
      <c r="G41" s="826"/>
      <c r="H41" s="826"/>
      <c r="I41" s="826"/>
      <c r="J41" s="826"/>
      <c r="K41" s="826"/>
      <c r="L41" s="826"/>
      <c r="M41" s="826"/>
      <c r="V41" s="1168">
        <f t="shared" si="7"/>
        <v>31</v>
      </c>
      <c r="W41" s="1192"/>
      <c r="X41" s="1246"/>
      <c r="Y41" s="1247" t="s">
        <v>620</v>
      </c>
      <c r="Z41" s="1247"/>
      <c r="AA41" s="1247" t="s">
        <v>1394</v>
      </c>
      <c r="AB41" s="1248" t="s">
        <v>1123</v>
      </c>
      <c r="AC41" s="1220"/>
      <c r="AD41" s="1249"/>
      <c r="AE41" s="1247" t="s">
        <v>620</v>
      </c>
      <c r="AF41" s="1247"/>
      <c r="AG41" s="1247" t="s">
        <v>1394</v>
      </c>
      <c r="AH41" s="1248" t="s">
        <v>1123</v>
      </c>
    </row>
    <row r="42" spans="1:34" ht="14.4">
      <c r="A42" s="826"/>
      <c r="B42" s="826"/>
      <c r="C42" s="826"/>
      <c r="D42" s="826"/>
      <c r="E42" s="826"/>
      <c r="F42" s="826"/>
      <c r="G42" s="826"/>
      <c r="H42" s="826"/>
      <c r="I42" s="826"/>
      <c r="J42" s="826"/>
      <c r="K42" s="826"/>
      <c r="L42" s="826"/>
      <c r="M42" s="826"/>
      <c r="V42" s="1168">
        <f t="shared" si="7"/>
        <v>32</v>
      </c>
      <c r="W42" s="1169" t="s">
        <v>1421</v>
      </c>
      <c r="X42" s="1250"/>
      <c r="Y42" s="1251"/>
      <c r="Z42" s="1251"/>
      <c r="AA42" s="1251"/>
      <c r="AB42" s="1252"/>
      <c r="AC42" s="1220"/>
      <c r="AD42" s="1250"/>
      <c r="AE42" s="1251"/>
      <c r="AF42" s="1251"/>
      <c r="AG42" s="1251"/>
      <c r="AH42" s="1252"/>
    </row>
    <row r="43" spans="1:34" ht="14.4">
      <c r="A43" s="826"/>
      <c r="B43" s="826"/>
      <c r="C43" s="826"/>
      <c r="D43" s="826"/>
      <c r="E43" s="826"/>
      <c r="F43" s="826"/>
      <c r="G43" s="826"/>
      <c r="H43" s="826"/>
      <c r="I43" s="826"/>
      <c r="J43" s="826"/>
      <c r="K43" s="826"/>
      <c r="L43" s="826"/>
      <c r="M43" s="826"/>
      <c r="V43" s="1168">
        <f t="shared" si="7"/>
        <v>33</v>
      </c>
      <c r="W43" s="1169" t="s">
        <v>1422</v>
      </c>
      <c r="X43" s="1253"/>
      <c r="Y43" s="1254">
        <f>+AA43+AB43</f>
        <v>59.841043262330345</v>
      </c>
      <c r="Z43" s="1254"/>
      <c r="AA43" s="1254">
        <f>+AA37/$X$40</f>
        <v>26.94580891739113</v>
      </c>
      <c r="AB43" s="1255">
        <f>+AB37/$X$40</f>
        <v>32.895234344939219</v>
      </c>
      <c r="AC43" s="1220"/>
      <c r="AD43" s="1253"/>
      <c r="AE43" s="1254">
        <f>+AG43+AH43</f>
        <v>60.564861013501343</v>
      </c>
      <c r="AF43" s="1254"/>
      <c r="AG43" s="1254">
        <f>+AG37/$AD$40</f>
        <v>27.530674840477339</v>
      </c>
      <c r="AH43" s="1255">
        <f>+AH37/$AD$40</f>
        <v>33.034186173024004</v>
      </c>
    </row>
    <row r="44" spans="1:34" ht="15" thickBot="1">
      <c r="A44" s="826"/>
      <c r="B44" s="826"/>
      <c r="C44" s="826"/>
      <c r="D44" s="826"/>
      <c r="E44" s="826"/>
      <c r="F44" s="826"/>
      <c r="G44" s="826"/>
      <c r="H44" s="826"/>
      <c r="I44" s="826"/>
      <c r="J44" s="826"/>
      <c r="K44" s="826"/>
      <c r="L44" s="826"/>
      <c r="M44" s="826"/>
      <c r="V44" s="1168">
        <f t="shared" si="7"/>
        <v>34</v>
      </c>
      <c r="W44" s="1169" t="s">
        <v>1423</v>
      </c>
      <c r="X44" s="1256"/>
      <c r="Y44" s="1257">
        <f>+AA44+AB44</f>
        <v>62.832762411806087</v>
      </c>
      <c r="Z44" s="1257"/>
      <c r="AA44" s="1257">
        <f>+AA39/$X$40</f>
        <v>28.292949410628811</v>
      </c>
      <c r="AB44" s="1258">
        <f>+AB39/$X$40</f>
        <v>34.539813001177272</v>
      </c>
      <c r="AC44" s="1220"/>
      <c r="AD44" s="1256"/>
      <c r="AE44" s="1257">
        <f>+AG44+AH44</f>
        <v>63.59276702251119</v>
      </c>
      <c r="AF44" s="1257"/>
      <c r="AG44" s="1257">
        <f>+AG39/$AD$40</f>
        <v>28.907055375107717</v>
      </c>
      <c r="AH44" s="1258">
        <f>+AH39/$AD$40</f>
        <v>34.685711647403473</v>
      </c>
    </row>
    <row r="45" spans="1:34" ht="14.4">
      <c r="A45" s="826"/>
      <c r="B45" s="826"/>
      <c r="C45" s="826"/>
      <c r="D45" s="826"/>
      <c r="E45" s="826"/>
      <c r="F45" s="826"/>
      <c r="G45" s="826"/>
      <c r="H45" s="826"/>
      <c r="I45" s="826"/>
      <c r="J45" s="826"/>
      <c r="K45" s="826"/>
      <c r="L45" s="826"/>
      <c r="M45" s="826"/>
      <c r="V45" s="1168">
        <f t="shared" si="7"/>
        <v>35</v>
      </c>
      <c r="W45" s="1169"/>
      <c r="X45" s="1259"/>
      <c r="Y45" s="1259"/>
      <c r="Z45" s="1259"/>
      <c r="AA45" s="1259"/>
      <c r="AB45" s="1259"/>
      <c r="AC45" s="1220"/>
      <c r="AD45" s="1260"/>
      <c r="AE45" s="1260"/>
      <c r="AF45" s="1260"/>
      <c r="AG45" s="1260"/>
      <c r="AH45" s="1260"/>
    </row>
    <row r="46" spans="1:34" ht="14.4">
      <c r="A46" s="826"/>
      <c r="B46" s="826"/>
      <c r="C46" s="826"/>
      <c r="D46" s="826"/>
      <c r="E46" s="826"/>
      <c r="F46" s="826"/>
      <c r="G46" s="826"/>
      <c r="H46" s="826"/>
      <c r="I46" s="826"/>
      <c r="J46" s="826"/>
      <c r="K46" s="826"/>
      <c r="L46" s="826"/>
      <c r="M46" s="826"/>
      <c r="V46" s="1168">
        <f t="shared" si="7"/>
        <v>36</v>
      </c>
      <c r="W46" s="1169" t="s">
        <v>1424</v>
      </c>
      <c r="X46" s="1259"/>
      <c r="Y46" s="1259"/>
      <c r="Z46" s="1259"/>
      <c r="AA46" s="1259"/>
      <c r="AB46" s="1259"/>
      <c r="AC46" s="1220"/>
      <c r="AD46" s="1180"/>
      <c r="AE46" s="1180"/>
      <c r="AF46" s="1180"/>
      <c r="AG46" s="1180"/>
      <c r="AH46" s="1180"/>
    </row>
  </sheetData>
  <pageMargins left="0.45" right="0.45" top="0.75" bottom="0.75" header="0.3" footer="0.3"/>
  <pageSetup scale="1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59999389629810485"/>
    <pageSetUpPr fitToPage="1"/>
  </sheetPr>
  <dimension ref="A1:H47"/>
  <sheetViews>
    <sheetView zoomScaleNormal="100" workbookViewId="0">
      <pane xSplit="4" ySplit="6" topLeftCell="E7" activePane="bottomRight" state="frozen"/>
      <selection activeCell="E1" sqref="E1"/>
      <selection pane="topRight" activeCell="E1" sqref="E1"/>
      <selection pane="bottomLeft" activeCell="E1" sqref="E1"/>
      <selection pane="bottomRight" activeCell="E1" sqref="E1:G1"/>
    </sheetView>
  </sheetViews>
  <sheetFormatPr defaultColWidth="9.33203125" defaultRowHeight="15" customHeight="1" outlineLevelCol="1"/>
  <cols>
    <col min="1" max="1" width="6" style="917" customWidth="1"/>
    <col min="2" max="2" width="2" style="917" hidden="1" customWidth="1" outlineLevel="1"/>
    <col min="3" max="3" width="48.44140625" style="917" customWidth="1" collapsed="1"/>
    <col min="4" max="4" width="12.6640625" style="918" hidden="1" customWidth="1" outlineLevel="1"/>
    <col min="5" max="5" width="14.5546875" style="917" bestFit="1" customWidth="1" collapsed="1"/>
    <col min="6" max="7" width="14.5546875" style="917" bestFit="1" customWidth="1"/>
    <col min="8" max="8" width="12.109375" style="917" customWidth="1"/>
    <col min="9" max="16384" width="9.33203125" style="917"/>
  </cols>
  <sheetData>
    <row r="1" spans="1:8" ht="29.25" customHeight="1">
      <c r="E1" s="1287" t="s">
        <v>1354</v>
      </c>
      <c r="F1" s="1288"/>
      <c r="G1" s="1289"/>
    </row>
    <row r="2" spans="1:8" ht="28.5" customHeight="1">
      <c r="A2" s="44" t="s">
        <v>793</v>
      </c>
      <c r="B2" s="919"/>
      <c r="C2" s="919"/>
      <c r="D2" s="919"/>
      <c r="E2" s="919"/>
      <c r="F2" s="919"/>
      <c r="G2" s="919"/>
    </row>
    <row r="3" spans="1:8" ht="15" customHeight="1">
      <c r="A3" s="919" t="s">
        <v>794</v>
      </c>
      <c r="B3" s="919"/>
      <c r="C3" s="919"/>
      <c r="D3" s="919"/>
      <c r="E3" s="919"/>
      <c r="F3" s="919"/>
      <c r="G3" s="919"/>
    </row>
    <row r="4" spans="1:8" ht="15" customHeight="1">
      <c r="A4" s="919" t="s">
        <v>795</v>
      </c>
      <c r="B4" s="919"/>
      <c r="C4" s="919"/>
      <c r="D4" s="919"/>
      <c r="E4" s="919"/>
      <c r="F4" s="919"/>
      <c r="G4" s="919"/>
    </row>
    <row r="5" spans="1:8" s="920" customFormat="1" ht="15" customHeight="1">
      <c r="C5" s="921"/>
      <c r="D5" s="921"/>
    </row>
    <row r="6" spans="1:8" s="920" customFormat="1" ht="15" customHeight="1">
      <c r="A6" s="1094" t="s">
        <v>796</v>
      </c>
      <c r="B6" s="1094"/>
      <c r="C6" s="922" t="s">
        <v>774</v>
      </c>
      <c r="D6" s="922"/>
      <c r="E6" s="922" t="s">
        <v>786</v>
      </c>
      <c r="F6" s="922" t="s">
        <v>788</v>
      </c>
      <c r="G6" s="922" t="s">
        <v>620</v>
      </c>
    </row>
    <row r="7" spans="1:8" s="920" customFormat="1" ht="29.25" customHeight="1">
      <c r="D7" s="923"/>
    </row>
    <row r="8" spans="1:8" s="920" customFormat="1" ht="15" customHeight="1">
      <c r="A8" s="924">
        <v>1</v>
      </c>
      <c r="B8" s="924" t="s">
        <v>101</v>
      </c>
      <c r="C8" s="925" t="s">
        <v>797</v>
      </c>
      <c r="D8" s="926">
        <v>43465</v>
      </c>
      <c r="E8" s="927">
        <v>1149789</v>
      </c>
      <c r="F8" s="927">
        <v>830781</v>
      </c>
      <c r="G8" s="927">
        <f>SUM(E8:F8)</f>
        <v>1980570</v>
      </c>
      <c r="H8" s="927"/>
    </row>
    <row r="9" spans="1:8" s="920" customFormat="1" ht="18.899999999999999" customHeight="1" thickBot="1">
      <c r="B9" s="921"/>
      <c r="C9" s="928" t="s">
        <v>798</v>
      </c>
      <c r="D9" s="921"/>
      <c r="E9" s="929">
        <f>ROUND(+E8/G8,4)</f>
        <v>0.58050000000000002</v>
      </c>
      <c r="F9" s="929">
        <f>ROUND(+F8/G8,4)</f>
        <v>0.41949999999999998</v>
      </c>
      <c r="G9" s="930">
        <f>SUM(E9:F9)</f>
        <v>1</v>
      </c>
      <c r="H9" s="931"/>
    </row>
    <row r="10" spans="1:8" s="920" customFormat="1" ht="15" customHeight="1" thickTop="1">
      <c r="A10" s="921"/>
      <c r="B10" s="921"/>
      <c r="D10" s="926"/>
    </row>
    <row r="11" spans="1:8" s="920" customFormat="1" ht="15" customHeight="1">
      <c r="A11" s="924">
        <v>2</v>
      </c>
      <c r="B11" s="924" t="s">
        <v>101</v>
      </c>
      <c r="C11" s="925" t="s">
        <v>799</v>
      </c>
      <c r="D11" s="926">
        <v>43465</v>
      </c>
      <c r="E11" s="932">
        <v>772668</v>
      </c>
      <c r="F11" s="932">
        <v>469328</v>
      </c>
      <c r="G11" s="932">
        <f>SUM(E11:F11)</f>
        <v>1241996</v>
      </c>
      <c r="H11" s="932"/>
    </row>
    <row r="12" spans="1:8" s="920" customFormat="1" ht="18.899999999999999" customHeight="1" thickBot="1">
      <c r="B12" s="921"/>
      <c r="C12" s="928" t="s">
        <v>798</v>
      </c>
      <c r="D12" s="923"/>
      <c r="E12" s="929">
        <f>ROUND(+E11/G11,4)</f>
        <v>0.62209999999999999</v>
      </c>
      <c r="F12" s="929">
        <f>ROUND(+F11/G11,4)</f>
        <v>0.37790000000000001</v>
      </c>
      <c r="G12" s="930">
        <f>SUM(E12:F12)</f>
        <v>1</v>
      </c>
      <c r="H12" s="931"/>
    </row>
    <row r="13" spans="1:8" s="920" customFormat="1" ht="15" customHeight="1" thickTop="1">
      <c r="A13" s="921"/>
      <c r="B13" s="921"/>
      <c r="D13" s="923"/>
    </row>
    <row r="14" spans="1:8" s="920" customFormat="1" ht="15" customHeight="1">
      <c r="A14" s="924">
        <v>3</v>
      </c>
      <c r="B14" s="924" t="s">
        <v>101</v>
      </c>
      <c r="C14" s="925" t="s">
        <v>800</v>
      </c>
      <c r="D14" s="923"/>
    </row>
    <row r="15" spans="1:8" s="920" customFormat="1" ht="15" customHeight="1">
      <c r="A15" s="921"/>
      <c r="B15" s="921"/>
      <c r="C15" s="933" t="s">
        <v>801</v>
      </c>
      <c r="D15" s="926">
        <v>43465</v>
      </c>
      <c r="E15" s="934">
        <v>3916270559</v>
      </c>
      <c r="F15" s="935">
        <v>3720008877</v>
      </c>
      <c r="G15" s="935">
        <f>SUM(E15:F15)</f>
        <v>7636279436</v>
      </c>
      <c r="H15" s="934"/>
    </row>
    <row r="16" spans="1:8" s="920" customFormat="1" ht="15" customHeight="1">
      <c r="A16" s="921"/>
      <c r="B16" s="921"/>
      <c r="C16" s="933" t="s">
        <v>802</v>
      </c>
      <c r="D16" s="926">
        <v>43465</v>
      </c>
      <c r="E16" s="934">
        <v>1565101205</v>
      </c>
      <c r="F16" s="934">
        <v>0</v>
      </c>
      <c r="G16" s="934">
        <f>SUM(E16:F16)</f>
        <v>1565101205</v>
      </c>
      <c r="H16" s="934"/>
    </row>
    <row r="17" spans="1:8" s="920" customFormat="1" ht="15" customHeight="1">
      <c r="A17" s="921"/>
      <c r="B17" s="921"/>
      <c r="C17" s="933" t="s">
        <v>803</v>
      </c>
      <c r="D17" s="926">
        <v>43465</v>
      </c>
      <c r="E17" s="934">
        <v>224862862</v>
      </c>
      <c r="F17" s="934">
        <v>24731375</v>
      </c>
      <c r="G17" s="934">
        <f>SUM(E17:F17)</f>
        <v>249594237</v>
      </c>
      <c r="H17" s="934"/>
    </row>
    <row r="18" spans="1:8" s="920" customFormat="1" ht="15" customHeight="1">
      <c r="A18" s="921"/>
      <c r="B18" s="921"/>
      <c r="C18" s="933" t="s">
        <v>620</v>
      </c>
      <c r="D18" s="936"/>
      <c r="E18" s="937">
        <f>SUM(E15:E17)</f>
        <v>5706234626</v>
      </c>
      <c r="F18" s="937">
        <f>SUM(F15:F17)</f>
        <v>3744740252</v>
      </c>
      <c r="G18" s="937">
        <f>SUM(G15:G17)</f>
        <v>9450974878</v>
      </c>
      <c r="H18" s="935"/>
    </row>
    <row r="19" spans="1:8" s="920" customFormat="1" ht="18.899999999999999" customHeight="1" thickBot="1">
      <c r="B19" s="921"/>
      <c r="C19" s="928" t="s">
        <v>798</v>
      </c>
      <c r="D19" s="923"/>
      <c r="E19" s="929">
        <f>ROUND(+E18/G18,4)</f>
        <v>0.6038</v>
      </c>
      <c r="F19" s="929">
        <f>ROUND(+F18/G18,4)</f>
        <v>0.3962</v>
      </c>
      <c r="G19" s="930">
        <f>SUM(E19:F19)</f>
        <v>1</v>
      </c>
      <c r="H19" s="931"/>
    </row>
    <row r="20" spans="1:8" s="920" customFormat="1" ht="15" customHeight="1" thickTop="1">
      <c r="A20" s="921"/>
      <c r="B20" s="921"/>
      <c r="D20" s="923"/>
    </row>
    <row r="21" spans="1:8" s="920" customFormat="1" ht="15" customHeight="1">
      <c r="A21" s="924">
        <v>4</v>
      </c>
      <c r="B21" s="924" t="s">
        <v>101</v>
      </c>
      <c r="C21" s="925" t="s">
        <v>804</v>
      </c>
      <c r="D21" s="923" t="s">
        <v>805</v>
      </c>
    </row>
    <row r="22" spans="1:8" s="920" customFormat="1" ht="15" customHeight="1">
      <c r="A22" s="921"/>
      <c r="B22" s="921"/>
      <c r="C22" s="933" t="s">
        <v>806</v>
      </c>
      <c r="D22" s="926">
        <v>43465</v>
      </c>
      <c r="E22" s="927">
        <f>+E8</f>
        <v>1149789</v>
      </c>
      <c r="F22" s="927">
        <f>+F8</f>
        <v>830781</v>
      </c>
      <c r="G22" s="927">
        <f>SUM(E22:F22)</f>
        <v>1980570</v>
      </c>
      <c r="H22" s="927"/>
    </row>
    <row r="23" spans="1:8" s="920" customFormat="1" ht="15" customHeight="1">
      <c r="A23" s="921"/>
      <c r="B23" s="921"/>
      <c r="C23" s="928" t="s">
        <v>807</v>
      </c>
      <c r="D23" s="921"/>
      <c r="E23" s="938">
        <f>+E22/G22</f>
        <v>0.58053439161453524</v>
      </c>
      <c r="F23" s="938">
        <f>+F22/G22</f>
        <v>0.41946560838546482</v>
      </c>
      <c r="G23" s="938">
        <f>SUM(E23:F23)</f>
        <v>1</v>
      </c>
      <c r="H23" s="931"/>
    </row>
    <row r="24" spans="1:8" s="920" customFormat="1" ht="15" customHeight="1">
      <c r="A24" s="921"/>
      <c r="B24" s="921"/>
      <c r="D24" s="923"/>
    </row>
    <row r="25" spans="1:8" s="920" customFormat="1" ht="15" customHeight="1">
      <c r="A25" s="921"/>
      <c r="B25" s="921"/>
      <c r="C25" s="920" t="s">
        <v>808</v>
      </c>
      <c r="D25" s="926">
        <v>43465</v>
      </c>
      <c r="E25" s="927">
        <v>56281744.650000006</v>
      </c>
      <c r="F25" s="927">
        <v>25481886.959999997</v>
      </c>
      <c r="G25" s="939">
        <f>SUM(E25:F25)</f>
        <v>81763631.609999999</v>
      </c>
      <c r="H25" s="927"/>
    </row>
    <row r="26" spans="1:8" s="920" customFormat="1" ht="15" customHeight="1">
      <c r="A26" s="921"/>
      <c r="B26" s="921"/>
      <c r="C26" s="928" t="s">
        <v>807</v>
      </c>
      <c r="D26" s="923"/>
      <c r="E26" s="938">
        <f>+E25/G25</f>
        <v>0.68834692811169773</v>
      </c>
      <c r="F26" s="938">
        <f>+F25/G25</f>
        <v>0.31165307188830232</v>
      </c>
      <c r="G26" s="938">
        <f>SUM(E26:F26)</f>
        <v>1</v>
      </c>
      <c r="H26" s="931"/>
    </row>
    <row r="27" spans="1:8" s="920" customFormat="1" ht="15" customHeight="1">
      <c r="A27" s="921"/>
      <c r="B27" s="921"/>
      <c r="D27" s="923"/>
    </row>
    <row r="28" spans="1:8" s="920" customFormat="1" ht="15" customHeight="1">
      <c r="A28" s="940"/>
      <c r="B28" s="921"/>
      <c r="C28" s="920" t="s">
        <v>809</v>
      </c>
      <c r="D28" s="926">
        <v>43465</v>
      </c>
      <c r="E28" s="927">
        <v>75531971.569999978</v>
      </c>
      <c r="F28" s="927">
        <v>37654794.339999989</v>
      </c>
      <c r="G28" s="939">
        <f>SUM(E28:F28)</f>
        <v>113186765.90999997</v>
      </c>
      <c r="H28" s="927"/>
    </row>
    <row r="29" spans="1:8" s="920" customFormat="1" ht="15" customHeight="1">
      <c r="A29" s="921"/>
      <c r="B29" s="921"/>
      <c r="C29" s="928" t="s">
        <v>807</v>
      </c>
      <c r="D29" s="941"/>
      <c r="E29" s="938">
        <f>+E28/G28</f>
        <v>0.66732158095283811</v>
      </c>
      <c r="F29" s="938">
        <f>+F28/G28</f>
        <v>0.33267841904716189</v>
      </c>
      <c r="G29" s="938">
        <f>SUM(E29:F29)</f>
        <v>1</v>
      </c>
      <c r="H29" s="931"/>
    </row>
    <row r="30" spans="1:8" s="920" customFormat="1" ht="15" customHeight="1">
      <c r="A30" s="921"/>
      <c r="B30" s="921"/>
      <c r="D30" s="923"/>
    </row>
    <row r="31" spans="1:8" s="920" customFormat="1" ht="15" customHeight="1">
      <c r="A31" s="940"/>
      <c r="B31" s="921"/>
      <c r="C31" s="920" t="s">
        <v>810</v>
      </c>
      <c r="D31" s="926">
        <v>43465</v>
      </c>
      <c r="E31" s="927">
        <v>5784306431.4349995</v>
      </c>
      <c r="F31" s="927">
        <v>2345099323.4824991</v>
      </c>
      <c r="G31" s="927">
        <f>SUM(E31:F31)</f>
        <v>8129405754.9174986</v>
      </c>
      <c r="H31" s="927"/>
    </row>
    <row r="32" spans="1:8" s="920" customFormat="1" ht="15" customHeight="1">
      <c r="A32" s="921"/>
      <c r="B32" s="921"/>
      <c r="C32" s="928" t="s">
        <v>807</v>
      </c>
      <c r="D32" s="923"/>
      <c r="E32" s="938">
        <f>+E31/G31</f>
        <v>0.71152881352195485</v>
      </c>
      <c r="F32" s="938">
        <f>+F31/G31</f>
        <v>0.28847118647804515</v>
      </c>
      <c r="G32" s="938">
        <f>SUM(E32:F32)</f>
        <v>1</v>
      </c>
      <c r="H32" s="931"/>
    </row>
    <row r="33" spans="1:8" s="920" customFormat="1" ht="15" customHeight="1">
      <c r="A33" s="921"/>
      <c r="D33" s="923"/>
      <c r="E33" s="942"/>
      <c r="F33" s="942"/>
      <c r="G33" s="942"/>
    </row>
    <row r="34" spans="1:8" s="920" customFormat="1" ht="15" customHeight="1">
      <c r="A34" s="921"/>
      <c r="C34" s="920" t="s">
        <v>811</v>
      </c>
      <c r="D34" s="923"/>
      <c r="E34" s="943">
        <f>+E32+E29+E26+E23</f>
        <v>2.6477317142010257</v>
      </c>
      <c r="F34" s="943">
        <f>+F32+F29+F26+F23</f>
        <v>1.3522682857989743</v>
      </c>
      <c r="G34" s="943">
        <f>+G32+G29+G26+G23</f>
        <v>4</v>
      </c>
      <c r="H34" s="931"/>
    </row>
    <row r="35" spans="1:8" s="920" customFormat="1" ht="18.899999999999999" customHeight="1" thickBot="1">
      <c r="C35" s="920" t="s">
        <v>798</v>
      </c>
      <c r="D35" s="923"/>
      <c r="E35" s="929">
        <f>ROUND(+E34/4,4)</f>
        <v>0.66190000000000004</v>
      </c>
      <c r="F35" s="929">
        <f>ROUND(+F34/4,4)</f>
        <v>0.33810000000000001</v>
      </c>
      <c r="G35" s="930">
        <f>+G34/4</f>
        <v>1</v>
      </c>
      <c r="H35" s="931"/>
    </row>
    <row r="36" spans="1:8" s="920" customFormat="1" ht="15" customHeight="1" thickTop="1">
      <c r="D36" s="923"/>
    </row>
    <row r="37" spans="1:8" s="920" customFormat="1" ht="15" customHeight="1">
      <c r="A37" s="924">
        <v>5</v>
      </c>
      <c r="B37" s="924" t="s">
        <v>101</v>
      </c>
      <c r="C37" s="925" t="s">
        <v>812</v>
      </c>
      <c r="D37" s="923"/>
    </row>
    <row r="38" spans="1:8" s="920" customFormat="1" ht="15" customHeight="1">
      <c r="C38" s="928" t="s">
        <v>813</v>
      </c>
      <c r="D38" s="926">
        <v>43465</v>
      </c>
      <c r="E38" s="927">
        <v>60929518.730000004</v>
      </c>
      <c r="F38" s="927">
        <v>27189215.729999997</v>
      </c>
      <c r="G38" s="927">
        <f>SUM(E38:F38)</f>
        <v>88118734.460000008</v>
      </c>
      <c r="H38" s="927"/>
    </row>
    <row r="39" spans="1:8" s="920" customFormat="1" ht="15" customHeight="1">
      <c r="C39" s="920" t="s">
        <v>620</v>
      </c>
      <c r="D39" s="923"/>
      <c r="E39" s="944">
        <f>SUM(E38:E38)</f>
        <v>60929518.730000004</v>
      </c>
      <c r="F39" s="944">
        <f>SUM(F38:F38)</f>
        <v>27189215.729999997</v>
      </c>
      <c r="G39" s="944">
        <f>SUM(G38:G38)</f>
        <v>88118734.460000008</v>
      </c>
      <c r="H39" s="939"/>
    </row>
    <row r="40" spans="1:8" s="920" customFormat="1" ht="18.899999999999999" customHeight="1" thickBot="1">
      <c r="C40" s="920" t="s">
        <v>798</v>
      </c>
      <c r="D40" s="923"/>
      <c r="E40" s="929">
        <f>ROUND(+E39/G39,4)</f>
        <v>0.69140000000000001</v>
      </c>
      <c r="F40" s="929">
        <f>ROUND(+F39/G39,4)</f>
        <v>0.30859999999999999</v>
      </c>
      <c r="G40" s="930">
        <f>SUM(E40:F40)</f>
        <v>1</v>
      </c>
      <c r="H40" s="931"/>
    </row>
    <row r="41" spans="1:8" s="920" customFormat="1" ht="15" customHeight="1" thickTop="1">
      <c r="D41" s="921"/>
    </row>
    <row r="42" spans="1:8" s="920" customFormat="1" ht="15" customHeight="1">
      <c r="A42" s="924">
        <v>6</v>
      </c>
      <c r="C42" s="925" t="s">
        <v>814</v>
      </c>
      <c r="D42" s="926">
        <v>43465</v>
      </c>
      <c r="F42" s="921" t="s">
        <v>815</v>
      </c>
    </row>
    <row r="43" spans="1:8" ht="15" customHeight="1">
      <c r="A43" s="920"/>
      <c r="B43" s="920"/>
      <c r="C43" s="920" t="s">
        <v>816</v>
      </c>
      <c r="D43" s="921"/>
      <c r="E43" s="920"/>
      <c r="F43" s="935">
        <v>138030104.47000003</v>
      </c>
      <c r="G43" s="931">
        <v>0.49997132880489842</v>
      </c>
    </row>
    <row r="44" spans="1:8" ht="15" customHeight="1">
      <c r="A44" s="920"/>
      <c r="B44" s="920"/>
      <c r="C44" s="920" t="s">
        <v>790</v>
      </c>
      <c r="D44" s="921"/>
      <c r="E44" s="920"/>
      <c r="F44" s="934">
        <v>1443800.98</v>
      </c>
      <c r="G44" s="931">
        <v>5.2297221484557095E-3</v>
      </c>
    </row>
    <row r="45" spans="1:8" ht="15" customHeight="1">
      <c r="A45" s="920"/>
      <c r="B45" s="920"/>
      <c r="C45" s="920" t="s">
        <v>817</v>
      </c>
      <c r="D45" s="921"/>
      <c r="E45" s="920"/>
      <c r="F45" s="934">
        <v>136602134.34999999</v>
      </c>
      <c r="G45" s="931">
        <v>0.4947989490466459</v>
      </c>
    </row>
    <row r="46" spans="1:8" ht="15" customHeight="1" thickBot="1">
      <c r="A46" s="920"/>
      <c r="B46" s="920"/>
      <c r="C46" s="920" t="s">
        <v>818</v>
      </c>
      <c r="D46" s="921"/>
      <c r="E46" s="920"/>
      <c r="F46" s="945">
        <v>276076039.80000001</v>
      </c>
      <c r="G46" s="930">
        <f>SUM(G43:G45)</f>
        <v>1</v>
      </c>
    </row>
    <row r="47" spans="1:8" ht="15" customHeight="1" thickTop="1"/>
  </sheetData>
  <mergeCells count="1">
    <mergeCell ref="E1:G1"/>
  </mergeCells>
  <pageMargins left="0.5" right="0.41" top="0.5" bottom="0.5" header="0.5" footer="0.25"/>
  <pageSetup scale="99" orientation="portrait" r:id="rId1"/>
  <headerFooter alignWithMargins="0">
    <oddFooter xml:space="preserve">&amp;C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E18"/>
  <sheetViews>
    <sheetView zoomScale="130" zoomScaleNormal="130" workbookViewId="0">
      <selection activeCell="H25" sqref="H25"/>
    </sheetView>
  </sheetViews>
  <sheetFormatPr defaultColWidth="9.109375" defaultRowHeight="13.2"/>
  <cols>
    <col min="1" max="1" width="5.44140625" style="230" bestFit="1" customWidth="1"/>
    <col min="2" max="2" width="43.88671875" style="230" customWidth="1"/>
    <col min="3" max="5" width="12.33203125" style="230" customWidth="1"/>
    <col min="6" max="16384" width="9.109375" style="230"/>
  </cols>
  <sheetData>
    <row r="1" spans="1:5" ht="27.6">
      <c r="C1" s="41" t="s">
        <v>1355</v>
      </c>
      <c r="D1" s="346"/>
      <c r="E1" s="345"/>
    </row>
    <row r="2" spans="1:5" ht="37.5" customHeight="1">
      <c r="A2" s="266" t="s">
        <v>32</v>
      </c>
      <c r="B2" s="266"/>
      <c r="C2" s="266"/>
      <c r="D2" s="266"/>
      <c r="E2" s="266"/>
    </row>
    <row r="3" spans="1:5">
      <c r="A3" s="266" t="s">
        <v>1491</v>
      </c>
      <c r="B3" s="266"/>
      <c r="C3" s="266"/>
      <c r="D3" s="266"/>
      <c r="E3" s="266"/>
    </row>
    <row r="4" spans="1:5">
      <c r="A4" s="266" t="str">
        <f>CASE_E</f>
        <v>2019 GENERAL RATE CASE</v>
      </c>
      <c r="B4" s="266"/>
      <c r="C4" s="266"/>
      <c r="D4" s="266"/>
      <c r="E4" s="266"/>
    </row>
    <row r="5" spans="1:5">
      <c r="A5" s="266" t="str">
        <f>TESTYEAR_E</f>
        <v>12 MONTHS ENDED DECEMBER 31, 2018</v>
      </c>
      <c r="B5" s="266"/>
      <c r="C5" s="266"/>
      <c r="D5" s="266"/>
      <c r="E5" s="266"/>
    </row>
    <row r="6" spans="1:5">
      <c r="A6" s="267" t="s">
        <v>246</v>
      </c>
      <c r="B6" s="267"/>
      <c r="C6" s="266"/>
      <c r="D6" s="266"/>
      <c r="E6" s="266"/>
    </row>
    <row r="7" spans="1:5">
      <c r="B7" s="264"/>
      <c r="C7" s="264"/>
      <c r="D7" s="264"/>
      <c r="E7" s="264"/>
    </row>
    <row r="9" spans="1:5">
      <c r="A9" s="262" t="s">
        <v>26</v>
      </c>
      <c r="B9" s="262"/>
      <c r="C9" s="263" t="s">
        <v>28</v>
      </c>
      <c r="E9" s="263" t="s">
        <v>27</v>
      </c>
    </row>
    <row r="10" spans="1:5">
      <c r="A10" s="260" t="s">
        <v>23</v>
      </c>
      <c r="B10" s="260" t="s">
        <v>22</v>
      </c>
      <c r="C10" s="261" t="s">
        <v>25</v>
      </c>
      <c r="D10" s="261" t="s">
        <v>24</v>
      </c>
      <c r="E10" s="261" t="s">
        <v>24</v>
      </c>
    </row>
    <row r="12" spans="1:5">
      <c r="A12" s="233">
        <v>1</v>
      </c>
      <c r="B12" s="245" t="s">
        <v>20</v>
      </c>
      <c r="C12" s="258">
        <v>0.51</v>
      </c>
      <c r="D12" s="258">
        <v>5.7647058823529412E-2</v>
      </c>
      <c r="E12" s="254">
        <f>ROUND(C12*D12,4)</f>
        <v>2.9399999999999999E-2</v>
      </c>
    </row>
    <row r="13" spans="1:5">
      <c r="A13" s="233">
        <f t="shared" ref="A13:A18" si="0">A12+1</f>
        <v>2</v>
      </c>
      <c r="B13" s="245" t="s">
        <v>11</v>
      </c>
      <c r="C13" s="258">
        <v>0.49</v>
      </c>
      <c r="D13" s="258">
        <v>9.5000000000000001E-2</v>
      </c>
      <c r="E13" s="254">
        <f>ROUND(C13*D13,4)</f>
        <v>4.6600000000000003E-2</v>
      </c>
    </row>
    <row r="14" spans="1:5">
      <c r="A14" s="233">
        <f t="shared" si="0"/>
        <v>3</v>
      </c>
      <c r="B14" s="245" t="s">
        <v>16</v>
      </c>
      <c r="C14" s="252">
        <f>SUM(C12:C13)</f>
        <v>1</v>
      </c>
      <c r="D14" s="237"/>
      <c r="E14" s="251">
        <f>SUM(E12:E13)</f>
        <v>7.5999999999999998E-2</v>
      </c>
    </row>
    <row r="15" spans="1:5">
      <c r="A15" s="233">
        <f t="shared" si="0"/>
        <v>4</v>
      </c>
      <c r="B15" s="245"/>
    </row>
    <row r="16" spans="1:5">
      <c r="A16" s="233">
        <f t="shared" si="0"/>
        <v>5</v>
      </c>
      <c r="B16" s="245" t="s">
        <v>14</v>
      </c>
      <c r="C16" s="254">
        <f>+C12</f>
        <v>0.51</v>
      </c>
      <c r="D16" s="254">
        <f>D12*0.79</f>
        <v>4.5541176470588238E-2</v>
      </c>
      <c r="E16" s="254">
        <f>ROUND(E12*0.79,4)</f>
        <v>2.3199999999999998E-2</v>
      </c>
    </row>
    <row r="17" spans="1:5">
      <c r="A17" s="233">
        <f t="shared" si="0"/>
        <v>6</v>
      </c>
      <c r="B17" s="245" t="s">
        <v>11</v>
      </c>
      <c r="C17" s="254">
        <f>+C13</f>
        <v>0.49</v>
      </c>
      <c r="D17" s="254">
        <f>+D13</f>
        <v>9.5000000000000001E-2</v>
      </c>
      <c r="E17" s="254">
        <f>ROUND(C17*D17,4)</f>
        <v>4.6600000000000003E-2</v>
      </c>
    </row>
    <row r="18" spans="1:5">
      <c r="A18" s="233">
        <f t="shared" si="0"/>
        <v>7</v>
      </c>
      <c r="B18" s="245" t="s">
        <v>9</v>
      </c>
      <c r="C18" s="252">
        <f>SUM(C16:C17)</f>
        <v>1</v>
      </c>
      <c r="D18" s="237"/>
      <c r="E18" s="251">
        <f>SUM(E16:E17)</f>
        <v>6.9800000000000001E-2</v>
      </c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59999389629810485"/>
    <pageSetUpPr fitToPage="1"/>
  </sheetPr>
  <dimension ref="A1:HX103"/>
  <sheetViews>
    <sheetView zoomScale="90" zoomScaleNormal="90" workbookViewId="0">
      <pane xSplit="1" ySplit="1" topLeftCell="B2" activePane="bottomRight" state="frozen"/>
      <selection activeCell="C4" sqref="C4"/>
      <selection pane="topRight" activeCell="C4" sqref="C4"/>
      <selection pane="bottomLeft" activeCell="C4" sqref="C4"/>
      <selection pane="bottomRight" activeCell="B25" sqref="B25"/>
    </sheetView>
  </sheetViews>
  <sheetFormatPr defaultColWidth="9.109375" defaultRowHeight="13.2"/>
  <cols>
    <col min="1" max="1" width="5.44140625" style="230" bestFit="1" customWidth="1"/>
    <col min="2" max="2" width="87.88671875" style="230" customWidth="1"/>
    <col min="3" max="3" width="10.88671875" style="230" customWidth="1"/>
    <col min="4" max="4" width="12.5546875" style="230" customWidth="1"/>
    <col min="5" max="5" width="13" style="230" customWidth="1"/>
    <col min="6" max="6" width="13.88671875" style="230" customWidth="1"/>
    <col min="7" max="7" width="14.109375" style="230" customWidth="1"/>
    <col min="8" max="8" width="13.88671875" style="230" customWidth="1"/>
    <col min="9" max="9" width="5.44140625" style="230" bestFit="1" customWidth="1"/>
    <col min="10" max="10" width="55.44140625" style="230" customWidth="1"/>
    <col min="11" max="11" width="9.109375" style="230"/>
    <col min="12" max="13" width="14.33203125" style="230" bestFit="1" customWidth="1"/>
    <col min="14" max="14" width="14.109375" style="230" bestFit="1" customWidth="1"/>
    <col min="15" max="15" width="14.33203125" style="230" bestFit="1" customWidth="1"/>
    <col min="16" max="16" width="15.44140625" style="230" bestFit="1" customWidth="1"/>
    <col min="17" max="17" width="5.44140625" style="230" bestFit="1" customWidth="1"/>
    <col min="18" max="18" width="39.5546875" style="230" customWidth="1"/>
    <col min="19" max="19" width="4.5546875" style="230" bestFit="1" customWidth="1"/>
    <col min="20" max="22" width="17.5546875" style="230" customWidth="1"/>
    <col min="23" max="23" width="18.6640625" style="230" customWidth="1"/>
    <col min="24" max="24" width="16.33203125" style="230" customWidth="1"/>
    <col min="25" max="25" width="5.44140625" style="230" bestFit="1" customWidth="1"/>
    <col min="26" max="26" width="37.88671875" style="230" customWidth="1"/>
    <col min="27" max="27" width="4.6640625" style="230" bestFit="1" customWidth="1"/>
    <col min="28" max="32" width="18.5546875" style="230" customWidth="1"/>
    <col min="33" max="33" width="9.109375" style="230"/>
    <col min="34" max="34" width="66" style="230" customWidth="1"/>
    <col min="35" max="35" width="9" style="230" customWidth="1"/>
    <col min="36" max="36" width="12.88671875" style="230" bestFit="1" customWidth="1"/>
    <col min="37" max="37" width="13.33203125" style="230" customWidth="1"/>
    <col min="38" max="38" width="13.33203125" style="230" bestFit="1" customWidth="1"/>
    <col min="39" max="39" width="14" style="230" customWidth="1"/>
    <col min="40" max="40" width="16.33203125" style="230" bestFit="1" customWidth="1"/>
    <col min="41" max="41" width="5.44140625" style="230" bestFit="1" customWidth="1"/>
    <col min="42" max="42" width="62.109375" style="230" customWidth="1"/>
    <col min="43" max="43" width="4.5546875" style="230" bestFit="1" customWidth="1"/>
    <col min="44" max="45" width="16" style="230" customWidth="1"/>
    <col min="46" max="46" width="14.109375" style="230" bestFit="1" customWidth="1"/>
    <col min="47" max="47" width="12.109375" style="230" bestFit="1" customWidth="1"/>
    <col min="48" max="48" width="13.109375" style="230" bestFit="1" customWidth="1"/>
    <col min="49" max="49" width="5.44140625" style="230" bestFit="1" customWidth="1"/>
    <col min="50" max="50" width="66.109375" style="230" bestFit="1" customWidth="1"/>
    <col min="51" max="51" width="7.88671875" style="230" bestFit="1" customWidth="1"/>
    <col min="52" max="53" width="14.6640625" style="230" bestFit="1" customWidth="1"/>
    <col min="54" max="54" width="16.109375" style="230" bestFit="1" customWidth="1"/>
    <col min="55" max="55" width="14.6640625" style="230" bestFit="1" customWidth="1"/>
    <col min="56" max="56" width="14.88671875" style="230" bestFit="1" customWidth="1"/>
    <col min="57" max="57" width="5.44140625" style="230" bestFit="1" customWidth="1"/>
    <col min="58" max="58" width="41.109375" style="230" bestFit="1" customWidth="1"/>
    <col min="59" max="59" width="4.33203125" style="230" customWidth="1"/>
    <col min="60" max="60" width="16.109375" style="230" customWidth="1"/>
    <col min="61" max="61" width="16.6640625" style="230" customWidth="1"/>
    <col min="62" max="62" width="17.6640625" style="230" customWidth="1"/>
    <col min="63" max="63" width="17.109375" style="230" customWidth="1"/>
    <col min="64" max="64" width="14.88671875" style="230" customWidth="1"/>
    <col min="65" max="65" width="5.44140625" style="230" bestFit="1" customWidth="1"/>
    <col min="66" max="66" width="51.109375" style="230" bestFit="1" customWidth="1"/>
    <col min="67" max="67" width="7.109375" style="230" customWidth="1"/>
    <col min="68" max="72" width="16.44140625" style="230" customWidth="1"/>
    <col min="73" max="73" width="5.44140625" style="230" bestFit="1" customWidth="1"/>
    <col min="74" max="74" width="50.33203125" style="230" bestFit="1" customWidth="1"/>
    <col min="75" max="75" width="6" style="230" customWidth="1"/>
    <col min="76" max="80" width="17.5546875" style="230" customWidth="1"/>
    <col min="81" max="81" width="5.44140625" style="230" bestFit="1" customWidth="1"/>
    <col min="82" max="82" width="49.5546875" style="230" bestFit="1" customWidth="1"/>
    <col min="83" max="83" width="9.6640625" style="230" customWidth="1"/>
    <col min="84" max="84" width="16.44140625" style="230" customWidth="1"/>
    <col min="85" max="85" width="17.44140625" style="230" customWidth="1"/>
    <col min="86" max="86" width="16.44140625" style="230" customWidth="1"/>
    <col min="87" max="87" width="12.44140625" style="230" customWidth="1"/>
    <col min="88" max="88" width="14.88671875" style="230" customWidth="1"/>
    <col min="89" max="89" width="5.44140625" style="230" bestFit="1" customWidth="1"/>
    <col min="90" max="90" width="55.44140625" style="230" customWidth="1"/>
    <col min="91" max="91" width="6.88671875" style="230" customWidth="1"/>
    <col min="92" max="96" width="12" style="230" customWidth="1"/>
    <col min="97" max="97" width="5.44140625" style="230" bestFit="1" customWidth="1"/>
    <col min="98" max="98" width="30.6640625" style="230" bestFit="1" customWidth="1"/>
    <col min="99" max="99" width="12.109375" style="230" customWidth="1"/>
    <col min="100" max="104" width="14.5546875" style="230" customWidth="1"/>
    <col min="105" max="105" width="5.44140625" style="230" bestFit="1" customWidth="1"/>
    <col min="106" max="106" width="38.109375" style="230" customWidth="1"/>
    <col min="107" max="107" width="8.44140625" style="230" customWidth="1"/>
    <col min="108" max="108" width="17.33203125" style="230" customWidth="1"/>
    <col min="109" max="109" width="18.6640625" style="230" customWidth="1"/>
    <col min="110" max="110" width="18.44140625" style="230" customWidth="1"/>
    <col min="111" max="111" width="17" style="230" customWidth="1"/>
    <col min="112" max="112" width="18.6640625" style="230" customWidth="1"/>
    <col min="113" max="113" width="5" style="230" bestFit="1" customWidth="1"/>
    <col min="114" max="114" width="33.5546875" style="230" customWidth="1"/>
    <col min="115" max="115" width="9.88671875" style="230" customWidth="1"/>
    <col min="116" max="117" width="12.88671875" style="230" bestFit="1" customWidth="1"/>
    <col min="118" max="118" width="14.109375" style="230" bestFit="1" customWidth="1"/>
    <col min="119" max="119" width="12.88671875" style="230" bestFit="1" customWidth="1"/>
    <col min="120" max="120" width="15.44140625" style="230" customWidth="1"/>
    <col min="121" max="121" width="5.44140625" style="230" bestFit="1" customWidth="1"/>
    <col min="122" max="122" width="42.33203125" style="230" customWidth="1"/>
    <col min="123" max="123" width="11.33203125" style="230" customWidth="1"/>
    <col min="124" max="124" width="13.109375" style="230" bestFit="1" customWidth="1"/>
    <col min="125" max="125" width="12.88671875" style="230" bestFit="1" customWidth="1"/>
    <col min="126" max="126" width="15" style="230" bestFit="1" customWidth="1"/>
    <col min="127" max="127" width="13.33203125" style="230" bestFit="1" customWidth="1"/>
    <col min="128" max="128" width="15" style="230" bestFit="1" customWidth="1"/>
    <col min="129" max="129" width="5.44140625" style="230" bestFit="1" customWidth="1"/>
    <col min="130" max="130" width="31.5546875" style="230" bestFit="1" customWidth="1"/>
    <col min="131" max="131" width="7.109375" style="230" customWidth="1"/>
    <col min="132" max="132" width="16" style="230" customWidth="1"/>
    <col min="133" max="133" width="13.88671875" style="230" customWidth="1"/>
    <col min="134" max="134" width="15.5546875" style="230" customWidth="1"/>
    <col min="135" max="135" width="13.33203125" style="230" customWidth="1"/>
    <col min="136" max="136" width="15.109375" style="230" customWidth="1"/>
    <col min="137" max="137" width="5.5546875" style="230" bestFit="1" customWidth="1"/>
    <col min="138" max="138" width="41.5546875" style="230" customWidth="1"/>
    <col min="139" max="139" width="4.33203125" style="230" customWidth="1"/>
    <col min="140" max="143" width="19.109375" style="230" customWidth="1"/>
    <col min="144" max="144" width="14.5546875" style="230" bestFit="1" customWidth="1"/>
    <col min="145" max="145" width="5.5546875" style="230" bestFit="1" customWidth="1"/>
    <col min="146" max="146" width="58.88671875" style="230" customWidth="1"/>
    <col min="147" max="147" width="6.5546875" style="230" customWidth="1"/>
    <col min="148" max="151" width="16.88671875" style="230" customWidth="1"/>
    <col min="152" max="152" width="13.44140625" style="230" bestFit="1" customWidth="1"/>
    <col min="153" max="153" width="5.44140625" style="230" bestFit="1" customWidth="1"/>
    <col min="154" max="154" width="51.6640625" style="230" customWidth="1"/>
    <col min="155" max="155" width="4.5546875" style="230" bestFit="1" customWidth="1"/>
    <col min="156" max="157" width="16.109375" style="230" bestFit="1" customWidth="1"/>
    <col min="158" max="158" width="14.109375" style="230" customWidth="1"/>
    <col min="159" max="159" width="16.5546875" style="230" customWidth="1"/>
    <col min="160" max="160" width="16.6640625" style="230" bestFit="1" customWidth="1"/>
    <col min="161" max="161" width="5.44140625" style="230" bestFit="1" customWidth="1"/>
    <col min="162" max="162" width="81.88671875" style="230" customWidth="1"/>
    <col min="163" max="163" width="7.6640625" style="230" customWidth="1"/>
    <col min="164" max="164" width="14.109375" style="230" bestFit="1" customWidth="1"/>
    <col min="165" max="165" width="12.88671875" style="230" bestFit="1" customWidth="1"/>
    <col min="166" max="166" width="14.109375" style="230" bestFit="1" customWidth="1"/>
    <col min="167" max="167" width="12.88671875" style="230" bestFit="1" customWidth="1"/>
    <col min="168" max="168" width="14.109375" style="230" customWidth="1"/>
    <col min="169" max="169" width="5.44140625" style="230" bestFit="1" customWidth="1"/>
    <col min="170" max="170" width="65.44140625" style="230" customWidth="1"/>
    <col min="171" max="171" width="8" style="230" customWidth="1"/>
    <col min="172" max="172" width="9.44140625" style="230" customWidth="1"/>
    <col min="173" max="173" width="11.109375" style="230" bestFit="1" customWidth="1"/>
    <col min="174" max="176" width="14.109375" style="230" customWidth="1"/>
    <col min="177" max="177" width="5.44140625" style="230" bestFit="1" customWidth="1"/>
    <col min="178" max="178" width="51.6640625" style="230" bestFit="1" customWidth="1"/>
    <col min="179" max="179" width="6.6640625" style="230" customWidth="1"/>
    <col min="180" max="180" width="13.6640625" style="230" customWidth="1"/>
    <col min="181" max="181" width="15.33203125" style="230" customWidth="1"/>
    <col min="182" max="182" width="14.6640625" style="230" customWidth="1"/>
    <col min="183" max="183" width="14" style="230" customWidth="1"/>
    <col min="184" max="184" width="16" style="230" customWidth="1"/>
    <col min="185" max="185" width="5.44140625" style="230" bestFit="1" customWidth="1"/>
    <col min="186" max="186" width="52.44140625" style="230" bestFit="1" customWidth="1"/>
    <col min="187" max="187" width="7" style="230" bestFit="1" customWidth="1"/>
    <col min="188" max="192" width="16" style="230" customWidth="1"/>
    <col min="193" max="193" width="5.44140625" style="230" bestFit="1" customWidth="1"/>
    <col min="194" max="194" width="48.88671875" style="230" customWidth="1"/>
    <col min="195" max="195" width="5.33203125" style="230" customWidth="1"/>
    <col min="196" max="196" width="18.33203125" style="230" customWidth="1"/>
    <col min="197" max="197" width="18.44140625" style="230" customWidth="1"/>
    <col min="198" max="198" width="14.6640625" style="230" customWidth="1"/>
    <col min="199" max="199" width="19.88671875" style="230" customWidth="1"/>
    <col min="200" max="200" width="16" style="230" customWidth="1"/>
    <col min="201" max="201" width="5.44140625" style="230" bestFit="1" customWidth="1"/>
    <col min="202" max="202" width="43.109375" style="230" bestFit="1" customWidth="1"/>
    <col min="203" max="203" width="9.109375" style="230"/>
    <col min="204" max="204" width="15.33203125" style="230" customWidth="1"/>
    <col min="205" max="205" width="19.44140625" style="230" customWidth="1"/>
    <col min="206" max="206" width="14.109375" style="230" bestFit="1" customWidth="1"/>
    <col min="207" max="207" width="14.88671875" style="230" customWidth="1"/>
    <col min="208" max="208" width="17.109375" style="230" customWidth="1"/>
    <col min="209" max="209" width="5.44140625" style="230" bestFit="1" customWidth="1"/>
    <col min="210" max="210" width="41.44140625" style="230" bestFit="1" customWidth="1"/>
    <col min="211" max="211" width="4.5546875" style="230" bestFit="1" customWidth="1"/>
    <col min="212" max="216" width="14.33203125" style="230" customWidth="1"/>
    <col min="217" max="217" width="5.44140625" style="230" bestFit="1" customWidth="1"/>
    <col min="218" max="218" width="37.6640625" style="230" customWidth="1"/>
    <col min="219" max="219" width="9.109375" style="230"/>
    <col min="220" max="221" width="12.88671875" style="230" bestFit="1" customWidth="1"/>
    <col min="222" max="222" width="14.109375" style="230" bestFit="1" customWidth="1"/>
    <col min="223" max="223" width="12.33203125" style="230" customWidth="1"/>
    <col min="224" max="224" width="13.33203125" style="230" bestFit="1" customWidth="1"/>
    <col min="225" max="225" width="5.44140625" style="230" bestFit="1" customWidth="1"/>
    <col min="226" max="226" width="45.44140625" style="230" customWidth="1"/>
    <col min="227" max="227" width="7.6640625" style="230" customWidth="1"/>
    <col min="228" max="228" width="12.6640625" style="230" customWidth="1"/>
    <col min="229" max="229" width="12" style="230" customWidth="1"/>
    <col min="230" max="230" width="15.109375" style="230" customWidth="1"/>
    <col min="231" max="231" width="12.88671875" style="230" bestFit="1" customWidth="1"/>
    <col min="232" max="232" width="13.33203125" style="230" bestFit="1" customWidth="1"/>
    <col min="233" max="16384" width="9.109375" style="230"/>
  </cols>
  <sheetData>
    <row r="1" spans="1:232" s="250" customFormat="1" ht="13.8" thickBot="1">
      <c r="A1" s="318"/>
      <c r="B1" s="318"/>
      <c r="C1" s="318"/>
      <c r="D1" s="318"/>
      <c r="E1" s="318"/>
      <c r="F1" s="318"/>
      <c r="G1" s="1095"/>
      <c r="H1" s="1095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18"/>
      <c r="AQ1" s="318"/>
      <c r="AR1" s="318"/>
      <c r="AS1" s="318"/>
      <c r="AT1" s="318"/>
      <c r="AU1" s="318"/>
      <c r="AV1" s="318"/>
      <c r="AW1" s="318"/>
      <c r="AX1" s="318"/>
      <c r="AY1" s="318"/>
      <c r="AZ1" s="318"/>
      <c r="BA1" s="318"/>
      <c r="BB1" s="318"/>
      <c r="BC1" s="318"/>
      <c r="BD1" s="318"/>
      <c r="BE1" s="318"/>
      <c r="BF1" s="318"/>
      <c r="BG1" s="318"/>
      <c r="BH1" s="318"/>
      <c r="BI1" s="318"/>
      <c r="BJ1" s="318"/>
      <c r="BK1" s="318"/>
      <c r="BL1" s="318"/>
      <c r="BM1" s="318"/>
      <c r="BN1" s="318"/>
      <c r="BO1" s="318"/>
      <c r="BP1" s="318"/>
      <c r="BQ1" s="318"/>
      <c r="BR1" s="318"/>
      <c r="BS1" s="318"/>
      <c r="BT1" s="318"/>
      <c r="BU1" s="318"/>
      <c r="BV1" s="318"/>
      <c r="BW1" s="318"/>
      <c r="BX1" s="318"/>
      <c r="BY1" s="318"/>
      <c r="BZ1" s="318"/>
      <c r="CA1" s="318"/>
      <c r="CB1" s="318"/>
      <c r="CC1" s="318"/>
      <c r="CD1" s="318"/>
      <c r="CE1" s="318"/>
      <c r="CF1" s="318"/>
      <c r="CG1" s="318"/>
      <c r="CH1" s="318"/>
      <c r="CI1" s="318"/>
      <c r="CJ1" s="318"/>
      <c r="CK1" s="318"/>
      <c r="CL1" s="318"/>
      <c r="CM1" s="318"/>
      <c r="CN1" s="318"/>
      <c r="CO1" s="318"/>
      <c r="CP1" s="318"/>
      <c r="CQ1" s="318"/>
      <c r="CR1" s="318"/>
      <c r="CS1" s="318"/>
      <c r="CT1" s="318"/>
      <c r="CU1" s="318"/>
      <c r="CV1" s="318"/>
      <c r="CW1" s="318"/>
      <c r="CX1" s="318"/>
      <c r="CY1" s="318"/>
      <c r="CZ1" s="318"/>
      <c r="DA1" s="318"/>
      <c r="DB1" s="318"/>
      <c r="DC1" s="318"/>
      <c r="DD1" s="318"/>
      <c r="DE1" s="318"/>
      <c r="DF1" s="318"/>
      <c r="DG1" s="318"/>
      <c r="DH1" s="318"/>
      <c r="DI1" s="318"/>
      <c r="DJ1" s="318"/>
      <c r="DK1" s="318"/>
      <c r="DL1" s="318"/>
      <c r="DM1" s="318"/>
      <c r="DN1" s="318"/>
      <c r="DO1" s="318"/>
      <c r="DP1" s="318"/>
      <c r="DQ1" s="318"/>
      <c r="DR1" s="318"/>
      <c r="DS1" s="318"/>
      <c r="DT1" s="318"/>
      <c r="DU1" s="318"/>
      <c r="DV1" s="318"/>
      <c r="DW1" s="318"/>
      <c r="DX1" s="318"/>
      <c r="DY1" s="318"/>
      <c r="DZ1" s="318"/>
      <c r="EA1" s="318"/>
      <c r="EB1" s="318"/>
      <c r="EC1" s="318"/>
      <c r="ED1" s="318"/>
      <c r="EE1" s="318"/>
      <c r="EF1" s="318"/>
      <c r="EG1" s="318"/>
      <c r="EH1" s="318"/>
      <c r="EI1" s="318"/>
      <c r="EJ1" s="318"/>
      <c r="EK1" s="318"/>
      <c r="EL1" s="318"/>
      <c r="EM1" s="318"/>
      <c r="EN1" s="318"/>
      <c r="EO1" s="318"/>
      <c r="EP1" s="318"/>
      <c r="EQ1" s="318"/>
      <c r="ER1" s="318"/>
      <c r="ES1" s="318"/>
      <c r="ET1" s="318"/>
      <c r="EU1" s="318"/>
      <c r="EV1" s="318"/>
      <c r="EW1" s="318"/>
      <c r="EX1" s="318"/>
      <c r="EY1" s="318"/>
      <c r="EZ1" s="318"/>
      <c r="FA1" s="318"/>
      <c r="FB1" s="318"/>
      <c r="FC1" s="318"/>
      <c r="FD1" s="318"/>
      <c r="FE1" s="318"/>
      <c r="FF1" s="318"/>
      <c r="FG1" s="318"/>
      <c r="FH1" s="318"/>
      <c r="FI1" s="318"/>
      <c r="FJ1" s="318"/>
      <c r="FK1" s="318"/>
      <c r="FL1" s="318"/>
      <c r="FM1" s="318"/>
      <c r="FN1" s="318"/>
      <c r="FO1" s="318"/>
      <c r="FP1" s="318"/>
      <c r="FQ1" s="318"/>
      <c r="FR1" s="318"/>
      <c r="FS1" s="318"/>
      <c r="FT1" s="318"/>
      <c r="FU1" s="318"/>
      <c r="FV1" s="318"/>
      <c r="FW1" s="318"/>
      <c r="FX1" s="318"/>
      <c r="FY1" s="318"/>
      <c r="FZ1" s="318"/>
      <c r="GA1" s="318"/>
      <c r="GB1" s="318"/>
      <c r="GC1" s="318"/>
      <c r="GD1" s="318"/>
      <c r="GE1" s="318"/>
      <c r="GF1" s="318"/>
      <c r="GG1" s="318"/>
      <c r="GH1" s="318"/>
      <c r="GI1" s="318"/>
      <c r="GJ1" s="318"/>
      <c r="GK1" s="318"/>
      <c r="GL1" s="318"/>
      <c r="GM1" s="318"/>
      <c r="GN1" s="318"/>
      <c r="GO1" s="318"/>
      <c r="GP1" s="318"/>
      <c r="GQ1" s="318"/>
      <c r="GR1" s="318"/>
      <c r="GS1" s="318"/>
      <c r="GT1" s="318"/>
      <c r="GU1" s="318"/>
      <c r="GV1" s="318"/>
      <c r="GW1" s="318"/>
      <c r="GX1" s="318"/>
      <c r="GY1" s="318"/>
      <c r="GZ1" s="318"/>
      <c r="HA1" s="318"/>
      <c r="HB1" s="318"/>
      <c r="HC1" s="318"/>
      <c r="HD1" s="318"/>
      <c r="HE1" s="318"/>
      <c r="HF1" s="318"/>
      <c r="HG1" s="318"/>
      <c r="HH1" s="318"/>
      <c r="HI1" s="318"/>
      <c r="HJ1" s="318"/>
      <c r="HK1" s="318"/>
      <c r="HL1" s="318"/>
      <c r="HM1" s="318"/>
      <c r="HN1" s="318"/>
      <c r="HO1" s="318"/>
      <c r="HP1" s="318"/>
      <c r="HQ1" s="318"/>
      <c r="HR1" s="318"/>
      <c r="HS1" s="318"/>
      <c r="HT1" s="318"/>
      <c r="HU1" s="318"/>
      <c r="HV1" s="318"/>
      <c r="HW1" s="318"/>
      <c r="HX1" s="318"/>
    </row>
    <row r="2" spans="1:232">
      <c r="G2" s="611"/>
      <c r="H2" s="610" t="str">
        <f>DOCKETNUMBER_E</f>
        <v>UE-__________</v>
      </c>
      <c r="O2" s="611"/>
      <c r="P2" s="610" t="str">
        <f>DOCKETNUMBER_E</f>
        <v>UE-__________</v>
      </c>
      <c r="W2" s="611"/>
      <c r="X2" s="610" t="str">
        <f>DOCKETNUMBER_E</f>
        <v>UE-__________</v>
      </c>
      <c r="AE2" s="611"/>
      <c r="AF2" s="610" t="str">
        <f>DOCKETNUMBER_E</f>
        <v>UE-__________</v>
      </c>
      <c r="AM2" s="611"/>
      <c r="AN2" s="610" t="str">
        <f>DOCKETNUMBER_E</f>
        <v>UE-__________</v>
      </c>
      <c r="AU2" s="611"/>
      <c r="AV2" s="610" t="str">
        <f>DOCKETNUMBER_E</f>
        <v>UE-__________</v>
      </c>
      <c r="BC2" s="611"/>
      <c r="BD2" s="610" t="str">
        <f>DOCKETNUMBER_E</f>
        <v>UE-__________</v>
      </c>
      <c r="BK2" s="611"/>
      <c r="BL2" s="610" t="str">
        <f>DOCKETNUMBER_E</f>
        <v>UE-__________</v>
      </c>
      <c r="BS2" s="611"/>
      <c r="BT2" s="610" t="str">
        <f>DOCKETNUMBER_E</f>
        <v>UE-__________</v>
      </c>
      <c r="CA2" s="611"/>
      <c r="CB2" s="610" t="str">
        <f>DOCKETNUMBER_E</f>
        <v>UE-__________</v>
      </c>
      <c r="CI2" s="611"/>
      <c r="CJ2" s="610" t="str">
        <f>DOCKETNUMBER_E</f>
        <v>UE-__________</v>
      </c>
      <c r="CQ2" s="611"/>
      <c r="CR2" s="610" t="str">
        <f>DOCKETNUMBER_E</f>
        <v>UE-__________</v>
      </c>
      <c r="CY2" s="611"/>
      <c r="CZ2" s="610" t="str">
        <f>DOCKETNUMBER_E</f>
        <v>UE-__________</v>
      </c>
      <c r="DG2" s="611"/>
      <c r="DH2" s="610" t="str">
        <f>DOCKETNUMBER_E</f>
        <v>UE-__________</v>
      </c>
      <c r="DO2" s="611"/>
      <c r="DP2" s="610" t="str">
        <f>DOCKETNUMBER_E</f>
        <v>UE-__________</v>
      </c>
      <c r="DW2" s="611"/>
      <c r="DX2" s="610" t="str">
        <f>DOCKETNUMBER_E</f>
        <v>UE-__________</v>
      </c>
      <c r="EE2" s="611"/>
      <c r="EF2" s="610" t="str">
        <f>DOCKETNUMBER_E</f>
        <v>UE-__________</v>
      </c>
      <c r="EM2" s="611"/>
      <c r="EN2" s="610" t="str">
        <f>DOCKETNUMBER_E</f>
        <v>UE-__________</v>
      </c>
      <c r="EU2" s="611"/>
      <c r="EV2" s="610" t="str">
        <f>DOCKETNUMBER_E</f>
        <v>UE-__________</v>
      </c>
      <c r="FC2" s="611"/>
      <c r="FD2" s="610" t="str">
        <f>DOCKETNUMBER_E</f>
        <v>UE-__________</v>
      </c>
      <c r="FK2" s="611"/>
      <c r="FL2" s="610" t="str">
        <f>DOCKETNUMBER_E</f>
        <v>UE-__________</v>
      </c>
      <c r="FS2" s="611"/>
      <c r="FT2" s="610" t="str">
        <f>DOCKETNUMBER_E</f>
        <v>UE-__________</v>
      </c>
      <c r="GA2" s="611"/>
      <c r="GB2" s="610" t="str">
        <f>DOCKETNUMBER_E</f>
        <v>UE-__________</v>
      </c>
      <c r="GI2" s="611"/>
      <c r="GJ2" s="610" t="str">
        <f>DOCKETNUMBER_E</f>
        <v>UE-__________</v>
      </c>
      <c r="GQ2" s="611"/>
      <c r="GR2" s="610" t="str">
        <f>DOCKETNUMBER_E</f>
        <v>UE-__________</v>
      </c>
      <c r="GY2" s="611"/>
      <c r="GZ2" s="610" t="str">
        <f>DOCKETNUMBER_E</f>
        <v>UE-__________</v>
      </c>
      <c r="HG2" s="611"/>
      <c r="HH2" s="610" t="str">
        <f>DOCKETNUMBER_E</f>
        <v>UE-__________</v>
      </c>
      <c r="HO2" s="611"/>
      <c r="HP2" s="610" t="str">
        <f>DOCKETNUMBER_E</f>
        <v>UE-__________</v>
      </c>
      <c r="HW2" s="611"/>
      <c r="HX2" s="610" t="str">
        <f>DOCKETNUMBER_E</f>
        <v>UE-__________</v>
      </c>
    </row>
    <row r="3" spans="1:232" ht="13.8" thickBot="1">
      <c r="G3" s="609"/>
      <c r="H3" s="608" t="s">
        <v>512</v>
      </c>
      <c r="O3" s="609"/>
      <c r="P3" s="608" t="s">
        <v>511</v>
      </c>
      <c r="W3" s="609"/>
      <c r="X3" s="608" t="s">
        <v>510</v>
      </c>
      <c r="AE3" s="609"/>
      <c r="AF3" s="608" t="s">
        <v>509</v>
      </c>
      <c r="AK3" s="231"/>
      <c r="AM3" s="609"/>
      <c r="AN3" s="608" t="s">
        <v>508</v>
      </c>
      <c r="AU3" s="609"/>
      <c r="AV3" s="608" t="s">
        <v>507</v>
      </c>
      <c r="BC3" s="609"/>
      <c r="BD3" s="608" t="s">
        <v>506</v>
      </c>
      <c r="BK3" s="609"/>
      <c r="BL3" s="608" t="s">
        <v>505</v>
      </c>
      <c r="BS3" s="609"/>
      <c r="BT3" s="608" t="s">
        <v>504</v>
      </c>
      <c r="CA3" s="609"/>
      <c r="CB3" s="608" t="s">
        <v>503</v>
      </c>
      <c r="CI3" s="609"/>
      <c r="CJ3" s="608" t="s">
        <v>502</v>
      </c>
      <c r="CQ3" s="609"/>
      <c r="CR3" s="608" t="s">
        <v>501</v>
      </c>
      <c r="CY3" s="609"/>
      <c r="CZ3" s="608" t="s">
        <v>500</v>
      </c>
      <c r="DG3" s="609"/>
      <c r="DH3" s="608" t="s">
        <v>499</v>
      </c>
      <c r="DN3" s="606"/>
      <c r="DO3" s="609"/>
      <c r="DP3" s="608" t="s">
        <v>498</v>
      </c>
      <c r="DV3" s="606"/>
      <c r="DW3" s="609"/>
      <c r="DX3" s="608" t="s">
        <v>497</v>
      </c>
      <c r="EE3" s="609"/>
      <c r="EF3" s="608" t="s">
        <v>496</v>
      </c>
      <c r="EM3" s="609"/>
      <c r="EN3" s="608" t="s">
        <v>495</v>
      </c>
      <c r="EU3" s="609"/>
      <c r="EV3" s="608" t="s">
        <v>494</v>
      </c>
      <c r="FC3" s="609"/>
      <c r="FD3" s="608" t="s">
        <v>493</v>
      </c>
      <c r="FK3" s="609"/>
      <c r="FL3" s="608" t="s">
        <v>492</v>
      </c>
      <c r="FS3" s="609"/>
      <c r="FT3" s="608" t="s">
        <v>491</v>
      </c>
      <c r="GA3" s="609"/>
      <c r="GB3" s="608" t="s">
        <v>490</v>
      </c>
      <c r="GI3" s="609"/>
      <c r="GJ3" s="608" t="s">
        <v>489</v>
      </c>
      <c r="GQ3" s="609"/>
      <c r="GR3" s="608" t="s">
        <v>488</v>
      </c>
      <c r="GY3" s="609"/>
      <c r="GZ3" s="608" t="s">
        <v>487</v>
      </c>
      <c r="HG3" s="609"/>
      <c r="HH3" s="608" t="s">
        <v>486</v>
      </c>
      <c r="HO3" s="609"/>
      <c r="HP3" s="608" t="s">
        <v>485</v>
      </c>
      <c r="HW3" s="609"/>
      <c r="HX3" s="608" t="s">
        <v>484</v>
      </c>
    </row>
    <row r="4" spans="1:232">
      <c r="A4" s="607"/>
      <c r="B4" s="607"/>
      <c r="C4" s="607"/>
      <c r="D4" s="607"/>
      <c r="E4" s="607"/>
      <c r="F4" s="607"/>
      <c r="G4" s="605"/>
      <c r="O4" s="605"/>
      <c r="X4" s="605"/>
      <c r="AE4" s="605"/>
      <c r="AM4" s="605"/>
      <c r="AU4" s="605"/>
      <c r="BC4" s="605"/>
      <c r="BK4" s="605"/>
      <c r="BS4" s="605"/>
      <c r="CA4" s="605"/>
      <c r="CI4" s="605"/>
      <c r="CQ4" s="605"/>
      <c r="CY4" s="605"/>
      <c r="DG4" s="605"/>
      <c r="DO4" s="605"/>
      <c r="DV4" s="606"/>
      <c r="DW4" s="605"/>
      <c r="EE4" s="605"/>
      <c r="EM4" s="605"/>
      <c r="EU4" s="605"/>
      <c r="FC4" s="605"/>
      <c r="FK4" s="605"/>
      <c r="FS4" s="605"/>
      <c r="GA4" s="605"/>
      <c r="GI4" s="605"/>
      <c r="GQ4" s="605"/>
      <c r="GY4" s="605"/>
      <c r="HG4" s="605"/>
      <c r="HO4" s="605"/>
      <c r="HW4" s="605"/>
    </row>
    <row r="5" spans="1:232" s="265" customFormat="1">
      <c r="A5" s="266" t="str">
        <f>Comp_E</f>
        <v>PUGET SOUND ENERGY - ELECTRIC</v>
      </c>
      <c r="B5" s="266"/>
      <c r="C5" s="266"/>
      <c r="D5" s="266"/>
      <c r="E5" s="266"/>
      <c r="F5" s="266"/>
      <c r="G5" s="266"/>
      <c r="H5" s="266"/>
      <c r="I5" s="266" t="str">
        <f>Comp_E</f>
        <v>PUGET SOUND ENERGY - ELECTRIC</v>
      </c>
      <c r="J5" s="266"/>
      <c r="K5" s="266"/>
      <c r="L5" s="266"/>
      <c r="M5" s="266"/>
      <c r="N5" s="266"/>
      <c r="O5" s="266"/>
      <c r="P5" s="266"/>
      <c r="Q5" s="266" t="str">
        <f>Comp_E</f>
        <v>PUGET SOUND ENERGY - ELECTRIC</v>
      </c>
      <c r="R5" s="266"/>
      <c r="S5" s="266"/>
      <c r="T5" s="266"/>
      <c r="U5" s="266"/>
      <c r="V5" s="266"/>
      <c r="W5" s="266"/>
      <c r="X5" s="266"/>
      <c r="Y5" s="266" t="str">
        <f>Comp_E</f>
        <v>PUGET SOUND ENERGY - ELECTRIC</v>
      </c>
      <c r="Z5" s="266"/>
      <c r="AA5" s="266"/>
      <c r="AB5" s="266"/>
      <c r="AC5" s="266"/>
      <c r="AD5" s="266"/>
      <c r="AE5" s="266"/>
      <c r="AF5" s="266"/>
      <c r="AG5" s="266" t="str">
        <f>Comp_E</f>
        <v>PUGET SOUND ENERGY - ELECTRIC</v>
      </c>
      <c r="AH5" s="266"/>
      <c r="AI5" s="266"/>
      <c r="AJ5" s="266"/>
      <c r="AK5" s="266"/>
      <c r="AL5" s="266"/>
      <c r="AM5" s="266"/>
      <c r="AN5" s="266"/>
      <c r="AO5" s="266" t="str">
        <f>Comp_E</f>
        <v>PUGET SOUND ENERGY - ELECTRIC</v>
      </c>
      <c r="AP5" s="266"/>
      <c r="AQ5" s="266"/>
      <c r="AR5" s="266"/>
      <c r="AS5" s="266"/>
      <c r="AT5" s="266"/>
      <c r="AU5" s="266"/>
      <c r="AV5" s="266"/>
      <c r="AW5" s="266" t="str">
        <f>Comp_E</f>
        <v>PUGET SOUND ENERGY - ELECTRIC</v>
      </c>
      <c r="AX5" s="266"/>
      <c r="AY5" s="266"/>
      <c r="AZ5" s="266"/>
      <c r="BA5" s="266"/>
      <c r="BB5" s="266"/>
      <c r="BC5" s="266"/>
      <c r="BD5" s="266"/>
      <c r="BE5" s="266" t="str">
        <f>Comp_E</f>
        <v>PUGET SOUND ENERGY - ELECTRIC</v>
      </c>
      <c r="BF5" s="266"/>
      <c r="BG5" s="266"/>
      <c r="BH5" s="266"/>
      <c r="BI5" s="266"/>
      <c r="BJ5" s="266"/>
      <c r="BK5" s="266"/>
      <c r="BL5" s="266"/>
      <c r="BM5" s="266" t="str">
        <f>Comp_E</f>
        <v>PUGET SOUND ENERGY - ELECTRIC</v>
      </c>
      <c r="BN5" s="266"/>
      <c r="BO5" s="266"/>
      <c r="BP5" s="266"/>
      <c r="BQ5" s="266"/>
      <c r="BR5" s="266"/>
      <c r="BS5" s="266"/>
      <c r="BT5" s="266"/>
      <c r="BU5" s="266" t="str">
        <f>Comp_E</f>
        <v>PUGET SOUND ENERGY - ELECTRIC</v>
      </c>
      <c r="BV5" s="266"/>
      <c r="BW5" s="266"/>
      <c r="BX5" s="266"/>
      <c r="BY5" s="266"/>
      <c r="BZ5" s="266"/>
      <c r="CA5" s="266"/>
      <c r="CB5" s="266"/>
      <c r="CC5" s="266" t="str">
        <f>Comp_E</f>
        <v>PUGET SOUND ENERGY - ELECTRIC</v>
      </c>
      <c r="CD5" s="266"/>
      <c r="CE5" s="266"/>
      <c r="CF5" s="266"/>
      <c r="CG5" s="266"/>
      <c r="CH5" s="266"/>
      <c r="CI5" s="266"/>
      <c r="CJ5" s="266"/>
      <c r="CK5" s="266" t="str">
        <f>Comp_E</f>
        <v>PUGET SOUND ENERGY - ELECTRIC</v>
      </c>
      <c r="CL5" s="266"/>
      <c r="CM5" s="266"/>
      <c r="CN5" s="266"/>
      <c r="CO5" s="266"/>
      <c r="CP5" s="266"/>
      <c r="CQ5" s="266"/>
      <c r="CR5" s="266"/>
      <c r="CS5" s="266" t="str">
        <f>Comp_E</f>
        <v>PUGET SOUND ENERGY - ELECTRIC</v>
      </c>
      <c r="CT5" s="266"/>
      <c r="CU5" s="266"/>
      <c r="CV5" s="266"/>
      <c r="CW5" s="266"/>
      <c r="CX5" s="266"/>
      <c r="CY5" s="266"/>
      <c r="CZ5" s="266"/>
      <c r="DA5" s="266" t="str">
        <f>Comp_E</f>
        <v>PUGET SOUND ENERGY - ELECTRIC</v>
      </c>
      <c r="DB5" s="266"/>
      <c r="DC5" s="266"/>
      <c r="DD5" s="266"/>
      <c r="DE5" s="266"/>
      <c r="DF5" s="266"/>
      <c r="DG5" s="266"/>
      <c r="DH5" s="266"/>
      <c r="DI5" s="266" t="str">
        <f>Comp_E</f>
        <v>PUGET SOUND ENERGY - ELECTRIC</v>
      </c>
      <c r="DJ5" s="266"/>
      <c r="DK5" s="266"/>
      <c r="DL5" s="266"/>
      <c r="DM5" s="266"/>
      <c r="DN5" s="266"/>
      <c r="DO5" s="266"/>
      <c r="DP5" s="266"/>
      <c r="DQ5" s="266" t="str">
        <f>Comp_E</f>
        <v>PUGET SOUND ENERGY - ELECTRIC</v>
      </c>
      <c r="DR5" s="266"/>
      <c r="DS5" s="266"/>
      <c r="DT5" s="266"/>
      <c r="DU5" s="266"/>
      <c r="DV5" s="266"/>
      <c r="DW5" s="266"/>
      <c r="DX5" s="266"/>
      <c r="DY5" s="266" t="str">
        <f>Comp_E</f>
        <v>PUGET SOUND ENERGY - ELECTRIC</v>
      </c>
      <c r="DZ5" s="266"/>
      <c r="EA5" s="266"/>
      <c r="EB5" s="266"/>
      <c r="EC5" s="266"/>
      <c r="ED5" s="266"/>
      <c r="EE5" s="266"/>
      <c r="EF5" s="266"/>
      <c r="EG5" s="266" t="str">
        <f>Comp_E</f>
        <v>PUGET SOUND ENERGY - ELECTRIC</v>
      </c>
      <c r="EH5" s="266"/>
      <c r="EI5" s="266"/>
      <c r="EJ5" s="266"/>
      <c r="EK5" s="266"/>
      <c r="EL5" s="266"/>
      <c r="EM5" s="266"/>
      <c r="EN5" s="266"/>
      <c r="EO5" s="266" t="str">
        <f>Comp_E</f>
        <v>PUGET SOUND ENERGY - ELECTRIC</v>
      </c>
      <c r="EP5" s="266"/>
      <c r="EQ5" s="266"/>
      <c r="ER5" s="266"/>
      <c r="ES5" s="266"/>
      <c r="ET5" s="266"/>
      <c r="EU5" s="266"/>
      <c r="EV5" s="266"/>
      <c r="EW5" s="266" t="str">
        <f>Comp_E</f>
        <v>PUGET SOUND ENERGY - ELECTRIC</v>
      </c>
      <c r="EX5" s="266"/>
      <c r="EY5" s="266"/>
      <c r="EZ5" s="266"/>
      <c r="FA5" s="266"/>
      <c r="FB5" s="266"/>
      <c r="FC5" s="266"/>
      <c r="FD5" s="266"/>
      <c r="FE5" s="266" t="str">
        <f>Comp_E</f>
        <v>PUGET SOUND ENERGY - ELECTRIC</v>
      </c>
      <c r="FF5" s="266"/>
      <c r="FG5" s="266"/>
      <c r="FH5" s="266"/>
      <c r="FI5" s="266"/>
      <c r="FJ5" s="266"/>
      <c r="FK5" s="266"/>
      <c r="FL5" s="266"/>
      <c r="FM5" s="266" t="str">
        <f>Comp_E</f>
        <v>PUGET SOUND ENERGY - ELECTRIC</v>
      </c>
      <c r="FN5" s="266"/>
      <c r="FO5" s="266"/>
      <c r="FP5" s="266"/>
      <c r="FQ5" s="266"/>
      <c r="FR5" s="266"/>
      <c r="FS5" s="266"/>
      <c r="FT5" s="266"/>
      <c r="FU5" s="266" t="s">
        <v>32</v>
      </c>
      <c r="FV5" s="266"/>
      <c r="FW5" s="266"/>
      <c r="FX5" s="266"/>
      <c r="FY5" s="266"/>
      <c r="FZ5" s="266"/>
      <c r="GA5" s="266"/>
      <c r="GB5" s="266"/>
      <c r="GC5" s="266" t="s">
        <v>32</v>
      </c>
      <c r="GD5" s="266"/>
      <c r="GE5" s="266"/>
      <c r="GF5" s="266"/>
      <c r="GG5" s="266"/>
      <c r="GH5" s="266"/>
      <c r="GI5" s="266"/>
      <c r="GJ5" s="266"/>
      <c r="GK5" s="266" t="s">
        <v>32</v>
      </c>
      <c r="GL5" s="266"/>
      <c r="GM5" s="266"/>
      <c r="GN5" s="266"/>
      <c r="GO5" s="266"/>
      <c r="GP5" s="266"/>
      <c r="GQ5" s="266"/>
      <c r="GR5" s="266"/>
      <c r="GS5" s="266" t="s">
        <v>32</v>
      </c>
      <c r="GT5" s="266"/>
      <c r="GU5" s="266"/>
      <c r="GV5" s="266"/>
      <c r="GW5" s="266"/>
      <c r="GX5" s="266"/>
      <c r="GY5" s="266"/>
      <c r="GZ5" s="266"/>
      <c r="HA5" s="266" t="s">
        <v>32</v>
      </c>
      <c r="HB5" s="266"/>
      <c r="HC5" s="266"/>
      <c r="HD5" s="266"/>
      <c r="HE5" s="266"/>
      <c r="HF5" s="266"/>
      <c r="HG5" s="266"/>
      <c r="HH5" s="266"/>
      <c r="HI5" s="266" t="s">
        <v>32</v>
      </c>
      <c r="HJ5" s="266"/>
      <c r="HK5" s="266"/>
      <c r="HL5" s="266"/>
      <c r="HM5" s="266"/>
      <c r="HN5" s="266"/>
      <c r="HO5" s="266"/>
      <c r="HP5" s="266"/>
      <c r="HQ5" s="266" t="s">
        <v>32</v>
      </c>
      <c r="HR5" s="266"/>
      <c r="HS5" s="266"/>
      <c r="HT5" s="266"/>
      <c r="HU5" s="266"/>
      <c r="HV5" s="266"/>
      <c r="HW5" s="266"/>
      <c r="HX5" s="266"/>
    </row>
    <row r="6" spans="1:232" s="374" customFormat="1">
      <c r="A6" s="603" t="s">
        <v>483</v>
      </c>
      <c r="B6" s="603"/>
      <c r="C6" s="603"/>
      <c r="D6" s="603"/>
      <c r="E6" s="603"/>
      <c r="F6" s="603"/>
      <c r="G6" s="603"/>
      <c r="H6" s="603"/>
      <c r="I6" s="603" t="s">
        <v>482</v>
      </c>
      <c r="J6" s="603"/>
      <c r="K6" s="603"/>
      <c r="L6" s="603"/>
      <c r="M6" s="603"/>
      <c r="N6" s="603"/>
      <c r="O6" s="603"/>
      <c r="P6" s="603"/>
      <c r="Q6" s="603" t="s">
        <v>481</v>
      </c>
      <c r="R6" s="603"/>
      <c r="S6" s="603"/>
      <c r="T6" s="603"/>
      <c r="U6" s="603"/>
      <c r="V6" s="603"/>
      <c r="W6" s="603"/>
      <c r="X6" s="603"/>
      <c r="Y6" s="603" t="s">
        <v>480</v>
      </c>
      <c r="Z6" s="603"/>
      <c r="AA6" s="603"/>
      <c r="AB6" s="603"/>
      <c r="AC6" s="603"/>
      <c r="AD6" s="603"/>
      <c r="AE6" s="603"/>
      <c r="AF6" s="603"/>
      <c r="AG6" s="602" t="s">
        <v>479</v>
      </c>
      <c r="AH6" s="603"/>
      <c r="AI6" s="603"/>
      <c r="AJ6" s="603"/>
      <c r="AK6" s="603"/>
      <c r="AL6" s="603"/>
      <c r="AM6" s="603"/>
      <c r="AN6" s="603"/>
      <c r="AO6" s="603" t="s">
        <v>478</v>
      </c>
      <c r="AP6" s="603"/>
      <c r="AQ6" s="603"/>
      <c r="AR6" s="603"/>
      <c r="AS6" s="603"/>
      <c r="AT6" s="603"/>
      <c r="AU6" s="603"/>
      <c r="AV6" s="603"/>
      <c r="AW6" s="603" t="s">
        <v>19</v>
      </c>
      <c r="AX6" s="603"/>
      <c r="AY6" s="603"/>
      <c r="AZ6" s="603"/>
      <c r="BA6" s="603"/>
      <c r="BB6" s="603"/>
      <c r="BC6" s="603"/>
      <c r="BD6" s="603"/>
      <c r="BE6" s="604" t="s">
        <v>477</v>
      </c>
      <c r="BF6" s="603"/>
      <c r="BG6" s="603"/>
      <c r="BH6" s="603"/>
      <c r="BI6" s="603"/>
      <c r="BJ6" s="603"/>
      <c r="BK6" s="603"/>
      <c r="BL6" s="603"/>
      <c r="BM6" s="603" t="s">
        <v>476</v>
      </c>
      <c r="BN6" s="603"/>
      <c r="BO6" s="603"/>
      <c r="BP6" s="603"/>
      <c r="BQ6" s="603"/>
      <c r="BR6" s="603"/>
      <c r="BS6" s="603"/>
      <c r="BT6" s="603"/>
      <c r="BU6" s="604" t="s">
        <v>475</v>
      </c>
      <c r="BV6" s="603"/>
      <c r="BW6" s="603"/>
      <c r="BX6" s="603"/>
      <c r="BY6" s="603"/>
      <c r="BZ6" s="603"/>
      <c r="CA6" s="603"/>
      <c r="CB6" s="603"/>
      <c r="CC6" s="602" t="s">
        <v>474</v>
      </c>
      <c r="CD6" s="603"/>
      <c r="CE6" s="603"/>
      <c r="CF6" s="603"/>
      <c r="CG6" s="603"/>
      <c r="CH6" s="603"/>
      <c r="CI6" s="603"/>
      <c r="CJ6" s="603"/>
      <c r="CK6" s="602" t="s">
        <v>473</v>
      </c>
      <c r="CL6" s="603"/>
      <c r="CM6" s="603"/>
      <c r="CN6" s="603"/>
      <c r="CO6" s="603"/>
      <c r="CP6" s="603"/>
      <c r="CQ6" s="603"/>
      <c r="CR6" s="603"/>
      <c r="CS6" s="602" t="s">
        <v>472</v>
      </c>
      <c r="CT6" s="603"/>
      <c r="CU6" s="603"/>
      <c r="CV6" s="603"/>
      <c r="CW6" s="603"/>
      <c r="CX6" s="603"/>
      <c r="CY6" s="602"/>
      <c r="CZ6" s="603"/>
      <c r="DA6" s="602" t="s">
        <v>471</v>
      </c>
      <c r="DB6" s="603"/>
      <c r="DC6" s="603"/>
      <c r="DD6" s="603"/>
      <c r="DE6" s="603"/>
      <c r="DF6" s="603"/>
      <c r="DG6" s="602"/>
      <c r="DH6" s="603"/>
      <c r="DI6" s="604" t="s">
        <v>470</v>
      </c>
      <c r="DJ6" s="603"/>
      <c r="DK6" s="603"/>
      <c r="DL6" s="603"/>
      <c r="DM6" s="603"/>
      <c r="DN6" s="603"/>
      <c r="DO6" s="602"/>
      <c r="DP6" s="603"/>
      <c r="DQ6" s="604" t="s">
        <v>469</v>
      </c>
      <c r="DR6" s="603"/>
      <c r="DS6" s="603"/>
      <c r="DT6" s="603"/>
      <c r="DU6" s="603"/>
      <c r="DV6" s="603"/>
      <c r="DW6" s="602"/>
      <c r="DX6" s="603"/>
      <c r="DY6" s="604" t="s">
        <v>468</v>
      </c>
      <c r="DZ6" s="603"/>
      <c r="EA6" s="603"/>
      <c r="EB6" s="603"/>
      <c r="EC6" s="603"/>
      <c r="ED6" s="603"/>
      <c r="EE6" s="602"/>
      <c r="EF6" s="603"/>
      <c r="EG6" s="602" t="s">
        <v>467</v>
      </c>
      <c r="EH6" s="602"/>
      <c r="EI6" s="602"/>
      <c r="EJ6" s="602"/>
      <c r="EK6" s="602"/>
      <c r="EL6" s="603"/>
      <c r="EM6" s="603"/>
      <c r="EN6" s="602"/>
      <c r="EO6" s="602" t="s">
        <v>466</v>
      </c>
      <c r="EP6" s="602"/>
      <c r="EQ6" s="602"/>
      <c r="ER6" s="602"/>
      <c r="ES6" s="602"/>
      <c r="ET6" s="602"/>
      <c r="EU6" s="602"/>
      <c r="EV6" s="602"/>
      <c r="EW6" s="602" t="s">
        <v>465</v>
      </c>
      <c r="EX6" s="602"/>
      <c r="EY6" s="602"/>
      <c r="EZ6" s="602"/>
      <c r="FA6" s="602"/>
      <c r="FB6" s="603"/>
      <c r="FC6" s="603"/>
      <c r="FD6" s="602"/>
      <c r="FE6" s="604" t="s">
        <v>464</v>
      </c>
      <c r="FF6" s="603"/>
      <c r="FG6" s="603"/>
      <c r="FH6" s="603"/>
      <c r="FI6" s="603"/>
      <c r="FJ6" s="603"/>
      <c r="FK6" s="603"/>
      <c r="FL6" s="603"/>
      <c r="FM6" s="602" t="s">
        <v>210</v>
      </c>
      <c r="FN6" s="603"/>
      <c r="FO6" s="603"/>
      <c r="FP6" s="603"/>
      <c r="FQ6" s="603"/>
      <c r="FR6" s="603"/>
      <c r="FS6" s="603"/>
      <c r="FT6" s="603"/>
      <c r="FU6" s="602" t="s">
        <v>463</v>
      </c>
      <c r="FV6" s="602"/>
      <c r="FW6" s="602"/>
      <c r="FX6" s="602"/>
      <c r="FY6" s="602"/>
      <c r="FZ6" s="602"/>
      <c r="GA6" s="602"/>
      <c r="GB6" s="602"/>
      <c r="GC6" s="602" t="s">
        <v>462</v>
      </c>
      <c r="GD6" s="602"/>
      <c r="GE6" s="602"/>
      <c r="GF6" s="602"/>
      <c r="GG6" s="602"/>
      <c r="GH6" s="602"/>
      <c r="GI6" s="602"/>
      <c r="GJ6" s="602"/>
      <c r="GK6" s="602" t="s">
        <v>461</v>
      </c>
      <c r="GL6" s="602"/>
      <c r="GM6" s="602"/>
      <c r="GN6" s="602"/>
      <c r="GO6" s="602"/>
      <c r="GP6" s="602"/>
      <c r="GQ6" s="602"/>
      <c r="GR6" s="602"/>
      <c r="GS6" s="603" t="s">
        <v>460</v>
      </c>
      <c r="GT6" s="602"/>
      <c r="GU6" s="602"/>
      <c r="GV6" s="602"/>
      <c r="GW6" s="602"/>
      <c r="GX6" s="602"/>
      <c r="GY6" s="602"/>
      <c r="GZ6" s="602"/>
      <c r="HA6" s="602" t="s">
        <v>459</v>
      </c>
      <c r="HB6" s="602"/>
      <c r="HC6" s="602"/>
      <c r="HD6" s="602"/>
      <c r="HE6" s="602"/>
      <c r="HF6" s="602"/>
      <c r="HG6" s="602"/>
      <c r="HH6" s="602"/>
      <c r="HI6" s="602" t="s">
        <v>458</v>
      </c>
      <c r="HJ6" s="602"/>
      <c r="HK6" s="602"/>
      <c r="HL6" s="602"/>
      <c r="HM6" s="602"/>
      <c r="HN6" s="602"/>
      <c r="HO6" s="602"/>
      <c r="HP6" s="602"/>
      <c r="HQ6" s="602" t="s">
        <v>165</v>
      </c>
      <c r="HR6" s="602"/>
      <c r="HS6" s="602"/>
      <c r="HT6" s="602"/>
      <c r="HU6" s="602"/>
      <c r="HV6" s="602"/>
      <c r="HW6" s="602"/>
      <c r="HX6" s="602"/>
    </row>
    <row r="7" spans="1:232" s="265" customFormat="1">
      <c r="A7" s="266" t="str">
        <f>TESTYEAR_E</f>
        <v>12 MONTHS ENDED DECEMBER 31, 2018</v>
      </c>
      <c r="B7" s="266"/>
      <c r="C7" s="266"/>
      <c r="D7" s="266"/>
      <c r="E7" s="266"/>
      <c r="F7" s="266"/>
      <c r="G7" s="266"/>
      <c r="H7" s="266"/>
      <c r="I7" s="266" t="str">
        <f>TESTYEAR_E</f>
        <v>12 MONTHS ENDED DECEMBER 31, 2018</v>
      </c>
      <c r="J7" s="266"/>
      <c r="K7" s="266"/>
      <c r="L7" s="266"/>
      <c r="M7" s="266"/>
      <c r="N7" s="266"/>
      <c r="O7" s="266"/>
      <c r="P7" s="266"/>
      <c r="Q7" s="266" t="str">
        <f>TESTYEAR_E</f>
        <v>12 MONTHS ENDED DECEMBER 31, 2018</v>
      </c>
      <c r="R7" s="266"/>
      <c r="S7" s="266"/>
      <c r="T7" s="266"/>
      <c r="U7" s="266"/>
      <c r="V7" s="266"/>
      <c r="W7" s="266"/>
      <c r="X7" s="266"/>
      <c r="Y7" s="266" t="str">
        <f>TESTYEAR_E</f>
        <v>12 MONTHS ENDED DECEMBER 31, 2018</v>
      </c>
      <c r="Z7" s="266"/>
      <c r="AA7" s="266"/>
      <c r="AB7" s="266"/>
      <c r="AC7" s="266"/>
      <c r="AD7" s="266"/>
      <c r="AE7" s="266"/>
      <c r="AF7" s="266"/>
      <c r="AG7" s="266" t="str">
        <f>TESTYEAR_E</f>
        <v>12 MONTHS ENDED DECEMBER 31, 2018</v>
      </c>
      <c r="AH7" s="266"/>
      <c r="AI7" s="266"/>
      <c r="AJ7" s="266"/>
      <c r="AK7" s="266"/>
      <c r="AL7" s="266"/>
      <c r="AM7" s="266"/>
      <c r="AN7" s="266"/>
      <c r="AO7" s="266" t="str">
        <f>TESTYEAR_E</f>
        <v>12 MONTHS ENDED DECEMBER 31, 2018</v>
      </c>
      <c r="AP7" s="266"/>
      <c r="AQ7" s="266"/>
      <c r="AR7" s="266"/>
      <c r="AS7" s="266"/>
      <c r="AT7" s="266"/>
      <c r="AU7" s="266"/>
      <c r="AV7" s="266"/>
      <c r="AW7" s="266" t="str">
        <f>TESTYEAR_E</f>
        <v>12 MONTHS ENDED DECEMBER 31, 2018</v>
      </c>
      <c r="AX7" s="266"/>
      <c r="AY7" s="266"/>
      <c r="AZ7" s="266"/>
      <c r="BA7" s="266"/>
      <c r="BB7" s="266"/>
      <c r="BC7" s="266"/>
      <c r="BD7" s="266"/>
      <c r="BE7" s="266" t="str">
        <f>TESTYEAR_E</f>
        <v>12 MONTHS ENDED DECEMBER 31, 2018</v>
      </c>
      <c r="BF7" s="266"/>
      <c r="BG7" s="266"/>
      <c r="BH7" s="266"/>
      <c r="BI7" s="266"/>
      <c r="BJ7" s="266"/>
      <c r="BK7" s="266"/>
      <c r="BL7" s="266"/>
      <c r="BM7" s="266" t="str">
        <f>TESTYEAR_E</f>
        <v>12 MONTHS ENDED DECEMBER 31, 2018</v>
      </c>
      <c r="BN7" s="266"/>
      <c r="BO7" s="266"/>
      <c r="BP7" s="266"/>
      <c r="BQ7" s="266"/>
      <c r="BR7" s="266"/>
      <c r="BS7" s="266"/>
      <c r="BT7" s="266"/>
      <c r="BU7" s="266" t="str">
        <f>TESTYEAR_E</f>
        <v>12 MONTHS ENDED DECEMBER 31, 2018</v>
      </c>
      <c r="BV7" s="266"/>
      <c r="BW7" s="266"/>
      <c r="BX7" s="266"/>
      <c r="BY7" s="266"/>
      <c r="BZ7" s="266"/>
      <c r="CA7" s="266"/>
      <c r="CB7" s="266"/>
      <c r="CC7" s="266" t="str">
        <f>TESTYEAR_E</f>
        <v>12 MONTHS ENDED DECEMBER 31, 2018</v>
      </c>
      <c r="CD7" s="266"/>
      <c r="CE7" s="266"/>
      <c r="CF7" s="266"/>
      <c r="CG7" s="266"/>
      <c r="CH7" s="266"/>
      <c r="CI7" s="266"/>
      <c r="CJ7" s="266"/>
      <c r="CK7" s="266" t="str">
        <f>TESTYEAR_E</f>
        <v>12 MONTHS ENDED DECEMBER 31, 2018</v>
      </c>
      <c r="CL7" s="266"/>
      <c r="CM7" s="266"/>
      <c r="CN7" s="266"/>
      <c r="CO7" s="266"/>
      <c r="CP7" s="266"/>
      <c r="CQ7" s="266"/>
      <c r="CR7" s="266"/>
      <c r="CS7" s="266" t="str">
        <f>TESTYEAR_E</f>
        <v>12 MONTHS ENDED DECEMBER 31, 2018</v>
      </c>
      <c r="CT7" s="266"/>
      <c r="CU7" s="266"/>
      <c r="CV7" s="266"/>
      <c r="CW7" s="266"/>
      <c r="CX7" s="266"/>
      <c r="CY7" s="266"/>
      <c r="CZ7" s="266"/>
      <c r="DA7" s="266" t="str">
        <f>TESTYEAR_E</f>
        <v>12 MONTHS ENDED DECEMBER 31, 2018</v>
      </c>
      <c r="DB7" s="266"/>
      <c r="DC7" s="266"/>
      <c r="DD7" s="266"/>
      <c r="DE7" s="266"/>
      <c r="DF7" s="266"/>
      <c r="DG7" s="266"/>
      <c r="DH7" s="266"/>
      <c r="DI7" s="266" t="str">
        <f>TESTYEAR_E</f>
        <v>12 MONTHS ENDED DECEMBER 31, 2018</v>
      </c>
      <c r="DJ7" s="266"/>
      <c r="DK7" s="266"/>
      <c r="DL7" s="266"/>
      <c r="DM7" s="266"/>
      <c r="DN7" s="266"/>
      <c r="DO7" s="266"/>
      <c r="DP7" s="266"/>
      <c r="DQ7" s="266" t="str">
        <f>TESTYEAR_E</f>
        <v>12 MONTHS ENDED DECEMBER 31, 2018</v>
      </c>
      <c r="DR7" s="266"/>
      <c r="DS7" s="266"/>
      <c r="DT7" s="266"/>
      <c r="DU7" s="266"/>
      <c r="DV7" s="266"/>
      <c r="DW7" s="266"/>
      <c r="DX7" s="266"/>
      <c r="DY7" s="266" t="str">
        <f>TESTYEAR_E</f>
        <v>12 MONTHS ENDED DECEMBER 31, 2018</v>
      </c>
      <c r="DZ7" s="266"/>
      <c r="EA7" s="266"/>
      <c r="EB7" s="266"/>
      <c r="EC7" s="266"/>
      <c r="ED7" s="266"/>
      <c r="EE7" s="266"/>
      <c r="EF7" s="266"/>
      <c r="EG7" s="266" t="str">
        <f>TESTYEAR_E</f>
        <v>12 MONTHS ENDED DECEMBER 31, 2018</v>
      </c>
      <c r="EH7" s="266"/>
      <c r="EI7" s="266"/>
      <c r="EJ7" s="266"/>
      <c r="EK7" s="266"/>
      <c r="EL7" s="266"/>
      <c r="EM7" s="266"/>
      <c r="EN7" s="266"/>
      <c r="EO7" s="266" t="str">
        <f>TESTYEAR_E</f>
        <v>12 MONTHS ENDED DECEMBER 31, 2018</v>
      </c>
      <c r="EP7" s="266"/>
      <c r="EQ7" s="266"/>
      <c r="ER7" s="266"/>
      <c r="ES7" s="266"/>
      <c r="ET7" s="266"/>
      <c r="EU7" s="266"/>
      <c r="EV7" s="266"/>
      <c r="EW7" s="266" t="str">
        <f>TESTYEAR_E</f>
        <v>12 MONTHS ENDED DECEMBER 31, 2018</v>
      </c>
      <c r="EX7" s="266"/>
      <c r="EY7" s="266"/>
      <c r="EZ7" s="266"/>
      <c r="FA7" s="266"/>
      <c r="FB7" s="266"/>
      <c r="FC7" s="266"/>
      <c r="FD7" s="266"/>
      <c r="FE7" s="266" t="str">
        <f>TESTYEAR_E</f>
        <v>12 MONTHS ENDED DECEMBER 31, 2018</v>
      </c>
      <c r="FF7" s="266"/>
      <c r="FG7" s="266"/>
      <c r="FH7" s="266"/>
      <c r="FI7" s="266"/>
      <c r="FJ7" s="266"/>
      <c r="FK7" s="266"/>
      <c r="FL7" s="266"/>
      <c r="FM7" s="266" t="str">
        <f>TESTYEAR_E</f>
        <v>12 MONTHS ENDED DECEMBER 31, 2018</v>
      </c>
      <c r="FN7" s="266"/>
      <c r="FO7" s="266"/>
      <c r="FP7" s="266"/>
      <c r="FQ7" s="266"/>
      <c r="FR7" s="266"/>
      <c r="FS7" s="266"/>
      <c r="FT7" s="266"/>
      <c r="FU7" s="266" t="s">
        <v>457</v>
      </c>
      <c r="FV7" s="266"/>
      <c r="FW7" s="266"/>
      <c r="FX7" s="266"/>
      <c r="FY7" s="266"/>
      <c r="FZ7" s="266"/>
      <c r="GA7" s="266"/>
      <c r="GB7" s="266"/>
      <c r="GC7" s="266" t="s">
        <v>457</v>
      </c>
      <c r="GD7" s="266"/>
      <c r="GE7" s="266"/>
      <c r="GF7" s="266"/>
      <c r="GG7" s="266"/>
      <c r="GH7" s="266"/>
      <c r="GI7" s="266"/>
      <c r="GJ7" s="266"/>
      <c r="GK7" s="266" t="s">
        <v>457</v>
      </c>
      <c r="GL7" s="266"/>
      <c r="GM7" s="266"/>
      <c r="GN7" s="266"/>
      <c r="GO7" s="266"/>
      <c r="GP7" s="266"/>
      <c r="GQ7" s="266"/>
      <c r="GR7" s="266"/>
      <c r="GS7" s="266" t="s">
        <v>457</v>
      </c>
      <c r="GT7" s="266"/>
      <c r="GU7" s="266"/>
      <c r="GV7" s="266"/>
      <c r="GW7" s="266"/>
      <c r="GX7" s="266"/>
      <c r="GY7" s="266"/>
      <c r="GZ7" s="266"/>
      <c r="HA7" s="266" t="s">
        <v>457</v>
      </c>
      <c r="HB7" s="266"/>
      <c r="HC7" s="266"/>
      <c r="HD7" s="266"/>
      <c r="HE7" s="266"/>
      <c r="HF7" s="266"/>
      <c r="HG7" s="266"/>
      <c r="HH7" s="266"/>
      <c r="HI7" s="266" t="s">
        <v>457</v>
      </c>
      <c r="HJ7" s="266"/>
      <c r="HK7" s="266"/>
      <c r="HL7" s="266"/>
      <c r="HM7" s="266"/>
      <c r="HN7" s="266"/>
      <c r="HO7" s="266"/>
      <c r="HP7" s="266"/>
      <c r="HQ7" s="266" t="s">
        <v>457</v>
      </c>
      <c r="HR7" s="266"/>
      <c r="HS7" s="266"/>
      <c r="HT7" s="266"/>
      <c r="HU7" s="266"/>
      <c r="HV7" s="266"/>
      <c r="HW7" s="266"/>
      <c r="HX7" s="266"/>
    </row>
    <row r="8" spans="1:232" s="265" customFormat="1" ht="13.8" thickBot="1">
      <c r="A8" s="266" t="str">
        <f>CASE_E</f>
        <v>2019 GENERAL RATE CASE</v>
      </c>
      <c r="B8" s="266"/>
      <c r="C8" s="266"/>
      <c r="D8" s="266"/>
      <c r="E8" s="266"/>
      <c r="F8" s="266"/>
      <c r="G8" s="266"/>
      <c r="H8" s="266"/>
      <c r="I8" s="266" t="str">
        <f>CASE_E</f>
        <v>2019 GENERAL RATE CASE</v>
      </c>
      <c r="J8" s="266"/>
      <c r="K8" s="266"/>
      <c r="L8" s="266"/>
      <c r="M8" s="266"/>
      <c r="N8" s="266"/>
      <c r="O8" s="266"/>
      <c r="P8" s="266"/>
      <c r="Q8" s="266" t="str">
        <f>CASE_E</f>
        <v>2019 GENERAL RATE CASE</v>
      </c>
      <c r="R8" s="266"/>
      <c r="S8" s="266"/>
      <c r="T8" s="266"/>
      <c r="U8" s="266"/>
      <c r="V8" s="266"/>
      <c r="W8" s="266"/>
      <c r="X8" s="266"/>
      <c r="Y8" s="266" t="str">
        <f>CASE_E</f>
        <v>2019 GENERAL RATE CASE</v>
      </c>
      <c r="Z8" s="266"/>
      <c r="AA8" s="266"/>
      <c r="AB8" s="266"/>
      <c r="AC8" s="266"/>
      <c r="AD8" s="266"/>
      <c r="AE8" s="266"/>
      <c r="AF8" s="266"/>
      <c r="AG8" s="266" t="str">
        <f>CASE_E</f>
        <v>2019 GENERAL RATE CASE</v>
      </c>
      <c r="AH8" s="266"/>
      <c r="AI8" s="266"/>
      <c r="AJ8" s="266"/>
      <c r="AK8" s="266"/>
      <c r="AL8" s="266"/>
      <c r="AM8" s="266"/>
      <c r="AN8" s="266"/>
      <c r="AO8" s="266" t="str">
        <f>CASE_E</f>
        <v>2019 GENERAL RATE CASE</v>
      </c>
      <c r="AP8" s="266"/>
      <c r="AQ8" s="266"/>
      <c r="AR8" s="266"/>
      <c r="AS8" s="266"/>
      <c r="AT8" s="266"/>
      <c r="AU8" s="266"/>
      <c r="AV8" s="266"/>
      <c r="AW8" s="266" t="str">
        <f>CASE_E</f>
        <v>2019 GENERAL RATE CASE</v>
      </c>
      <c r="AX8" s="266"/>
      <c r="AY8" s="266"/>
      <c r="AZ8" s="266"/>
      <c r="BA8" s="266"/>
      <c r="BB8" s="266"/>
      <c r="BC8" s="266"/>
      <c r="BD8" s="266"/>
      <c r="BE8" s="266" t="str">
        <f>CASE_E</f>
        <v>2019 GENERAL RATE CASE</v>
      </c>
      <c r="BF8" s="266"/>
      <c r="BG8" s="266"/>
      <c r="BH8" s="266"/>
      <c r="BI8" s="266"/>
      <c r="BJ8" s="266"/>
      <c r="BK8" s="266"/>
      <c r="BL8" s="266"/>
      <c r="BM8" s="266" t="str">
        <f>CASE_E</f>
        <v>2019 GENERAL RATE CASE</v>
      </c>
      <c r="BN8" s="266"/>
      <c r="BO8" s="266"/>
      <c r="BP8" s="266"/>
      <c r="BQ8" s="266"/>
      <c r="BR8" s="266"/>
      <c r="BS8" s="266"/>
      <c r="BT8" s="266"/>
      <c r="BU8" s="266" t="str">
        <f>CASE_E</f>
        <v>2019 GENERAL RATE CASE</v>
      </c>
      <c r="BV8" s="266"/>
      <c r="BW8" s="266"/>
      <c r="BX8" s="266"/>
      <c r="BY8" s="266"/>
      <c r="BZ8" s="266"/>
      <c r="CA8" s="266"/>
      <c r="CB8" s="266"/>
      <c r="CC8" s="266" t="str">
        <f>CASE_E</f>
        <v>2019 GENERAL RATE CASE</v>
      </c>
      <c r="CD8" s="266"/>
      <c r="CE8" s="266"/>
      <c r="CF8" s="266"/>
      <c r="CG8" s="266"/>
      <c r="CH8" s="266"/>
      <c r="CI8" s="266"/>
      <c r="CJ8" s="266"/>
      <c r="CK8" s="266" t="str">
        <f>CASE_E</f>
        <v>2019 GENERAL RATE CASE</v>
      </c>
      <c r="CL8" s="266"/>
      <c r="CM8" s="266"/>
      <c r="CN8" s="266"/>
      <c r="CO8" s="266"/>
      <c r="CP8" s="266"/>
      <c r="CQ8" s="266"/>
      <c r="CR8" s="266"/>
      <c r="CS8" s="266" t="str">
        <f>CASE_E</f>
        <v>2019 GENERAL RATE CASE</v>
      </c>
      <c r="CT8" s="266"/>
      <c r="CU8" s="266"/>
      <c r="CV8" s="266"/>
      <c r="CW8" s="266"/>
      <c r="CX8" s="266"/>
      <c r="CY8" s="266"/>
      <c r="CZ8" s="266"/>
      <c r="DA8" s="266" t="str">
        <f>CASE_E</f>
        <v>2019 GENERAL RATE CASE</v>
      </c>
      <c r="DB8" s="266"/>
      <c r="DC8" s="266"/>
      <c r="DD8" s="266"/>
      <c r="DE8" s="266"/>
      <c r="DF8" s="266"/>
      <c r="DG8" s="266"/>
      <c r="DH8" s="266"/>
      <c r="DI8" s="266" t="str">
        <f>CASE_E</f>
        <v>2019 GENERAL RATE CASE</v>
      </c>
      <c r="DJ8" s="266"/>
      <c r="DK8" s="266"/>
      <c r="DL8" s="266"/>
      <c r="DM8" s="266"/>
      <c r="DN8" s="266"/>
      <c r="DO8" s="266"/>
      <c r="DP8" s="266"/>
      <c r="DQ8" s="266" t="str">
        <f>CASE_E</f>
        <v>2019 GENERAL RATE CASE</v>
      </c>
      <c r="DR8" s="266"/>
      <c r="DS8" s="266"/>
      <c r="DT8" s="266"/>
      <c r="DU8" s="266"/>
      <c r="DV8" s="266"/>
      <c r="DW8" s="266"/>
      <c r="DX8" s="266"/>
      <c r="DY8" s="266" t="str">
        <f>CASE_E</f>
        <v>2019 GENERAL RATE CASE</v>
      </c>
      <c r="DZ8" s="266"/>
      <c r="EA8" s="266"/>
      <c r="EB8" s="266"/>
      <c r="EC8" s="266"/>
      <c r="ED8" s="266"/>
      <c r="EE8" s="266"/>
      <c r="EF8" s="266"/>
      <c r="EG8" s="266" t="str">
        <f>CASE_E</f>
        <v>2019 GENERAL RATE CASE</v>
      </c>
      <c r="EH8" s="266"/>
      <c r="EI8" s="266"/>
      <c r="EJ8" s="266"/>
      <c r="EK8" s="266"/>
      <c r="EL8" s="266"/>
      <c r="EM8" s="266"/>
      <c r="EN8" s="266"/>
      <c r="EO8" s="266" t="str">
        <f>CASE_E</f>
        <v>2019 GENERAL RATE CASE</v>
      </c>
      <c r="EP8" s="266"/>
      <c r="EQ8" s="266"/>
      <c r="ER8" s="266"/>
      <c r="ES8" s="266"/>
      <c r="ET8" s="266"/>
      <c r="EU8" s="266"/>
      <c r="EV8" s="266"/>
      <c r="EW8" s="266" t="str">
        <f>CASE_E</f>
        <v>2019 GENERAL RATE CASE</v>
      </c>
      <c r="EX8" s="266"/>
      <c r="EY8" s="266"/>
      <c r="EZ8" s="266"/>
      <c r="FA8" s="266"/>
      <c r="FB8" s="266"/>
      <c r="FC8" s="266"/>
      <c r="FD8" s="266"/>
      <c r="FE8" s="266" t="str">
        <f>CASE_E</f>
        <v>2019 GENERAL RATE CASE</v>
      </c>
      <c r="FF8" s="266"/>
      <c r="FG8" s="266"/>
      <c r="FH8" s="266"/>
      <c r="FI8" s="266"/>
      <c r="FJ8" s="266"/>
      <c r="FK8" s="266"/>
      <c r="FL8" s="266"/>
      <c r="FM8" s="266" t="str">
        <f>CASE_E</f>
        <v>2019 GENERAL RATE CASE</v>
      </c>
      <c r="FN8" s="266"/>
      <c r="FO8" s="266"/>
      <c r="FP8" s="266"/>
      <c r="FQ8" s="266"/>
      <c r="FR8" s="266"/>
      <c r="FS8" s="266"/>
      <c r="FT8" s="266"/>
      <c r="FU8" s="266" t="s">
        <v>456</v>
      </c>
      <c r="FV8" s="266"/>
      <c r="FW8" s="266"/>
      <c r="FX8" s="266"/>
      <c r="FY8" s="266"/>
      <c r="FZ8" s="266"/>
      <c r="GA8" s="266"/>
      <c r="GB8" s="266"/>
      <c r="GC8" s="266" t="s">
        <v>456</v>
      </c>
      <c r="GD8" s="266"/>
      <c r="GE8" s="266"/>
      <c r="GF8" s="266"/>
      <c r="GG8" s="266"/>
      <c r="GH8" s="266"/>
      <c r="GI8" s="266"/>
      <c r="GJ8" s="266"/>
      <c r="GK8" s="266" t="s">
        <v>456</v>
      </c>
      <c r="GL8" s="266"/>
      <c r="GM8" s="266"/>
      <c r="GN8" s="266"/>
      <c r="GO8" s="266"/>
      <c r="GP8" s="266"/>
      <c r="GQ8" s="266"/>
      <c r="GR8" s="266"/>
      <c r="GS8" s="266" t="s">
        <v>456</v>
      </c>
      <c r="GT8" s="266"/>
      <c r="GU8" s="266"/>
      <c r="GV8" s="266"/>
      <c r="GW8" s="266"/>
      <c r="GX8" s="266"/>
      <c r="GY8" s="266"/>
      <c r="GZ8" s="266"/>
      <c r="HA8" s="266" t="s">
        <v>456</v>
      </c>
      <c r="HB8" s="266"/>
      <c r="HC8" s="266"/>
      <c r="HD8" s="266"/>
      <c r="HE8" s="266"/>
      <c r="HF8" s="266"/>
      <c r="HG8" s="266"/>
      <c r="HH8" s="266"/>
      <c r="HI8" s="266" t="s">
        <v>456</v>
      </c>
      <c r="HJ8" s="266"/>
      <c r="HK8" s="266"/>
      <c r="HL8" s="266"/>
      <c r="HM8" s="266"/>
      <c r="HN8" s="266"/>
      <c r="HO8" s="266"/>
      <c r="HP8" s="266"/>
      <c r="HQ8" s="266" t="s">
        <v>456</v>
      </c>
      <c r="HR8" s="266"/>
      <c r="HS8" s="266"/>
      <c r="HT8" s="266"/>
      <c r="HU8" s="266"/>
      <c r="HV8" s="266"/>
      <c r="HW8" s="266"/>
      <c r="HX8" s="266"/>
    </row>
    <row r="9" spans="1:232" ht="13.8" thickBot="1">
      <c r="A9" s="264"/>
      <c r="B9" s="264"/>
      <c r="C9" s="264"/>
      <c r="D9" s="264"/>
      <c r="E9" s="264"/>
      <c r="F9" s="601">
        <f>+'SEF-4E p 2-7'!D9</f>
        <v>6.01</v>
      </c>
      <c r="G9" s="264"/>
      <c r="H9" s="600">
        <f>'SEF-4E p 2-7'!AH9</f>
        <v>6.01</v>
      </c>
      <c r="I9" s="264"/>
      <c r="J9" s="264"/>
      <c r="K9" s="264"/>
      <c r="L9" s="264"/>
      <c r="M9" s="264"/>
      <c r="N9" s="601">
        <f>+'SEF-4E p 2-7'!E9</f>
        <v>6.02</v>
      </c>
      <c r="O9" s="264"/>
      <c r="P9" s="600">
        <f>'SEF-4E p 2-7'!AI9</f>
        <v>6.02</v>
      </c>
      <c r="Q9" s="264"/>
      <c r="R9" s="264"/>
      <c r="S9" s="264"/>
      <c r="T9" s="264"/>
      <c r="U9" s="264"/>
      <c r="V9" s="601">
        <f>+'SEF-4E p 2-7'!F9</f>
        <v>6.0299999999999994</v>
      </c>
      <c r="W9" s="264"/>
      <c r="X9" s="600" t="s">
        <v>336</v>
      </c>
      <c r="Y9" s="264"/>
      <c r="Z9" s="264"/>
      <c r="AA9" s="264"/>
      <c r="AB9" s="264"/>
      <c r="AC9" s="264"/>
      <c r="AD9" s="601">
        <f>+'SEF-4E p 2-7'!G9</f>
        <v>6.0399999999999991</v>
      </c>
      <c r="AE9" s="264"/>
      <c r="AF9" s="600">
        <f>'SEF-4E p 2-7'!AJ9</f>
        <v>6.0399999999999991</v>
      </c>
      <c r="AG9" s="264"/>
      <c r="AH9" s="264"/>
      <c r="AI9" s="264"/>
      <c r="AJ9" s="264"/>
      <c r="AK9" s="264"/>
      <c r="AL9" s="601">
        <f>+'SEF-4E p 2-7'!H9</f>
        <v>6.0499999999999989</v>
      </c>
      <c r="AM9" s="264"/>
      <c r="AN9" s="601" t="s">
        <v>336</v>
      </c>
      <c r="AO9" s="264"/>
      <c r="AP9" s="264"/>
      <c r="AQ9" s="264"/>
      <c r="AR9" s="264"/>
      <c r="AS9" s="264"/>
      <c r="AT9" s="601">
        <f>+'SEF-4E p 2-7'!I9</f>
        <v>6.0599999999999987</v>
      </c>
      <c r="AU9" s="264"/>
      <c r="AV9" s="600" t="s">
        <v>336</v>
      </c>
      <c r="AW9" s="264"/>
      <c r="AX9" s="264"/>
      <c r="AY9" s="264"/>
      <c r="AZ9" s="264"/>
      <c r="BA9" s="264"/>
      <c r="BB9" s="601">
        <f>+'SEF-4E p 2-7'!J9</f>
        <v>6.0699999999999985</v>
      </c>
      <c r="BC9" s="264"/>
      <c r="BD9" s="600" t="s">
        <v>336</v>
      </c>
      <c r="BE9" s="264"/>
      <c r="BF9" s="264"/>
      <c r="BG9" s="264"/>
      <c r="BH9" s="264"/>
      <c r="BI9" s="264"/>
      <c r="BJ9" s="601">
        <f>+'SEF-4E p 2-7'!K9</f>
        <v>6.0799999999999983</v>
      </c>
      <c r="BK9" s="264"/>
      <c r="BL9" s="600" t="s">
        <v>336</v>
      </c>
      <c r="BM9" s="264"/>
      <c r="BN9" s="264"/>
      <c r="BO9" s="264"/>
      <c r="BP9" s="264"/>
      <c r="BQ9" s="264"/>
      <c r="BR9" s="601">
        <f>+'SEF-4E p 2-7'!L9</f>
        <v>6.0899999999999981</v>
      </c>
      <c r="BS9" s="264"/>
      <c r="BT9" s="600">
        <f>'SEF-4E p 2-7'!AK9</f>
        <v>6.0899999999999981</v>
      </c>
      <c r="BU9" s="264"/>
      <c r="BV9" s="264"/>
      <c r="BW9" s="264"/>
      <c r="BX9" s="264"/>
      <c r="BY9" s="264"/>
      <c r="BZ9" s="601">
        <f>+'SEF-4E p 2-7'!M9</f>
        <v>6.0999999999999979</v>
      </c>
      <c r="CA9" s="264"/>
      <c r="CB9" s="600">
        <f>'SEF-4E p 2-7'!AL9</f>
        <v>6.0999999999999979</v>
      </c>
      <c r="CC9" s="264"/>
      <c r="CD9" s="264"/>
      <c r="CE9" s="264"/>
      <c r="CF9" s="264"/>
      <c r="CG9" s="264"/>
      <c r="CH9" s="601">
        <f>+'SEF-4E p 2-7'!N9</f>
        <v>6.1099999999999977</v>
      </c>
      <c r="CI9" s="264"/>
      <c r="CJ9" s="600" t="s">
        <v>336</v>
      </c>
      <c r="CK9" s="264"/>
      <c r="CL9" s="264"/>
      <c r="CM9" s="264"/>
      <c r="CN9" s="264"/>
      <c r="CO9" s="264"/>
      <c r="CP9" s="601">
        <f>+'SEF-4E p 2-7'!O9</f>
        <v>6.1199999999999974</v>
      </c>
      <c r="CQ9" s="264"/>
      <c r="CR9" s="600" t="s">
        <v>336</v>
      </c>
      <c r="CS9" s="264"/>
      <c r="CT9" s="264"/>
      <c r="CU9" s="264"/>
      <c r="CV9" s="264"/>
      <c r="CW9" s="264"/>
      <c r="CX9" s="601">
        <f>+'SEF-4E p 2-7'!P9</f>
        <v>6.1299999999999972</v>
      </c>
      <c r="CY9" s="264"/>
      <c r="CZ9" s="600" t="s">
        <v>336</v>
      </c>
      <c r="DA9" s="264"/>
      <c r="DB9" s="264"/>
      <c r="DC9" s="264"/>
      <c r="DD9" s="264"/>
      <c r="DE9" s="264"/>
      <c r="DF9" s="601">
        <f>+'SEF-4E p 2-7'!Q9</f>
        <v>6.14</v>
      </c>
      <c r="DG9" s="264"/>
      <c r="DH9" s="600">
        <f>'SEF-4E p 2-7'!AM9</f>
        <v>6.14</v>
      </c>
      <c r="DI9" s="264"/>
      <c r="DJ9" s="264"/>
      <c r="DK9" s="264"/>
      <c r="DL9" s="264"/>
      <c r="DM9" s="264"/>
      <c r="DN9" s="601">
        <f>'SEF-4E p 2-7'!R9</f>
        <v>6.15</v>
      </c>
      <c r="DO9" s="264"/>
      <c r="DP9" s="600">
        <f>'SEF-4E p 2-7'!AN9</f>
        <v>6.15</v>
      </c>
      <c r="DQ9" s="264"/>
      <c r="DR9" s="264"/>
      <c r="DS9" s="264"/>
      <c r="DT9" s="264"/>
      <c r="DU9" s="264"/>
      <c r="DV9" s="601">
        <f>'SEF-4E p 2-7'!S9</f>
        <v>6.16</v>
      </c>
      <c r="DW9" s="264"/>
      <c r="DX9" s="600">
        <f>'SEF-4E p 2-7'!AO9</f>
        <v>6.16</v>
      </c>
      <c r="DY9" s="264"/>
      <c r="DZ9" s="264"/>
      <c r="EA9" s="264"/>
      <c r="EB9" s="264"/>
      <c r="EC9" s="264"/>
      <c r="ED9" s="601">
        <f>'SEF-4E p 2-7'!T9</f>
        <v>6.17</v>
      </c>
      <c r="EE9" s="264"/>
      <c r="EF9" s="600">
        <f>'SEF-4E p 2-7'!AP9</f>
        <v>6.17</v>
      </c>
      <c r="EJ9" s="264"/>
      <c r="EK9" s="264"/>
      <c r="EL9" s="601">
        <f>'SEF-4E p 2-7'!U9</f>
        <v>6.18</v>
      </c>
      <c r="EM9" s="264"/>
      <c r="EN9" s="600" t="s">
        <v>336</v>
      </c>
      <c r="ER9" s="264"/>
      <c r="ES9" s="264"/>
      <c r="ET9" s="601">
        <f>'SEF-4E p 2-7'!V9</f>
        <v>6.1899999999999995</v>
      </c>
      <c r="EU9" s="264"/>
      <c r="EV9" s="600" t="s">
        <v>336</v>
      </c>
      <c r="EW9" s="264"/>
      <c r="EX9" s="264"/>
      <c r="EY9" s="264"/>
      <c r="EZ9" s="264"/>
      <c r="FA9" s="264"/>
      <c r="FB9" s="601" t="s">
        <v>336</v>
      </c>
      <c r="FC9" s="264"/>
      <c r="FD9" s="600">
        <f>'SEF-4E p 2-7'!AQ9</f>
        <v>6.2</v>
      </c>
      <c r="FE9" s="264"/>
      <c r="FF9" s="264"/>
      <c r="FG9" s="264"/>
      <c r="FH9" s="264"/>
      <c r="FI9" s="264"/>
      <c r="FJ9" s="601" t="s">
        <v>336</v>
      </c>
      <c r="FK9" s="264"/>
      <c r="FL9" s="600">
        <f>'SEF-4E p 2-7'!AR9</f>
        <v>6.21</v>
      </c>
      <c r="FM9" s="264"/>
      <c r="FN9" s="264"/>
      <c r="FO9" s="264"/>
      <c r="FP9" s="264"/>
      <c r="FQ9" s="264"/>
      <c r="FR9" s="601" t="s">
        <v>336</v>
      </c>
      <c r="FS9" s="264"/>
      <c r="FT9" s="600">
        <f>'SEF-4E p 2-7'!AS9</f>
        <v>6.22</v>
      </c>
      <c r="FZ9" s="601">
        <f>'SEF-4E p 2-7'!W9</f>
        <v>6.23</v>
      </c>
      <c r="GA9" s="264"/>
      <c r="GB9" s="600">
        <f>'SEF-4E p 2-7'!AT9</f>
        <v>6.2299999999999995</v>
      </c>
      <c r="GH9" s="601" t="s">
        <v>336</v>
      </c>
      <c r="GI9" s="264"/>
      <c r="GJ9" s="600">
        <f>'SEF-4E p 2-7'!AU9</f>
        <v>6.2399999999999993</v>
      </c>
      <c r="GP9" s="601" t="s">
        <v>336</v>
      </c>
      <c r="GR9" s="600">
        <f>'SEF-4E p 2-7'!AV9</f>
        <v>6.2499999999999991</v>
      </c>
      <c r="GX9" s="601" t="s">
        <v>336</v>
      </c>
      <c r="GZ9" s="600">
        <f>'SEF-4E p 2-7'!AW9</f>
        <v>6.2599999999999989</v>
      </c>
      <c r="HF9" s="601" t="s">
        <v>336</v>
      </c>
      <c r="HH9" s="600">
        <f>'SEF-4E p 2-7'!AX9</f>
        <v>6.2699999999999987</v>
      </c>
      <c r="HN9" s="601" t="s">
        <v>336</v>
      </c>
      <c r="HP9" s="600">
        <f>'SEF-4E p 2-7'!AY9</f>
        <v>6.2799999999999985</v>
      </c>
      <c r="HV9" s="601" t="s">
        <v>336</v>
      </c>
      <c r="HX9" s="600">
        <f>'SEF-4E p 2-7'!AZ9</f>
        <v>6.2899999999999983</v>
      </c>
    </row>
    <row r="10" spans="1:232">
      <c r="C10" s="598"/>
      <c r="D10" s="295" t="s">
        <v>455</v>
      </c>
      <c r="E10" s="595"/>
      <c r="F10" s="586" t="s">
        <v>96</v>
      </c>
      <c r="G10" s="595"/>
      <c r="H10" s="586" t="s">
        <v>91</v>
      </c>
      <c r="I10" s="599"/>
      <c r="J10" s="598"/>
      <c r="K10" s="598"/>
      <c r="L10" s="295" t="s">
        <v>455</v>
      </c>
      <c r="M10" s="595"/>
      <c r="N10" s="586" t="s">
        <v>96</v>
      </c>
      <c r="O10" s="595"/>
      <c r="P10" s="586" t="s">
        <v>91</v>
      </c>
      <c r="S10" s="598"/>
      <c r="T10" s="295" t="s">
        <v>455</v>
      </c>
      <c r="U10" s="595"/>
      <c r="V10" s="586" t="s">
        <v>96</v>
      </c>
      <c r="W10" s="595"/>
      <c r="X10" s="586" t="s">
        <v>91</v>
      </c>
      <c r="Y10" s="599"/>
      <c r="Z10" s="598"/>
      <c r="AA10" s="598"/>
      <c r="AB10" s="295" t="s">
        <v>455</v>
      </c>
      <c r="AC10" s="595"/>
      <c r="AD10" s="586" t="s">
        <v>96</v>
      </c>
      <c r="AE10" s="595"/>
      <c r="AF10" s="586" t="s">
        <v>91</v>
      </c>
      <c r="AI10" s="598"/>
      <c r="AJ10" s="295" t="s">
        <v>455</v>
      </c>
      <c r="AK10" s="595"/>
      <c r="AL10" s="586" t="s">
        <v>96</v>
      </c>
      <c r="AM10" s="595"/>
      <c r="AN10" s="586" t="s">
        <v>91</v>
      </c>
      <c r="AO10" s="599"/>
      <c r="AP10" s="598"/>
      <c r="AQ10" s="598"/>
      <c r="AR10" s="295" t="s">
        <v>455</v>
      </c>
      <c r="AS10" s="595"/>
      <c r="AT10" s="586" t="s">
        <v>96</v>
      </c>
      <c r="AU10" s="595"/>
      <c r="AV10" s="586" t="s">
        <v>91</v>
      </c>
      <c r="AX10" s="588"/>
      <c r="AY10" s="598"/>
      <c r="AZ10" s="295" t="s">
        <v>455</v>
      </c>
      <c r="BA10" s="595"/>
      <c r="BB10" s="586" t="s">
        <v>96</v>
      </c>
      <c r="BC10" s="595"/>
      <c r="BD10" s="586" t="s">
        <v>91</v>
      </c>
      <c r="BG10" s="596"/>
      <c r="BH10" s="295" t="s">
        <v>455</v>
      </c>
      <c r="BI10" s="595"/>
      <c r="BJ10" s="586" t="s">
        <v>96</v>
      </c>
      <c r="BK10" s="595"/>
      <c r="BL10" s="586" t="s">
        <v>91</v>
      </c>
      <c r="BM10" s="587"/>
      <c r="BN10" s="596"/>
      <c r="BO10" s="596"/>
      <c r="BP10" s="295" t="s">
        <v>455</v>
      </c>
      <c r="BQ10" s="595"/>
      <c r="BR10" s="586" t="s">
        <v>96</v>
      </c>
      <c r="BS10" s="595"/>
      <c r="BT10" s="586" t="s">
        <v>91</v>
      </c>
      <c r="BW10" s="596"/>
      <c r="BX10" s="295" t="s">
        <v>455</v>
      </c>
      <c r="BY10" s="595"/>
      <c r="BZ10" s="586" t="s">
        <v>96</v>
      </c>
      <c r="CA10" s="595"/>
      <c r="CB10" s="586" t="s">
        <v>91</v>
      </c>
      <c r="CE10" s="596"/>
      <c r="CF10" s="295" t="s">
        <v>455</v>
      </c>
      <c r="CG10" s="595"/>
      <c r="CH10" s="586" t="s">
        <v>96</v>
      </c>
      <c r="CI10" s="595"/>
      <c r="CJ10" s="586" t="s">
        <v>91</v>
      </c>
      <c r="CM10" s="596"/>
      <c r="CN10" s="295" t="s">
        <v>455</v>
      </c>
      <c r="CO10" s="595"/>
      <c r="CP10" s="586" t="s">
        <v>96</v>
      </c>
      <c r="CQ10" s="595"/>
      <c r="CR10" s="586" t="s">
        <v>91</v>
      </c>
      <c r="CU10" s="596"/>
      <c r="CV10" s="295" t="s">
        <v>455</v>
      </c>
      <c r="CW10" s="595"/>
      <c r="CX10" s="586" t="s">
        <v>96</v>
      </c>
      <c r="CY10" s="595"/>
      <c r="CZ10" s="586" t="s">
        <v>91</v>
      </c>
      <c r="DC10" s="596"/>
      <c r="DD10" s="295" t="s">
        <v>455</v>
      </c>
      <c r="DE10" s="595"/>
      <c r="DF10" s="586" t="s">
        <v>96</v>
      </c>
      <c r="DG10" s="595"/>
      <c r="DH10" s="586" t="s">
        <v>91</v>
      </c>
      <c r="DI10" s="591"/>
      <c r="DJ10" s="597"/>
      <c r="DK10" s="596"/>
      <c r="DL10" s="295" t="s">
        <v>455</v>
      </c>
      <c r="DM10" s="595"/>
      <c r="DN10" s="586" t="s">
        <v>96</v>
      </c>
      <c r="DO10" s="595"/>
      <c r="DP10" s="586" t="s">
        <v>91</v>
      </c>
      <c r="DQ10" s="591"/>
      <c r="DR10" s="597"/>
      <c r="DS10" s="596"/>
      <c r="DT10" s="295" t="s">
        <v>455</v>
      </c>
      <c r="DU10" s="595"/>
      <c r="DV10" s="586" t="s">
        <v>96</v>
      </c>
      <c r="DW10" s="595"/>
      <c r="DX10" s="586" t="s">
        <v>91</v>
      </c>
      <c r="EB10" s="295" t="s">
        <v>455</v>
      </c>
      <c r="EC10" s="595"/>
      <c r="ED10" s="586" t="s">
        <v>96</v>
      </c>
      <c r="EE10" s="595"/>
      <c r="EF10" s="586" t="s">
        <v>91</v>
      </c>
      <c r="EG10" s="298"/>
      <c r="EJ10" s="295" t="s">
        <v>455</v>
      </c>
      <c r="EK10" s="595"/>
      <c r="EL10" s="586" t="s">
        <v>96</v>
      </c>
      <c r="EM10" s="595"/>
      <c r="EN10" s="586" t="s">
        <v>91</v>
      </c>
      <c r="ER10" s="295" t="s">
        <v>455</v>
      </c>
      <c r="ES10" s="595"/>
      <c r="ET10" s="586" t="s">
        <v>96</v>
      </c>
      <c r="EU10" s="595"/>
      <c r="EV10" s="586" t="s">
        <v>91</v>
      </c>
      <c r="EY10" s="596"/>
      <c r="EZ10" s="295" t="s">
        <v>455</v>
      </c>
      <c r="FA10" s="595"/>
      <c r="FB10" s="586" t="s">
        <v>96</v>
      </c>
      <c r="FC10" s="595"/>
      <c r="FD10" s="586" t="s">
        <v>91</v>
      </c>
      <c r="FE10" s="298"/>
      <c r="FF10" s="298"/>
      <c r="FH10" s="295" t="s">
        <v>455</v>
      </c>
      <c r="FI10" s="595"/>
      <c r="FJ10" s="586" t="s">
        <v>96</v>
      </c>
      <c r="FK10" s="595"/>
      <c r="FL10" s="586" t="s">
        <v>91</v>
      </c>
      <c r="FO10" s="596"/>
      <c r="FP10" s="295" t="s">
        <v>455</v>
      </c>
      <c r="FQ10" s="595"/>
      <c r="FR10" s="586" t="s">
        <v>96</v>
      </c>
      <c r="FS10" s="595"/>
      <c r="FT10" s="586" t="s">
        <v>91</v>
      </c>
      <c r="FW10" s="596"/>
      <c r="FX10" s="295" t="s">
        <v>455</v>
      </c>
      <c r="FY10" s="595"/>
      <c r="FZ10" s="586" t="s">
        <v>96</v>
      </c>
      <c r="GA10" s="595"/>
      <c r="GB10" s="586" t="s">
        <v>91</v>
      </c>
      <c r="GE10" s="596"/>
      <c r="GF10" s="295" t="s">
        <v>455</v>
      </c>
      <c r="GG10" s="595"/>
      <c r="GH10" s="586" t="s">
        <v>96</v>
      </c>
      <c r="GI10" s="595"/>
      <c r="GJ10" s="586" t="s">
        <v>91</v>
      </c>
      <c r="GM10" s="596"/>
      <c r="GN10" s="295" t="s">
        <v>455</v>
      </c>
      <c r="GO10" s="595"/>
      <c r="GP10" s="586" t="s">
        <v>96</v>
      </c>
      <c r="GQ10" s="595"/>
      <c r="GR10" s="586" t="s">
        <v>91</v>
      </c>
      <c r="GU10" s="596"/>
      <c r="GV10" s="295" t="s">
        <v>455</v>
      </c>
      <c r="GW10" s="595"/>
      <c r="GX10" s="586" t="s">
        <v>96</v>
      </c>
      <c r="GY10" s="595"/>
      <c r="GZ10" s="586" t="s">
        <v>91</v>
      </c>
      <c r="HC10" s="596"/>
      <c r="HD10" s="295" t="s">
        <v>455</v>
      </c>
      <c r="HE10" s="595"/>
      <c r="HF10" s="586" t="s">
        <v>96</v>
      </c>
      <c r="HG10" s="595"/>
      <c r="HH10" s="586" t="s">
        <v>91</v>
      </c>
      <c r="HK10" s="596"/>
      <c r="HL10" s="295" t="s">
        <v>455</v>
      </c>
      <c r="HM10" s="595"/>
      <c r="HN10" s="586" t="s">
        <v>96</v>
      </c>
      <c r="HO10" s="595"/>
      <c r="HP10" s="586" t="s">
        <v>91</v>
      </c>
      <c r="HS10" s="596"/>
      <c r="HT10" s="295" t="s">
        <v>455</v>
      </c>
      <c r="HU10" s="595"/>
      <c r="HV10" s="586" t="s">
        <v>96</v>
      </c>
      <c r="HW10" s="595"/>
      <c r="HX10" s="586" t="s">
        <v>91</v>
      </c>
    </row>
    <row r="11" spans="1:232">
      <c r="A11" s="334" t="s">
        <v>26</v>
      </c>
      <c r="C11" s="588"/>
      <c r="D11" s="586" t="s">
        <v>97</v>
      </c>
      <c r="E11" s="586" t="s">
        <v>96</v>
      </c>
      <c r="F11" s="586" t="s">
        <v>454</v>
      </c>
      <c r="G11" s="586" t="s">
        <v>91</v>
      </c>
      <c r="H11" s="586" t="s">
        <v>454</v>
      </c>
      <c r="I11" s="334" t="s">
        <v>26</v>
      </c>
      <c r="J11" s="588"/>
      <c r="K11" s="588"/>
      <c r="L11" s="586" t="s">
        <v>97</v>
      </c>
      <c r="M11" s="586" t="s">
        <v>96</v>
      </c>
      <c r="N11" s="586" t="s">
        <v>454</v>
      </c>
      <c r="O11" s="586" t="s">
        <v>91</v>
      </c>
      <c r="P11" s="586" t="s">
        <v>454</v>
      </c>
      <c r="Q11" s="334" t="s">
        <v>26</v>
      </c>
      <c r="S11" s="588"/>
      <c r="T11" s="586" t="s">
        <v>97</v>
      </c>
      <c r="U11" s="586" t="s">
        <v>96</v>
      </c>
      <c r="V11" s="586" t="s">
        <v>454</v>
      </c>
      <c r="W11" s="586" t="s">
        <v>91</v>
      </c>
      <c r="X11" s="586" t="s">
        <v>454</v>
      </c>
      <c r="Y11" s="334" t="s">
        <v>26</v>
      </c>
      <c r="Z11" s="588"/>
      <c r="AA11" s="588"/>
      <c r="AB11" s="586" t="s">
        <v>97</v>
      </c>
      <c r="AC11" s="586" t="s">
        <v>96</v>
      </c>
      <c r="AD11" s="586" t="s">
        <v>454</v>
      </c>
      <c r="AE11" s="586" t="s">
        <v>91</v>
      </c>
      <c r="AF11" s="586" t="s">
        <v>454</v>
      </c>
      <c r="AG11" s="334" t="s">
        <v>26</v>
      </c>
      <c r="AI11" s="588"/>
      <c r="AJ11" s="586" t="s">
        <v>97</v>
      </c>
      <c r="AK11" s="586" t="s">
        <v>96</v>
      </c>
      <c r="AL11" s="586" t="s">
        <v>454</v>
      </c>
      <c r="AM11" s="586" t="s">
        <v>91</v>
      </c>
      <c r="AN11" s="586" t="s">
        <v>454</v>
      </c>
      <c r="AO11" s="334" t="s">
        <v>26</v>
      </c>
      <c r="AP11" s="588"/>
      <c r="AQ11" s="588"/>
      <c r="AR11" s="586" t="s">
        <v>97</v>
      </c>
      <c r="AS11" s="586" t="s">
        <v>96</v>
      </c>
      <c r="AT11" s="586" t="s">
        <v>454</v>
      </c>
      <c r="AU11" s="586" t="s">
        <v>91</v>
      </c>
      <c r="AV11" s="586" t="s">
        <v>454</v>
      </c>
      <c r="AW11" s="592" t="s">
        <v>26</v>
      </c>
      <c r="AX11" s="592"/>
      <c r="AY11" s="588"/>
      <c r="AZ11" s="586" t="s">
        <v>97</v>
      </c>
      <c r="BA11" s="586" t="s">
        <v>96</v>
      </c>
      <c r="BB11" s="586" t="s">
        <v>454</v>
      </c>
      <c r="BC11" s="586" t="s">
        <v>91</v>
      </c>
      <c r="BD11" s="586" t="s">
        <v>454</v>
      </c>
      <c r="BE11" s="592" t="s">
        <v>26</v>
      </c>
      <c r="BF11" s="592"/>
      <c r="BG11" s="587"/>
      <c r="BH11" s="586" t="s">
        <v>97</v>
      </c>
      <c r="BI11" s="586" t="s">
        <v>96</v>
      </c>
      <c r="BJ11" s="586" t="s">
        <v>454</v>
      </c>
      <c r="BK11" s="586" t="s">
        <v>91</v>
      </c>
      <c r="BL11" s="586" t="s">
        <v>454</v>
      </c>
      <c r="BM11" s="572" t="s">
        <v>26</v>
      </c>
      <c r="BN11" s="587"/>
      <c r="BO11" s="587"/>
      <c r="BP11" s="586" t="s">
        <v>97</v>
      </c>
      <c r="BQ11" s="586" t="s">
        <v>96</v>
      </c>
      <c r="BR11" s="586" t="s">
        <v>454</v>
      </c>
      <c r="BS11" s="586" t="s">
        <v>91</v>
      </c>
      <c r="BT11" s="586" t="s">
        <v>454</v>
      </c>
      <c r="BU11" s="334" t="s">
        <v>26</v>
      </c>
      <c r="BW11" s="587"/>
      <c r="BX11" s="586" t="s">
        <v>97</v>
      </c>
      <c r="BY11" s="586" t="s">
        <v>96</v>
      </c>
      <c r="BZ11" s="586" t="s">
        <v>454</v>
      </c>
      <c r="CA11" s="586" t="s">
        <v>91</v>
      </c>
      <c r="CB11" s="586" t="s">
        <v>454</v>
      </c>
      <c r="CC11" s="334" t="s">
        <v>26</v>
      </c>
      <c r="CD11" s="594"/>
      <c r="CE11" s="587"/>
      <c r="CF11" s="586" t="s">
        <v>97</v>
      </c>
      <c r="CG11" s="586" t="s">
        <v>96</v>
      </c>
      <c r="CH11" s="586" t="s">
        <v>454</v>
      </c>
      <c r="CI11" s="586" t="s">
        <v>91</v>
      </c>
      <c r="CJ11" s="586" t="s">
        <v>454</v>
      </c>
      <c r="CK11" s="334" t="s">
        <v>26</v>
      </c>
      <c r="CL11" s="588"/>
      <c r="CM11" s="587"/>
      <c r="CN11" s="586" t="s">
        <v>97</v>
      </c>
      <c r="CO11" s="586" t="s">
        <v>96</v>
      </c>
      <c r="CP11" s="586" t="s">
        <v>454</v>
      </c>
      <c r="CQ11" s="586" t="s">
        <v>91</v>
      </c>
      <c r="CR11" s="586" t="s">
        <v>454</v>
      </c>
      <c r="CS11" s="334" t="s">
        <v>26</v>
      </c>
      <c r="CT11" s="588"/>
      <c r="CU11" s="587"/>
      <c r="CV11" s="586" t="s">
        <v>97</v>
      </c>
      <c r="CW11" s="586" t="s">
        <v>96</v>
      </c>
      <c r="CX11" s="586" t="s">
        <v>454</v>
      </c>
      <c r="CY11" s="586" t="s">
        <v>91</v>
      </c>
      <c r="CZ11" s="586" t="s">
        <v>454</v>
      </c>
      <c r="DA11" s="593" t="s">
        <v>26</v>
      </c>
      <c r="DB11" s="590"/>
      <c r="DC11" s="587"/>
      <c r="DD11" s="586" t="s">
        <v>97</v>
      </c>
      <c r="DE11" s="586" t="s">
        <v>96</v>
      </c>
      <c r="DF11" s="586" t="s">
        <v>454</v>
      </c>
      <c r="DG11" s="586" t="s">
        <v>91</v>
      </c>
      <c r="DH11" s="586" t="s">
        <v>454</v>
      </c>
      <c r="DI11" s="592" t="s">
        <v>26</v>
      </c>
      <c r="DJ11" s="591"/>
      <c r="DK11" s="587"/>
      <c r="DL11" s="586" t="s">
        <v>97</v>
      </c>
      <c r="DM11" s="586" t="s">
        <v>96</v>
      </c>
      <c r="DN11" s="586" t="s">
        <v>454</v>
      </c>
      <c r="DO11" s="586" t="s">
        <v>91</v>
      </c>
      <c r="DP11" s="586" t="s">
        <v>454</v>
      </c>
      <c r="DQ11" s="592" t="s">
        <v>26</v>
      </c>
      <c r="DR11" s="591"/>
      <c r="DS11" s="587"/>
      <c r="DT11" s="586" t="s">
        <v>97</v>
      </c>
      <c r="DU11" s="586" t="s">
        <v>96</v>
      </c>
      <c r="DV11" s="586" t="s">
        <v>454</v>
      </c>
      <c r="DW11" s="586" t="s">
        <v>91</v>
      </c>
      <c r="DX11" s="586" t="s">
        <v>454</v>
      </c>
      <c r="DY11" s="262" t="s">
        <v>26</v>
      </c>
      <c r="DZ11" s="588"/>
      <c r="EA11" s="588"/>
      <c r="EB11" s="586" t="s">
        <v>97</v>
      </c>
      <c r="EC11" s="586" t="s">
        <v>96</v>
      </c>
      <c r="ED11" s="586" t="s">
        <v>454</v>
      </c>
      <c r="EE11" s="586" t="s">
        <v>91</v>
      </c>
      <c r="EF11" s="586" t="s">
        <v>454</v>
      </c>
      <c r="EG11" s="586" t="s">
        <v>26</v>
      </c>
      <c r="EH11" s="590"/>
      <c r="EI11" s="590"/>
      <c r="EJ11" s="586" t="s">
        <v>97</v>
      </c>
      <c r="EK11" s="586" t="s">
        <v>96</v>
      </c>
      <c r="EL11" s="586" t="s">
        <v>454</v>
      </c>
      <c r="EM11" s="586" t="s">
        <v>91</v>
      </c>
      <c r="EN11" s="586" t="s">
        <v>454</v>
      </c>
      <c r="EO11" s="586" t="s">
        <v>26</v>
      </c>
      <c r="EQ11" s="590"/>
      <c r="ER11" s="586" t="s">
        <v>97</v>
      </c>
      <c r="ES11" s="586" t="s">
        <v>96</v>
      </c>
      <c r="ET11" s="586" t="s">
        <v>454</v>
      </c>
      <c r="EU11" s="586" t="s">
        <v>91</v>
      </c>
      <c r="EV11" s="586" t="s">
        <v>454</v>
      </c>
      <c r="EW11" s="334" t="s">
        <v>26</v>
      </c>
      <c r="EX11" s="588"/>
      <c r="EY11" s="587"/>
      <c r="EZ11" s="586" t="s">
        <v>97</v>
      </c>
      <c r="FA11" s="586" t="s">
        <v>96</v>
      </c>
      <c r="FB11" s="586" t="s">
        <v>454</v>
      </c>
      <c r="FC11" s="586" t="s">
        <v>91</v>
      </c>
      <c r="FD11" s="586" t="s">
        <v>454</v>
      </c>
      <c r="FE11" s="586" t="s">
        <v>26</v>
      </c>
      <c r="FF11" s="589"/>
      <c r="FG11" s="588"/>
      <c r="FH11" s="586" t="s">
        <v>97</v>
      </c>
      <c r="FI11" s="586" t="s">
        <v>96</v>
      </c>
      <c r="FJ11" s="586" t="s">
        <v>454</v>
      </c>
      <c r="FK11" s="586" t="s">
        <v>91</v>
      </c>
      <c r="FL11" s="586" t="s">
        <v>454</v>
      </c>
      <c r="FM11" s="334" t="s">
        <v>26</v>
      </c>
      <c r="FN11" s="588"/>
      <c r="FO11" s="587"/>
      <c r="FP11" s="586" t="s">
        <v>97</v>
      </c>
      <c r="FQ11" s="586" t="s">
        <v>96</v>
      </c>
      <c r="FR11" s="586" t="s">
        <v>454</v>
      </c>
      <c r="FS11" s="586" t="s">
        <v>91</v>
      </c>
      <c r="FT11" s="586" t="s">
        <v>454</v>
      </c>
      <c r="FU11" s="334" t="s">
        <v>26</v>
      </c>
      <c r="FV11" s="588"/>
      <c r="FW11" s="587"/>
      <c r="FX11" s="586" t="s">
        <v>97</v>
      </c>
      <c r="FY11" s="586" t="s">
        <v>96</v>
      </c>
      <c r="FZ11" s="586" t="s">
        <v>454</v>
      </c>
      <c r="GA11" s="586" t="s">
        <v>91</v>
      </c>
      <c r="GB11" s="586" t="s">
        <v>454</v>
      </c>
      <c r="GC11" s="334" t="s">
        <v>26</v>
      </c>
      <c r="GD11" s="588"/>
      <c r="GE11" s="587"/>
      <c r="GF11" s="586" t="s">
        <v>97</v>
      </c>
      <c r="GG11" s="586" t="s">
        <v>96</v>
      </c>
      <c r="GH11" s="586" t="s">
        <v>454</v>
      </c>
      <c r="GI11" s="586" t="s">
        <v>91</v>
      </c>
      <c r="GJ11" s="586" t="s">
        <v>454</v>
      </c>
      <c r="GK11" s="334" t="s">
        <v>26</v>
      </c>
      <c r="GL11" s="588"/>
      <c r="GM11" s="587"/>
      <c r="GN11" s="586" t="s">
        <v>97</v>
      </c>
      <c r="GO11" s="586" t="s">
        <v>96</v>
      </c>
      <c r="GP11" s="586" t="s">
        <v>454</v>
      </c>
      <c r="GQ11" s="586" t="s">
        <v>91</v>
      </c>
      <c r="GR11" s="586" t="s">
        <v>454</v>
      </c>
      <c r="GS11" s="334" t="s">
        <v>26</v>
      </c>
      <c r="GT11" s="588"/>
      <c r="GU11" s="587"/>
      <c r="GV11" s="586" t="s">
        <v>97</v>
      </c>
      <c r="GW11" s="586" t="s">
        <v>96</v>
      </c>
      <c r="GX11" s="586" t="s">
        <v>454</v>
      </c>
      <c r="GY11" s="586" t="s">
        <v>91</v>
      </c>
      <c r="GZ11" s="586" t="s">
        <v>454</v>
      </c>
      <c r="HA11" s="334" t="s">
        <v>26</v>
      </c>
      <c r="HB11" s="588"/>
      <c r="HC11" s="587"/>
      <c r="HD11" s="586" t="s">
        <v>97</v>
      </c>
      <c r="HE11" s="586" t="s">
        <v>96</v>
      </c>
      <c r="HF11" s="586" t="s">
        <v>454</v>
      </c>
      <c r="HG11" s="586" t="s">
        <v>91</v>
      </c>
      <c r="HH11" s="586" t="s">
        <v>454</v>
      </c>
      <c r="HI11" s="334" t="s">
        <v>26</v>
      </c>
      <c r="HJ11" s="588"/>
      <c r="HK11" s="587"/>
      <c r="HL11" s="586" t="s">
        <v>97</v>
      </c>
      <c r="HM11" s="586" t="s">
        <v>96</v>
      </c>
      <c r="HN11" s="586" t="s">
        <v>454</v>
      </c>
      <c r="HO11" s="586" t="s">
        <v>91</v>
      </c>
      <c r="HP11" s="586" t="s">
        <v>454</v>
      </c>
      <c r="HQ11" s="334" t="s">
        <v>26</v>
      </c>
      <c r="HR11" s="588"/>
      <c r="HS11" s="587"/>
      <c r="HT11" s="586" t="s">
        <v>97</v>
      </c>
      <c r="HU11" s="586" t="s">
        <v>96</v>
      </c>
      <c r="HV11" s="586" t="s">
        <v>454</v>
      </c>
      <c r="HW11" s="586" t="s">
        <v>91</v>
      </c>
      <c r="HX11" s="586" t="s">
        <v>454</v>
      </c>
    </row>
    <row r="12" spans="1:232" ht="13.8">
      <c r="A12" s="575" t="s">
        <v>23</v>
      </c>
      <c r="B12" s="578" t="s">
        <v>22</v>
      </c>
      <c r="C12" s="583" t="s">
        <v>453</v>
      </c>
      <c r="D12" s="580" t="s">
        <v>452</v>
      </c>
      <c r="E12" s="575" t="s">
        <v>451</v>
      </c>
      <c r="F12" s="580" t="s">
        <v>450</v>
      </c>
      <c r="G12" s="575" t="s">
        <v>449</v>
      </c>
      <c r="H12" s="580" t="s">
        <v>448</v>
      </c>
      <c r="I12" s="260" t="s">
        <v>23</v>
      </c>
      <c r="J12" s="578" t="s">
        <v>22</v>
      </c>
      <c r="K12" s="583" t="s">
        <v>453</v>
      </c>
      <c r="L12" s="261" t="s">
        <v>452</v>
      </c>
      <c r="M12" s="575" t="s">
        <v>451</v>
      </c>
      <c r="N12" s="261" t="s">
        <v>450</v>
      </c>
      <c r="O12" s="575" t="s">
        <v>449</v>
      </c>
      <c r="P12" s="261" t="s">
        <v>448</v>
      </c>
      <c r="Q12" s="575" t="s">
        <v>23</v>
      </c>
      <c r="R12" s="578" t="s">
        <v>22</v>
      </c>
      <c r="S12" s="583" t="s">
        <v>453</v>
      </c>
      <c r="T12" s="261" t="s">
        <v>452</v>
      </c>
      <c r="U12" s="575" t="s">
        <v>451</v>
      </c>
      <c r="V12" s="261" t="s">
        <v>450</v>
      </c>
      <c r="W12" s="575" t="s">
        <v>449</v>
      </c>
      <c r="X12" s="261" t="s">
        <v>448</v>
      </c>
      <c r="Y12" s="260" t="s">
        <v>23</v>
      </c>
      <c r="Z12" s="578" t="s">
        <v>22</v>
      </c>
      <c r="AA12" s="583" t="s">
        <v>453</v>
      </c>
      <c r="AB12" s="261" t="s">
        <v>452</v>
      </c>
      <c r="AC12" s="575" t="s">
        <v>451</v>
      </c>
      <c r="AD12" s="261" t="s">
        <v>450</v>
      </c>
      <c r="AE12" s="575" t="s">
        <v>449</v>
      </c>
      <c r="AF12" s="261" t="s">
        <v>448</v>
      </c>
      <c r="AG12" s="575" t="s">
        <v>23</v>
      </c>
      <c r="AH12" s="585" t="s">
        <v>22</v>
      </c>
      <c r="AI12" s="583" t="s">
        <v>453</v>
      </c>
      <c r="AJ12" s="261" t="s">
        <v>452</v>
      </c>
      <c r="AK12" s="575" t="s">
        <v>451</v>
      </c>
      <c r="AL12" s="261" t="s">
        <v>450</v>
      </c>
      <c r="AM12" s="575" t="s">
        <v>449</v>
      </c>
      <c r="AN12" s="261" t="s">
        <v>448</v>
      </c>
      <c r="AO12" s="260" t="s">
        <v>23</v>
      </c>
      <c r="AP12" s="584" t="s">
        <v>22</v>
      </c>
      <c r="AQ12" s="583" t="s">
        <v>453</v>
      </c>
      <c r="AR12" s="261" t="s">
        <v>452</v>
      </c>
      <c r="AS12" s="575" t="s">
        <v>451</v>
      </c>
      <c r="AT12" s="261" t="s">
        <v>450</v>
      </c>
      <c r="AU12" s="575" t="s">
        <v>449</v>
      </c>
      <c r="AV12" s="261" t="s">
        <v>448</v>
      </c>
      <c r="AW12" s="578" t="s">
        <v>23</v>
      </c>
      <c r="AX12" s="578" t="s">
        <v>22</v>
      </c>
      <c r="AY12" s="583" t="s">
        <v>453</v>
      </c>
      <c r="AZ12" s="261" t="s">
        <v>452</v>
      </c>
      <c r="BA12" s="575" t="s">
        <v>451</v>
      </c>
      <c r="BB12" s="261" t="s">
        <v>450</v>
      </c>
      <c r="BC12" s="575" t="s">
        <v>449</v>
      </c>
      <c r="BD12" s="261" t="s">
        <v>448</v>
      </c>
      <c r="BE12" s="578" t="s">
        <v>23</v>
      </c>
      <c r="BF12" s="578" t="s">
        <v>22</v>
      </c>
      <c r="BG12" s="576" t="s">
        <v>453</v>
      </c>
      <c r="BH12" s="261" t="s">
        <v>452</v>
      </c>
      <c r="BI12" s="575" t="s">
        <v>451</v>
      </c>
      <c r="BJ12" s="261" t="s">
        <v>450</v>
      </c>
      <c r="BK12" s="575" t="s">
        <v>449</v>
      </c>
      <c r="BL12" s="261" t="s">
        <v>448</v>
      </c>
      <c r="BM12" s="578" t="s">
        <v>23</v>
      </c>
      <c r="BN12" s="582" t="s">
        <v>22</v>
      </c>
      <c r="BO12" s="576" t="s">
        <v>453</v>
      </c>
      <c r="BP12" s="261" t="s">
        <v>452</v>
      </c>
      <c r="BQ12" s="575" t="s">
        <v>451</v>
      </c>
      <c r="BR12" s="261" t="s">
        <v>450</v>
      </c>
      <c r="BS12" s="575" t="s">
        <v>449</v>
      </c>
      <c r="BT12" s="261" t="s">
        <v>448</v>
      </c>
      <c r="BU12" s="260" t="s">
        <v>23</v>
      </c>
      <c r="BV12" s="581" t="s">
        <v>22</v>
      </c>
      <c r="BW12" s="576" t="s">
        <v>453</v>
      </c>
      <c r="BX12" s="261" t="s">
        <v>452</v>
      </c>
      <c r="BY12" s="575" t="s">
        <v>451</v>
      </c>
      <c r="BZ12" s="261" t="s">
        <v>450</v>
      </c>
      <c r="CA12" s="575" t="s">
        <v>449</v>
      </c>
      <c r="CB12" s="261" t="s">
        <v>448</v>
      </c>
      <c r="CC12" s="575" t="s">
        <v>23</v>
      </c>
      <c r="CD12" s="577" t="s">
        <v>22</v>
      </c>
      <c r="CE12" s="576" t="s">
        <v>453</v>
      </c>
      <c r="CF12" s="580" t="s">
        <v>452</v>
      </c>
      <c r="CG12" s="575" t="s">
        <v>451</v>
      </c>
      <c r="CH12" s="580" t="s">
        <v>450</v>
      </c>
      <c r="CI12" s="575" t="s">
        <v>449</v>
      </c>
      <c r="CJ12" s="580" t="s">
        <v>448</v>
      </c>
      <c r="CK12" s="260" t="s">
        <v>23</v>
      </c>
      <c r="CL12" s="577" t="s">
        <v>22</v>
      </c>
      <c r="CM12" s="576" t="s">
        <v>453</v>
      </c>
      <c r="CN12" s="261" t="s">
        <v>452</v>
      </c>
      <c r="CO12" s="575" t="s">
        <v>451</v>
      </c>
      <c r="CP12" s="261" t="s">
        <v>450</v>
      </c>
      <c r="CQ12" s="575" t="s">
        <v>449</v>
      </c>
      <c r="CR12" s="261" t="s">
        <v>448</v>
      </c>
      <c r="CS12" s="260" t="s">
        <v>23</v>
      </c>
      <c r="CT12" s="578" t="s">
        <v>22</v>
      </c>
      <c r="CU12" s="576" t="s">
        <v>453</v>
      </c>
      <c r="CV12" s="261" t="s">
        <v>452</v>
      </c>
      <c r="CW12" s="575" t="s">
        <v>451</v>
      </c>
      <c r="CX12" s="261" t="s">
        <v>450</v>
      </c>
      <c r="CY12" s="575" t="s">
        <v>449</v>
      </c>
      <c r="CZ12" s="261" t="s">
        <v>448</v>
      </c>
      <c r="DA12" s="578" t="s">
        <v>23</v>
      </c>
      <c r="DB12" s="578" t="s">
        <v>22</v>
      </c>
      <c r="DC12" s="576" t="s">
        <v>453</v>
      </c>
      <c r="DD12" s="261" t="s">
        <v>452</v>
      </c>
      <c r="DE12" s="575" t="s">
        <v>451</v>
      </c>
      <c r="DF12" s="261" t="s">
        <v>450</v>
      </c>
      <c r="DG12" s="575" t="s">
        <v>449</v>
      </c>
      <c r="DH12" s="261" t="s">
        <v>448</v>
      </c>
      <c r="DI12" s="578" t="s">
        <v>23</v>
      </c>
      <c r="DJ12" s="579" t="s">
        <v>22</v>
      </c>
      <c r="DK12" s="576" t="s">
        <v>453</v>
      </c>
      <c r="DL12" s="261" t="s">
        <v>452</v>
      </c>
      <c r="DM12" s="575" t="s">
        <v>451</v>
      </c>
      <c r="DN12" s="261" t="s">
        <v>450</v>
      </c>
      <c r="DO12" s="575" t="s">
        <v>449</v>
      </c>
      <c r="DP12" s="261" t="s">
        <v>448</v>
      </c>
      <c r="DQ12" s="578" t="s">
        <v>23</v>
      </c>
      <c r="DR12" s="579" t="s">
        <v>22</v>
      </c>
      <c r="DS12" s="576" t="s">
        <v>453</v>
      </c>
      <c r="DT12" s="261" t="s">
        <v>452</v>
      </c>
      <c r="DU12" s="575" t="s">
        <v>451</v>
      </c>
      <c r="DV12" s="261" t="s">
        <v>450</v>
      </c>
      <c r="DW12" s="575" t="s">
        <v>449</v>
      </c>
      <c r="DX12" s="261" t="s">
        <v>448</v>
      </c>
      <c r="DY12" s="260" t="s">
        <v>23</v>
      </c>
      <c r="DZ12" s="578" t="s">
        <v>22</v>
      </c>
      <c r="EA12" s="578"/>
      <c r="EB12" s="261" t="s">
        <v>452</v>
      </c>
      <c r="EC12" s="575" t="s">
        <v>451</v>
      </c>
      <c r="ED12" s="261" t="s">
        <v>450</v>
      </c>
      <c r="EE12" s="575" t="s">
        <v>449</v>
      </c>
      <c r="EF12" s="261" t="s">
        <v>448</v>
      </c>
      <c r="EG12" s="575" t="s">
        <v>23</v>
      </c>
      <c r="EH12" s="578" t="s">
        <v>22</v>
      </c>
      <c r="EI12" s="579"/>
      <c r="EJ12" s="261" t="s">
        <v>452</v>
      </c>
      <c r="EK12" s="575" t="s">
        <v>451</v>
      </c>
      <c r="EL12" s="261" t="s">
        <v>450</v>
      </c>
      <c r="EM12" s="575" t="s">
        <v>449</v>
      </c>
      <c r="EN12" s="261" t="s">
        <v>448</v>
      </c>
      <c r="EO12" s="575" t="s">
        <v>23</v>
      </c>
      <c r="EP12" s="578" t="s">
        <v>22</v>
      </c>
      <c r="EQ12" s="259"/>
      <c r="ER12" s="261" t="s">
        <v>452</v>
      </c>
      <c r="ES12" s="575" t="s">
        <v>451</v>
      </c>
      <c r="ET12" s="261" t="s">
        <v>450</v>
      </c>
      <c r="EU12" s="575" t="s">
        <v>449</v>
      </c>
      <c r="EV12" s="261" t="s">
        <v>448</v>
      </c>
      <c r="EW12" s="260" t="s">
        <v>23</v>
      </c>
      <c r="EX12" s="578" t="s">
        <v>22</v>
      </c>
      <c r="EY12" s="576" t="s">
        <v>453</v>
      </c>
      <c r="EZ12" s="261" t="s">
        <v>452</v>
      </c>
      <c r="FA12" s="575" t="s">
        <v>451</v>
      </c>
      <c r="FB12" s="261" t="s">
        <v>450</v>
      </c>
      <c r="FC12" s="575" t="s">
        <v>449</v>
      </c>
      <c r="FD12" s="261" t="s">
        <v>448</v>
      </c>
      <c r="FE12" s="575" t="s">
        <v>23</v>
      </c>
      <c r="FF12" s="260" t="s">
        <v>22</v>
      </c>
      <c r="FG12" s="578"/>
      <c r="FH12" s="261" t="s">
        <v>452</v>
      </c>
      <c r="FI12" s="575" t="s">
        <v>451</v>
      </c>
      <c r="FJ12" s="261" t="s">
        <v>450</v>
      </c>
      <c r="FK12" s="575" t="s">
        <v>449</v>
      </c>
      <c r="FL12" s="261" t="s">
        <v>448</v>
      </c>
      <c r="FM12" s="260" t="s">
        <v>23</v>
      </c>
      <c r="FN12" s="577" t="s">
        <v>22</v>
      </c>
      <c r="FO12" s="576" t="s">
        <v>453</v>
      </c>
      <c r="FP12" s="261" t="s">
        <v>452</v>
      </c>
      <c r="FQ12" s="575" t="s">
        <v>451</v>
      </c>
      <c r="FR12" s="261" t="s">
        <v>450</v>
      </c>
      <c r="FS12" s="575" t="s">
        <v>449</v>
      </c>
      <c r="FT12" s="261" t="s">
        <v>448</v>
      </c>
      <c r="FU12" s="260" t="s">
        <v>23</v>
      </c>
      <c r="FV12" s="577" t="s">
        <v>22</v>
      </c>
      <c r="FW12" s="576" t="s">
        <v>453</v>
      </c>
      <c r="FX12" s="261" t="s">
        <v>452</v>
      </c>
      <c r="FY12" s="575" t="s">
        <v>451</v>
      </c>
      <c r="FZ12" s="261" t="s">
        <v>450</v>
      </c>
      <c r="GA12" s="575" t="s">
        <v>449</v>
      </c>
      <c r="GB12" s="261" t="s">
        <v>448</v>
      </c>
      <c r="GC12" s="260" t="s">
        <v>23</v>
      </c>
      <c r="GD12" s="577" t="s">
        <v>22</v>
      </c>
      <c r="GE12" s="576" t="s">
        <v>453</v>
      </c>
      <c r="GF12" s="261" t="s">
        <v>452</v>
      </c>
      <c r="GG12" s="575" t="s">
        <v>451</v>
      </c>
      <c r="GH12" s="261" t="s">
        <v>450</v>
      </c>
      <c r="GI12" s="575" t="s">
        <v>449</v>
      </c>
      <c r="GJ12" s="261" t="s">
        <v>448</v>
      </c>
      <c r="GK12" s="260" t="s">
        <v>23</v>
      </c>
      <c r="GL12" s="577" t="s">
        <v>22</v>
      </c>
      <c r="GM12" s="576" t="s">
        <v>453</v>
      </c>
      <c r="GN12" s="261" t="s">
        <v>452</v>
      </c>
      <c r="GO12" s="575" t="s">
        <v>451</v>
      </c>
      <c r="GP12" s="261" t="s">
        <v>450</v>
      </c>
      <c r="GQ12" s="575" t="s">
        <v>449</v>
      </c>
      <c r="GR12" s="261" t="s">
        <v>448</v>
      </c>
      <c r="GS12" s="260" t="s">
        <v>23</v>
      </c>
      <c r="GT12" s="577" t="s">
        <v>22</v>
      </c>
      <c r="GU12" s="576" t="s">
        <v>453</v>
      </c>
      <c r="GV12" s="261" t="s">
        <v>452</v>
      </c>
      <c r="GW12" s="575" t="s">
        <v>451</v>
      </c>
      <c r="GX12" s="261" t="s">
        <v>450</v>
      </c>
      <c r="GY12" s="575" t="s">
        <v>449</v>
      </c>
      <c r="GZ12" s="261" t="s">
        <v>448</v>
      </c>
      <c r="HA12" s="260" t="s">
        <v>23</v>
      </c>
      <c r="HB12" s="577" t="s">
        <v>22</v>
      </c>
      <c r="HC12" s="576" t="s">
        <v>453</v>
      </c>
      <c r="HD12" s="261" t="s">
        <v>452</v>
      </c>
      <c r="HE12" s="575" t="s">
        <v>451</v>
      </c>
      <c r="HF12" s="261" t="s">
        <v>450</v>
      </c>
      <c r="HG12" s="575" t="s">
        <v>449</v>
      </c>
      <c r="HH12" s="261" t="s">
        <v>448</v>
      </c>
      <c r="HI12" s="260" t="s">
        <v>23</v>
      </c>
      <c r="HJ12" s="577" t="s">
        <v>22</v>
      </c>
      <c r="HK12" s="576" t="s">
        <v>453</v>
      </c>
      <c r="HL12" s="261" t="s">
        <v>452</v>
      </c>
      <c r="HM12" s="575" t="s">
        <v>451</v>
      </c>
      <c r="HN12" s="261" t="s">
        <v>450</v>
      </c>
      <c r="HO12" s="575" t="s">
        <v>449</v>
      </c>
      <c r="HP12" s="261" t="s">
        <v>448</v>
      </c>
      <c r="HQ12" s="260" t="s">
        <v>23</v>
      </c>
      <c r="HR12" s="577" t="s">
        <v>22</v>
      </c>
      <c r="HS12" s="576" t="s">
        <v>453</v>
      </c>
      <c r="HT12" s="261" t="s">
        <v>452</v>
      </c>
      <c r="HU12" s="575" t="s">
        <v>451</v>
      </c>
      <c r="HV12" s="261" t="s">
        <v>450</v>
      </c>
      <c r="HW12" s="575" t="s">
        <v>449</v>
      </c>
      <c r="HX12" s="261" t="s">
        <v>448</v>
      </c>
    </row>
    <row r="13" spans="1:232" ht="13.8">
      <c r="A13" s="233">
        <v>1</v>
      </c>
      <c r="B13" s="456" t="s">
        <v>75</v>
      </c>
      <c r="I13" s="314">
        <v>1</v>
      </c>
      <c r="Y13" s="574"/>
      <c r="Z13" s="503"/>
      <c r="AB13" s="250"/>
      <c r="AC13" s="250"/>
      <c r="AD13" s="250"/>
      <c r="AE13" s="250"/>
      <c r="AF13" s="250"/>
      <c r="AO13" s="295"/>
      <c r="AP13" s="573"/>
      <c r="AQ13" s="573"/>
      <c r="AW13" s="572"/>
      <c r="AX13" s="572"/>
      <c r="AY13" s="572"/>
      <c r="BE13" s="572"/>
      <c r="BF13" s="572"/>
      <c r="BG13" s="572"/>
      <c r="BM13" s="445"/>
      <c r="BN13" s="445"/>
      <c r="BO13" s="445"/>
      <c r="CK13" s="572"/>
      <c r="CL13" s="572"/>
      <c r="CM13" s="572"/>
      <c r="CN13" s="572"/>
      <c r="CO13" s="572"/>
      <c r="CP13" s="572"/>
      <c r="CQ13" s="572"/>
      <c r="CR13" s="572"/>
      <c r="CS13" s="245"/>
      <c r="CT13" s="245"/>
      <c r="CU13" s="245"/>
      <c r="DA13" s="464"/>
      <c r="DB13" s="464"/>
      <c r="DC13" s="245"/>
      <c r="DQ13" s="397"/>
      <c r="DR13" s="397"/>
      <c r="DS13" s="397"/>
      <c r="DT13" s="571"/>
      <c r="DU13" s="571"/>
      <c r="DV13" s="571"/>
      <c r="DW13" s="571"/>
      <c r="DX13" s="571"/>
      <c r="DY13" s="245"/>
      <c r="DZ13" s="245"/>
      <c r="EA13" s="245"/>
      <c r="EB13" s="245"/>
      <c r="EC13" s="245"/>
      <c r="EG13" s="245"/>
      <c r="EH13" s="570" t="s">
        <v>44</v>
      </c>
      <c r="EO13" s="245"/>
      <c r="FE13" s="245"/>
      <c r="FF13" s="245"/>
      <c r="FG13" s="245"/>
      <c r="FH13" s="245"/>
      <c r="FI13" s="245"/>
      <c r="FJ13" s="245"/>
      <c r="FK13" s="245"/>
      <c r="FL13" s="245"/>
    </row>
    <row r="14" spans="1:232" ht="13.8">
      <c r="A14" s="352">
        <v>2</v>
      </c>
      <c r="B14" s="376" t="s">
        <v>447</v>
      </c>
      <c r="C14" s="245"/>
      <c r="D14" s="1290" t="s">
        <v>272</v>
      </c>
      <c r="E14" s="1290"/>
      <c r="F14" s="387">
        <v>5983138.4299999997</v>
      </c>
      <c r="G14" s="1292" t="s">
        <v>272</v>
      </c>
      <c r="H14" s="498">
        <v>0</v>
      </c>
      <c r="I14" s="233">
        <f t="shared" ref="I14:I32" si="0">I13+1</f>
        <v>2</v>
      </c>
      <c r="J14" s="525" t="s">
        <v>446</v>
      </c>
      <c r="K14" s="233"/>
      <c r="L14" s="569">
        <v>20655081094.767998</v>
      </c>
      <c r="M14" s="569">
        <v>20790328792.745289</v>
      </c>
      <c r="N14" s="569">
        <v>135247697.97729111</v>
      </c>
      <c r="O14" s="569">
        <v>20790328792.745289</v>
      </c>
      <c r="P14" s="569">
        <f>O14-M14</f>
        <v>0</v>
      </c>
      <c r="Q14" s="233">
        <v>1</v>
      </c>
      <c r="R14" s="247" t="s">
        <v>286</v>
      </c>
      <c r="S14" s="247"/>
      <c r="T14" s="350">
        <v>22841555.030000001</v>
      </c>
      <c r="U14" s="350">
        <v>119744801.76152284</v>
      </c>
      <c r="V14" s="350">
        <f>U14-T14</f>
        <v>96903246.731522843</v>
      </c>
      <c r="W14" s="350">
        <f>U14</f>
        <v>119744801.76152284</v>
      </c>
      <c r="X14" s="350">
        <f>W14-U14</f>
        <v>0</v>
      </c>
      <c r="Y14" s="233">
        <v>1</v>
      </c>
      <c r="Z14" s="503" t="s">
        <v>46</v>
      </c>
      <c r="AB14" s="350">
        <v>0</v>
      </c>
      <c r="AC14" s="350">
        <f>+'SEF-4E p 1'!E59</f>
        <v>5362058016.8102951</v>
      </c>
      <c r="AD14" s="350">
        <f>+'SEF-4E p 1'!E59</f>
        <v>5362058016.8102951</v>
      </c>
      <c r="AE14" s="350">
        <f>+'SEF-4E p 1'!G59</f>
        <v>5428588080.5290194</v>
      </c>
      <c r="AF14" s="350">
        <f>+AE14-AC14</f>
        <v>66530063.718724251</v>
      </c>
      <c r="AG14" s="352">
        <f t="shared" ref="AG14:AG51" si="1">+AG13+1</f>
        <v>1</v>
      </c>
      <c r="AH14" s="568" t="s">
        <v>445</v>
      </c>
      <c r="AO14" s="233">
        <v>1</v>
      </c>
      <c r="AP14" s="451" t="s">
        <v>444</v>
      </c>
      <c r="AQ14" s="451"/>
      <c r="AR14" s="524">
        <v>510000</v>
      </c>
      <c r="AS14" s="524">
        <v>220833.33333333334</v>
      </c>
      <c r="AT14" s="524">
        <f>AS14-AR14</f>
        <v>-289166.66666666663</v>
      </c>
      <c r="AU14" s="231">
        <f>+AS14</f>
        <v>220833.33333333334</v>
      </c>
      <c r="AV14" s="524">
        <f>+AU14-AS14</f>
        <v>0</v>
      </c>
      <c r="AW14" s="367">
        <v>1</v>
      </c>
      <c r="AX14" s="367"/>
      <c r="AY14" s="367"/>
      <c r="AZ14" s="561"/>
      <c r="BA14" s="451"/>
      <c r="BB14" s="451"/>
      <c r="BC14" s="451"/>
      <c r="BD14" s="451"/>
      <c r="BE14" s="367">
        <v>1</v>
      </c>
      <c r="BF14" s="401" t="s">
        <v>443</v>
      </c>
      <c r="BM14" s="478">
        <v>1</v>
      </c>
      <c r="BN14" s="531" t="s">
        <v>442</v>
      </c>
      <c r="BO14" s="531"/>
      <c r="BP14" s="553">
        <v>84579618.501786992</v>
      </c>
      <c r="BQ14" s="553">
        <v>84593680.499568984</v>
      </c>
      <c r="BR14" s="553">
        <f>BQ14-BP14</f>
        <v>14061.997781991959</v>
      </c>
      <c r="BS14" s="553">
        <v>84579618.501786992</v>
      </c>
      <c r="BT14" s="553">
        <f>BS14-BQ14</f>
        <v>-14061.997781991959</v>
      </c>
      <c r="BU14" s="468">
        <v>1</v>
      </c>
      <c r="BV14" s="397" t="s">
        <v>441</v>
      </c>
      <c r="BW14" s="530"/>
      <c r="BX14" s="567">
        <v>84154.734218343758</v>
      </c>
      <c r="BY14" s="567">
        <v>77444.18431150305</v>
      </c>
      <c r="BZ14" s="421">
        <f>+BY14-BX14</f>
        <v>-6710.549906840708</v>
      </c>
      <c r="CA14" s="231">
        <f>+BX14</f>
        <v>84154.734218343758</v>
      </c>
      <c r="CB14" s="421">
        <f>+CA14-BY14</f>
        <v>6710.549906840708</v>
      </c>
      <c r="CC14" s="302">
        <v>1</v>
      </c>
      <c r="CD14" s="301" t="s">
        <v>440</v>
      </c>
      <c r="CE14" s="301"/>
      <c r="CF14" s="231">
        <v>0</v>
      </c>
      <c r="CG14" s="231">
        <v>803909.33835699933</v>
      </c>
      <c r="CH14" s="231">
        <f>CG14-CF14</f>
        <v>803909.33835699933</v>
      </c>
      <c r="CI14" s="231">
        <f>CG14</f>
        <v>803909.33835699933</v>
      </c>
      <c r="CJ14" s="231">
        <f>CI14-CG14</f>
        <v>0</v>
      </c>
      <c r="CK14" s="367">
        <v>1</v>
      </c>
      <c r="CL14" s="390" t="s">
        <v>432</v>
      </c>
      <c r="CM14" s="390"/>
      <c r="CN14" s="561"/>
      <c r="CO14" s="451"/>
      <c r="CP14" s="451"/>
      <c r="CQ14" s="451"/>
      <c r="CR14" s="451"/>
      <c r="CS14" s="233">
        <v>1</v>
      </c>
      <c r="CT14" s="515" t="s">
        <v>439</v>
      </c>
      <c r="CU14" s="515"/>
      <c r="CV14" s="231">
        <v>4555764.4439206887</v>
      </c>
      <c r="CW14" s="231">
        <v>6740763.446346282</v>
      </c>
      <c r="CX14" s="231">
        <f>CW14-CV14</f>
        <v>2184999.0024255933</v>
      </c>
      <c r="CY14" s="231">
        <f>CW14</f>
        <v>6740763.446346282</v>
      </c>
      <c r="CZ14" s="231">
        <f>CY14-CW14</f>
        <v>0</v>
      </c>
      <c r="DA14" s="302">
        <v>1</v>
      </c>
      <c r="DB14" s="245" t="s">
        <v>438</v>
      </c>
      <c r="DC14" s="293"/>
      <c r="DD14" s="293">
        <v>3672711.9291196666</v>
      </c>
      <c r="DE14" s="293">
        <v>3488881.3959241672</v>
      </c>
      <c r="DF14" s="293">
        <f>DE14-DD14</f>
        <v>-183830.53319549933</v>
      </c>
      <c r="DG14" s="293">
        <v>4009178.2935778066</v>
      </c>
      <c r="DH14" s="293">
        <f>DG14-DE14</f>
        <v>520296.89765363932</v>
      </c>
      <c r="DI14" s="367">
        <v>1</v>
      </c>
      <c r="DJ14" s="566" t="s">
        <v>437</v>
      </c>
      <c r="DK14" s="397"/>
      <c r="DL14" s="409"/>
      <c r="DM14" s="409"/>
      <c r="DN14" s="421"/>
      <c r="DO14" s="409"/>
      <c r="DP14" s="409"/>
      <c r="DQ14" s="367">
        <v>1</v>
      </c>
      <c r="DR14" s="494" t="s">
        <v>436</v>
      </c>
      <c r="DS14" s="433"/>
      <c r="DT14" s="409"/>
      <c r="DU14" s="409"/>
      <c r="DV14" s="421"/>
      <c r="DW14" s="409"/>
      <c r="DX14" s="409"/>
      <c r="DY14" s="233">
        <v>1</v>
      </c>
      <c r="DZ14" s="565" t="s">
        <v>435</v>
      </c>
      <c r="EA14" s="389"/>
      <c r="EB14" s="389"/>
      <c r="EC14" s="389"/>
      <c r="EG14" s="233">
        <v>1</v>
      </c>
      <c r="EH14" s="281" t="s">
        <v>43</v>
      </c>
      <c r="EJ14" s="421">
        <v>10572466950.394854</v>
      </c>
      <c r="EK14" s="421">
        <v>10898545827.153294</v>
      </c>
      <c r="EL14" s="421">
        <f t="shared" ref="EL14:EL19" si="2">EK14-EJ14</f>
        <v>326078876.75844002</v>
      </c>
      <c r="EM14" s="421">
        <f t="shared" ref="EM14:EM19" si="3">EK14</f>
        <v>10898545827.153294</v>
      </c>
      <c r="EN14" s="421">
        <f t="shared" ref="EN14:EN19" si="4">EM14-EK14</f>
        <v>0</v>
      </c>
      <c r="EO14" s="233">
        <v>1</v>
      </c>
      <c r="EP14" s="281" t="s">
        <v>434</v>
      </c>
      <c r="ER14" s="293">
        <v>316437620.50999957</v>
      </c>
      <c r="ES14" s="293">
        <v>320871178.06530237</v>
      </c>
      <c r="ET14" s="293">
        <f>ES14-ER14</f>
        <v>4433557.5553027987</v>
      </c>
      <c r="EU14" s="293">
        <f>ES14</f>
        <v>320871178.06530237</v>
      </c>
      <c r="EV14" s="293">
        <f>EU14-ES14</f>
        <v>0</v>
      </c>
      <c r="EW14" s="314">
        <v>1</v>
      </c>
      <c r="EX14" s="230" t="s">
        <v>433</v>
      </c>
      <c r="EZ14" s="231"/>
      <c r="FA14" s="231"/>
      <c r="FB14" s="231"/>
      <c r="FC14" s="231"/>
      <c r="FD14" s="231"/>
      <c r="FE14" s="233">
        <v>1</v>
      </c>
      <c r="FF14" s="564"/>
      <c r="FG14" s="507"/>
      <c r="FH14" s="507"/>
      <c r="FI14" s="507"/>
      <c r="FJ14" s="563"/>
      <c r="FK14" s="562"/>
      <c r="FL14" s="562"/>
      <c r="FM14" s="233">
        <v>1</v>
      </c>
      <c r="FN14" s="470" t="s">
        <v>428</v>
      </c>
      <c r="FO14" s="470"/>
      <c r="FP14" s="548"/>
      <c r="FQ14" s="548"/>
      <c r="FR14" s="548"/>
      <c r="FS14" s="548"/>
      <c r="FT14" s="548"/>
      <c r="FU14" s="367">
        <v>1</v>
      </c>
      <c r="FV14" s="390"/>
      <c r="FW14" s="390"/>
      <c r="FX14" s="561"/>
      <c r="FY14" s="560"/>
      <c r="FZ14" s="560"/>
      <c r="GA14" s="560"/>
      <c r="GB14" s="560"/>
      <c r="GC14" s="377">
        <v>1</v>
      </c>
      <c r="GD14" s="470" t="s">
        <v>428</v>
      </c>
      <c r="GE14" s="470"/>
      <c r="GF14" s="548"/>
      <c r="GG14" s="548"/>
      <c r="GH14" s="548"/>
      <c r="GI14" s="548"/>
      <c r="GJ14" s="548"/>
      <c r="GK14" s="377">
        <v>1</v>
      </c>
      <c r="GL14" s="230" t="s">
        <v>431</v>
      </c>
      <c r="GS14" s="377">
        <v>1</v>
      </c>
      <c r="GT14" s="265" t="s">
        <v>430</v>
      </c>
      <c r="HA14" s="367">
        <v>1</v>
      </c>
      <c r="HB14" s="559" t="s">
        <v>429</v>
      </c>
      <c r="HC14" s="433"/>
      <c r="HD14" s="433"/>
      <c r="HE14" s="433"/>
      <c r="HF14" s="433"/>
      <c r="HG14" s="451"/>
      <c r="HH14" s="433"/>
      <c r="HI14" s="377">
        <v>1</v>
      </c>
      <c r="HJ14" s="247" t="s">
        <v>62</v>
      </c>
      <c r="HK14" s="231"/>
      <c r="HL14" s="231">
        <v>5059842.29</v>
      </c>
      <c r="HM14" s="231">
        <v>5059842.29</v>
      </c>
      <c r="HN14" s="231">
        <f>HM14-HL14</f>
        <v>0</v>
      </c>
      <c r="HO14" s="231">
        <v>5219050.7699999996</v>
      </c>
      <c r="HP14" s="231">
        <f>HO14-HM14</f>
        <v>159208.47999999952</v>
      </c>
      <c r="HQ14" s="377">
        <v>1</v>
      </c>
      <c r="HR14" s="965" t="s">
        <v>428</v>
      </c>
    </row>
    <row r="15" spans="1:232" ht="13.8">
      <c r="A15" s="352">
        <f t="shared" ref="A15:A53" si="5">A14+1</f>
        <v>3</v>
      </c>
      <c r="B15" s="376" t="s">
        <v>427</v>
      </c>
      <c r="C15" s="245"/>
      <c r="D15" s="1290"/>
      <c r="E15" s="1290"/>
      <c r="F15" s="303">
        <v>41885179.539999999</v>
      </c>
      <c r="G15" s="1292"/>
      <c r="H15" s="303">
        <v>0</v>
      </c>
      <c r="I15" s="233">
        <f t="shared" si="0"/>
        <v>3</v>
      </c>
      <c r="J15" s="558"/>
      <c r="K15" s="557"/>
      <c r="L15" s="557"/>
      <c r="M15" s="557"/>
      <c r="N15" s="557"/>
      <c r="O15" s="557"/>
      <c r="P15" s="557"/>
      <c r="Q15" s="233">
        <f>Q14+1</f>
        <v>2</v>
      </c>
      <c r="R15" s="247" t="s">
        <v>426</v>
      </c>
      <c r="S15" s="247"/>
      <c r="T15" s="371">
        <v>38907707.560000002</v>
      </c>
      <c r="U15" s="303">
        <v>-43059885.72469534</v>
      </c>
      <c r="V15" s="371">
        <f>U15-T15</f>
        <v>-81967593.284695342</v>
      </c>
      <c r="W15" s="556">
        <f>U15</f>
        <v>-43059885.72469534</v>
      </c>
      <c r="X15" s="234">
        <f>W15-U15</f>
        <v>0</v>
      </c>
      <c r="Y15" s="233">
        <f t="shared" ref="Y15:Y22" si="6">Y14+1</f>
        <v>2</v>
      </c>
      <c r="Z15" s="503" t="s">
        <v>425</v>
      </c>
      <c r="AB15" s="1111"/>
      <c r="AC15" s="1111"/>
      <c r="AD15" s="1111"/>
      <c r="AE15" s="1111"/>
      <c r="AF15" s="1111"/>
      <c r="AG15" s="352">
        <f t="shared" si="1"/>
        <v>2</v>
      </c>
      <c r="AH15" s="386" t="s">
        <v>271</v>
      </c>
      <c r="AJ15" s="555">
        <v>101866388.838</v>
      </c>
      <c r="AK15" s="555">
        <v>0</v>
      </c>
      <c r="AL15" s="555">
        <f t="shared" ref="AL15:AL27" si="7">AK15-AJ15</f>
        <v>-101866388.838</v>
      </c>
      <c r="AM15" s="555">
        <f t="shared" ref="AM15:AM27" si="8">+AK15</f>
        <v>0</v>
      </c>
      <c r="AN15" s="555">
        <f>+AM15-AK15</f>
        <v>0</v>
      </c>
      <c r="AO15" s="233">
        <f t="shared" ref="AO15:AO21" si="9">AO14+1</f>
        <v>2</v>
      </c>
      <c r="AP15" s="451" t="s">
        <v>424</v>
      </c>
      <c r="AQ15" s="451"/>
      <c r="AR15" s="514">
        <v>740336.86596767348</v>
      </c>
      <c r="AS15" s="514">
        <v>945203.0581214655</v>
      </c>
      <c r="AT15" s="514">
        <f>AS15-AR15</f>
        <v>204866.19215379201</v>
      </c>
      <c r="AU15" s="234">
        <f>+AS15</f>
        <v>945203.0581214655</v>
      </c>
      <c r="AV15" s="513">
        <f>+AU15-AS15</f>
        <v>0</v>
      </c>
      <c r="AW15" s="367">
        <f>AW14+1</f>
        <v>2</v>
      </c>
      <c r="AX15" s="410" t="s">
        <v>423</v>
      </c>
      <c r="AY15" s="554">
        <v>8.4790000000000004E-3</v>
      </c>
      <c r="AZ15" s="523">
        <v>18742755.935488999</v>
      </c>
      <c r="BA15" s="523">
        <v>18359017</v>
      </c>
      <c r="BB15" s="523">
        <f>BA15-AZ15</f>
        <v>-383738.93548899889</v>
      </c>
      <c r="BC15" s="451">
        <f>BA15</f>
        <v>18359017</v>
      </c>
      <c r="BD15" s="451">
        <f>BC15-BA15</f>
        <v>0</v>
      </c>
      <c r="BE15" s="367">
        <f t="shared" ref="BE15:BE29" si="10">BE14+1</f>
        <v>2</v>
      </c>
      <c r="BF15" s="477" t="s">
        <v>419</v>
      </c>
      <c r="BH15" s="553">
        <v>527768.06156201533</v>
      </c>
      <c r="BI15" s="553">
        <v>514838.73941173131</v>
      </c>
      <c r="BJ15" s="553">
        <v>-12929.322150284017</v>
      </c>
      <c r="BK15" s="553">
        <v>514838.73941173131</v>
      </c>
      <c r="BL15" s="553">
        <v>0</v>
      </c>
      <c r="BM15" s="478">
        <v>2</v>
      </c>
      <c r="BN15" s="531" t="s">
        <v>422</v>
      </c>
      <c r="BO15" s="531"/>
      <c r="BP15" s="475">
        <v>4669751.78</v>
      </c>
      <c r="BQ15" s="475">
        <v>4564759.7001399994</v>
      </c>
      <c r="BR15" s="467">
        <f>BQ15-BP15</f>
        <v>-104992.07986000087</v>
      </c>
      <c r="BS15" s="475">
        <v>4669751.78</v>
      </c>
      <c r="BT15" s="448">
        <f>BS15-BQ15</f>
        <v>104992.07986000087</v>
      </c>
      <c r="BU15" s="468">
        <f t="shared" ref="BU15:BU21" si="11">BU14+1</f>
        <v>2</v>
      </c>
      <c r="BV15" s="397"/>
      <c r="BW15" s="530"/>
      <c r="BX15" s="552"/>
      <c r="BY15" s="552"/>
      <c r="BZ15" s="551"/>
      <c r="CA15" s="237"/>
      <c r="CB15" s="551"/>
      <c r="CC15" s="302">
        <f>CC14+1</f>
        <v>2</v>
      </c>
      <c r="CD15" s="245"/>
      <c r="CE15" s="245"/>
      <c r="CF15" s="245"/>
      <c r="CG15" s="245"/>
      <c r="CH15" s="245"/>
      <c r="CK15" s="367">
        <f t="shared" ref="CK15:CK23" si="12">+CK14+1</f>
        <v>2</v>
      </c>
      <c r="CL15" s="522" t="s">
        <v>421</v>
      </c>
      <c r="CM15" s="522"/>
      <c r="CN15" s="467"/>
      <c r="CO15" s="467"/>
      <c r="CP15" s="467"/>
      <c r="CQ15" s="467"/>
      <c r="CR15" s="467"/>
      <c r="CS15" s="233">
        <f>CS14+1</f>
        <v>2</v>
      </c>
      <c r="CT15" s="247" t="s">
        <v>402</v>
      </c>
      <c r="CU15" s="247"/>
      <c r="CV15" s="550">
        <f>SUM(CV14:CV14)</f>
        <v>4555764.4439206887</v>
      </c>
      <c r="CW15" s="550">
        <f>SUM(CW14:CW14)</f>
        <v>6740763.446346282</v>
      </c>
      <c r="CX15" s="550">
        <f>SUM(CX14:CX14)</f>
        <v>2184999.0024255933</v>
      </c>
      <c r="CY15" s="550">
        <f>SUM(CY14)</f>
        <v>6740763.446346282</v>
      </c>
      <c r="CZ15" s="550">
        <f>SUM(CZ14)</f>
        <v>0</v>
      </c>
      <c r="DA15" s="302">
        <f>DA14+1</f>
        <v>2</v>
      </c>
      <c r="DB15" s="245" t="s">
        <v>420</v>
      </c>
      <c r="DC15" s="280"/>
      <c r="DD15" s="280">
        <v>2115405.8743208339</v>
      </c>
      <c r="DE15" s="280">
        <v>1894241.5093075</v>
      </c>
      <c r="DF15" s="287">
        <f>DE15-DD15</f>
        <v>-221164.36501333397</v>
      </c>
      <c r="DG15" s="280">
        <v>1934183.5917549999</v>
      </c>
      <c r="DH15" s="293">
        <f>DG15-DE15</f>
        <v>39942.082447499968</v>
      </c>
      <c r="DI15" s="367">
        <f t="shared" ref="DI15:DI30" si="13">+DI14+1</f>
        <v>2</v>
      </c>
      <c r="DJ15" s="466" t="s">
        <v>419</v>
      </c>
      <c r="DK15" s="397"/>
      <c r="DL15" s="409">
        <v>6435874.2777891876</v>
      </c>
      <c r="DM15" s="409">
        <v>6442215.4155860059</v>
      </c>
      <c r="DN15" s="421">
        <f t="shared" ref="DN15:DN23" si="14">+DM15-DL15</f>
        <v>6341.1377968182787</v>
      </c>
      <c r="DO15" s="409">
        <v>6688165.9532109005</v>
      </c>
      <c r="DP15" s="409">
        <f t="shared" ref="DP15:DP23" si="15">+DO15-DM15</f>
        <v>245950.53762489464</v>
      </c>
      <c r="DQ15" s="367">
        <f t="shared" ref="DQ15:DQ34" si="16">DQ14+1</f>
        <v>2</v>
      </c>
      <c r="DR15" s="436" t="s">
        <v>418</v>
      </c>
      <c r="DS15" s="367"/>
      <c r="DT15" s="421">
        <v>9540504.8394000009</v>
      </c>
      <c r="DU15" s="421">
        <v>9550045.3442394007</v>
      </c>
      <c r="DV15" s="421">
        <f>+DU15-DT15</f>
        <v>9540.5048393998295</v>
      </c>
      <c r="DW15" s="421">
        <v>9915812.0809237696</v>
      </c>
      <c r="DX15" s="421">
        <f>+DW15-DU15</f>
        <v>365766.73668436892</v>
      </c>
      <c r="DY15" s="233">
        <v>2</v>
      </c>
      <c r="DZ15" s="410" t="s">
        <v>417</v>
      </c>
      <c r="EA15" s="247"/>
      <c r="EB15" s="421">
        <v>19841150.083478596</v>
      </c>
      <c r="EC15" s="421">
        <v>19806192.590422798</v>
      </c>
      <c r="ED15" s="421">
        <f>EC15-EB15</f>
        <v>-34957.493055798113</v>
      </c>
      <c r="EE15" s="421">
        <v>20948313.3479256</v>
      </c>
      <c r="EF15" s="421">
        <f>EE15-EC15</f>
        <v>1142120.7575028017</v>
      </c>
      <c r="EG15" s="233">
        <f t="shared" ref="EG15:EG20" si="17">EG14+1</f>
        <v>2</v>
      </c>
      <c r="EH15" s="281" t="s">
        <v>42</v>
      </c>
      <c r="EJ15" s="234">
        <v>-4244925258.0010071</v>
      </c>
      <c r="EK15" s="521">
        <v>-4388667535.5324507</v>
      </c>
      <c r="EL15" s="234">
        <f t="shared" si="2"/>
        <v>-143742277.5314436</v>
      </c>
      <c r="EM15" s="521">
        <f t="shared" si="3"/>
        <v>-4388667535.5324507</v>
      </c>
      <c r="EN15" s="234">
        <f t="shared" si="4"/>
        <v>0</v>
      </c>
      <c r="EO15" s="233">
        <f t="shared" ref="EO15:EO32" si="18">EO14+1</f>
        <v>2</v>
      </c>
      <c r="EP15" s="281" t="s">
        <v>416</v>
      </c>
      <c r="ER15" s="521">
        <v>17479184.218140036</v>
      </c>
      <c r="ES15" s="521">
        <v>18643869.746868491</v>
      </c>
      <c r="ET15" s="521">
        <f>ES15-ER15</f>
        <v>1164685.5287284553</v>
      </c>
      <c r="EU15" s="521">
        <f>ES15</f>
        <v>18643869.746868491</v>
      </c>
      <c r="EV15" s="521">
        <f>EU15-ES15</f>
        <v>0</v>
      </c>
      <c r="EW15" s="314">
        <f t="shared" ref="EW15:EW20" si="19">EW14+1</f>
        <v>2</v>
      </c>
      <c r="EX15" s="230" t="s">
        <v>413</v>
      </c>
      <c r="EZ15" s="231">
        <v>-763743.36</v>
      </c>
      <c r="FA15" s="231">
        <v>-763743.36</v>
      </c>
      <c r="FB15" s="231">
        <f>FA15-EZ15</f>
        <v>0</v>
      </c>
      <c r="FC15" s="231">
        <v>-244707.3533333329</v>
      </c>
      <c r="FD15" s="231">
        <f>FC15-FA15</f>
        <v>519036.00666666706</v>
      </c>
      <c r="FE15" s="233">
        <f>FE14+1</f>
        <v>2</v>
      </c>
      <c r="FF15" s="549" t="s">
        <v>1356</v>
      </c>
      <c r="FG15" s="487"/>
      <c r="FH15" s="231">
        <v>1423784.9999999995</v>
      </c>
      <c r="FI15" s="231">
        <v>1423784.9999999995</v>
      </c>
      <c r="FJ15" s="231">
        <f>FI15-FH15</f>
        <v>0</v>
      </c>
      <c r="FK15" s="231">
        <v>1575832.6603212098</v>
      </c>
      <c r="FL15" s="231">
        <f>FK15-FI15</f>
        <v>152047.66032121028</v>
      </c>
      <c r="FM15" s="233">
        <f t="shared" ref="FM15:FM42" si="20">FM14+1</f>
        <v>2</v>
      </c>
      <c r="FN15" s="470" t="s">
        <v>414</v>
      </c>
      <c r="FO15" s="470"/>
      <c r="FP15" s="548"/>
      <c r="FQ15" s="548"/>
      <c r="FR15" s="548"/>
      <c r="FS15" s="548"/>
      <c r="FT15" s="548"/>
      <c r="FU15" s="367">
        <v>2</v>
      </c>
      <c r="FV15" s="272" t="s">
        <v>415</v>
      </c>
      <c r="FW15" s="419"/>
      <c r="FX15" s="274">
        <v>1029462.7966205003</v>
      </c>
      <c r="FY15" s="274">
        <v>0</v>
      </c>
      <c r="FZ15" s="274">
        <f t="shared" ref="FZ15:FZ22" si="21">FY15-FX15</f>
        <v>-1029462.7966205003</v>
      </c>
      <c r="GA15" s="274">
        <v>0</v>
      </c>
      <c r="GB15" s="274">
        <f t="shared" ref="GB15:GB22" si="22">GA15-FY15</f>
        <v>0</v>
      </c>
      <c r="GC15" s="377">
        <f t="shared" ref="GC15:GC38" si="23">+GC14+1</f>
        <v>2</v>
      </c>
      <c r="GD15" s="470" t="s">
        <v>414</v>
      </c>
      <c r="GE15" s="470"/>
      <c r="GF15" s="548"/>
      <c r="GG15" s="548"/>
      <c r="GH15" s="548"/>
      <c r="GI15" s="548"/>
      <c r="GJ15" s="548"/>
      <c r="GK15" s="377">
        <f t="shared" ref="GK15:GK20" si="24">GK14+1</f>
        <v>2</v>
      </c>
      <c r="GL15" s="230" t="s">
        <v>413</v>
      </c>
      <c r="GN15" s="231">
        <v>828672</v>
      </c>
      <c r="GO15" s="231">
        <v>828672</v>
      </c>
      <c r="GP15" s="231">
        <f>GO15-GN15</f>
        <v>0</v>
      </c>
      <c r="GQ15" s="231">
        <v>224455.831275</v>
      </c>
      <c r="GR15" s="231">
        <f>GQ15-GO15</f>
        <v>-604216.168725</v>
      </c>
      <c r="GS15" s="377">
        <f t="shared" ref="GS15:GS23" si="25">+GS14+1</f>
        <v>2</v>
      </c>
      <c r="GT15" s="230" t="s">
        <v>412</v>
      </c>
      <c r="GU15" s="470"/>
      <c r="GV15" s="655">
        <v>-36025489.107016005</v>
      </c>
      <c r="GW15" s="655">
        <f>GV15</f>
        <v>-36025489.107016005</v>
      </c>
      <c r="GX15" s="655">
        <f>GW15-GV15</f>
        <v>0</v>
      </c>
      <c r="GY15" s="655">
        <v>-31522302.987015996</v>
      </c>
      <c r="GZ15" s="655">
        <f>GY15-GW15</f>
        <v>4503186.1200000085</v>
      </c>
      <c r="HA15" s="367">
        <v>2</v>
      </c>
      <c r="HB15" s="535" t="s">
        <v>411</v>
      </c>
      <c r="HC15" s="433"/>
      <c r="HD15" s="231">
        <v>0</v>
      </c>
      <c r="HE15" s="231">
        <f>+HD15</f>
        <v>0</v>
      </c>
      <c r="HF15" s="231">
        <f>HE15-HD15</f>
        <v>0</v>
      </c>
      <c r="HG15" s="231">
        <v>13639436.15</v>
      </c>
      <c r="HH15" s="231">
        <f>HG15-HF15</f>
        <v>13639436.15</v>
      </c>
      <c r="HI15" s="377">
        <f t="shared" ref="HI15:HI21" si="26">+HI14+1</f>
        <v>2</v>
      </c>
      <c r="HJ15" s="247" t="s">
        <v>61</v>
      </c>
      <c r="HK15" s="234"/>
      <c r="HL15" s="234">
        <v>47610895.020000003</v>
      </c>
      <c r="HM15" s="234">
        <v>47610895.020000003</v>
      </c>
      <c r="HN15" s="234">
        <f>HM15-HL15</f>
        <v>0</v>
      </c>
      <c r="HO15" s="234">
        <v>48988849.240000002</v>
      </c>
      <c r="HP15" s="234">
        <f>HO15-HM15</f>
        <v>1377954.2199999988</v>
      </c>
      <c r="HQ15" s="377">
        <f t="shared" ref="HQ15:HQ31" si="27">+HQ14+1</f>
        <v>2</v>
      </c>
      <c r="HR15" s="965" t="s">
        <v>165</v>
      </c>
    </row>
    <row r="16" spans="1:232" ht="14.4" thickBot="1">
      <c r="A16" s="352">
        <f t="shared" si="5"/>
        <v>4</v>
      </c>
      <c r="B16" s="376" t="s">
        <v>410</v>
      </c>
      <c r="C16" s="245"/>
      <c r="D16" s="1290"/>
      <c r="E16" s="1290"/>
      <c r="F16" s="349">
        <v>0</v>
      </c>
      <c r="G16" s="1292"/>
      <c r="H16" s="349">
        <v>1895876.7300000002</v>
      </c>
      <c r="I16" s="233">
        <f t="shared" si="0"/>
        <v>4</v>
      </c>
      <c r="J16" s="525" t="s">
        <v>409</v>
      </c>
      <c r="K16" s="517"/>
      <c r="L16" s="547">
        <v>3.901848296808768E-2</v>
      </c>
      <c r="M16" s="547">
        <v>3.901848296808768E-2</v>
      </c>
      <c r="N16" s="547">
        <v>3.901848296808768E-2</v>
      </c>
      <c r="O16" s="547">
        <v>3.9456616779765467E-2</v>
      </c>
      <c r="P16" s="547">
        <f>O16-M16</f>
        <v>4.3813381167778775E-4</v>
      </c>
      <c r="Q16" s="233">
        <f>Q15+1</f>
        <v>3</v>
      </c>
      <c r="R16" s="247" t="s">
        <v>408</v>
      </c>
      <c r="S16" s="247"/>
      <c r="T16" s="546">
        <f>SUM(T14:T15)</f>
        <v>61749262.590000004</v>
      </c>
      <c r="U16" s="546">
        <f>SUM(U14:U15)</f>
        <v>76684916.036827505</v>
      </c>
      <c r="V16" s="546">
        <f>-SUM(V14:V15)</f>
        <v>-14935653.446827501</v>
      </c>
      <c r="W16" s="546">
        <f>SUM(W14:W15)</f>
        <v>76684916.036827505</v>
      </c>
      <c r="X16" s="546">
        <f>SUM(X14:X15)</f>
        <v>0</v>
      </c>
      <c r="Y16" s="233">
        <f t="shared" si="6"/>
        <v>3</v>
      </c>
      <c r="Z16" s="464" t="s">
        <v>407</v>
      </c>
      <c r="AB16" s="274"/>
      <c r="AC16" s="274"/>
      <c r="AD16" s="274"/>
      <c r="AE16" s="274"/>
      <c r="AF16" s="1111"/>
      <c r="AG16" s="352">
        <f t="shared" si="1"/>
        <v>3</v>
      </c>
      <c r="AH16" s="386" t="s">
        <v>406</v>
      </c>
      <c r="AJ16" s="310">
        <v>62179769</v>
      </c>
      <c r="AK16" s="310">
        <v>0</v>
      </c>
      <c r="AL16" s="310">
        <f t="shared" si="7"/>
        <v>-62179769</v>
      </c>
      <c r="AM16" s="310">
        <f t="shared" si="8"/>
        <v>0</v>
      </c>
      <c r="AN16" s="310">
        <f t="shared" ref="AN16:AN27" si="28">AM16-AK16</f>
        <v>0</v>
      </c>
      <c r="AO16" s="233">
        <f t="shared" si="9"/>
        <v>3</v>
      </c>
      <c r="AP16" s="451" t="s">
        <v>405</v>
      </c>
      <c r="AQ16" s="451"/>
      <c r="AR16" s="501">
        <f>SUM(AR14:AR15)</f>
        <v>1250336.8659676735</v>
      </c>
      <c r="AS16" s="501">
        <f>SUM(AS14:AS15)</f>
        <v>1166036.3914547989</v>
      </c>
      <c r="AT16" s="501">
        <f>SUM(AT14:AT15)</f>
        <v>-84300.474512874614</v>
      </c>
      <c r="AU16" s="501">
        <f>SUM(AU14:AU15)</f>
        <v>1166036.3914547989</v>
      </c>
      <c r="AV16" s="501">
        <f>SUM(AV14:AV15)</f>
        <v>0</v>
      </c>
      <c r="AW16" s="367">
        <f>AW15+1</f>
        <v>3</v>
      </c>
      <c r="AX16" s="367"/>
      <c r="AY16" s="367"/>
      <c r="AZ16" s="544"/>
      <c r="BA16" s="543"/>
      <c r="BB16" s="543"/>
      <c r="BC16" s="543"/>
      <c r="BD16" s="543"/>
      <c r="BE16" s="367">
        <f t="shared" si="10"/>
        <v>3</v>
      </c>
      <c r="BF16" s="477" t="s">
        <v>401</v>
      </c>
      <c r="BH16" s="467">
        <v>1722337.7348331909</v>
      </c>
      <c r="BI16" s="467">
        <v>1679000.5734577938</v>
      </c>
      <c r="BJ16" s="467">
        <v>-43337.161375397118</v>
      </c>
      <c r="BK16" s="467">
        <v>1679000.5734577938</v>
      </c>
      <c r="BL16" s="475">
        <v>0</v>
      </c>
      <c r="BM16" s="478">
        <v>3</v>
      </c>
      <c r="BN16" s="531" t="s">
        <v>404</v>
      </c>
      <c r="BO16" s="531"/>
      <c r="BP16" s="542">
        <f>BP14+BP15</f>
        <v>89249370.281786993</v>
      </c>
      <c r="BQ16" s="542">
        <f>BQ14+BQ15</f>
        <v>89158440.199708983</v>
      </c>
      <c r="BR16" s="542">
        <f>BR14+BR15</f>
        <v>-90930.082078008913</v>
      </c>
      <c r="BS16" s="542">
        <f>BS14+BS15</f>
        <v>89249370.281786993</v>
      </c>
      <c r="BT16" s="541">
        <f>BT14+BT15</f>
        <v>90930.082078008913</v>
      </c>
      <c r="BU16" s="468">
        <f t="shared" si="11"/>
        <v>3</v>
      </c>
      <c r="BV16" s="397" t="s">
        <v>303</v>
      </c>
      <c r="BW16" s="530"/>
      <c r="BX16" s="420">
        <f>SUM(BX14:BX15)</f>
        <v>84154.734218343758</v>
      </c>
      <c r="BY16" s="420">
        <f>SUM(BY14:BY15)</f>
        <v>77444.18431150305</v>
      </c>
      <c r="BZ16" s="420">
        <f>SUM(BZ14:BZ15)</f>
        <v>-6710.549906840708</v>
      </c>
      <c r="CA16" s="420">
        <f>SUM(CA14:CA15)</f>
        <v>84154.734218343758</v>
      </c>
      <c r="CB16" s="420">
        <f>SUM(CB14:CB15)</f>
        <v>6710.549906840708</v>
      </c>
      <c r="CC16" s="302">
        <f>CC15+1</f>
        <v>3</v>
      </c>
      <c r="CD16" s="245" t="s">
        <v>249</v>
      </c>
      <c r="CE16" s="245"/>
      <c r="CF16" s="353">
        <f>-SUM(CF14:CF15)</f>
        <v>0</v>
      </c>
      <c r="CG16" s="353">
        <f>-SUM(CG14:CG15)</f>
        <v>-803909.33835699933</v>
      </c>
      <c r="CH16" s="353">
        <f>-SUM(CH14:CH15)</f>
        <v>-803909.33835699933</v>
      </c>
      <c r="CI16" s="353">
        <f>-SUM(CI14:CI15)</f>
        <v>-803909.33835699933</v>
      </c>
      <c r="CJ16" s="353">
        <f>-SUM(CJ14:CJ15)</f>
        <v>0</v>
      </c>
      <c r="CK16" s="367">
        <f t="shared" si="12"/>
        <v>3</v>
      </c>
      <c r="CL16" s="247" t="s">
        <v>403</v>
      </c>
      <c r="CM16" s="247"/>
      <c r="CN16" s="231">
        <v>-11803.907603</v>
      </c>
      <c r="CO16" s="231">
        <v>548500</v>
      </c>
      <c r="CP16" s="231">
        <f>CO16-CN16</f>
        <v>560303.90760300006</v>
      </c>
      <c r="CQ16" s="231">
        <f>+CO16</f>
        <v>548500</v>
      </c>
      <c r="CR16" s="231">
        <f>CQ16-CO16</f>
        <v>0</v>
      </c>
      <c r="CS16" s="233">
        <f>CS15+1</f>
        <v>3</v>
      </c>
      <c r="CT16" s="247"/>
      <c r="CU16" s="247"/>
      <c r="CV16" s="301"/>
      <c r="CW16" s="301"/>
      <c r="CX16" s="301"/>
      <c r="CY16" s="301"/>
      <c r="CZ16" s="301"/>
      <c r="DA16" s="302">
        <f>DA15+1</f>
        <v>3</v>
      </c>
      <c r="DB16" s="247" t="s">
        <v>402</v>
      </c>
      <c r="DC16" s="540"/>
      <c r="DD16" s="539">
        <f>SUM(DD14:DD15)</f>
        <v>5788117.8034405001</v>
      </c>
      <c r="DE16" s="539">
        <f>SUM(DE14:DE15)</f>
        <v>5383122.9052316677</v>
      </c>
      <c r="DF16" s="539">
        <f>SUM(DF14:DF15)</f>
        <v>-404994.8982088333</v>
      </c>
      <c r="DG16" s="539">
        <f>SUM(DG14:DG15)</f>
        <v>5943361.885332806</v>
      </c>
      <c r="DH16" s="539">
        <f>SUM(DH14:DH15)</f>
        <v>560238.98010113928</v>
      </c>
      <c r="DI16" s="367">
        <f t="shared" si="13"/>
        <v>3</v>
      </c>
      <c r="DJ16" s="466" t="s">
        <v>401</v>
      </c>
      <c r="DK16" s="397"/>
      <c r="DL16" s="441">
        <v>21002062.650665939</v>
      </c>
      <c r="DM16" s="495">
        <v>21009444.612224907</v>
      </c>
      <c r="DN16" s="443">
        <f t="shared" si="14"/>
        <v>7381.9615589678288</v>
      </c>
      <c r="DO16" s="443">
        <v>21701059.501812048</v>
      </c>
      <c r="DP16" s="443">
        <f t="shared" si="15"/>
        <v>691614.88958714157</v>
      </c>
      <c r="DQ16" s="367">
        <f t="shared" si="16"/>
        <v>3</v>
      </c>
      <c r="DR16" s="452"/>
      <c r="DS16" s="538"/>
      <c r="DT16" s="409"/>
      <c r="DU16" s="409"/>
      <c r="DV16" s="421"/>
      <c r="DW16" s="409"/>
      <c r="DX16" s="409"/>
      <c r="DY16" s="233">
        <v>3</v>
      </c>
      <c r="DZ16" s="366" t="s">
        <v>400</v>
      </c>
      <c r="EA16" s="247"/>
      <c r="EB16" s="489">
        <v>10338996.0695654</v>
      </c>
      <c r="EC16" s="489">
        <v>10434337.410289202</v>
      </c>
      <c r="ED16" s="490">
        <f>EC16-EB16</f>
        <v>95341.340723801404</v>
      </c>
      <c r="EE16" s="489">
        <v>11042309.130098399</v>
      </c>
      <c r="EF16" s="537">
        <f>EE16-EC16</f>
        <v>607971.71980919689</v>
      </c>
      <c r="EG16" s="233">
        <f t="shared" si="17"/>
        <v>3</v>
      </c>
      <c r="EH16" s="245" t="s">
        <v>41</v>
      </c>
      <c r="EJ16" s="234">
        <v>285841342.02833331</v>
      </c>
      <c r="EK16" s="521">
        <v>273144103.32999998</v>
      </c>
      <c r="EL16" s="234">
        <f t="shared" si="2"/>
        <v>-12697238.698333323</v>
      </c>
      <c r="EM16" s="521">
        <f t="shared" si="3"/>
        <v>273144103.32999998</v>
      </c>
      <c r="EN16" s="234">
        <f t="shared" si="4"/>
        <v>0</v>
      </c>
      <c r="EO16" s="233">
        <f t="shared" si="18"/>
        <v>3</v>
      </c>
      <c r="EP16" s="281" t="s">
        <v>399</v>
      </c>
      <c r="ER16" s="521">
        <v>15706525.089999994</v>
      </c>
      <c r="ES16" s="521">
        <v>15702575.549999984</v>
      </c>
      <c r="ET16" s="521">
        <f>ES16-ER16</f>
        <v>-3949.5400000102818</v>
      </c>
      <c r="EU16" s="521">
        <f>ES16</f>
        <v>15702575.549999984</v>
      </c>
      <c r="EV16" s="521">
        <f>EU16-ES16</f>
        <v>0</v>
      </c>
      <c r="EW16" s="314">
        <f t="shared" si="19"/>
        <v>3</v>
      </c>
      <c r="EZ16" s="1123"/>
      <c r="FA16" s="1123"/>
      <c r="FB16" s="1123"/>
      <c r="FC16" s="1123"/>
      <c r="FD16" s="1123"/>
      <c r="FE16" s="233">
        <f>FE15+1</f>
        <v>3</v>
      </c>
      <c r="FF16" s="520" t="s">
        <v>398</v>
      </c>
      <c r="FG16" s="406"/>
      <c r="FH16" s="1100">
        <f>FH15</f>
        <v>1423784.9999999995</v>
      </c>
      <c r="FI16" s="1100">
        <f>FI15</f>
        <v>1423784.9999999995</v>
      </c>
      <c r="FJ16" s="1100">
        <f>FJ15</f>
        <v>0</v>
      </c>
      <c r="FK16" s="1100">
        <f>FK15</f>
        <v>1575832.6603212098</v>
      </c>
      <c r="FL16" s="1100">
        <f>FL15</f>
        <v>152047.66032121028</v>
      </c>
      <c r="FM16" s="233">
        <f t="shared" si="20"/>
        <v>3</v>
      </c>
      <c r="FN16" s="505" t="s">
        <v>397</v>
      </c>
      <c r="FO16" s="505"/>
      <c r="FP16" s="274">
        <v>0</v>
      </c>
      <c r="FQ16" s="274">
        <v>0</v>
      </c>
      <c r="FR16" s="274">
        <v>0</v>
      </c>
      <c r="FS16" s="274">
        <v>24644867.610000003</v>
      </c>
      <c r="FT16" s="274">
        <f>+FS16-FR16</f>
        <v>24644867.610000003</v>
      </c>
      <c r="FU16" s="367">
        <v>3</v>
      </c>
      <c r="FV16" s="272" t="s">
        <v>396</v>
      </c>
      <c r="FW16" s="419"/>
      <c r="FX16" s="407">
        <v>260613.38712720003</v>
      </c>
      <c r="FY16" s="407">
        <v>0</v>
      </c>
      <c r="FZ16" s="407">
        <f t="shared" si="21"/>
        <v>-260613.38712720003</v>
      </c>
      <c r="GA16" s="407">
        <v>0</v>
      </c>
      <c r="GB16" s="407">
        <f t="shared" si="22"/>
        <v>0</v>
      </c>
      <c r="GC16" s="377">
        <f t="shared" si="23"/>
        <v>3</v>
      </c>
      <c r="GD16" s="505" t="s">
        <v>395</v>
      </c>
      <c r="GE16" s="505"/>
      <c r="GF16" s="274">
        <v>0</v>
      </c>
      <c r="GG16" s="274">
        <v>0</v>
      </c>
      <c r="GH16" s="274">
        <v>0</v>
      </c>
      <c r="GI16" s="274">
        <v>21484686.755701002</v>
      </c>
      <c r="GJ16" s="274">
        <f>+GI16-GH16</f>
        <v>21484686.755701002</v>
      </c>
      <c r="GK16" s="377">
        <f t="shared" si="24"/>
        <v>3</v>
      </c>
      <c r="GN16" s="259"/>
      <c r="GO16" s="259"/>
      <c r="GP16" s="259"/>
      <c r="GQ16" s="259"/>
      <c r="GR16" s="259"/>
      <c r="GS16" s="377">
        <f t="shared" si="25"/>
        <v>3</v>
      </c>
      <c r="GT16" s="230" t="s">
        <v>37</v>
      </c>
      <c r="GU16" s="470"/>
      <c r="GV16" s="1131">
        <f>SUM(GV15)</f>
        <v>-36025489.107016005</v>
      </c>
      <c r="GW16" s="1131">
        <f>SUM(GW15)</f>
        <v>-36025489.107016005</v>
      </c>
      <c r="GX16" s="1131">
        <f>SUM(GX15)</f>
        <v>0</v>
      </c>
      <c r="GY16" s="1131">
        <f>SUM(GY15)</f>
        <v>-31522302.987015996</v>
      </c>
      <c r="GZ16" s="1131">
        <f>SUM(GZ15)</f>
        <v>4503186.1200000085</v>
      </c>
      <c r="HA16" s="367">
        <v>3</v>
      </c>
      <c r="HB16" s="535" t="s">
        <v>394</v>
      </c>
      <c r="HC16" s="433"/>
      <c r="HD16" s="526">
        <v>0</v>
      </c>
      <c r="HE16" s="526">
        <f>+HD16</f>
        <v>0</v>
      </c>
      <c r="HF16" s="526">
        <f>HE16-HD16</f>
        <v>0</v>
      </c>
      <c r="HG16" s="526">
        <v>-671553.6085628313</v>
      </c>
      <c r="HH16" s="475">
        <f>HG16-HF16</f>
        <v>-671553.6085628313</v>
      </c>
      <c r="HI16" s="377">
        <f t="shared" si="26"/>
        <v>3</v>
      </c>
      <c r="HJ16" s="247" t="s">
        <v>60</v>
      </c>
      <c r="HK16" s="234"/>
      <c r="HL16" s="234">
        <v>9867708.1199999992</v>
      </c>
      <c r="HM16" s="234">
        <v>9867708.1199999992</v>
      </c>
      <c r="HN16" s="234">
        <f>HM16-HL16</f>
        <v>0</v>
      </c>
      <c r="HO16" s="234">
        <v>10013750.199999999</v>
      </c>
      <c r="HP16" s="234">
        <f>HO16-HM16</f>
        <v>146042.08000000007</v>
      </c>
      <c r="HQ16" s="377">
        <f t="shared" si="27"/>
        <v>3</v>
      </c>
      <c r="HR16" s="965" t="s">
        <v>1436</v>
      </c>
      <c r="HT16" s="231">
        <v>0</v>
      </c>
      <c r="HU16" s="231">
        <v>0</v>
      </c>
      <c r="HV16" s="231">
        <f>HU16-HT16</f>
        <v>0</v>
      </c>
      <c r="HW16" s="231">
        <v>6817570</v>
      </c>
      <c r="HX16" s="231">
        <f>HW16-HU16</f>
        <v>6817570</v>
      </c>
    </row>
    <row r="17" spans="1:232" ht="14.4" thickTop="1">
      <c r="A17" s="352">
        <f t="shared" si="5"/>
        <v>5</v>
      </c>
      <c r="B17" s="376" t="s">
        <v>393</v>
      </c>
      <c r="C17" s="245"/>
      <c r="D17" s="1290"/>
      <c r="E17" s="1290"/>
      <c r="F17" s="349">
        <v>0</v>
      </c>
      <c r="G17" s="1292"/>
      <c r="H17" s="349">
        <v>-723802.14000000013</v>
      </c>
      <c r="I17" s="233">
        <f t="shared" si="0"/>
        <v>5</v>
      </c>
      <c r="J17" s="517"/>
      <c r="K17" s="517"/>
      <c r="L17" s="516"/>
      <c r="M17" s="516"/>
      <c r="N17" s="516"/>
      <c r="O17" s="516"/>
      <c r="P17" s="516"/>
      <c r="Q17" s="245"/>
      <c r="R17" s="245"/>
      <c r="S17" s="245"/>
      <c r="T17" s="245"/>
      <c r="U17" s="245"/>
      <c r="V17" s="245"/>
      <c r="W17" s="245"/>
      <c r="X17" s="245"/>
      <c r="Y17" s="233">
        <f t="shared" si="6"/>
        <v>4</v>
      </c>
      <c r="Z17" s="464"/>
      <c r="AB17" s="273"/>
      <c r="AC17" s="273"/>
      <c r="AD17" s="273"/>
      <c r="AE17" s="273"/>
      <c r="AF17" s="273"/>
      <c r="AG17" s="352">
        <f t="shared" si="1"/>
        <v>4</v>
      </c>
      <c r="AH17" s="386" t="s">
        <v>392</v>
      </c>
      <c r="AJ17" s="310">
        <v>85339739.170000002</v>
      </c>
      <c r="AK17" s="310">
        <v>0</v>
      </c>
      <c r="AL17" s="310">
        <f t="shared" si="7"/>
        <v>-85339739.170000002</v>
      </c>
      <c r="AM17" s="310">
        <f t="shared" si="8"/>
        <v>0</v>
      </c>
      <c r="AN17" s="310">
        <f t="shared" si="28"/>
        <v>0</v>
      </c>
      <c r="AO17" s="233">
        <f t="shared" si="9"/>
        <v>4</v>
      </c>
      <c r="AP17" s="534"/>
      <c r="AQ17" s="534"/>
      <c r="AR17" s="533"/>
      <c r="AS17" s="533"/>
      <c r="AT17" s="533"/>
      <c r="AU17" s="533" t="s">
        <v>45</v>
      </c>
      <c r="AV17" s="532"/>
      <c r="AW17" s="367">
        <f>AW16+1</f>
        <v>4</v>
      </c>
      <c r="AX17" s="247" t="s">
        <v>321</v>
      </c>
      <c r="AY17" s="366"/>
      <c r="AZ17" s="504">
        <f>-AZ15</f>
        <v>-18742755.935488999</v>
      </c>
      <c r="BA17" s="504">
        <f>-BA15</f>
        <v>-18359017</v>
      </c>
      <c r="BB17" s="504">
        <f>-BB15</f>
        <v>383738.93548899889</v>
      </c>
      <c r="BC17" s="504">
        <f>-BC15</f>
        <v>-18359017</v>
      </c>
      <c r="BD17" s="504">
        <f>-BD15</f>
        <v>0</v>
      </c>
      <c r="BE17" s="367">
        <f t="shared" si="10"/>
        <v>4</v>
      </c>
      <c r="BF17" s="477" t="s">
        <v>391</v>
      </c>
      <c r="BH17" s="467">
        <v>753556.00726197346</v>
      </c>
      <c r="BI17" s="467">
        <v>734849.28831648605</v>
      </c>
      <c r="BJ17" s="467">
        <v>-18706.718945487402</v>
      </c>
      <c r="BK17" s="467">
        <v>734849.28831648605</v>
      </c>
      <c r="BL17" s="475">
        <v>0</v>
      </c>
      <c r="BM17" s="478">
        <v>4</v>
      </c>
      <c r="BN17" s="531"/>
      <c r="BO17" s="531"/>
      <c r="BP17" s="475"/>
      <c r="BQ17" s="467"/>
      <c r="BR17" s="467"/>
      <c r="BS17" s="467"/>
      <c r="BU17" s="468">
        <f t="shared" si="11"/>
        <v>4</v>
      </c>
      <c r="BV17" s="397"/>
      <c r="BW17" s="530"/>
      <c r="BX17" s="529"/>
      <c r="BY17" s="529"/>
      <c r="BZ17" s="529"/>
      <c r="CA17" s="529"/>
      <c r="CB17" s="529"/>
      <c r="CC17" s="302"/>
      <c r="CK17" s="367">
        <f t="shared" si="12"/>
        <v>4</v>
      </c>
      <c r="CL17" s="247"/>
      <c r="CM17" s="247"/>
      <c r="CN17" s="467"/>
      <c r="CO17" s="467"/>
      <c r="CP17" s="467"/>
      <c r="CQ17" s="467"/>
      <c r="CR17" s="467"/>
      <c r="CS17" s="233">
        <f>CS16+1</f>
        <v>4</v>
      </c>
      <c r="CT17" s="247" t="s">
        <v>250</v>
      </c>
      <c r="CU17" s="249">
        <f>FIT_E</f>
        <v>0.21</v>
      </c>
      <c r="CV17" s="509">
        <f>-CV15*$CU$17</f>
        <v>-956710.5332233446</v>
      </c>
      <c r="CW17" s="509">
        <f>-CW15*$CU$17</f>
        <v>-1415560.3237327191</v>
      </c>
      <c r="CX17" s="280">
        <f>CW17-CV17</f>
        <v>-458849.79050937446</v>
      </c>
      <c r="CY17" s="280">
        <f>CW17</f>
        <v>-1415560.3237327191</v>
      </c>
      <c r="CZ17" s="280">
        <f>CY17-CW17</f>
        <v>0</v>
      </c>
      <c r="DA17" s="302">
        <f>DA16+1</f>
        <v>4</v>
      </c>
      <c r="DB17" s="247"/>
      <c r="DC17" s="245"/>
      <c r="DD17" s="245"/>
      <c r="DE17" s="245"/>
      <c r="DF17" s="245"/>
      <c r="DG17" s="245"/>
      <c r="DH17" s="348"/>
      <c r="DI17" s="367">
        <f t="shared" si="13"/>
        <v>4</v>
      </c>
      <c r="DJ17" s="466" t="s">
        <v>391</v>
      </c>
      <c r="DK17" s="397"/>
      <c r="DL17" s="441">
        <v>9188775.2244181</v>
      </c>
      <c r="DM17" s="441">
        <v>9195193.1657769624</v>
      </c>
      <c r="DN17" s="443">
        <f t="shared" si="14"/>
        <v>6417.9413588624448</v>
      </c>
      <c r="DO17" s="443">
        <v>9524371.1429421082</v>
      </c>
      <c r="DP17" s="443">
        <f t="shared" si="15"/>
        <v>329177.9771651458</v>
      </c>
      <c r="DQ17" s="367">
        <f t="shared" si="16"/>
        <v>4</v>
      </c>
      <c r="DR17" s="494" t="s">
        <v>390</v>
      </c>
      <c r="DS17" s="528"/>
      <c r="DT17" s="351"/>
      <c r="DU17" s="351"/>
      <c r="DV17" s="351"/>
      <c r="DW17" s="351"/>
      <c r="DX17" s="351"/>
      <c r="DY17" s="233">
        <v>4</v>
      </c>
      <c r="DZ17" s="248" t="s">
        <v>389</v>
      </c>
      <c r="EA17" s="245"/>
      <c r="EB17" s="355">
        <f>SUM(EB15:EB16)</f>
        <v>30180146.153043997</v>
      </c>
      <c r="EC17" s="355">
        <f>SUM(EC15:EC16)</f>
        <v>30240530.000712</v>
      </c>
      <c r="ED17" s="355">
        <f>SUM(ED15:ED16)</f>
        <v>60383.847668003291</v>
      </c>
      <c r="EE17" s="355">
        <f>SUM(EE15:EE16)</f>
        <v>31990622.478023998</v>
      </c>
      <c r="EF17" s="244">
        <f>SUM(EF15:EF16)</f>
        <v>1750092.4773119986</v>
      </c>
      <c r="EG17" s="233">
        <f t="shared" si="17"/>
        <v>4</v>
      </c>
      <c r="EH17" s="245" t="s">
        <v>40</v>
      </c>
      <c r="EJ17" s="234">
        <v>-1443684469.5857882</v>
      </c>
      <c r="EK17" s="521">
        <v>-1420710082.9970851</v>
      </c>
      <c r="EL17" s="234">
        <f t="shared" si="2"/>
        <v>22974386.588703156</v>
      </c>
      <c r="EM17" s="521">
        <f t="shared" si="3"/>
        <v>-1420710082.9970851</v>
      </c>
      <c r="EN17" s="234">
        <f t="shared" si="4"/>
        <v>0</v>
      </c>
      <c r="EO17" s="233">
        <f t="shared" si="18"/>
        <v>4</v>
      </c>
      <c r="EP17" s="281" t="s">
        <v>388</v>
      </c>
      <c r="ER17" s="521">
        <v>44372353.199617065</v>
      </c>
      <c r="ES17" s="521">
        <v>60095545.457455039</v>
      </c>
      <c r="ET17" s="521">
        <f>ES17-ER17</f>
        <v>15723192.257837974</v>
      </c>
      <c r="EU17" s="521">
        <f>ES17</f>
        <v>60095545.457455039</v>
      </c>
      <c r="EV17" s="521">
        <f>EU17-ES17</f>
        <v>0</v>
      </c>
      <c r="EW17" s="314">
        <f t="shared" si="19"/>
        <v>4</v>
      </c>
      <c r="EX17" s="248" t="s">
        <v>385</v>
      </c>
      <c r="EY17" s="248"/>
      <c r="EZ17" s="521">
        <f>EZ15</f>
        <v>-763743.36</v>
      </c>
      <c r="FA17" s="521">
        <f>FA15</f>
        <v>-763743.36</v>
      </c>
      <c r="FB17" s="521">
        <f>FB15</f>
        <v>0</v>
      </c>
      <c r="FC17" s="521">
        <f>FC15</f>
        <v>-244707.3533333329</v>
      </c>
      <c r="FD17" s="521">
        <f>FD15</f>
        <v>519036.00666666706</v>
      </c>
      <c r="FE17" s="233">
        <f>FE16+1</f>
        <v>4</v>
      </c>
      <c r="FF17" s="527"/>
      <c r="FG17" s="464"/>
      <c r="FH17" s="464"/>
      <c r="FI17" s="464"/>
      <c r="FJ17" s="348"/>
      <c r="FK17" s="348"/>
      <c r="FL17" s="244"/>
      <c r="FM17" s="233">
        <f t="shared" si="20"/>
        <v>4</v>
      </c>
      <c r="FN17" s="440" t="s">
        <v>383</v>
      </c>
      <c r="FO17" s="440"/>
      <c r="FP17" s="244">
        <v>0</v>
      </c>
      <c r="FQ17" s="244">
        <v>0</v>
      </c>
      <c r="FR17" s="244">
        <v>0</v>
      </c>
      <c r="FS17" s="244">
        <v>-2140347.6892875</v>
      </c>
      <c r="FT17" s="244">
        <f>+FS17-FR17</f>
        <v>-2140347.6892875</v>
      </c>
      <c r="FU17" s="367">
        <v>3</v>
      </c>
      <c r="FV17" s="272" t="s">
        <v>387</v>
      </c>
      <c r="FW17" s="419"/>
      <c r="FX17" s="407">
        <v>-690967.97</v>
      </c>
      <c r="FY17" s="407">
        <v>0</v>
      </c>
      <c r="FZ17" s="407">
        <f t="shared" si="21"/>
        <v>690967.97</v>
      </c>
      <c r="GA17" s="407">
        <v>0</v>
      </c>
      <c r="GB17" s="407">
        <f t="shared" si="22"/>
        <v>0</v>
      </c>
      <c r="GC17" s="377">
        <f t="shared" si="23"/>
        <v>4</v>
      </c>
      <c r="GD17" s="440" t="s">
        <v>386</v>
      </c>
      <c r="GE17" s="440"/>
      <c r="GF17" s="244">
        <v>0</v>
      </c>
      <c r="GG17" s="244">
        <v>0</v>
      </c>
      <c r="GH17" s="244">
        <v>0</v>
      </c>
      <c r="GI17" s="244">
        <v>-8848582.893215416</v>
      </c>
      <c r="GJ17" s="244">
        <f>+GI17-GH17</f>
        <v>-8848582.893215416</v>
      </c>
      <c r="GK17" s="377">
        <f t="shared" si="24"/>
        <v>4</v>
      </c>
      <c r="GL17" s="230" t="s">
        <v>385</v>
      </c>
      <c r="GN17" s="231">
        <f>GN15</f>
        <v>828672</v>
      </c>
      <c r="GO17" s="231">
        <f>GO15</f>
        <v>828672</v>
      </c>
      <c r="GP17" s="231">
        <f>GP15</f>
        <v>0</v>
      </c>
      <c r="GQ17" s="231">
        <f>GQ15</f>
        <v>224455.831275</v>
      </c>
      <c r="GR17" s="231">
        <f>GR15</f>
        <v>-604216.168725</v>
      </c>
      <c r="GS17" s="377">
        <f t="shared" si="25"/>
        <v>4</v>
      </c>
      <c r="GU17" s="470"/>
      <c r="GV17" s="504"/>
      <c r="GW17" s="504"/>
      <c r="GX17" s="504"/>
      <c r="GY17" s="504"/>
      <c r="GZ17" s="504"/>
      <c r="HA17" s="367">
        <v>4</v>
      </c>
      <c r="HB17" s="376" t="s">
        <v>384</v>
      </c>
      <c r="HC17" s="433"/>
      <c r="HD17" s="526">
        <v>0</v>
      </c>
      <c r="HE17" s="526">
        <f>+HD17</f>
        <v>0</v>
      </c>
      <c r="HF17" s="526">
        <f>HE17-HD17</f>
        <v>0</v>
      </c>
      <c r="HG17" s="526">
        <v>-112579.20210952556</v>
      </c>
      <c r="HH17" s="475">
        <f>HG17-HF17</f>
        <v>-112579.20210952556</v>
      </c>
      <c r="HI17" s="377">
        <f t="shared" si="26"/>
        <v>4</v>
      </c>
      <c r="HJ17" s="247" t="s">
        <v>57</v>
      </c>
      <c r="HK17" s="521"/>
      <c r="HL17" s="482">
        <v>40650.018955000007</v>
      </c>
      <c r="HM17" s="482">
        <v>40650.018955000007</v>
      </c>
      <c r="HN17" s="482">
        <f>HM17-HL17</f>
        <v>0</v>
      </c>
      <c r="HO17" s="482">
        <v>41908.472322000001</v>
      </c>
      <c r="HP17" s="482">
        <f>HO17-HM17</f>
        <v>1258.4533669999946</v>
      </c>
      <c r="HQ17" s="377">
        <f t="shared" si="27"/>
        <v>4</v>
      </c>
      <c r="HR17" s="965" t="s">
        <v>1363</v>
      </c>
      <c r="HT17" s="234">
        <v>0</v>
      </c>
      <c r="HU17" s="234">
        <v>0</v>
      </c>
      <c r="HV17" s="234">
        <f>HU17-HT17</f>
        <v>0</v>
      </c>
      <c r="HW17" s="234">
        <v>-965822.41666666651</v>
      </c>
      <c r="HX17" s="231">
        <f>HW17-HU17</f>
        <v>-965822.41666666651</v>
      </c>
    </row>
    <row r="18" spans="1:232" ht="14.4" thickBot="1">
      <c r="A18" s="352">
        <f t="shared" si="5"/>
        <v>6</v>
      </c>
      <c r="B18" s="376" t="s">
        <v>1493</v>
      </c>
      <c r="C18" s="245"/>
      <c r="D18" s="1290"/>
      <c r="E18" s="1290"/>
      <c r="F18" s="349">
        <v>-20725035.350196019</v>
      </c>
      <c r="G18" s="1292"/>
      <c r="H18" s="349">
        <v>0</v>
      </c>
      <c r="I18" s="233">
        <f t="shared" si="0"/>
        <v>6</v>
      </c>
      <c r="J18" s="525" t="s">
        <v>382</v>
      </c>
      <c r="K18" s="517"/>
      <c r="L18" s="231">
        <f>L14*L16</f>
        <v>805929929.90067494</v>
      </c>
      <c r="M18" s="231">
        <f>M14*M16</f>
        <v>811207089.90067494</v>
      </c>
      <c r="N18" s="350">
        <v>5277160</v>
      </c>
      <c r="O18" s="350">
        <v>820316035.90067494</v>
      </c>
      <c r="P18" s="350">
        <f>O18-M18</f>
        <v>9108946</v>
      </c>
      <c r="Q18" s="352"/>
      <c r="R18" s="247"/>
      <c r="S18" s="247"/>
      <c r="T18" s="247"/>
      <c r="U18" s="247"/>
      <c r="V18" s="247"/>
      <c r="W18" s="247"/>
      <c r="X18" s="247"/>
      <c r="Y18" s="233">
        <f t="shared" si="6"/>
        <v>5</v>
      </c>
      <c r="Z18" s="503" t="s">
        <v>381</v>
      </c>
      <c r="AB18" s="820"/>
      <c r="AC18" s="697">
        <f>+'SEF-5E p 5 &amp; SEF-5G p 4'!E12</f>
        <v>2.9399999999999999E-2</v>
      </c>
      <c r="AD18" s="697"/>
      <c r="AE18" s="697">
        <f>+'SEF-3E'!H12</f>
        <v>2.87E-2</v>
      </c>
      <c r="AF18" s="697"/>
      <c r="AG18" s="352">
        <f t="shared" si="1"/>
        <v>5</v>
      </c>
      <c r="AH18" s="386" t="s">
        <v>380</v>
      </c>
      <c r="AJ18" s="310">
        <v>16204.59</v>
      </c>
      <c r="AK18" s="310">
        <v>0</v>
      </c>
      <c r="AL18" s="310">
        <f t="shared" si="7"/>
        <v>-16204.59</v>
      </c>
      <c r="AM18" s="310">
        <f t="shared" si="8"/>
        <v>0</v>
      </c>
      <c r="AN18" s="310">
        <f t="shared" si="28"/>
        <v>0</v>
      </c>
      <c r="AO18" s="233">
        <f t="shared" si="9"/>
        <v>5</v>
      </c>
      <c r="AP18" s="451" t="s">
        <v>379</v>
      </c>
      <c r="AQ18" s="451"/>
      <c r="AR18" s="524">
        <v>1250336.8659676735</v>
      </c>
      <c r="AS18" s="524">
        <v>1166036.3914547989</v>
      </c>
      <c r="AT18" s="524">
        <f>AS18-AR18</f>
        <v>-84300.474512874614</v>
      </c>
      <c r="AU18" s="231">
        <f>+AS18</f>
        <v>1166036.3914547989</v>
      </c>
      <c r="AV18" s="524">
        <f>+AU18-AS18</f>
        <v>0</v>
      </c>
      <c r="AW18" s="367">
        <f>AW17+1</f>
        <v>5</v>
      </c>
      <c r="AX18" s="363" t="s">
        <v>250</v>
      </c>
      <c r="AY18" s="425">
        <f>FIT_E</f>
        <v>0.21</v>
      </c>
      <c r="AZ18" s="523">
        <f>+AZ17*$AY$18</f>
        <v>-3935978.7464526896</v>
      </c>
      <c r="BA18" s="523">
        <f>+BA17*$AY$18</f>
        <v>-3855393.57</v>
      </c>
      <c r="BB18" s="523">
        <f>BA18-AZ18</f>
        <v>80585.176452689804</v>
      </c>
      <c r="BC18" s="451">
        <f>BA18</f>
        <v>-3855393.57</v>
      </c>
      <c r="BD18" s="451">
        <f>BC18-BA18</f>
        <v>0</v>
      </c>
      <c r="BE18" s="367">
        <f t="shared" si="10"/>
        <v>5</v>
      </c>
      <c r="BF18" s="477" t="s">
        <v>376</v>
      </c>
      <c r="BH18" s="467">
        <v>2248441.2377227461</v>
      </c>
      <c r="BI18" s="467">
        <v>2191563.7455525394</v>
      </c>
      <c r="BJ18" s="467">
        <v>-56877.492170206737</v>
      </c>
      <c r="BK18" s="467">
        <v>2191563.7455525394</v>
      </c>
      <c r="BL18" s="475">
        <v>0</v>
      </c>
      <c r="BM18" s="478">
        <v>5</v>
      </c>
      <c r="BN18" s="436" t="s">
        <v>378</v>
      </c>
      <c r="BO18" s="436"/>
      <c r="BP18" s="244">
        <f>BP16</f>
        <v>89249370.281786993</v>
      </c>
      <c r="BQ18" s="244">
        <f>BQ16</f>
        <v>89158440.199708983</v>
      </c>
      <c r="BR18" s="467">
        <f>BQ18-BP18</f>
        <v>-90930.082078009844</v>
      </c>
      <c r="BS18" s="244">
        <f>BS16</f>
        <v>89249370.281786993</v>
      </c>
      <c r="BT18" s="244">
        <f>BT16</f>
        <v>90930.082078008913</v>
      </c>
      <c r="BU18" s="468">
        <f t="shared" si="11"/>
        <v>5</v>
      </c>
      <c r="BV18" s="397" t="s">
        <v>292</v>
      </c>
      <c r="BW18" s="397"/>
      <c r="BX18" s="409">
        <f>+BX16</f>
        <v>84154.734218343758</v>
      </c>
      <c r="BY18" s="409">
        <f>+BY16</f>
        <v>77444.18431150305</v>
      </c>
      <c r="BZ18" s="409">
        <f>+BZ16</f>
        <v>-6710.549906840708</v>
      </c>
      <c r="CA18" s="409">
        <f>+CA16</f>
        <v>84154.734218343758</v>
      </c>
      <c r="CB18" s="409">
        <f>+CB16</f>
        <v>6710.549906840708</v>
      </c>
      <c r="CK18" s="367">
        <f t="shared" si="12"/>
        <v>5</v>
      </c>
      <c r="CL18" s="522" t="s">
        <v>377</v>
      </c>
      <c r="CM18" s="522"/>
      <c r="CN18" s="467"/>
      <c r="CO18" s="467"/>
      <c r="CP18" s="467"/>
      <c r="CQ18" s="467"/>
      <c r="CR18" s="467"/>
      <c r="CS18" s="233">
        <f>CS17+1</f>
        <v>5</v>
      </c>
      <c r="CT18" s="247" t="s">
        <v>249</v>
      </c>
      <c r="CU18" s="247"/>
      <c r="CV18" s="518">
        <f>-CV15-CV17</f>
        <v>-3599053.9106973442</v>
      </c>
      <c r="CW18" s="518">
        <f>-CW15-CW17</f>
        <v>-5325203.1226135632</v>
      </c>
      <c r="CX18" s="518">
        <f>-CX15-CX17</f>
        <v>-1726149.211916219</v>
      </c>
      <c r="CY18" s="518">
        <f>-CY15-CY17</f>
        <v>-5325203.1226135632</v>
      </c>
      <c r="CZ18" s="518">
        <f>-CZ15-CZ17</f>
        <v>0</v>
      </c>
      <c r="DA18" s="302">
        <f>DA17+1</f>
        <v>5</v>
      </c>
      <c r="DB18" s="247" t="s">
        <v>252</v>
      </c>
      <c r="DC18" s="249">
        <f>FIT_E</f>
        <v>0.21</v>
      </c>
      <c r="DD18" s="358">
        <f>-DD16*$DC$18</f>
        <v>-1215504.738722505</v>
      </c>
      <c r="DE18" s="358">
        <f>-DE16*$DC$18</f>
        <v>-1130455.8100986502</v>
      </c>
      <c r="DF18" s="358">
        <f>DE18-DD18</f>
        <v>85048.928623854881</v>
      </c>
      <c r="DG18" s="358">
        <f>-DG16*DC18</f>
        <v>-1248105.9959198893</v>
      </c>
      <c r="DH18" s="358">
        <f>DG18-DE18</f>
        <v>-117650.18582123914</v>
      </c>
      <c r="DI18" s="367">
        <f t="shared" si="13"/>
        <v>5</v>
      </c>
      <c r="DJ18" s="466" t="s">
        <v>376</v>
      </c>
      <c r="DK18" s="397"/>
      <c r="DL18" s="441">
        <v>27417316.113969147</v>
      </c>
      <c r="DM18" s="441">
        <v>27423128.940563183</v>
      </c>
      <c r="DN18" s="443">
        <f t="shared" si="14"/>
        <v>5812.8265940360725</v>
      </c>
      <c r="DO18" s="443">
        <v>28292537.446778752</v>
      </c>
      <c r="DP18" s="443">
        <f t="shared" si="15"/>
        <v>869408.50621556863</v>
      </c>
      <c r="DQ18" s="367">
        <f t="shared" si="16"/>
        <v>5</v>
      </c>
      <c r="DR18" s="436" t="s">
        <v>375</v>
      </c>
      <c r="DS18" s="367"/>
      <c r="DT18" s="471">
        <v>3276439.5071999999</v>
      </c>
      <c r="DU18" s="471">
        <v>3276439.5071999999</v>
      </c>
      <c r="DV18" s="471">
        <f>+DU18-DT18</f>
        <v>0</v>
      </c>
      <c r="DW18" s="471">
        <v>3374732.6924159997</v>
      </c>
      <c r="DX18" s="471">
        <f>+DW18-DU18</f>
        <v>98293.185215999838</v>
      </c>
      <c r="DY18" s="233">
        <v>5</v>
      </c>
      <c r="DZ18" s="366"/>
      <c r="EA18" s="245"/>
      <c r="EB18" s="245"/>
      <c r="EC18" s="245"/>
      <c r="EF18" s="348"/>
      <c r="EG18" s="233">
        <f t="shared" si="17"/>
        <v>5</v>
      </c>
      <c r="EH18" s="245" t="s">
        <v>39</v>
      </c>
      <c r="EJ18" s="234">
        <v>145303204.9988502</v>
      </c>
      <c r="EK18" s="521">
        <v>137375215.94916266</v>
      </c>
      <c r="EL18" s="234">
        <f t="shared" si="2"/>
        <v>-7927989.0496875346</v>
      </c>
      <c r="EM18" s="521">
        <f t="shared" si="3"/>
        <v>137375215.94916266</v>
      </c>
      <c r="EN18" s="234">
        <f t="shared" si="4"/>
        <v>0</v>
      </c>
      <c r="EO18" s="233">
        <f t="shared" si="18"/>
        <v>5</v>
      </c>
      <c r="EP18" s="281" t="s">
        <v>374</v>
      </c>
      <c r="ER18" s="236">
        <f>SUM(ER14:ER17)</f>
        <v>393995683.0177567</v>
      </c>
      <c r="ES18" s="236">
        <f>SUM(ES14:ES17)</f>
        <v>415313168.81962591</v>
      </c>
      <c r="ET18" s="236">
        <f>SUM(ET14:ET17)</f>
        <v>21317485.801869217</v>
      </c>
      <c r="EU18" s="236">
        <f>SUM(EU14:EU17)</f>
        <v>415313168.81962591</v>
      </c>
      <c r="EV18" s="236">
        <f>SUM(EV14:EV17)</f>
        <v>0</v>
      </c>
      <c r="EW18" s="314">
        <f t="shared" si="19"/>
        <v>5</v>
      </c>
      <c r="EZ18" s="826"/>
      <c r="FA18" s="826"/>
      <c r="FB18" s="826"/>
      <c r="FC18" s="826"/>
      <c r="FD18" s="826"/>
      <c r="FE18" s="233">
        <f>FE17+1</f>
        <v>5</v>
      </c>
      <c r="FF18" s="520" t="s">
        <v>373</v>
      </c>
      <c r="FG18" s="249">
        <f>FIT_E</f>
        <v>0.21</v>
      </c>
      <c r="FH18" s="358">
        <f>-FH16*$FG$18</f>
        <v>-298994.84999999992</v>
      </c>
      <c r="FI18" s="358">
        <f>-FI16*$FG$18</f>
        <v>-298994.84999999992</v>
      </c>
      <c r="FJ18" s="358">
        <f>-FJ16*$FG$18</f>
        <v>0</v>
      </c>
      <c r="FK18" s="358">
        <f>-FK16*$FG$18</f>
        <v>-330924.85866745404</v>
      </c>
      <c r="FL18" s="358">
        <f>-FL16*$FG$18</f>
        <v>-31930.008667454156</v>
      </c>
      <c r="FM18" s="233">
        <f t="shared" si="20"/>
        <v>5</v>
      </c>
      <c r="FN18" s="440" t="s">
        <v>368</v>
      </c>
      <c r="FO18" s="440"/>
      <c r="FP18" s="244">
        <v>0</v>
      </c>
      <c r="FQ18" s="244">
        <v>0</v>
      </c>
      <c r="FR18" s="244">
        <v>0</v>
      </c>
      <c r="FS18" s="244">
        <v>-1701440.8697030814</v>
      </c>
      <c r="FT18" s="244">
        <f>+FS18-FR18</f>
        <v>-1701440.8697030814</v>
      </c>
      <c r="FU18" s="367">
        <v>4</v>
      </c>
      <c r="FV18" s="272" t="s">
        <v>372</v>
      </c>
      <c r="FW18" s="419"/>
      <c r="FX18" s="407">
        <v>3068145.5511421002</v>
      </c>
      <c r="FY18" s="407">
        <v>3068145.5511421002</v>
      </c>
      <c r="FZ18" s="407">
        <f t="shared" si="21"/>
        <v>0</v>
      </c>
      <c r="GA18" s="407">
        <v>2947101.0393960006</v>
      </c>
      <c r="GB18" s="407">
        <f t="shared" si="22"/>
        <v>-121044.51174609968</v>
      </c>
      <c r="GC18" s="377">
        <f t="shared" si="23"/>
        <v>5</v>
      </c>
      <c r="GD18" s="440" t="s">
        <v>371</v>
      </c>
      <c r="GE18" s="440"/>
      <c r="GF18" s="244">
        <v>0</v>
      </c>
      <c r="GG18" s="244">
        <v>0</v>
      </c>
      <c r="GH18" s="244">
        <v>0</v>
      </c>
      <c r="GI18" s="244">
        <v>-71544.914168613555</v>
      </c>
      <c r="GJ18" s="244">
        <f>+GI18-GH18</f>
        <v>-71544.914168613555</v>
      </c>
      <c r="GK18" s="377">
        <f t="shared" si="24"/>
        <v>5</v>
      </c>
      <c r="GS18" s="377">
        <f t="shared" si="25"/>
        <v>5</v>
      </c>
      <c r="GT18" s="265" t="s">
        <v>370</v>
      </c>
      <c r="GU18" s="470"/>
      <c r="GV18" s="504"/>
      <c r="GW18" s="504"/>
      <c r="GX18" s="504"/>
      <c r="GY18" s="504"/>
      <c r="GZ18" s="504"/>
      <c r="HA18" s="367">
        <v>5</v>
      </c>
      <c r="HB18" s="366" t="s">
        <v>369</v>
      </c>
      <c r="HC18" s="433"/>
      <c r="HD18" s="1124">
        <f>SUM(HD15:HD17)</f>
        <v>0</v>
      </c>
      <c r="HE18" s="1124">
        <f>SUM(HE15:HE17)</f>
        <v>0</v>
      </c>
      <c r="HF18" s="1124">
        <f>+HD18</f>
        <v>0</v>
      </c>
      <c r="HG18" s="1120">
        <f>SUM(HG15:HG17)</f>
        <v>12855303.339327645</v>
      </c>
      <c r="HH18" s="1120">
        <f>SUM(HH15:HH17)</f>
        <v>12855303.339327645</v>
      </c>
      <c r="HI18" s="377">
        <f t="shared" si="26"/>
        <v>5</v>
      </c>
      <c r="HJ18" s="247" t="s">
        <v>298</v>
      </c>
      <c r="HK18" s="234"/>
      <c r="HL18" s="234">
        <f>SUM(HL14:HL17)</f>
        <v>62579095.448954999</v>
      </c>
      <c r="HM18" s="234">
        <f>SUM(HM14:HM17)</f>
        <v>62579095.448954999</v>
      </c>
      <c r="HN18" s="234">
        <f>SUM(HN14:HN17)</f>
        <v>0</v>
      </c>
      <c r="HO18" s="234">
        <f>SUM(HO14:HO17)</f>
        <v>64263558.68232201</v>
      </c>
      <c r="HP18" s="234">
        <f>SUM(HP14:HP17)</f>
        <v>1684463.2333669984</v>
      </c>
      <c r="HQ18" s="377">
        <f t="shared" si="27"/>
        <v>5</v>
      </c>
      <c r="HR18" s="965" t="s">
        <v>1364</v>
      </c>
      <c r="HS18" s="298"/>
      <c r="HT18" s="234">
        <v>0</v>
      </c>
      <c r="HU18" s="234">
        <v>0</v>
      </c>
      <c r="HV18" s="234">
        <f>HU18-HT18</f>
        <v>0</v>
      </c>
      <c r="HW18" s="234">
        <v>-370698.04012167035</v>
      </c>
      <c r="HX18" s="231">
        <f>HW18-HU18</f>
        <v>-370698.04012167035</v>
      </c>
    </row>
    <row r="19" spans="1:232" ht="15" thickTop="1" thickBot="1">
      <c r="A19" s="352">
        <f t="shared" si="5"/>
        <v>7</v>
      </c>
      <c r="B19" s="376" t="s">
        <v>1427</v>
      </c>
      <c r="C19" s="245"/>
      <c r="D19" s="1290"/>
      <c r="E19" s="1290"/>
      <c r="F19" s="349">
        <v>10345744.779999999</v>
      </c>
      <c r="G19" s="1292"/>
      <c r="H19" s="349">
        <v>0</v>
      </c>
      <c r="I19" s="233">
        <f t="shared" si="0"/>
        <v>7</v>
      </c>
      <c r="J19" s="517"/>
      <c r="K19" s="517"/>
      <c r="L19" s="516"/>
      <c r="M19" s="516"/>
      <c r="N19" s="516"/>
      <c r="O19" s="516"/>
      <c r="P19" s="516"/>
      <c r="R19" s="247"/>
      <c r="S19" s="247"/>
      <c r="T19" s="247"/>
      <c r="U19" s="247"/>
      <c r="V19" s="247"/>
      <c r="W19" s="247"/>
      <c r="X19" s="247"/>
      <c r="Y19" s="233">
        <f t="shared" si="6"/>
        <v>6</v>
      </c>
      <c r="Z19" s="503" t="s">
        <v>367</v>
      </c>
      <c r="AB19" s="1112">
        <v>0</v>
      </c>
      <c r="AC19" s="1112">
        <f>+AC14*AC18</f>
        <v>157644505.69422266</v>
      </c>
      <c r="AD19" s="1112">
        <f>+AC19-AB19</f>
        <v>157644505.69422266</v>
      </c>
      <c r="AE19" s="1113">
        <f>+AE14*AE18</f>
        <v>155800477.91118285</v>
      </c>
      <c r="AF19" s="1114">
        <f>+AE19-AD19</f>
        <v>-1844027.7830398083</v>
      </c>
      <c r="AG19" s="352">
        <f t="shared" si="1"/>
        <v>6</v>
      </c>
      <c r="AH19" s="386" t="s">
        <v>266</v>
      </c>
      <c r="AJ19" s="310">
        <v>17990501.364999998</v>
      </c>
      <c r="AK19" s="310">
        <v>0</v>
      </c>
      <c r="AL19" s="310">
        <f t="shared" si="7"/>
        <v>-17990501.364999998</v>
      </c>
      <c r="AM19" s="310">
        <f t="shared" si="8"/>
        <v>0</v>
      </c>
      <c r="AN19" s="310">
        <f t="shared" si="28"/>
        <v>0</v>
      </c>
      <c r="AO19" s="233">
        <f t="shared" si="9"/>
        <v>6</v>
      </c>
      <c r="AP19" s="515" t="s">
        <v>252</v>
      </c>
      <c r="AQ19" s="385">
        <f>+FIT_E</f>
        <v>0.21</v>
      </c>
      <c r="AR19" s="514">
        <v>-262570.74185321142</v>
      </c>
      <c r="AS19" s="514">
        <v>-244867.64220550776</v>
      </c>
      <c r="AT19" s="514">
        <f>AS19-AR19</f>
        <v>17703.099647703668</v>
      </c>
      <c r="AU19" s="234">
        <f>+AS19</f>
        <v>-244867.64220550776</v>
      </c>
      <c r="AV19" s="513">
        <f>+AU19-AS19</f>
        <v>0</v>
      </c>
      <c r="AW19" s="367">
        <f>AW18+1</f>
        <v>6</v>
      </c>
      <c r="AX19" s="363" t="s">
        <v>249</v>
      </c>
      <c r="AY19" s="363"/>
      <c r="AZ19" s="402">
        <f>AZ17-AZ18</f>
        <v>-14806777.18903631</v>
      </c>
      <c r="BA19" s="402">
        <f>BA17-BA18</f>
        <v>-14503623.43</v>
      </c>
      <c r="BB19" s="402">
        <f>BB17-BB18</f>
        <v>303153.75903630909</v>
      </c>
      <c r="BC19" s="402">
        <f>BC17-BC18</f>
        <v>-14503623.43</v>
      </c>
      <c r="BD19" s="402">
        <f>BD17-BD18</f>
        <v>0</v>
      </c>
      <c r="BE19" s="367">
        <f t="shared" si="10"/>
        <v>6</v>
      </c>
      <c r="BF19" s="477" t="s">
        <v>364</v>
      </c>
      <c r="BH19" s="467">
        <v>874064.90702849126</v>
      </c>
      <c r="BI19" s="467">
        <v>852024.27302863146</v>
      </c>
      <c r="BJ19" s="467">
        <v>-22040.633999859798</v>
      </c>
      <c r="BK19" s="467">
        <v>852024.27302863146</v>
      </c>
      <c r="BL19" s="475">
        <v>0</v>
      </c>
      <c r="BM19" s="478">
        <v>6</v>
      </c>
      <c r="BN19" s="436" t="s">
        <v>366</v>
      </c>
      <c r="BO19" s="512">
        <f>+FIT_E</f>
        <v>0.21</v>
      </c>
      <c r="BP19" s="457">
        <f>-$BO$19*BP18</f>
        <v>-18742367.759175267</v>
      </c>
      <c r="BQ19" s="457">
        <f>-$BO$19*BQ18</f>
        <v>-18723272.441938885</v>
      </c>
      <c r="BR19" s="467">
        <f>BQ19-BP19</f>
        <v>19095.317236382514</v>
      </c>
      <c r="BS19" s="457">
        <f>-$BO$19*BS18</f>
        <v>-18742367.759175267</v>
      </c>
      <c r="BT19" s="303">
        <f>-BT18*BO19</f>
        <v>-19095.31723638187</v>
      </c>
      <c r="BU19" s="468">
        <f t="shared" si="11"/>
        <v>6</v>
      </c>
      <c r="BV19" s="397"/>
      <c r="BX19" s="351"/>
      <c r="BY19" s="351"/>
      <c r="BZ19" s="351"/>
      <c r="CA19" s="351"/>
      <c r="CB19" s="351"/>
      <c r="CK19" s="367">
        <f t="shared" si="12"/>
        <v>6</v>
      </c>
      <c r="CL19" s="247" t="s">
        <v>365</v>
      </c>
      <c r="CM19" s="247"/>
      <c r="CN19" s="467">
        <v>0</v>
      </c>
      <c r="CO19" s="467">
        <v>68250</v>
      </c>
      <c r="CP19" s="467">
        <f>CO19-CN19</f>
        <v>68250</v>
      </c>
      <c r="CQ19" s="467">
        <f>+CO19</f>
        <v>68250</v>
      </c>
      <c r="CR19" s="467">
        <f>CQ19-CO19</f>
        <v>0</v>
      </c>
      <c r="CS19" s="302"/>
      <c r="DA19" s="302">
        <f>DA18+1</f>
        <v>6</v>
      </c>
      <c r="DB19" s="247" t="s">
        <v>249</v>
      </c>
      <c r="DC19" s="245"/>
      <c r="DD19" s="511">
        <f>-DD16-DD18</f>
        <v>-4572613.064717995</v>
      </c>
      <c r="DE19" s="511">
        <f>-DE16-DE18</f>
        <v>-4252667.0951330177</v>
      </c>
      <c r="DF19" s="511">
        <f>-DF16-DF18</f>
        <v>319945.96958497842</v>
      </c>
      <c r="DG19" s="511">
        <f>-DG16-DG18</f>
        <v>-4695255.8894129172</v>
      </c>
      <c r="DH19" s="511">
        <f>-DH16-DH18</f>
        <v>-442588.79427990015</v>
      </c>
      <c r="DI19" s="367">
        <f t="shared" si="13"/>
        <v>6</v>
      </c>
      <c r="DJ19" s="466" t="s">
        <v>364</v>
      </c>
      <c r="DK19" s="397"/>
      <c r="DL19" s="441">
        <v>10657780.915169371</v>
      </c>
      <c r="DM19" s="441">
        <v>10661461.996836899</v>
      </c>
      <c r="DN19" s="443">
        <f t="shared" si="14"/>
        <v>3681.0816675275564</v>
      </c>
      <c r="DO19" s="443">
        <v>11005573.481128439</v>
      </c>
      <c r="DP19" s="443">
        <f t="shared" si="15"/>
        <v>344111.48429154046</v>
      </c>
      <c r="DQ19" s="367">
        <f t="shared" si="16"/>
        <v>6</v>
      </c>
      <c r="DR19" s="452"/>
      <c r="DS19" s="465"/>
      <c r="DT19" s="471"/>
      <c r="DU19" s="471"/>
      <c r="DV19" s="471"/>
      <c r="DW19" s="471"/>
      <c r="DX19" s="471"/>
      <c r="DY19" s="233">
        <v>6</v>
      </c>
      <c r="DZ19" s="510" t="s">
        <v>363</v>
      </c>
      <c r="EA19" s="249">
        <v>0.49997132880489842</v>
      </c>
      <c r="EB19" s="509">
        <f>EB17*$EA$19</f>
        <v>15089207.77566345</v>
      </c>
      <c r="EC19" s="509">
        <f>EC17*$EA$19</f>
        <v>15119397.968220374</v>
      </c>
      <c r="ED19" s="310">
        <f>EC19-EB19</f>
        <v>30190.192556923255</v>
      </c>
      <c r="EE19" s="509">
        <f>EE17*$EA$19</f>
        <v>15994394.029633511</v>
      </c>
      <c r="EF19" s="348">
        <f>EE19-EC19</f>
        <v>874996.06141313724</v>
      </c>
      <c r="EG19" s="233">
        <f t="shared" si="17"/>
        <v>6</v>
      </c>
      <c r="EH19" s="245" t="s">
        <v>38</v>
      </c>
      <c r="EJ19" s="482">
        <v>-106223263.53024991</v>
      </c>
      <c r="EK19" s="482">
        <v>-108090779.49447501</v>
      </c>
      <c r="EL19" s="482">
        <f t="shared" si="2"/>
        <v>-1867515.9642250985</v>
      </c>
      <c r="EM19" s="482">
        <f t="shared" si="3"/>
        <v>-108090779.49447501</v>
      </c>
      <c r="EN19" s="482">
        <f t="shared" si="4"/>
        <v>0</v>
      </c>
      <c r="EO19" s="233">
        <f t="shared" si="18"/>
        <v>6</v>
      </c>
      <c r="EP19" s="281" t="s">
        <v>362</v>
      </c>
      <c r="ER19" s="234">
        <v>7708455.0157819996</v>
      </c>
      <c r="ES19" s="234">
        <v>7809629.5241939761</v>
      </c>
      <c r="ET19" s="234">
        <f>ES19-ER19</f>
        <v>101174.50841197651</v>
      </c>
      <c r="EU19" s="234">
        <f>ES19</f>
        <v>7809629.5241939761</v>
      </c>
      <c r="EV19" s="234">
        <f>EU19-ES19</f>
        <v>0</v>
      </c>
      <c r="EW19" s="314">
        <f t="shared" si="19"/>
        <v>6</v>
      </c>
      <c r="EX19" s="248" t="s">
        <v>250</v>
      </c>
      <c r="EY19" s="249">
        <v>0.21</v>
      </c>
      <c r="EZ19" s="234">
        <f>-$EY$19*EZ17</f>
        <v>160386.10559999998</v>
      </c>
      <c r="FA19" s="234">
        <f>-$EY$19*FA17</f>
        <v>160386.10559999998</v>
      </c>
      <c r="FB19" s="234">
        <f>-$EY$19*FB17</f>
        <v>0</v>
      </c>
      <c r="FC19" s="234">
        <f>-$EY$19*FC17</f>
        <v>51388.544199999909</v>
      </c>
      <c r="FD19" s="234">
        <f>-$EY$19*FD17</f>
        <v>-108997.56140000008</v>
      </c>
      <c r="FE19" s="233">
        <f>FE18+1</f>
        <v>6</v>
      </c>
      <c r="FF19" s="508" t="s">
        <v>249</v>
      </c>
      <c r="FG19" s="507"/>
      <c r="FH19" s="357">
        <f>-FH16-FH18</f>
        <v>-1124790.1499999997</v>
      </c>
      <c r="FI19" s="357">
        <f>-FI16-FI18</f>
        <v>-1124790.1499999997</v>
      </c>
      <c r="FJ19" s="357">
        <f>-FJ16-FJ18</f>
        <v>0</v>
      </c>
      <c r="FK19" s="357">
        <f>-FK16-FK18</f>
        <v>-1244907.8016537558</v>
      </c>
      <c r="FL19" s="357">
        <f>-FL16-FL18</f>
        <v>-120117.65165375613</v>
      </c>
      <c r="FM19" s="233">
        <f t="shared" si="20"/>
        <v>6</v>
      </c>
      <c r="FN19" s="397" t="s">
        <v>360</v>
      </c>
      <c r="FO19" s="440"/>
      <c r="FP19" s="1126">
        <f>SUM(FP16:FP18)</f>
        <v>0</v>
      </c>
      <c r="FQ19" s="1126">
        <f>SUM(FQ16:FQ18)</f>
        <v>0</v>
      </c>
      <c r="FR19" s="1126">
        <f>SUM(FR16:FR18)</f>
        <v>0</v>
      </c>
      <c r="FS19" s="1126">
        <f>SUM(FS16:FS18)</f>
        <v>20803079.051009424</v>
      </c>
      <c r="FT19" s="1126">
        <f>SUM(FT16:FT18)</f>
        <v>20803079.051009424</v>
      </c>
      <c r="FU19" s="367">
        <v>5</v>
      </c>
      <c r="FV19" s="272" t="s">
        <v>361</v>
      </c>
      <c r="FW19" s="419"/>
      <c r="FX19" s="407">
        <v>881986.25952470012</v>
      </c>
      <c r="FY19" s="407">
        <v>881986.25952470012</v>
      </c>
      <c r="FZ19" s="407">
        <f t="shared" si="21"/>
        <v>0</v>
      </c>
      <c r="GA19" s="407">
        <v>660496.44105000002</v>
      </c>
      <c r="GB19" s="407">
        <f t="shared" si="22"/>
        <v>-221489.81847470009</v>
      </c>
      <c r="GC19" s="377">
        <f t="shared" si="23"/>
        <v>6</v>
      </c>
      <c r="GD19" s="397" t="s">
        <v>360</v>
      </c>
      <c r="GE19" s="440"/>
      <c r="GF19" s="375">
        <f>SUM(GF16:GF18)</f>
        <v>0</v>
      </c>
      <c r="GG19" s="375">
        <f>SUM(GG16:GG18)</f>
        <v>0</v>
      </c>
      <c r="GH19" s="375">
        <f>SUM(GH16:GH18)</f>
        <v>0</v>
      </c>
      <c r="GI19" s="375">
        <f>SUM(GI16:GI18)</f>
        <v>12564558.948316973</v>
      </c>
      <c r="GJ19" s="375">
        <f>SUM(GJ16:GJ18)</f>
        <v>12564558.948316973</v>
      </c>
      <c r="GK19" s="377">
        <f t="shared" si="24"/>
        <v>6</v>
      </c>
      <c r="GL19" s="230" t="s">
        <v>250</v>
      </c>
      <c r="GM19" s="430">
        <v>0.21</v>
      </c>
      <c r="GN19" s="482">
        <f>-GN17*GM19</f>
        <v>-174021.12</v>
      </c>
      <c r="GO19" s="482">
        <f>-GO17*GM19</f>
        <v>-174021.12</v>
      </c>
      <c r="GP19" s="482">
        <f>GO19-GN19</f>
        <v>0</v>
      </c>
      <c r="GQ19" s="482">
        <f>-GQ17*GM19</f>
        <v>-47135.724567749996</v>
      </c>
      <c r="GR19" s="482">
        <f>GQ19-GO19</f>
        <v>126885.39543224999</v>
      </c>
      <c r="GS19" s="377">
        <f t="shared" si="25"/>
        <v>6</v>
      </c>
      <c r="GT19" s="230" t="s">
        <v>359</v>
      </c>
      <c r="GU19" s="505"/>
      <c r="GV19" s="655">
        <v>0</v>
      </c>
      <c r="GW19" s="655">
        <f>GV19</f>
        <v>0</v>
      </c>
      <c r="GX19" s="655">
        <f>GW19-GV19</f>
        <v>0</v>
      </c>
      <c r="GY19" s="655">
        <v>-9006372.2399999984</v>
      </c>
      <c r="GZ19" s="655">
        <f>GY19-GW19</f>
        <v>-9006372.2399999984</v>
      </c>
      <c r="HA19" s="367">
        <v>6</v>
      </c>
      <c r="HB19" s="272"/>
      <c r="HC19" s="272"/>
      <c r="HD19" s="678"/>
      <c r="HE19" s="678"/>
      <c r="HF19" s="678"/>
      <c r="HG19" s="678"/>
      <c r="HH19" s="678"/>
      <c r="HI19" s="377">
        <f t="shared" si="26"/>
        <v>6</v>
      </c>
      <c r="HJ19" s="403"/>
      <c r="HQ19" s="377">
        <f t="shared" si="27"/>
        <v>6</v>
      </c>
      <c r="HR19" s="965" t="s">
        <v>360</v>
      </c>
      <c r="HS19" s="298"/>
      <c r="HT19" s="398">
        <f>SUM(HT16:HT18)</f>
        <v>0</v>
      </c>
      <c r="HU19" s="398">
        <f>SUM(HU16:HU18)</f>
        <v>0</v>
      </c>
      <c r="HV19" s="398">
        <f>SUM(HV16:HV18)</f>
        <v>0</v>
      </c>
      <c r="HW19" s="398">
        <f>SUM(HW16:HW18)</f>
        <v>5481049.5432116631</v>
      </c>
      <c r="HX19" s="398">
        <f>SUM(HX16:HX18)</f>
        <v>5481049.5432116631</v>
      </c>
    </row>
    <row r="20" spans="1:232" ht="15.6" thickTop="1" thickBot="1">
      <c r="A20" s="352">
        <f t="shared" si="5"/>
        <v>8</v>
      </c>
      <c r="B20" s="376" t="s">
        <v>358</v>
      </c>
      <c r="C20" s="245"/>
      <c r="D20" s="1290"/>
      <c r="E20" s="1290"/>
      <c r="F20" s="349">
        <v>0</v>
      </c>
      <c r="G20" s="1292"/>
      <c r="H20" s="349">
        <v>-18978293.07</v>
      </c>
      <c r="I20" s="233">
        <f t="shared" si="0"/>
        <v>8</v>
      </c>
      <c r="J20" s="247" t="s">
        <v>262</v>
      </c>
      <c r="K20" s="438">
        <f>'SEF-3E'!M12</f>
        <v>8.4790000000000004E-3</v>
      </c>
      <c r="L20" s="455">
        <f>$L$18*$K20</f>
        <v>6833479.8756278232</v>
      </c>
      <c r="M20" s="455">
        <f>M$18*$K20</f>
        <v>6878224.9152678233</v>
      </c>
      <c r="N20" s="455">
        <f>$N$18*$K20</f>
        <v>44745.039640000003</v>
      </c>
      <c r="O20" s="455">
        <f>O$18*$K20</f>
        <v>6955459.6684018234</v>
      </c>
      <c r="P20" s="455">
        <f>O20-M20</f>
        <v>77234.753134000115</v>
      </c>
      <c r="R20" s="245"/>
      <c r="S20" s="245"/>
      <c r="T20" s="245"/>
      <c r="U20" s="245"/>
      <c r="V20" s="245"/>
      <c r="W20" s="245"/>
      <c r="X20" s="245"/>
      <c r="Y20" s="233">
        <f t="shared" si="6"/>
        <v>7</v>
      </c>
      <c r="Z20" s="503"/>
      <c r="AB20" s="273"/>
      <c r="AC20" s="273"/>
      <c r="AD20" s="273"/>
      <c r="AE20" s="273"/>
      <c r="AF20" s="273"/>
      <c r="AG20" s="352">
        <f t="shared" si="1"/>
        <v>7</v>
      </c>
      <c r="AH20" s="502" t="s">
        <v>264</v>
      </c>
      <c r="AJ20" s="310">
        <v>-81156080.872999996</v>
      </c>
      <c r="AK20" s="310">
        <v>0</v>
      </c>
      <c r="AL20" s="310">
        <f t="shared" si="7"/>
        <v>81156080.872999996</v>
      </c>
      <c r="AM20" s="310">
        <f t="shared" si="8"/>
        <v>0</v>
      </c>
      <c r="AN20" s="310">
        <f t="shared" si="28"/>
        <v>0</v>
      </c>
      <c r="AO20" s="233">
        <f t="shared" si="9"/>
        <v>7</v>
      </c>
      <c r="AP20" s="245"/>
      <c r="AQ20" s="245"/>
      <c r="AR20" s="469"/>
      <c r="AS20" s="469"/>
      <c r="AT20" s="469"/>
      <c r="AU20" s="501">
        <f>SUM(AU18:AU19)</f>
        <v>921168.74924929114</v>
      </c>
      <c r="AV20" s="500"/>
      <c r="AW20" s="367"/>
      <c r="AX20" s="478"/>
      <c r="AY20" s="367"/>
      <c r="AZ20" s="499"/>
      <c r="BA20" s="274"/>
      <c r="BB20" s="498"/>
      <c r="BC20" s="498"/>
      <c r="BD20" s="498"/>
      <c r="BE20" s="367">
        <f t="shared" si="10"/>
        <v>7</v>
      </c>
      <c r="BF20" s="477" t="s">
        <v>357</v>
      </c>
      <c r="BH20" s="467">
        <v>108711.12567047201</v>
      </c>
      <c r="BI20" s="467">
        <v>106039.76376027713</v>
      </c>
      <c r="BJ20" s="467">
        <v>-2671.3619101948861</v>
      </c>
      <c r="BK20" s="467">
        <v>106039.76376027713</v>
      </c>
      <c r="BL20" s="475">
        <v>0</v>
      </c>
      <c r="BM20" s="478">
        <v>7</v>
      </c>
      <c r="BN20" s="436" t="s">
        <v>281</v>
      </c>
      <c r="BO20" s="436"/>
      <c r="BP20" s="353">
        <f>-BP18-BP19</f>
        <v>-70507002.522611722</v>
      </c>
      <c r="BQ20" s="353">
        <f>-BQ18-BQ19</f>
        <v>-70435167.757770091</v>
      </c>
      <c r="BR20" s="353">
        <f>-BR18-BR19</f>
        <v>71834.76484162733</v>
      </c>
      <c r="BS20" s="353">
        <f>-BS18-BS19</f>
        <v>-70507002.522611722</v>
      </c>
      <c r="BT20" s="353">
        <f>-BT18-BT19</f>
        <v>-71834.764841627039</v>
      </c>
      <c r="BU20" s="468">
        <f t="shared" si="11"/>
        <v>7</v>
      </c>
      <c r="BV20" s="400" t="s">
        <v>252</v>
      </c>
      <c r="BW20" s="497">
        <f>FIT_E</f>
        <v>0.21</v>
      </c>
      <c r="BX20" s="404">
        <f>-BX18*$BW$20</f>
        <v>-17672.494185852189</v>
      </c>
      <c r="BY20" s="404">
        <f>-BY18*$BW$20</f>
        <v>-16263.27870541564</v>
      </c>
      <c r="BZ20" s="404">
        <f>-BZ18*$BW$20</f>
        <v>1409.2154804365487</v>
      </c>
      <c r="CA20" s="404">
        <f>-CA18*$BW$20</f>
        <v>-17672.494185852189</v>
      </c>
      <c r="CB20" s="404">
        <f>-CB18*$BW$20</f>
        <v>-1409.2154804365487</v>
      </c>
      <c r="CK20" s="367">
        <f t="shared" si="12"/>
        <v>7</v>
      </c>
      <c r="CL20" s="247" t="s">
        <v>298</v>
      </c>
      <c r="CM20" s="247"/>
      <c r="CN20" s="496">
        <f>SUM(CN16:CN19)</f>
        <v>-11803.907603</v>
      </c>
      <c r="CO20" s="496">
        <f>SUM(CO16:CO19)</f>
        <v>616750</v>
      </c>
      <c r="CP20" s="496">
        <f>SUM(CP16:CP19)</f>
        <v>628553.90760300006</v>
      </c>
      <c r="CQ20" s="496">
        <f>SUM(CQ16:CQ19)</f>
        <v>616750</v>
      </c>
      <c r="CR20" s="496">
        <f>SUM(CR16:CR19)</f>
        <v>0</v>
      </c>
      <c r="CS20" s="302"/>
      <c r="DA20" s="302"/>
      <c r="DI20" s="367">
        <f t="shared" si="13"/>
        <v>7</v>
      </c>
      <c r="DJ20" s="466" t="s">
        <v>357</v>
      </c>
      <c r="DK20" s="397"/>
      <c r="DL20" s="441">
        <v>1325772.7039111818</v>
      </c>
      <c r="DM20" s="495">
        <v>1326921.5073119954</v>
      </c>
      <c r="DN20" s="443">
        <f t="shared" si="14"/>
        <v>1148.8034008136019</v>
      </c>
      <c r="DO20" s="443">
        <v>1376273.7558263356</v>
      </c>
      <c r="DP20" s="443">
        <f t="shared" si="15"/>
        <v>49352.248514340259</v>
      </c>
      <c r="DQ20" s="367">
        <f t="shared" si="16"/>
        <v>7</v>
      </c>
      <c r="DR20" s="494" t="s">
        <v>356</v>
      </c>
      <c r="DS20" s="493"/>
      <c r="DT20" s="471"/>
      <c r="DU20" s="471"/>
      <c r="DV20" s="471"/>
      <c r="DW20" s="471"/>
      <c r="DX20" s="471"/>
      <c r="DY20" s="233">
        <v>7</v>
      </c>
      <c r="DZ20" s="492" t="s">
        <v>355</v>
      </c>
      <c r="EA20" s="491"/>
      <c r="EB20" s="489">
        <v>15121148.928192388</v>
      </c>
      <c r="EC20" s="489">
        <v>15121148.928192388</v>
      </c>
      <c r="ED20" s="490">
        <f>EC20-EB20</f>
        <v>0</v>
      </c>
      <c r="EE20" s="489">
        <v>15121148.928192388</v>
      </c>
      <c r="EF20" s="488">
        <f>EE20-EC20</f>
        <v>0</v>
      </c>
      <c r="EG20" s="233">
        <f t="shared" si="17"/>
        <v>7</v>
      </c>
      <c r="EH20" s="245" t="s">
        <v>37</v>
      </c>
      <c r="EJ20" s="614">
        <f>SUM(EJ14:EJ19)</f>
        <v>5208778506.3049917</v>
      </c>
      <c r="EK20" s="614">
        <f>SUM(EK14:EK19)</f>
        <v>5391596748.4084454</v>
      </c>
      <c r="EL20" s="614">
        <f>SUM(EL14:EL19)</f>
        <v>182818242.10345364</v>
      </c>
      <c r="EM20" s="614">
        <f>SUM(EM14:EM19)</f>
        <v>5391596748.4084454</v>
      </c>
      <c r="EN20" s="614">
        <f>SUM(EN14:EN19)</f>
        <v>0</v>
      </c>
      <c r="EO20" s="233">
        <f t="shared" si="18"/>
        <v>7</v>
      </c>
      <c r="EP20" s="281" t="s">
        <v>354</v>
      </c>
      <c r="ER20" s="482">
        <v>3557679.0999999996</v>
      </c>
      <c r="ES20" s="482">
        <v>3537694.0799999996</v>
      </c>
      <c r="ET20" s="482">
        <f>ES20-ER20</f>
        <v>-19985.020000000019</v>
      </c>
      <c r="EU20" s="482">
        <f>ES20</f>
        <v>3537694.0799999996</v>
      </c>
      <c r="EV20" s="482">
        <f>EU20-ES20</f>
        <v>0</v>
      </c>
      <c r="EW20" s="314">
        <f t="shared" si="19"/>
        <v>7</v>
      </c>
      <c r="EX20" s="248" t="s">
        <v>249</v>
      </c>
      <c r="EY20" s="248"/>
      <c r="EZ20" s="357">
        <f>-EZ17-EZ19</f>
        <v>603357.25439999998</v>
      </c>
      <c r="FA20" s="357">
        <f>-FA17-FA19</f>
        <v>603357.25439999998</v>
      </c>
      <c r="FB20" s="357">
        <f>-FB17-FB19</f>
        <v>0</v>
      </c>
      <c r="FC20" s="357">
        <f>-FC17-FC19</f>
        <v>193318.80913333298</v>
      </c>
      <c r="FD20" s="357">
        <f>-FD17-FD19</f>
        <v>-410038.445266667</v>
      </c>
      <c r="FE20" s="233"/>
      <c r="FF20" s="487"/>
      <c r="FG20" s="487"/>
      <c r="FH20" s="486"/>
      <c r="FI20" s="486"/>
      <c r="FJ20" s="485"/>
      <c r="FK20" s="355"/>
      <c r="FL20" s="484"/>
      <c r="FM20" s="233">
        <f t="shared" si="20"/>
        <v>7</v>
      </c>
      <c r="FN20" s="470" t="s">
        <v>347</v>
      </c>
      <c r="FO20" s="440"/>
      <c r="FP20" s="1126"/>
      <c r="FQ20" s="1126"/>
      <c r="FR20" s="1126"/>
      <c r="FS20" s="1126"/>
      <c r="FT20" s="1126"/>
      <c r="FU20" s="367">
        <v>6</v>
      </c>
      <c r="FV20" s="272" t="s">
        <v>353</v>
      </c>
      <c r="FW20" s="419"/>
      <c r="FX20" s="407">
        <v>324257.87030945002</v>
      </c>
      <c r="FY20" s="407">
        <v>324257.87030945002</v>
      </c>
      <c r="FZ20" s="407">
        <f t="shared" si="21"/>
        <v>0</v>
      </c>
      <c r="GA20" s="407">
        <v>783108.6066846</v>
      </c>
      <c r="GB20" s="407">
        <f t="shared" si="22"/>
        <v>458850.73637514998</v>
      </c>
      <c r="GC20" s="377">
        <f t="shared" si="23"/>
        <v>7</v>
      </c>
      <c r="GD20" s="397"/>
      <c r="GE20" s="440"/>
      <c r="GF20" s="375"/>
      <c r="GG20" s="375"/>
      <c r="GH20" s="375"/>
      <c r="GI20" s="375"/>
      <c r="GJ20" s="375"/>
      <c r="GK20" s="377">
        <f t="shared" si="24"/>
        <v>7</v>
      </c>
      <c r="GL20" s="230" t="s">
        <v>249</v>
      </c>
      <c r="GN20" s="483">
        <f>-GN17-GN19</f>
        <v>-654650.88</v>
      </c>
      <c r="GO20" s="483">
        <f>-GO17-GO19</f>
        <v>-654650.88</v>
      </c>
      <c r="GP20" s="483">
        <f>-GP17-GP19</f>
        <v>0</v>
      </c>
      <c r="GQ20" s="483">
        <f>-GQ17-GQ19</f>
        <v>-177320.10670725</v>
      </c>
      <c r="GR20" s="483">
        <f>-GR17-GR19</f>
        <v>477330.77329275</v>
      </c>
      <c r="GS20" s="377">
        <f t="shared" si="25"/>
        <v>7</v>
      </c>
      <c r="GT20" s="230" t="s">
        <v>304</v>
      </c>
      <c r="GU20" s="410"/>
      <c r="GV20" s="1132">
        <f>GV19</f>
        <v>0</v>
      </c>
      <c r="GW20" s="1132">
        <f>GW19</f>
        <v>0</v>
      </c>
      <c r="GX20" s="1132">
        <f>GX19</f>
        <v>0</v>
      </c>
      <c r="GY20" s="1132">
        <f>GY19</f>
        <v>-9006372.2399999984</v>
      </c>
      <c r="GZ20" s="1132">
        <f>GZ19</f>
        <v>-9006372.2399999984</v>
      </c>
      <c r="HA20" s="367">
        <v>7</v>
      </c>
      <c r="HB20" s="413" t="s">
        <v>297</v>
      </c>
      <c r="HC20" s="413"/>
      <c r="HD20" s="678"/>
      <c r="HE20" s="678"/>
      <c r="HF20" s="678"/>
      <c r="HG20" s="678"/>
      <c r="HH20" s="678"/>
      <c r="HI20" s="377">
        <f t="shared" si="26"/>
        <v>7</v>
      </c>
      <c r="HJ20" s="403" t="s">
        <v>286</v>
      </c>
      <c r="HK20" s="356">
        <f>FIT_E</f>
        <v>0.21</v>
      </c>
      <c r="HL20" s="482">
        <f>-HL18*HK20</f>
        <v>-13141610.04428055</v>
      </c>
      <c r="HM20" s="482">
        <f>-HM18*HK20</f>
        <v>-13141610.04428055</v>
      </c>
      <c r="HN20" s="482">
        <f>HM20-HL20</f>
        <v>0</v>
      </c>
      <c r="HO20" s="482">
        <f>-HO18*HK20</f>
        <v>-13495347.323287621</v>
      </c>
      <c r="HP20" s="482">
        <f>HO20-HM20</f>
        <v>-353737.27900707163</v>
      </c>
      <c r="HQ20" s="377">
        <f t="shared" si="27"/>
        <v>7</v>
      </c>
      <c r="HR20" s="965"/>
      <c r="HS20" s="298"/>
    </row>
    <row r="21" spans="1:232" ht="15.6" thickTop="1" thickBot="1">
      <c r="A21" s="352">
        <f t="shared" si="5"/>
        <v>9</v>
      </c>
      <c r="B21" s="376" t="s">
        <v>1492</v>
      </c>
      <c r="C21" s="245"/>
      <c r="D21" s="1290"/>
      <c r="E21" s="1290"/>
      <c r="F21" s="349">
        <v>114.23000000000138</v>
      </c>
      <c r="G21" s="1292"/>
      <c r="H21" s="349">
        <v>0</v>
      </c>
      <c r="I21" s="233">
        <f t="shared" si="0"/>
        <v>9</v>
      </c>
      <c r="J21" s="247" t="s">
        <v>260</v>
      </c>
      <c r="K21" s="438">
        <f>'SEF-3E'!M13</f>
        <v>2E-3</v>
      </c>
      <c r="L21" s="455">
        <f>$L$18*$K21</f>
        <v>1611859.8598013499</v>
      </c>
      <c r="M21" s="455">
        <f>$M$18*$K21</f>
        <v>1622414.17980135</v>
      </c>
      <c r="N21" s="455">
        <f>$N$18*$K21</f>
        <v>10554.32</v>
      </c>
      <c r="O21" s="455">
        <f>O$18*$K21</f>
        <v>1640632.07180135</v>
      </c>
      <c r="P21" s="455">
        <f>O21-M21</f>
        <v>18217.891999999993</v>
      </c>
      <c r="R21" s="481"/>
      <c r="S21" s="481"/>
      <c r="T21" s="481"/>
      <c r="U21" s="481"/>
      <c r="V21" s="481"/>
      <c r="W21" s="481"/>
      <c r="X21" s="481"/>
      <c r="Y21" s="233">
        <f t="shared" si="6"/>
        <v>8</v>
      </c>
      <c r="Z21" s="464" t="s">
        <v>300</v>
      </c>
      <c r="AA21" s="356">
        <f>FIT_E</f>
        <v>0.21</v>
      </c>
      <c r="AB21" s="289">
        <f>-AB19*$AA$21</f>
        <v>0</v>
      </c>
      <c r="AC21" s="289">
        <f>-AC19*$AA$21</f>
        <v>-33105346.195786756</v>
      </c>
      <c r="AD21" s="289">
        <f>-AD19*$AA$21</f>
        <v>-33105346.195786756</v>
      </c>
      <c r="AE21" s="289">
        <f>-AE19*$AA$21</f>
        <v>-32718100.361348398</v>
      </c>
      <c r="AF21" s="289">
        <f>-AF19*$AA$21</f>
        <v>387245.83443835971</v>
      </c>
      <c r="AG21" s="352">
        <f t="shared" si="1"/>
        <v>8</v>
      </c>
      <c r="AH21" s="255" t="s">
        <v>352</v>
      </c>
      <c r="AJ21" s="310">
        <v>-657452.02800000005</v>
      </c>
      <c r="AK21" s="310">
        <v>0</v>
      </c>
      <c r="AL21" s="310">
        <f t="shared" si="7"/>
        <v>657452.02800000005</v>
      </c>
      <c r="AM21" s="310">
        <f t="shared" si="8"/>
        <v>0</v>
      </c>
      <c r="AN21" s="310">
        <f t="shared" si="28"/>
        <v>0</v>
      </c>
      <c r="AO21" s="233">
        <f t="shared" si="9"/>
        <v>8</v>
      </c>
      <c r="AP21" s="480" t="s">
        <v>249</v>
      </c>
      <c r="AQ21" s="480"/>
      <c r="AR21" s="479">
        <f>-AR18-AR19</f>
        <v>-987766.12411446206</v>
      </c>
      <c r="AS21" s="479">
        <f>-AS18-AS19</f>
        <v>-921168.74924929114</v>
      </c>
      <c r="AT21" s="479">
        <f>-AT18-AT19</f>
        <v>66597.374865170947</v>
      </c>
      <c r="AU21" s="479">
        <f>-AU18-AU19</f>
        <v>-921168.74924929114</v>
      </c>
      <c r="AV21" s="479">
        <f>-AV18-AV19</f>
        <v>0</v>
      </c>
      <c r="AW21" s="367"/>
      <c r="AX21" s="478"/>
      <c r="AY21" s="367"/>
      <c r="AZ21" s="445"/>
      <c r="BA21" s="244"/>
      <c r="BB21" s="469"/>
      <c r="BC21" s="244"/>
      <c r="BD21" s="244"/>
      <c r="BE21" s="367">
        <f t="shared" si="10"/>
        <v>8</v>
      </c>
      <c r="BF21" s="477" t="s">
        <v>351</v>
      </c>
      <c r="BH21" s="467">
        <v>39554.718969287766</v>
      </c>
      <c r="BI21" s="467">
        <v>38617.715938259505</v>
      </c>
      <c r="BJ21" s="467">
        <v>-937.00303102826001</v>
      </c>
      <c r="BK21" s="467">
        <v>38617.715938259505</v>
      </c>
      <c r="BL21" s="475">
        <v>0</v>
      </c>
      <c r="BM21" s="302"/>
      <c r="BN21" s="476"/>
      <c r="BO21" s="475"/>
      <c r="BP21" s="452"/>
      <c r="BQ21" s="452"/>
      <c r="BR21" s="452"/>
      <c r="BS21" s="452"/>
      <c r="BT21" s="452"/>
      <c r="BU21" s="468">
        <f t="shared" si="11"/>
        <v>8</v>
      </c>
      <c r="BV21" s="400" t="s">
        <v>249</v>
      </c>
      <c r="BW21" s="474"/>
      <c r="BX21" s="473">
        <f>-BX18-BX20</f>
        <v>-66482.240032491565</v>
      </c>
      <c r="BY21" s="473">
        <f>-BY18-BY20</f>
        <v>-61180.905606087414</v>
      </c>
      <c r="BZ21" s="473">
        <f>-BZ18-BZ20</f>
        <v>5301.3344264041589</v>
      </c>
      <c r="CA21" s="473">
        <f>-CA18-CA20</f>
        <v>-66482.240032491565</v>
      </c>
      <c r="CB21" s="473">
        <f>-CB18-CB20</f>
        <v>-5301.3344264041589</v>
      </c>
      <c r="CK21" s="367">
        <f t="shared" si="12"/>
        <v>8</v>
      </c>
      <c r="CL21" s="403"/>
      <c r="CM21" s="403"/>
      <c r="DA21" s="302"/>
      <c r="DI21" s="367">
        <f t="shared" si="13"/>
        <v>8</v>
      </c>
      <c r="DJ21" s="466" t="s">
        <v>351</v>
      </c>
      <c r="DK21" s="397"/>
      <c r="DL21" s="441">
        <v>482719.13067690859</v>
      </c>
      <c r="DM21" s="441">
        <v>483201.84980758541</v>
      </c>
      <c r="DN21" s="443">
        <f t="shared" si="14"/>
        <v>482.71913067682181</v>
      </c>
      <c r="DO21" s="443">
        <v>501708.48065521597</v>
      </c>
      <c r="DP21" s="443">
        <f t="shared" si="15"/>
        <v>18506.630847630557</v>
      </c>
      <c r="DQ21" s="367">
        <f t="shared" si="16"/>
        <v>8</v>
      </c>
      <c r="DR21" s="436" t="s">
        <v>350</v>
      </c>
      <c r="DS21" s="472"/>
      <c r="DT21" s="471">
        <v>1056410.8019999999</v>
      </c>
      <c r="DU21" s="471">
        <v>1080180.0450449998</v>
      </c>
      <c r="DV21" s="471">
        <f>+DU21-DT21</f>
        <v>23769.243044999894</v>
      </c>
      <c r="DW21" s="471">
        <v>1143181.5461722496</v>
      </c>
      <c r="DX21" s="471">
        <f>+DW21-DU21</f>
        <v>63001.501127249794</v>
      </c>
      <c r="DY21" s="233">
        <v>8</v>
      </c>
      <c r="DZ21" s="248" t="s">
        <v>275</v>
      </c>
      <c r="EA21" s="245"/>
      <c r="EB21" s="355">
        <f>EB19-EB20</f>
        <v>-31941.152528937906</v>
      </c>
      <c r="EC21" s="355">
        <f>EC19-EC20</f>
        <v>-1750.9599720146507</v>
      </c>
      <c r="ED21" s="239">
        <f>EC21-EB21</f>
        <v>30190.192556923255</v>
      </c>
      <c r="EE21" s="355">
        <f>EE19-EE20</f>
        <v>873245.10144112259</v>
      </c>
      <c r="EF21" s="244">
        <f>SUM(EF19:EF20)</f>
        <v>874996.06141313724</v>
      </c>
      <c r="EG21" s="233"/>
      <c r="EJ21" s="234"/>
      <c r="EK21" s="234"/>
      <c r="EL21" s="234"/>
      <c r="EM21" s="234"/>
      <c r="EN21" s="234"/>
      <c r="EO21" s="233">
        <f t="shared" si="18"/>
        <v>8</v>
      </c>
      <c r="EP21" s="281" t="s">
        <v>349</v>
      </c>
      <c r="ER21" s="234">
        <f>SUM(ER18:ER20)</f>
        <v>405261817.13353872</v>
      </c>
      <c r="ES21" s="234">
        <f>SUM(ES18:ES20)</f>
        <v>426660492.4238199</v>
      </c>
      <c r="ET21" s="234">
        <f>SUM(ET18:ET20)</f>
        <v>21398675.290281195</v>
      </c>
      <c r="EU21" s="234">
        <f>SUM(EU18:EU20)</f>
        <v>426660492.4238199</v>
      </c>
      <c r="EV21" s="234">
        <f>SUM(EV18:EV20)</f>
        <v>0</v>
      </c>
      <c r="EW21" s="314"/>
      <c r="FE21" s="233"/>
      <c r="FF21" s="406"/>
      <c r="FG21" s="406"/>
      <c r="FH21" s="406"/>
      <c r="FI21" s="272"/>
      <c r="FJ21" s="272"/>
      <c r="FK21" s="272"/>
      <c r="FL21" s="272"/>
      <c r="FM21" s="233">
        <f t="shared" si="20"/>
        <v>8</v>
      </c>
      <c r="FN21" s="440" t="s">
        <v>345</v>
      </c>
      <c r="FO21" s="440"/>
      <c r="FP21" s="244">
        <v>0</v>
      </c>
      <c r="FQ21" s="244">
        <v>0</v>
      </c>
      <c r="FR21" s="244">
        <v>0</v>
      </c>
      <c r="FS21" s="244">
        <v>11304151.202868855</v>
      </c>
      <c r="FT21" s="244">
        <f>+FS21-FR21</f>
        <v>11304151.202868855</v>
      </c>
      <c r="FU21" s="367">
        <v>7</v>
      </c>
      <c r="FV21" s="272" t="s">
        <v>348</v>
      </c>
      <c r="FW21" s="419"/>
      <c r="FX21" s="407">
        <v>894121.3755996502</v>
      </c>
      <c r="FY21" s="407">
        <v>894121.3755996502</v>
      </c>
      <c r="FZ21" s="407">
        <f t="shared" si="21"/>
        <v>0</v>
      </c>
      <c r="GA21" s="407">
        <v>715521.3874128001</v>
      </c>
      <c r="GB21" s="407">
        <f t="shared" si="22"/>
        <v>-178599.9881868501</v>
      </c>
      <c r="GC21" s="377">
        <f t="shared" si="23"/>
        <v>8</v>
      </c>
      <c r="GD21" s="470" t="s">
        <v>347</v>
      </c>
      <c r="GE21" s="440"/>
      <c r="GF21" s="244"/>
      <c r="GG21" s="244"/>
      <c r="GH21" s="244"/>
      <c r="GI21" s="244"/>
      <c r="GJ21" s="244"/>
      <c r="GK21" s="377"/>
      <c r="GS21" s="377">
        <f t="shared" si="25"/>
        <v>8</v>
      </c>
      <c r="GU21" s="436"/>
      <c r="GV21" s="298"/>
      <c r="GW21" s="298"/>
      <c r="GX21" s="298"/>
      <c r="GY21" s="298"/>
      <c r="GZ21" s="298"/>
      <c r="HA21" s="367">
        <v>8</v>
      </c>
      <c r="HB21" s="399" t="s">
        <v>346</v>
      </c>
      <c r="HC21" s="399"/>
      <c r="HD21" s="234">
        <v>0</v>
      </c>
      <c r="HE21" s="234">
        <v>0</v>
      </c>
      <c r="HF21" s="234">
        <f>HE21-HD21</f>
        <v>0</v>
      </c>
      <c r="HG21" s="234">
        <v>375013.99657122983</v>
      </c>
      <c r="HH21" s="234">
        <f>HG21-HF21</f>
        <v>375013.99657122983</v>
      </c>
      <c r="HI21" s="377">
        <f t="shared" si="26"/>
        <v>8</v>
      </c>
      <c r="HJ21" s="403" t="s">
        <v>281</v>
      </c>
      <c r="HL21" s="357">
        <f>-HL18-HL20</f>
        <v>-49437485.404674448</v>
      </c>
      <c r="HM21" s="357">
        <f>-HM18-HM20</f>
        <v>-49437485.404674448</v>
      </c>
      <c r="HN21" s="357">
        <f>-HN18-HN20</f>
        <v>0</v>
      </c>
      <c r="HO21" s="357">
        <f>-HO18-HO20</f>
        <v>-50768211.359034389</v>
      </c>
      <c r="HP21" s="357">
        <f>-HP18-HP20</f>
        <v>-1330725.9543599267</v>
      </c>
      <c r="HQ21" s="377">
        <f t="shared" si="27"/>
        <v>8</v>
      </c>
      <c r="HR21" s="826"/>
      <c r="HS21" s="298"/>
    </row>
    <row r="22" spans="1:232" ht="15" thickTop="1" thickBot="1">
      <c r="A22" s="352">
        <f t="shared" si="5"/>
        <v>10</v>
      </c>
      <c r="B22" s="376" t="s">
        <v>344</v>
      </c>
      <c r="C22" s="245"/>
      <c r="D22" s="1291"/>
      <c r="E22" s="1291"/>
      <c r="F22" s="360">
        <v>3810955</v>
      </c>
      <c r="G22" s="1291"/>
      <c r="H22" s="360">
        <v>0</v>
      </c>
      <c r="I22" s="233">
        <f t="shared" si="0"/>
        <v>10</v>
      </c>
      <c r="J22" s="247" t="s">
        <v>343</v>
      </c>
      <c r="K22" s="438">
        <f>'SEF-3E'!M14</f>
        <v>3.8406000000000003E-2</v>
      </c>
      <c r="L22" s="455">
        <f>$L$18*$K22</f>
        <v>30952544.887765326</v>
      </c>
      <c r="M22" s="455">
        <f>$M$18*$K22</f>
        <v>31155219.494725324</v>
      </c>
      <c r="N22" s="455">
        <f>$N$18*$K22</f>
        <v>202674.60696</v>
      </c>
      <c r="O22" s="455">
        <f>O$18*$K22</f>
        <v>31505057.674801324</v>
      </c>
      <c r="P22" s="455">
        <f>O22-M22</f>
        <v>349838.18007599935</v>
      </c>
      <c r="R22" s="245"/>
      <c r="S22" s="245"/>
      <c r="T22" s="245"/>
      <c r="U22" s="245"/>
      <c r="V22" s="245"/>
      <c r="W22" s="245"/>
      <c r="X22" s="245"/>
      <c r="Y22" s="233">
        <f t="shared" si="6"/>
        <v>9</v>
      </c>
      <c r="Z22" s="464" t="s">
        <v>249</v>
      </c>
      <c r="AB22" s="782">
        <f>-AB21</f>
        <v>0</v>
      </c>
      <c r="AC22" s="782">
        <f>-AC21</f>
        <v>33105346.195786756</v>
      </c>
      <c r="AD22" s="782">
        <f>-AD21</f>
        <v>33105346.195786756</v>
      </c>
      <c r="AE22" s="782">
        <f>-AE21</f>
        <v>32718100.361348398</v>
      </c>
      <c r="AF22" s="782">
        <f>-AF21</f>
        <v>-387245.83443835971</v>
      </c>
      <c r="AG22" s="352">
        <f t="shared" si="1"/>
        <v>9</v>
      </c>
      <c r="AH22" s="255" t="s">
        <v>342</v>
      </c>
      <c r="AJ22" s="310">
        <v>544146.44999999995</v>
      </c>
      <c r="AK22" s="310">
        <v>0</v>
      </c>
      <c r="AL22" s="310">
        <f t="shared" si="7"/>
        <v>-544146.44999999995</v>
      </c>
      <c r="AM22" s="310">
        <f t="shared" si="8"/>
        <v>0</v>
      </c>
      <c r="AN22" s="310">
        <f t="shared" si="28"/>
        <v>0</v>
      </c>
      <c r="AO22" s="302"/>
      <c r="AT22" s="231"/>
      <c r="AW22" s="367"/>
      <c r="AX22" s="367"/>
      <c r="AY22" s="367"/>
      <c r="AZ22" s="445"/>
      <c r="BA22" s="244"/>
      <c r="BB22" s="469"/>
      <c r="BC22" s="244"/>
      <c r="BD22" s="244"/>
      <c r="BE22" s="367">
        <f t="shared" si="10"/>
        <v>9</v>
      </c>
      <c r="BF22" s="477" t="s">
        <v>340</v>
      </c>
      <c r="BG22" s="298"/>
      <c r="BH22" s="448">
        <v>2305765.9693311718</v>
      </c>
      <c r="BI22" s="448">
        <v>2249122.2129821805</v>
      </c>
      <c r="BJ22" s="448">
        <v>-56643.756348991301</v>
      </c>
      <c r="BK22" s="448">
        <v>2249122.2129821805</v>
      </c>
      <c r="BL22" s="475">
        <v>0</v>
      </c>
      <c r="BM22" s="302"/>
      <c r="BU22" s="468"/>
      <c r="BV22" s="298"/>
      <c r="BW22" s="298"/>
      <c r="CK22" s="367">
        <f t="shared" si="12"/>
        <v>9</v>
      </c>
      <c r="CL22" s="403" t="s">
        <v>341</v>
      </c>
      <c r="CM22" s="430">
        <f>+FIT_E</f>
        <v>0.21</v>
      </c>
      <c r="CN22" s="310">
        <f>-CN20*$CM$22</f>
        <v>2478.8205966299997</v>
      </c>
      <c r="CO22" s="310">
        <f>-CO20*$CM$22</f>
        <v>-129517.5</v>
      </c>
      <c r="CP22" s="467">
        <f>CO22-CN22</f>
        <v>-131996.32059662999</v>
      </c>
      <c r="CQ22" s="310">
        <f>+CO22</f>
        <v>-129517.5</v>
      </c>
      <c r="CR22" s="310">
        <f>CQ22-CO22</f>
        <v>0</v>
      </c>
      <c r="DA22" s="302"/>
      <c r="DI22" s="367">
        <f t="shared" si="13"/>
        <v>9</v>
      </c>
      <c r="DJ22" s="466" t="s">
        <v>340</v>
      </c>
      <c r="DK22" s="397"/>
      <c r="DL22" s="447">
        <v>28115834.299467236</v>
      </c>
      <c r="DM22" s="447">
        <v>28143396.613986582</v>
      </c>
      <c r="DN22" s="446">
        <f t="shared" si="14"/>
        <v>27562.31451934576</v>
      </c>
      <c r="DO22" s="446">
        <v>29215057.33172036</v>
      </c>
      <c r="DP22" s="446">
        <f t="shared" si="15"/>
        <v>1071660.7177337781</v>
      </c>
      <c r="DQ22" s="367">
        <f t="shared" si="16"/>
        <v>9</v>
      </c>
      <c r="DR22" s="452"/>
      <c r="DS22" s="465"/>
      <c r="DT22" s="1098"/>
      <c r="DU22" s="1098"/>
      <c r="DV22" s="1098"/>
      <c r="DW22" s="1098"/>
      <c r="DX22" s="1098"/>
      <c r="DY22" s="233">
        <v>9</v>
      </c>
      <c r="DZ22" s="436"/>
      <c r="EA22" s="245"/>
      <c r="EB22" s="245"/>
      <c r="EC22" s="245"/>
      <c r="ED22" s="250"/>
      <c r="EE22" s="250"/>
      <c r="EF22" s="348"/>
      <c r="EG22" s="233"/>
      <c r="EJ22" s="272"/>
      <c r="EK22" s="272"/>
      <c r="EL22" s="272"/>
      <c r="EM22" s="272"/>
      <c r="EN22" s="272"/>
      <c r="EO22" s="233">
        <f t="shared" si="18"/>
        <v>9</v>
      </c>
      <c r="EW22" s="314"/>
      <c r="FD22" s="231"/>
      <c r="FE22" s="233"/>
      <c r="FF22" s="464"/>
      <c r="FG22" s="464"/>
      <c r="FH22" s="464"/>
      <c r="FI22" s="272"/>
      <c r="FJ22" s="272"/>
      <c r="FK22" s="272"/>
      <c r="FL22" s="272"/>
      <c r="FM22" s="233">
        <f t="shared" si="20"/>
        <v>9</v>
      </c>
      <c r="FN22" s="440" t="s">
        <v>335</v>
      </c>
      <c r="FO22" s="440"/>
      <c r="FP22" s="244">
        <v>0</v>
      </c>
      <c r="FQ22" s="244">
        <v>0</v>
      </c>
      <c r="FR22" s="244">
        <v>0</v>
      </c>
      <c r="FS22" s="244">
        <v>-1884025.2004781428</v>
      </c>
      <c r="FT22" s="244">
        <f>+FS22-FR22</f>
        <v>-1884025.2004781428</v>
      </c>
      <c r="FU22" s="367">
        <v>8</v>
      </c>
      <c r="FV22" s="272" t="s">
        <v>339</v>
      </c>
      <c r="FW22" s="419"/>
      <c r="FX22" s="407">
        <v>-167598.16</v>
      </c>
      <c r="FY22" s="407">
        <v>0</v>
      </c>
      <c r="FZ22" s="407">
        <f t="shared" si="21"/>
        <v>167598.16</v>
      </c>
      <c r="GA22" s="407">
        <v>0</v>
      </c>
      <c r="GB22" s="407">
        <f t="shared" si="22"/>
        <v>0</v>
      </c>
      <c r="GC22" s="377">
        <f t="shared" si="23"/>
        <v>9</v>
      </c>
      <c r="GD22" s="440" t="s">
        <v>338</v>
      </c>
      <c r="GE22" s="440"/>
      <c r="GF22" s="244">
        <v>0</v>
      </c>
      <c r="GG22" s="244">
        <v>0</v>
      </c>
      <c r="GH22" s="244">
        <v>0</v>
      </c>
      <c r="GI22" s="244">
        <v>20222349.290381495</v>
      </c>
      <c r="GJ22" s="244">
        <f>+GI22-GH22</f>
        <v>20222349.290381495</v>
      </c>
      <c r="GS22" s="377">
        <f t="shared" si="25"/>
        <v>9</v>
      </c>
      <c r="GT22" s="230" t="s">
        <v>337</v>
      </c>
      <c r="GU22" s="463">
        <v>0.21</v>
      </c>
      <c r="GV22" s="1133" t="s">
        <v>336</v>
      </c>
      <c r="GW22" s="1133" t="s">
        <v>336</v>
      </c>
      <c r="GX22" s="1133" t="s">
        <v>336</v>
      </c>
      <c r="GY22" s="1133" t="s">
        <v>336</v>
      </c>
      <c r="GZ22" s="1133" t="s">
        <v>336</v>
      </c>
      <c r="HA22" s="367">
        <v>9</v>
      </c>
      <c r="HB22" s="399" t="s">
        <v>277</v>
      </c>
      <c r="HC22" s="399"/>
      <c r="HD22" s="1125">
        <f t="shared" ref="HD22:HF22" si="29">SUM(HD19:HD21)</f>
        <v>0</v>
      </c>
      <c r="HE22" s="1125">
        <f t="shared" si="29"/>
        <v>0</v>
      </c>
      <c r="HF22" s="1125">
        <f t="shared" si="29"/>
        <v>0</v>
      </c>
      <c r="HG22" s="1126">
        <f>SUM(HG21)</f>
        <v>375013.99657122983</v>
      </c>
      <c r="HH22" s="1126">
        <f>SUM(HH21)</f>
        <v>375013.99657122983</v>
      </c>
      <c r="HI22" s="377"/>
      <c r="HQ22" s="377">
        <f t="shared" si="27"/>
        <v>9</v>
      </c>
      <c r="HR22" s="826" t="s">
        <v>306</v>
      </c>
      <c r="HS22" s="298"/>
      <c r="HT22" s="398">
        <f t="shared" ref="HT22:HV22" si="30">HT19</f>
        <v>0</v>
      </c>
      <c r="HU22" s="398">
        <f t="shared" si="30"/>
        <v>0</v>
      </c>
      <c r="HV22" s="398">
        <f t="shared" si="30"/>
        <v>0</v>
      </c>
      <c r="HW22" s="398">
        <f>HW19</f>
        <v>5481049.5432116631</v>
      </c>
      <c r="HX22" s="398">
        <f t="shared" ref="HX22" si="31">HX19</f>
        <v>5481049.5432116631</v>
      </c>
    </row>
    <row r="23" spans="1:232" ht="16.5" customHeight="1" thickTop="1" thickBot="1">
      <c r="A23" s="352">
        <f t="shared" si="5"/>
        <v>11</v>
      </c>
      <c r="B23" s="376" t="s">
        <v>334</v>
      </c>
      <c r="C23" s="245"/>
      <c r="D23" s="349"/>
      <c r="E23" s="349"/>
      <c r="F23" s="349">
        <f>SUM(F14:F22)</f>
        <v>41300096.629803978</v>
      </c>
      <c r="G23" s="349"/>
      <c r="H23" s="349">
        <f>SUM(H14:H22)</f>
        <v>-17806218.48</v>
      </c>
      <c r="I23" s="233">
        <f t="shared" si="0"/>
        <v>11</v>
      </c>
      <c r="J23" s="288" t="s">
        <v>330</v>
      </c>
      <c r="K23" s="438"/>
      <c r="L23" s="454">
        <f>SUM(L20:L22)</f>
        <v>39397884.623194501</v>
      </c>
      <c r="M23" s="454">
        <f>SUM(M20:M22)</f>
        <v>39655858.589794502</v>
      </c>
      <c r="N23" s="454">
        <f>SUM(N20:N22)</f>
        <v>257973.96660000001</v>
      </c>
      <c r="O23" s="454">
        <f>SUM(O20:O22)</f>
        <v>40101149.415004499</v>
      </c>
      <c r="P23" s="454">
        <f>SUM(P20:P22)</f>
        <v>445290.82520999946</v>
      </c>
      <c r="R23" s="245"/>
      <c r="S23" s="245"/>
      <c r="T23" s="245"/>
      <c r="U23" s="245"/>
      <c r="V23" s="245"/>
      <c r="W23" s="245"/>
      <c r="X23" s="245"/>
      <c r="Y23" s="272"/>
      <c r="Z23" s="272"/>
      <c r="AB23" s="250"/>
      <c r="AC23" s="250"/>
      <c r="AD23" s="250"/>
      <c r="AE23" s="250"/>
      <c r="AF23" s="273"/>
      <c r="AG23" s="352">
        <f t="shared" si="1"/>
        <v>10</v>
      </c>
      <c r="AH23" s="255" t="s">
        <v>333</v>
      </c>
      <c r="AJ23" s="310">
        <v>16403352.696571918</v>
      </c>
      <c r="AK23" s="310">
        <v>0</v>
      </c>
      <c r="AL23" s="310">
        <f t="shared" si="7"/>
        <v>-16403352.696571918</v>
      </c>
      <c r="AM23" s="310">
        <f t="shared" si="8"/>
        <v>0</v>
      </c>
      <c r="AN23" s="310">
        <f t="shared" si="28"/>
        <v>0</v>
      </c>
      <c r="AO23" s="302"/>
      <c r="AW23" s="367"/>
      <c r="AX23" s="367"/>
      <c r="AY23" s="367"/>
      <c r="AZ23" s="274"/>
      <c r="BA23" s="244"/>
      <c r="BB23" s="453"/>
      <c r="BC23" s="244"/>
      <c r="BD23" s="244"/>
      <c r="BE23" s="367">
        <f t="shared" si="10"/>
        <v>10</v>
      </c>
      <c r="BF23" s="436" t="s">
        <v>332</v>
      </c>
      <c r="BG23" s="436"/>
      <c r="BH23" s="451">
        <f>SUM(BH15:BH22)</f>
        <v>8580199.7623793483</v>
      </c>
      <c r="BI23" s="451">
        <f>SUM(BI15:BI22)</f>
        <v>8366056.3124479</v>
      </c>
      <c r="BJ23" s="451">
        <f>SUM(BJ15:BJ22)</f>
        <v>-214143.44993144952</v>
      </c>
      <c r="BK23" s="451">
        <f>SUM(BK15:BK22)</f>
        <v>8366056.3124479</v>
      </c>
      <c r="BL23" s="1096">
        <f>SUM(BL15:BL22)</f>
        <v>0</v>
      </c>
      <c r="BM23" s="302"/>
      <c r="BU23" s="302"/>
      <c r="BV23" s="245"/>
      <c r="BW23" s="245"/>
      <c r="BX23" s="245"/>
      <c r="BY23" s="245"/>
      <c r="CK23" s="367">
        <f t="shared" si="12"/>
        <v>10</v>
      </c>
      <c r="CL23" s="403" t="s">
        <v>281</v>
      </c>
      <c r="CM23" s="403"/>
      <c r="CN23" s="462">
        <f>-CN20-CN22</f>
        <v>9325.0870063700004</v>
      </c>
      <c r="CO23" s="462">
        <f>-CO20-CO22</f>
        <v>-487232.5</v>
      </c>
      <c r="CP23" s="462">
        <f>-CP20-CP22</f>
        <v>-496557.58700637007</v>
      </c>
      <c r="CQ23" s="462">
        <f>-CQ20-CQ22</f>
        <v>-487232.5</v>
      </c>
      <c r="CR23" s="462">
        <f>-CR20-CR22</f>
        <v>0</v>
      </c>
      <c r="DA23" s="302"/>
      <c r="DI23" s="367">
        <f t="shared" si="13"/>
        <v>10</v>
      </c>
      <c r="DJ23" s="410" t="s">
        <v>331</v>
      </c>
      <c r="DK23" s="351"/>
      <c r="DL23" s="441">
        <f>SUM(DL15:DL22)</f>
        <v>104626135.31606707</v>
      </c>
      <c r="DM23" s="441">
        <f>SUM(DM15:DM22)</f>
        <v>104684964.10209413</v>
      </c>
      <c r="DN23" s="443">
        <f t="shared" si="14"/>
        <v>58828.786027058959</v>
      </c>
      <c r="DO23" s="441">
        <f>SUM(DO15:DO22)</f>
        <v>108304747.09407419</v>
      </c>
      <c r="DP23" s="409">
        <f t="shared" si="15"/>
        <v>3619782.9919800609</v>
      </c>
      <c r="DQ23" s="367">
        <f t="shared" si="16"/>
        <v>10</v>
      </c>
      <c r="DR23" s="461" t="s">
        <v>16</v>
      </c>
      <c r="DS23" s="460"/>
      <c r="DT23" s="471"/>
      <c r="DU23" s="471"/>
      <c r="DV23" s="471"/>
      <c r="DW23" s="471"/>
      <c r="DX23" s="471"/>
      <c r="DY23" s="233">
        <v>10</v>
      </c>
      <c r="DZ23" s="248" t="s">
        <v>252</v>
      </c>
      <c r="EA23" s="249">
        <f>FIT_E</f>
        <v>0.21</v>
      </c>
      <c r="EB23" s="458">
        <f>-EB21*$EA$23</f>
        <v>6707.6420310769599</v>
      </c>
      <c r="EC23" s="458">
        <f>-EC21*$EA$23</f>
        <v>367.70159412307663</v>
      </c>
      <c r="ED23" s="459">
        <f>-ED21*EA23</f>
        <v>-6339.9404369538834</v>
      </c>
      <c r="EE23" s="458">
        <f>-EE21*$EA$23</f>
        <v>-183381.47130263573</v>
      </c>
      <c r="EF23" s="457">
        <f>-EF21*EA23</f>
        <v>-183749.17289675883</v>
      </c>
      <c r="EG23" s="233"/>
      <c r="EJ23" s="272"/>
      <c r="EK23" s="272"/>
      <c r="EL23" s="272"/>
      <c r="EM23" s="272"/>
      <c r="EN23" s="272"/>
      <c r="EO23" s="233">
        <f t="shared" si="18"/>
        <v>10</v>
      </c>
      <c r="EP23" s="281" t="s">
        <v>330</v>
      </c>
      <c r="ER23" s="234">
        <f>ER21</f>
        <v>405261817.13353872</v>
      </c>
      <c r="ES23" s="234">
        <f>ES21</f>
        <v>426660492.4238199</v>
      </c>
      <c r="ET23" s="234">
        <f>ET21</f>
        <v>21398675.290281195</v>
      </c>
      <c r="EU23" s="234">
        <f>EU21</f>
        <v>426660492.4238199</v>
      </c>
      <c r="EV23" s="234">
        <f>EV21</f>
        <v>0</v>
      </c>
      <c r="EW23" s="314"/>
      <c r="FM23" s="233">
        <f t="shared" si="20"/>
        <v>10</v>
      </c>
      <c r="FN23" s="440" t="s">
        <v>327</v>
      </c>
      <c r="FO23" s="440"/>
      <c r="FP23" s="244">
        <v>0</v>
      </c>
      <c r="FQ23" s="244">
        <v>0</v>
      </c>
      <c r="FR23" s="244">
        <v>0</v>
      </c>
      <c r="FS23" s="244">
        <v>-1978226.4605020492</v>
      </c>
      <c r="FT23" s="244">
        <f>+FS23-FR23</f>
        <v>-1978226.4605020492</v>
      </c>
      <c r="FU23" s="367">
        <v>9</v>
      </c>
      <c r="FV23" s="351" t="s">
        <v>329</v>
      </c>
      <c r="FW23" s="419"/>
      <c r="FX23" s="407"/>
      <c r="FY23" s="407"/>
      <c r="FZ23" s="407"/>
      <c r="GA23" s="407"/>
      <c r="GB23" s="407"/>
      <c r="GC23" s="377">
        <f t="shared" si="23"/>
        <v>10</v>
      </c>
      <c r="GD23" s="440" t="s">
        <v>328</v>
      </c>
      <c r="GE23" s="440"/>
      <c r="GF23" s="244">
        <v>0</v>
      </c>
      <c r="GG23" s="244">
        <v>0</v>
      </c>
      <c r="GH23" s="244">
        <v>0</v>
      </c>
      <c r="GI23" s="244">
        <v>-3370391.5483969157</v>
      </c>
      <c r="GJ23" s="244">
        <f>+GI23-GH23</f>
        <v>-3370391.5483969157</v>
      </c>
      <c r="GS23" s="377">
        <f t="shared" si="25"/>
        <v>10</v>
      </c>
      <c r="GT23" s="230" t="s">
        <v>249</v>
      </c>
      <c r="GU23" s="247"/>
      <c r="GV23" s="1131">
        <f>-GV20</f>
        <v>0</v>
      </c>
      <c r="GW23" s="1131">
        <f>-GW20</f>
        <v>0</v>
      </c>
      <c r="GX23" s="1131">
        <f>-GX20</f>
        <v>0</v>
      </c>
      <c r="GY23" s="1131">
        <f>-GY20</f>
        <v>9006372.2399999984</v>
      </c>
      <c r="GZ23" s="1131">
        <f>-GZ20</f>
        <v>9006372.2399999984</v>
      </c>
      <c r="HA23" s="367">
        <v>10</v>
      </c>
      <c r="HB23" s="395"/>
      <c r="HC23" s="395"/>
      <c r="HD23" s="1127"/>
      <c r="HE23" s="1127"/>
      <c r="HF23" s="1127"/>
      <c r="HG23" s="1127"/>
      <c r="HH23" s="1128"/>
      <c r="HI23" s="377"/>
      <c r="HQ23" s="377">
        <f t="shared" si="27"/>
        <v>10</v>
      </c>
      <c r="HR23" s="826"/>
      <c r="HS23" s="298"/>
    </row>
    <row r="24" spans="1:232" ht="14.4" thickTop="1">
      <c r="A24" s="352">
        <f t="shared" si="5"/>
        <v>12</v>
      </c>
      <c r="B24" s="456" t="s">
        <v>72</v>
      </c>
      <c r="D24" s="455"/>
      <c r="E24" s="455"/>
      <c r="F24" s="455"/>
      <c r="G24" s="455"/>
      <c r="H24" s="245"/>
      <c r="I24" s="233">
        <f t="shared" si="0"/>
        <v>12</v>
      </c>
      <c r="J24" s="288"/>
      <c r="K24" s="438"/>
      <c r="L24" s="454"/>
      <c r="M24" s="454"/>
      <c r="N24" s="454"/>
      <c r="O24" s="454"/>
      <c r="P24" s="454"/>
      <c r="Y24" s="272"/>
      <c r="Z24" s="272"/>
      <c r="AB24" s="250"/>
      <c r="AC24" s="250"/>
      <c r="AD24" s="250"/>
      <c r="AE24" s="250"/>
      <c r="AF24" s="273"/>
      <c r="AG24" s="352">
        <f t="shared" si="1"/>
        <v>11</v>
      </c>
      <c r="AH24" s="255" t="s">
        <v>326</v>
      </c>
      <c r="AJ24" s="310">
        <v>-15601474.800000001</v>
      </c>
      <c r="AK24" s="310">
        <v>0</v>
      </c>
      <c r="AL24" s="310">
        <f t="shared" si="7"/>
        <v>15601474.800000001</v>
      </c>
      <c r="AM24" s="310">
        <f t="shared" si="8"/>
        <v>0</v>
      </c>
      <c r="AN24" s="310">
        <f t="shared" si="28"/>
        <v>0</v>
      </c>
      <c r="AO24" s="302"/>
      <c r="AW24" s="367"/>
      <c r="AX24" s="367"/>
      <c r="AY24" s="367"/>
      <c r="AZ24" s="244"/>
      <c r="BA24" s="244"/>
      <c r="BB24" s="453"/>
      <c r="BC24" s="244"/>
      <c r="BD24" s="244"/>
      <c r="BE24" s="367">
        <f t="shared" si="10"/>
        <v>11</v>
      </c>
      <c r="BF24" s="452"/>
      <c r="BG24" s="452"/>
      <c r="BH24" s="451"/>
      <c r="BI24" s="451"/>
      <c r="BJ24" s="451"/>
      <c r="BK24" s="451"/>
      <c r="BL24" s="451"/>
      <c r="BM24" s="302"/>
      <c r="BU24" s="302"/>
      <c r="BV24" s="247"/>
      <c r="BW24" s="247"/>
      <c r="BX24" s="247"/>
      <c r="BY24" s="247"/>
      <c r="DA24" s="302"/>
      <c r="DI24" s="367">
        <f t="shared" si="13"/>
        <v>11</v>
      </c>
      <c r="DJ24" s="433"/>
      <c r="DK24" s="397"/>
      <c r="DL24" s="441"/>
      <c r="DM24" s="441"/>
      <c r="DN24" s="443"/>
      <c r="DO24" s="409"/>
      <c r="DP24" s="409"/>
      <c r="DQ24" s="367">
        <f t="shared" si="16"/>
        <v>11</v>
      </c>
      <c r="DR24" s="442" t="s">
        <v>1432</v>
      </c>
      <c r="DS24" s="367"/>
      <c r="DT24" s="421">
        <f>+DT21+DT18+DT15</f>
        <v>13873355.148600001</v>
      </c>
      <c r="DU24" s="421">
        <f>+DU21+DU18+DU15</f>
        <v>13906664.896484401</v>
      </c>
      <c r="DV24" s="421">
        <f>+DV21+DV18+DV15</f>
        <v>33309.747884399723</v>
      </c>
      <c r="DW24" s="421">
        <f>+DW21+DW18+DW15</f>
        <v>14433726.319512019</v>
      </c>
      <c r="DX24" s="421">
        <f>+DW24-DU24</f>
        <v>527061.42302761786</v>
      </c>
      <c r="DY24" s="233">
        <v>11</v>
      </c>
      <c r="DZ24" s="248"/>
      <c r="EA24" s="245"/>
      <c r="EB24" s="1099"/>
      <c r="EC24" s="1099"/>
      <c r="ED24" s="1099"/>
      <c r="EE24" s="1099"/>
      <c r="EF24" s="1099"/>
      <c r="EG24" s="233"/>
      <c r="EJ24" s="272"/>
      <c r="EK24" s="272"/>
      <c r="EL24" s="272"/>
      <c r="EM24" s="272"/>
      <c r="EN24" s="272"/>
      <c r="EO24" s="233">
        <f t="shared" si="18"/>
        <v>11</v>
      </c>
      <c r="ER24" s="234"/>
      <c r="ES24" s="234"/>
      <c r="ET24" s="234"/>
      <c r="EU24" s="234"/>
      <c r="EV24" s="234"/>
      <c r="FM24" s="233">
        <f t="shared" si="20"/>
        <v>11</v>
      </c>
      <c r="FN24" s="440" t="s">
        <v>325</v>
      </c>
      <c r="FO24" s="440"/>
      <c r="FP24" s="375">
        <f>SUM(FP21:FP23)</f>
        <v>0</v>
      </c>
      <c r="FQ24" s="375">
        <f>SUM(FQ21:FQ23)</f>
        <v>0</v>
      </c>
      <c r="FR24" s="375">
        <f>SUM(FR21:FR23)</f>
        <v>0</v>
      </c>
      <c r="FS24" s="375">
        <f>SUM(FS21:FS23)</f>
        <v>7441899.5418886635</v>
      </c>
      <c r="FT24" s="375">
        <f>SUM(FT21:FT23)</f>
        <v>7441899.5418886635</v>
      </c>
      <c r="FU24" s="367">
        <v>10</v>
      </c>
      <c r="FV24" s="429" t="s">
        <v>324</v>
      </c>
      <c r="FW24" s="419"/>
      <c r="FX24" s="407">
        <v>65485.843500000003</v>
      </c>
      <c r="FY24" s="407">
        <v>65485.843500000003</v>
      </c>
      <c r="FZ24" s="407">
        <f>FY24-FX24</f>
        <v>0</v>
      </c>
      <c r="GA24" s="407">
        <v>0</v>
      </c>
      <c r="GB24" s="407">
        <f>GA24-FY24</f>
        <v>-65485.843500000003</v>
      </c>
      <c r="GC24" s="377">
        <f t="shared" si="23"/>
        <v>11</v>
      </c>
      <c r="GD24" s="440" t="s">
        <v>323</v>
      </c>
      <c r="GE24" s="440"/>
      <c r="GF24" s="244">
        <v>0</v>
      </c>
      <c r="GG24" s="244">
        <v>0</v>
      </c>
      <c r="GH24" s="244">
        <v>0</v>
      </c>
      <c r="GI24" s="244">
        <v>-3538911.1258167643</v>
      </c>
      <c r="GJ24" s="244">
        <f>+GI24-GH24</f>
        <v>-3538911.1258167643</v>
      </c>
      <c r="GS24" s="377"/>
      <c r="HA24" s="367">
        <v>11</v>
      </c>
      <c r="HB24" s="379" t="s">
        <v>275</v>
      </c>
      <c r="HC24" s="379"/>
      <c r="HD24" s="234">
        <f>HD22</f>
        <v>0</v>
      </c>
      <c r="HE24" s="234">
        <f>HE22</f>
        <v>0</v>
      </c>
      <c r="HF24" s="234">
        <f>HF22</f>
        <v>0</v>
      </c>
      <c r="HG24" s="234">
        <f>HG22</f>
        <v>375013.99657122983</v>
      </c>
      <c r="HH24" s="234">
        <f>HH22</f>
        <v>375013.99657122983</v>
      </c>
      <c r="HI24" s="377"/>
      <c r="HQ24" s="377">
        <f t="shared" si="27"/>
        <v>11</v>
      </c>
      <c r="HR24" s="826" t="s">
        <v>297</v>
      </c>
      <c r="HS24" s="298"/>
    </row>
    <row r="25" spans="1:232" ht="14.4" thickBot="1">
      <c r="A25" s="352">
        <f t="shared" si="5"/>
        <v>13</v>
      </c>
      <c r="B25" s="412" t="s">
        <v>322</v>
      </c>
      <c r="D25" s="1293" t="s">
        <v>272</v>
      </c>
      <c r="E25" s="1293"/>
      <c r="F25" s="349">
        <v>-10964420.23</v>
      </c>
      <c r="G25" s="1293" t="s">
        <v>272</v>
      </c>
      <c r="H25" s="349">
        <v>0</v>
      </c>
      <c r="I25" s="233">
        <f t="shared" si="0"/>
        <v>13</v>
      </c>
      <c r="J25" s="247" t="s">
        <v>321</v>
      </c>
      <c r="K25" s="449"/>
      <c r="L25" s="349">
        <f>L18-L23</f>
        <v>766532045.27748048</v>
      </c>
      <c r="M25" s="349">
        <f>M18-M23</f>
        <v>771551231.31088042</v>
      </c>
      <c r="N25" s="349">
        <f>N18-N23</f>
        <v>5019186.0334000001</v>
      </c>
      <c r="O25" s="349">
        <f>O18-O23</f>
        <v>780214886.48567045</v>
      </c>
      <c r="P25" s="349">
        <f>P18-P23</f>
        <v>8663655.1747900005</v>
      </c>
      <c r="AG25" s="352">
        <f t="shared" si="1"/>
        <v>12</v>
      </c>
      <c r="AH25" s="400" t="s">
        <v>320</v>
      </c>
      <c r="AJ25" s="310">
        <v>4470609.87</v>
      </c>
      <c r="AK25" s="310">
        <v>0</v>
      </c>
      <c r="AL25" s="310">
        <f t="shared" si="7"/>
        <v>-4470609.87</v>
      </c>
      <c r="AM25" s="310">
        <f t="shared" si="8"/>
        <v>0</v>
      </c>
      <c r="AN25" s="310">
        <f t="shared" si="28"/>
        <v>0</v>
      </c>
      <c r="AO25" s="302"/>
      <c r="AW25" s="367"/>
      <c r="AX25" s="367"/>
      <c r="AY25" s="367"/>
      <c r="AZ25" s="274"/>
      <c r="BA25" s="244"/>
      <c r="BB25" s="244"/>
      <c r="BC25" s="244"/>
      <c r="BD25" s="244"/>
      <c r="BE25" s="367">
        <f t="shared" si="10"/>
        <v>12</v>
      </c>
      <c r="BF25" s="410" t="s">
        <v>319</v>
      </c>
      <c r="BG25" s="410"/>
      <c r="BH25" s="448">
        <v>759347.64181821421</v>
      </c>
      <c r="BI25" s="448">
        <v>740395.94742652448</v>
      </c>
      <c r="BJ25" s="448">
        <v>-18951.694391689729</v>
      </c>
      <c r="BK25" s="448">
        <v>740395.94742652448</v>
      </c>
      <c r="BL25" s="475">
        <v>0</v>
      </c>
      <c r="BM25" s="302"/>
      <c r="BU25" s="302"/>
      <c r="BV25" s="247"/>
      <c r="BW25" s="247"/>
      <c r="BX25" s="247"/>
      <c r="BY25" s="247"/>
      <c r="CK25" s="367"/>
      <c r="DA25" s="302"/>
      <c r="DI25" s="367">
        <f t="shared" si="13"/>
        <v>12</v>
      </c>
      <c r="DJ25" s="410" t="s">
        <v>318</v>
      </c>
      <c r="DK25" s="397"/>
      <c r="DL25" s="447">
        <v>7658038.0723143257</v>
      </c>
      <c r="DM25" s="447">
        <f>+DL25+DN25</f>
        <v>7677450.3307888452</v>
      </c>
      <c r="DN25" s="446">
        <v>19412.258474519269</v>
      </c>
      <c r="DO25" s="446">
        <f>+DM25+DP25</f>
        <v>7859638.4253364205</v>
      </c>
      <c r="DP25" s="446">
        <v>182188.09454757578</v>
      </c>
      <c r="DQ25" s="367">
        <f t="shared" si="16"/>
        <v>12</v>
      </c>
      <c r="DR25" s="431"/>
      <c r="DS25" s="430"/>
      <c r="DT25" s="1099"/>
      <c r="DU25" s="1099"/>
      <c r="DV25" s="1099"/>
      <c r="DW25" s="1099"/>
      <c r="DX25" s="1099"/>
      <c r="DY25" s="233">
        <v>12</v>
      </c>
      <c r="DZ25" s="247" t="s">
        <v>281</v>
      </c>
      <c r="EA25" s="247"/>
      <c r="EB25" s="614">
        <f>-EB21-EB23</f>
        <v>25233.510497860945</v>
      </c>
      <c r="EC25" s="614">
        <f>-EC21-EC23</f>
        <v>1383.2583778915741</v>
      </c>
      <c r="ED25" s="614">
        <f>-ED21-ED23</f>
        <v>-23850.252119969373</v>
      </c>
      <c r="EE25" s="614">
        <f>-EE21-EE23</f>
        <v>-689863.63013848686</v>
      </c>
      <c r="EF25" s="614">
        <f>-EF21-EF23</f>
        <v>-691246.88851637836</v>
      </c>
      <c r="EG25" s="233"/>
      <c r="EJ25" s="272"/>
      <c r="EK25" s="272"/>
      <c r="EL25" s="272"/>
      <c r="EM25" s="272"/>
      <c r="EN25" s="272"/>
      <c r="EO25" s="233">
        <f t="shared" si="18"/>
        <v>12</v>
      </c>
      <c r="EP25" s="281" t="s">
        <v>250</v>
      </c>
      <c r="EQ25" s="249">
        <f>FIT_E</f>
        <v>0.21</v>
      </c>
      <c r="ER25" s="234">
        <f>-ER23*$EQ$25</f>
        <v>-85104981.598043129</v>
      </c>
      <c r="ES25" s="234">
        <f>-ES23*$EQ$25</f>
        <v>-89598703.40900217</v>
      </c>
      <c r="ET25" s="234">
        <f>-ET23*$EQ$25</f>
        <v>-4493721.8109590504</v>
      </c>
      <c r="EU25" s="234">
        <f>-EU23*$EQ$25</f>
        <v>-89598703.40900217</v>
      </c>
      <c r="EV25" s="234">
        <f>EV23</f>
        <v>0</v>
      </c>
      <c r="FM25" s="233">
        <f t="shared" si="20"/>
        <v>12</v>
      </c>
      <c r="FN25" s="440" t="s">
        <v>172</v>
      </c>
      <c r="FO25" s="440"/>
      <c r="FP25" s="1126"/>
      <c r="FQ25" s="1126"/>
      <c r="FR25" s="1126"/>
      <c r="FS25" s="1126"/>
      <c r="FT25" s="1126"/>
      <c r="FU25" s="367">
        <v>11</v>
      </c>
      <c r="FV25" s="429" t="s">
        <v>317</v>
      </c>
      <c r="FW25" s="419"/>
      <c r="FX25" s="407">
        <v>101476.232</v>
      </c>
      <c r="FY25" s="407">
        <v>101476.232</v>
      </c>
      <c r="FZ25" s="407">
        <f>FY25-FX25</f>
        <v>0</v>
      </c>
      <c r="GA25" s="407">
        <v>0</v>
      </c>
      <c r="GB25" s="407">
        <f>GA25-FY25</f>
        <v>-101476.232</v>
      </c>
      <c r="GC25" s="377">
        <f t="shared" si="23"/>
        <v>12</v>
      </c>
      <c r="GD25" s="399" t="s">
        <v>316</v>
      </c>
      <c r="GE25" s="440"/>
      <c r="GF25" s="375">
        <f>SUM(GF22:GF24)</f>
        <v>0</v>
      </c>
      <c r="GG25" s="375">
        <f>SUM(GG22:GG24)</f>
        <v>0</v>
      </c>
      <c r="GH25" s="375">
        <f>SUM(GH22:GH24)</f>
        <v>0</v>
      </c>
      <c r="GI25" s="375">
        <f>SUM(GI22:GI24)</f>
        <v>13313046.616167815</v>
      </c>
      <c r="GJ25" s="375">
        <f>SUM(GJ22:GJ24)</f>
        <v>13313046.616167815</v>
      </c>
      <c r="GS25" s="377"/>
      <c r="HA25" s="367">
        <v>12</v>
      </c>
      <c r="HB25" s="379"/>
      <c r="HC25" s="379"/>
      <c r="HD25" s="678"/>
      <c r="HE25" s="678"/>
      <c r="HF25" s="678"/>
      <c r="HG25" s="678"/>
      <c r="HH25" s="244"/>
      <c r="HI25" s="377"/>
      <c r="HQ25" s="377">
        <f t="shared" si="27"/>
        <v>12</v>
      </c>
      <c r="HR25" s="826" t="s">
        <v>1365</v>
      </c>
      <c r="HS25" s="298"/>
      <c r="HT25" s="231">
        <v>0</v>
      </c>
      <c r="HU25" s="231">
        <v>0</v>
      </c>
      <c r="HV25" s="231">
        <v>0</v>
      </c>
      <c r="HW25" s="231">
        <v>681757.00000000012</v>
      </c>
      <c r="HX25" s="231">
        <f>HW25-HU25</f>
        <v>681757.00000000012</v>
      </c>
    </row>
    <row r="26" spans="1:232" ht="15" thickTop="1" thickBot="1">
      <c r="A26" s="352">
        <f t="shared" si="5"/>
        <v>14</v>
      </c>
      <c r="B26" s="412" t="s">
        <v>315</v>
      </c>
      <c r="C26" s="439"/>
      <c r="D26" s="1293"/>
      <c r="E26" s="1293"/>
      <c r="F26" s="349">
        <v>0</v>
      </c>
      <c r="G26" s="1293"/>
      <c r="H26" s="349">
        <v>-18227053.410000004</v>
      </c>
      <c r="I26" s="233">
        <f t="shared" si="0"/>
        <v>14</v>
      </c>
      <c r="J26" s="247"/>
      <c r="K26" s="355"/>
      <c r="L26" s="348"/>
      <c r="M26" s="348"/>
      <c r="N26" s="348"/>
      <c r="O26" s="348"/>
      <c r="P26" s="348"/>
      <c r="AF26" s="310"/>
      <c r="AG26" s="352">
        <f t="shared" si="1"/>
        <v>13</v>
      </c>
      <c r="AH26" s="400" t="s">
        <v>314</v>
      </c>
      <c r="AJ26" s="310">
        <v>-684145.61</v>
      </c>
      <c r="AK26" s="310">
        <v>0</v>
      </c>
      <c r="AL26" s="310">
        <f t="shared" si="7"/>
        <v>684145.61</v>
      </c>
      <c r="AM26" s="310">
        <f t="shared" si="8"/>
        <v>0</v>
      </c>
      <c r="AN26" s="310">
        <f t="shared" si="28"/>
        <v>0</v>
      </c>
      <c r="AO26" s="302"/>
      <c r="AW26" s="367"/>
      <c r="AX26" s="367"/>
      <c r="AY26" s="367"/>
      <c r="AZ26" s="445"/>
      <c r="BA26" s="244"/>
      <c r="BB26" s="244"/>
      <c r="BC26" s="244"/>
      <c r="BD26" s="244"/>
      <c r="BE26" s="367">
        <f t="shared" si="10"/>
        <v>13</v>
      </c>
      <c r="BF26" s="410" t="s">
        <v>313</v>
      </c>
      <c r="BG26" s="410"/>
      <c r="BH26" s="444">
        <f>SUM(BH23:BH25)</f>
        <v>9339547.4041975625</v>
      </c>
      <c r="BI26" s="444">
        <f>SUM(BI23:BI25)</f>
        <v>9106452.259874424</v>
      </c>
      <c r="BJ26" s="444">
        <f>SUM(BJ23:BJ25)</f>
        <v>-233095.14432313925</v>
      </c>
      <c r="BK26" s="444">
        <f>SUM(BK23:BK25)</f>
        <v>9106452.259874424</v>
      </c>
      <c r="BL26" s="1096">
        <f>SUM(BL23:BL25)</f>
        <v>0</v>
      </c>
      <c r="BM26" s="302"/>
      <c r="CS26" s="314"/>
      <c r="DA26" s="302"/>
      <c r="DI26" s="367">
        <f t="shared" si="13"/>
        <v>13</v>
      </c>
      <c r="DJ26" s="410" t="s">
        <v>312</v>
      </c>
      <c r="DK26" s="397"/>
      <c r="DL26" s="441">
        <f>+DL25+DL23</f>
        <v>112284173.38838139</v>
      </c>
      <c r="DM26" s="441">
        <f>+DM25+DM23</f>
        <v>112362414.43288298</v>
      </c>
      <c r="DN26" s="443">
        <f>+DN25+DN23</f>
        <v>78241.044501578232</v>
      </c>
      <c r="DO26" s="441">
        <f>+DM26+DP26</f>
        <v>116164385.51941061</v>
      </c>
      <c r="DP26" s="443">
        <f>+DP25+DP23</f>
        <v>3801971.0865276367</v>
      </c>
      <c r="DQ26" s="367">
        <f t="shared" si="16"/>
        <v>13</v>
      </c>
      <c r="DR26" s="442" t="s">
        <v>311</v>
      </c>
      <c r="DS26" s="405">
        <v>0.49997132880489842</v>
      </c>
      <c r="DT26" s="441">
        <f>+DT24*$DS$26</f>
        <v>6936279.8086278215</v>
      </c>
      <c r="DU26" s="441">
        <f>+DU24*$DS$26</f>
        <v>6952933.7275397414</v>
      </c>
      <c r="DV26" s="441">
        <f>+DV24*$DS$26</f>
        <v>16653.918911919485</v>
      </c>
      <c r="DW26" s="441">
        <f>+DW24*$DS$26</f>
        <v>7216449.3275726596</v>
      </c>
      <c r="DX26" s="409">
        <f>+DX24*$DS$26</f>
        <v>263515.6000329188</v>
      </c>
      <c r="EG26" s="233"/>
      <c r="EJ26" s="272"/>
      <c r="EK26" s="272"/>
      <c r="EL26" s="272"/>
      <c r="EM26" s="272"/>
      <c r="EN26" s="272"/>
      <c r="EO26" s="233">
        <f t="shared" si="18"/>
        <v>13</v>
      </c>
      <c r="ER26" s="1099"/>
      <c r="ES26" s="1099"/>
      <c r="ET26" s="1099"/>
      <c r="EU26" s="1099"/>
      <c r="EV26" s="1099"/>
      <c r="FM26" s="233">
        <f t="shared" si="20"/>
        <v>13</v>
      </c>
      <c r="FN26" s="397" t="s">
        <v>306</v>
      </c>
      <c r="FO26" s="397"/>
      <c r="FP26" s="428">
        <f>FP19+FP24</f>
        <v>0</v>
      </c>
      <c r="FQ26" s="428">
        <f>FQ19+FQ24</f>
        <v>0</v>
      </c>
      <c r="FR26" s="428">
        <f>FR19+FR24</f>
        <v>0</v>
      </c>
      <c r="FS26" s="428">
        <f>FS19+FS24</f>
        <v>28244978.592898086</v>
      </c>
      <c r="FT26" s="428">
        <f>FT19+FT24</f>
        <v>28244978.592898086</v>
      </c>
      <c r="FU26" s="367">
        <v>12</v>
      </c>
      <c r="FV26" s="429" t="s">
        <v>310</v>
      </c>
      <c r="FW26" s="419"/>
      <c r="FX26" s="407">
        <v>17787.344273049999</v>
      </c>
      <c r="FY26" s="407">
        <v>17787.344273049999</v>
      </c>
      <c r="FZ26" s="407">
        <f>FY26-FX26</f>
        <v>0</v>
      </c>
      <c r="GA26" s="407">
        <v>0</v>
      </c>
      <c r="GB26" s="407">
        <f>GA26-FY26</f>
        <v>-17787.344273049999</v>
      </c>
      <c r="GC26" s="377">
        <f t="shared" si="23"/>
        <v>13</v>
      </c>
      <c r="GD26" s="440"/>
      <c r="GE26" s="440"/>
      <c r="GF26" s="375"/>
      <c r="GG26" s="375"/>
      <c r="GH26" s="375"/>
      <c r="GI26" s="375"/>
      <c r="GJ26" s="375"/>
      <c r="GS26" s="377"/>
      <c r="HA26" s="367">
        <v>13</v>
      </c>
      <c r="HB26" s="379" t="s">
        <v>252</v>
      </c>
      <c r="HC26" s="385">
        <f>FIT_E</f>
        <v>0.21</v>
      </c>
      <c r="HD26" s="384">
        <f>-HD24*$HC$26</f>
        <v>0</v>
      </c>
      <c r="HE26" s="384">
        <f>-HE24*$HC$26</f>
        <v>0</v>
      </c>
      <c r="HF26" s="384">
        <f>-HF24*$HC$26</f>
        <v>0</v>
      </c>
      <c r="HG26" s="384">
        <f>-HG24*$HC$26</f>
        <v>-78752.939279958257</v>
      </c>
      <c r="HH26" s="384">
        <f>-HH24*$HC$26</f>
        <v>-78752.939279958257</v>
      </c>
      <c r="HI26" s="377"/>
      <c r="HQ26" s="377">
        <f t="shared" si="27"/>
        <v>13</v>
      </c>
      <c r="HR26" s="826" t="s">
        <v>277</v>
      </c>
      <c r="HS26" s="298"/>
      <c r="HT26" s="398">
        <f>SUM(HT25:HT25)</f>
        <v>0</v>
      </c>
      <c r="HU26" s="398">
        <f>SUM(HU25:HU25)</f>
        <v>0</v>
      </c>
      <c r="HV26" s="398">
        <f>SUM(HV25:HV25)</f>
        <v>0</v>
      </c>
      <c r="HW26" s="398">
        <f>SUM(HW25:HW25)</f>
        <v>681757.00000000012</v>
      </c>
      <c r="HX26" s="398">
        <f>SUM(HX25:HX25)</f>
        <v>681757.00000000012</v>
      </c>
    </row>
    <row r="27" spans="1:232" ht="16.8" thickTop="1" thickBot="1">
      <c r="A27" s="352">
        <f t="shared" si="5"/>
        <v>15</v>
      </c>
      <c r="B27" s="376" t="s">
        <v>309</v>
      </c>
      <c r="C27" s="439"/>
      <c r="D27" s="1293"/>
      <c r="E27" s="1293"/>
      <c r="F27" s="349">
        <v>24054569</v>
      </c>
      <c r="G27" s="1293"/>
      <c r="H27" s="349">
        <v>0</v>
      </c>
      <c r="I27" s="233">
        <f t="shared" si="0"/>
        <v>15</v>
      </c>
      <c r="J27" s="247" t="s">
        <v>252</v>
      </c>
      <c r="K27" s="438">
        <f>FIT_E</f>
        <v>0.21</v>
      </c>
      <c r="L27" s="234">
        <f>L25*K$27</f>
        <v>160971729.50827089</v>
      </c>
      <c r="M27" s="234">
        <f>M$25*K$27</f>
        <v>162025758.57528487</v>
      </c>
      <c r="N27" s="234">
        <f>N25*K$27</f>
        <v>1054029.0670139999</v>
      </c>
      <c r="O27" s="234">
        <f>O$25*K$27</f>
        <v>163845126.16199079</v>
      </c>
      <c r="P27" s="234">
        <f>O27-M27</f>
        <v>1819367.5867059231</v>
      </c>
      <c r="AF27" s="310"/>
      <c r="AG27" s="352">
        <f t="shared" si="1"/>
        <v>14</v>
      </c>
      <c r="AH27" s="437" t="s">
        <v>308</v>
      </c>
      <c r="AJ27" s="310">
        <v>-1234.01</v>
      </c>
      <c r="AK27" s="310">
        <v>0</v>
      </c>
      <c r="AL27" s="310">
        <f t="shared" si="7"/>
        <v>1234.01</v>
      </c>
      <c r="AM27" s="310">
        <f t="shared" si="8"/>
        <v>0</v>
      </c>
      <c r="AN27" s="310">
        <f t="shared" si="28"/>
        <v>0</v>
      </c>
      <c r="AW27" s="367"/>
      <c r="AX27" s="367"/>
      <c r="AY27" s="367"/>
      <c r="AZ27" s="436"/>
      <c r="BA27" s="385"/>
      <c r="BB27" s="435"/>
      <c r="BC27" s="434"/>
      <c r="BD27" s="434"/>
      <c r="BE27" s="367">
        <f t="shared" si="10"/>
        <v>14</v>
      </c>
      <c r="BF27" s="433"/>
      <c r="BG27" s="433"/>
      <c r="BH27" s="432"/>
      <c r="BI27" s="432"/>
      <c r="BJ27" s="432"/>
      <c r="BK27" s="432"/>
      <c r="BL27" s="432"/>
      <c r="BM27" s="302"/>
      <c r="DA27" s="302"/>
      <c r="DI27" s="367">
        <f t="shared" si="13"/>
        <v>14</v>
      </c>
      <c r="DJ27" s="410"/>
      <c r="DK27" s="351"/>
      <c r="DL27" s="351"/>
      <c r="DM27" s="351"/>
      <c r="DN27" s="351"/>
      <c r="DO27" s="351"/>
      <c r="DP27" s="351"/>
      <c r="DQ27" s="367">
        <f t="shared" si="16"/>
        <v>14</v>
      </c>
      <c r="DR27" s="431"/>
      <c r="DS27" s="430"/>
      <c r="DT27" s="1099"/>
      <c r="DU27" s="1099"/>
      <c r="DV27" s="1099"/>
      <c r="DW27" s="1099"/>
      <c r="DX27" s="1099"/>
      <c r="EG27" s="233"/>
      <c r="EJ27" s="272"/>
      <c r="EK27" s="272"/>
      <c r="EL27" s="272"/>
      <c r="EM27" s="272"/>
      <c r="EN27" s="272"/>
      <c r="EO27" s="233">
        <f t="shared" si="18"/>
        <v>14</v>
      </c>
      <c r="EP27" s="281" t="s">
        <v>249</v>
      </c>
      <c r="ER27" s="614">
        <f>-ER23-ER25</f>
        <v>-320156835.53549558</v>
      </c>
      <c r="ES27" s="614">
        <f>-ES23-ES25</f>
        <v>-337061789.01481771</v>
      </c>
      <c r="ET27" s="614">
        <f>-ET23-ET25</f>
        <v>-16904953.479322143</v>
      </c>
      <c r="EU27" s="614">
        <f>-EU23-EU25</f>
        <v>-337061789.01481771</v>
      </c>
      <c r="EV27" s="614">
        <f>EV25</f>
        <v>0</v>
      </c>
      <c r="FM27" s="233">
        <f t="shared" si="20"/>
        <v>14</v>
      </c>
      <c r="FN27" s="418" t="s">
        <v>172</v>
      </c>
      <c r="FO27" s="418"/>
      <c r="FP27" s="244"/>
      <c r="FQ27" s="244"/>
      <c r="FR27" s="244"/>
      <c r="FS27" s="244"/>
      <c r="FT27" s="244"/>
      <c r="FU27" s="367">
        <v>13</v>
      </c>
      <c r="FV27" s="429" t="s">
        <v>307</v>
      </c>
      <c r="FW27" s="419"/>
      <c r="FX27" s="407">
        <v>38838.009768800002</v>
      </c>
      <c r="FY27" s="407">
        <v>38838.009768800002</v>
      </c>
      <c r="FZ27" s="407">
        <f>FY27-FX27</f>
        <v>0</v>
      </c>
      <c r="GA27" s="407">
        <v>0</v>
      </c>
      <c r="GB27" s="407">
        <f>GA27-FY27</f>
        <v>-38838.009768800002</v>
      </c>
      <c r="GC27" s="377">
        <f t="shared" si="23"/>
        <v>14</v>
      </c>
      <c r="GD27" s="397" t="s">
        <v>306</v>
      </c>
      <c r="GE27" s="397"/>
      <c r="GF27" s="428">
        <f>GF19+GF25</f>
        <v>0</v>
      </c>
      <c r="GG27" s="428">
        <f>GG19+GG25</f>
        <v>0</v>
      </c>
      <c r="GH27" s="428">
        <f>GH19+GH25</f>
        <v>0</v>
      </c>
      <c r="GI27" s="428">
        <f>GI19+GI25</f>
        <v>25877605.56448479</v>
      </c>
      <c r="GJ27" s="428">
        <f>GJ19+GJ25</f>
        <v>25877605.56448479</v>
      </c>
      <c r="GS27" s="377"/>
      <c r="HA27" s="367">
        <v>14</v>
      </c>
      <c r="HB27" s="379" t="s">
        <v>249</v>
      </c>
      <c r="HC27" s="379"/>
      <c r="HD27" s="353">
        <f>-HD24-HD26</f>
        <v>0</v>
      </c>
      <c r="HE27" s="353">
        <f>-HE24-HE26</f>
        <v>0</v>
      </c>
      <c r="HF27" s="353">
        <f>-HF24-HF26</f>
        <v>0</v>
      </c>
      <c r="HG27" s="353">
        <f>-HG24-HG26</f>
        <v>-296261.05729127157</v>
      </c>
      <c r="HH27" s="353">
        <f>-HH24-HH26</f>
        <v>-296261.05729127157</v>
      </c>
      <c r="HI27" s="377"/>
      <c r="HQ27" s="377">
        <f t="shared" si="27"/>
        <v>14</v>
      </c>
      <c r="HR27" s="826"/>
      <c r="HS27" s="391"/>
    </row>
    <row r="28" spans="1:232" ht="16.8" thickTop="1" thickBot="1">
      <c r="A28" s="352">
        <f t="shared" si="5"/>
        <v>16</v>
      </c>
      <c r="B28" s="412" t="s">
        <v>1428</v>
      </c>
      <c r="C28" s="245"/>
      <c r="D28" s="1293"/>
      <c r="E28" s="1293"/>
      <c r="F28" s="349">
        <v>-10345744.779999999</v>
      </c>
      <c r="G28" s="1293"/>
      <c r="H28" s="349">
        <v>0</v>
      </c>
      <c r="I28" s="233">
        <f t="shared" si="0"/>
        <v>16</v>
      </c>
      <c r="J28" s="247" t="s">
        <v>249</v>
      </c>
      <c r="L28" s="357">
        <f>L25-L27</f>
        <v>605560315.76920962</v>
      </c>
      <c r="M28" s="357">
        <f>M25-M27</f>
        <v>609525472.73559558</v>
      </c>
      <c r="N28" s="357">
        <f>N25-N27</f>
        <v>3965156.9663860002</v>
      </c>
      <c r="O28" s="357">
        <f>O25-O27</f>
        <v>616369760.32367969</v>
      </c>
      <c r="P28" s="357">
        <f>P25-P27</f>
        <v>6844287.5880840775</v>
      </c>
      <c r="AG28" s="352">
        <f t="shared" si="1"/>
        <v>15</v>
      </c>
      <c r="AH28" s="400" t="s">
        <v>305</v>
      </c>
      <c r="AJ28" s="427">
        <f>SUM(AJ15:AJ27)</f>
        <v>190710324.65857193</v>
      </c>
      <c r="AK28" s="427">
        <f>SUM(AK15:AK27)</f>
        <v>0</v>
      </c>
      <c r="AL28" s="427">
        <f>SUM(AL15:AL27)</f>
        <v>-190710324.65857193</v>
      </c>
      <c r="AM28" s="427">
        <f>SUM(AM15:AM27)</f>
        <v>0</v>
      </c>
      <c r="AN28" s="427">
        <f>SUM(AN15:AN27)</f>
        <v>0</v>
      </c>
      <c r="AW28" s="367"/>
      <c r="AX28" s="367"/>
      <c r="AY28" s="367"/>
      <c r="AZ28" s="426"/>
      <c r="BA28" s="244"/>
      <c r="BB28" s="244"/>
      <c r="BC28" s="244"/>
      <c r="BD28" s="244"/>
      <c r="BE28" s="367">
        <f t="shared" si="10"/>
        <v>15</v>
      </c>
      <c r="BF28" s="424" t="s">
        <v>252</v>
      </c>
      <c r="BG28" s="425">
        <f>FIT_E</f>
        <v>0.21</v>
      </c>
      <c r="BH28" s="424">
        <f>-$BG$28*BH26</f>
        <v>-1961304.9548814881</v>
      </c>
      <c r="BI28" s="424">
        <f>-$BG$28*BI26</f>
        <v>-1912354.974573629</v>
      </c>
      <c r="BJ28" s="475">
        <f>+BI28-BH28</f>
        <v>48949.980307859136</v>
      </c>
      <c r="BK28" s="424">
        <f>+BI28</f>
        <v>-1912354.974573629</v>
      </c>
      <c r="BL28" s="475">
        <f>-BL26*BG28</f>
        <v>0</v>
      </c>
      <c r="BM28" s="302"/>
      <c r="DA28" s="302"/>
      <c r="DI28" s="367">
        <f t="shared" si="13"/>
        <v>15</v>
      </c>
      <c r="DJ28" s="423" t="s">
        <v>304</v>
      </c>
      <c r="DK28" s="351"/>
      <c r="DL28" s="422">
        <f>+DL26</f>
        <v>112284173.38838139</v>
      </c>
      <c r="DM28" s="422">
        <f>+DM26</f>
        <v>112362414.43288298</v>
      </c>
      <c r="DN28" s="422">
        <f>+DN26</f>
        <v>78241.044501578232</v>
      </c>
      <c r="DO28" s="422">
        <f>+DO26</f>
        <v>116164385.51941061</v>
      </c>
      <c r="DP28" s="422">
        <f>+DP26</f>
        <v>3801971.0865276367</v>
      </c>
      <c r="DQ28" s="367">
        <f t="shared" si="16"/>
        <v>15</v>
      </c>
      <c r="DR28" s="400" t="s">
        <v>303</v>
      </c>
      <c r="DS28" s="397"/>
      <c r="DT28" s="420">
        <f>SUM(DT26:DT27)</f>
        <v>6936279.8086278215</v>
      </c>
      <c r="DU28" s="420">
        <f>SUM(DU26:DU27)</f>
        <v>6952933.7275397414</v>
      </c>
      <c r="DV28" s="421">
        <f>+DU28-DT28</f>
        <v>16653.918911919929</v>
      </c>
      <c r="DW28" s="420">
        <f>SUM(DW26:DW27)</f>
        <v>7216449.3275726596</v>
      </c>
      <c r="DX28" s="409">
        <f>+DW28-DU28</f>
        <v>263515.60003291816</v>
      </c>
      <c r="EG28" s="233"/>
      <c r="EJ28" s="272"/>
      <c r="EK28" s="272"/>
      <c r="EL28" s="272"/>
      <c r="EM28" s="272"/>
      <c r="EN28" s="272"/>
      <c r="EO28" s="233">
        <f t="shared" si="18"/>
        <v>15</v>
      </c>
      <c r="ER28" s="826"/>
      <c r="ES28" s="826"/>
      <c r="ET28" s="826"/>
      <c r="EU28" s="826"/>
      <c r="EV28" s="826"/>
      <c r="FM28" s="233">
        <f t="shared" si="20"/>
        <v>15</v>
      </c>
      <c r="FN28" s="413" t="s">
        <v>297</v>
      </c>
      <c r="FO28" s="413"/>
      <c r="FP28" s="392"/>
      <c r="FQ28" s="392"/>
      <c r="FR28" s="392"/>
      <c r="FS28" s="392"/>
      <c r="FT28" s="392"/>
      <c r="FU28" s="367">
        <v>14</v>
      </c>
      <c r="FV28" s="272" t="s">
        <v>302</v>
      </c>
      <c r="FW28" s="419"/>
      <c r="FX28" s="407">
        <v>213558.06360000002</v>
      </c>
      <c r="FY28" s="407">
        <v>213558.06360000002</v>
      </c>
      <c r="FZ28" s="407">
        <f>FY28-FX28</f>
        <v>0</v>
      </c>
      <c r="GA28" s="407">
        <v>0</v>
      </c>
      <c r="GB28" s="407">
        <f>GA28-FY28</f>
        <v>-213558.06360000002</v>
      </c>
      <c r="GC28" s="377">
        <f t="shared" si="23"/>
        <v>15</v>
      </c>
      <c r="GD28" s="418"/>
      <c r="GE28" s="418"/>
      <c r="GF28" s="417"/>
      <c r="GG28" s="417"/>
      <c r="GH28" s="417"/>
      <c r="GI28" s="417"/>
      <c r="GJ28" s="373"/>
      <c r="GS28" s="377"/>
      <c r="HA28" s="233"/>
      <c r="HB28" s="379"/>
      <c r="HH28" s="382"/>
      <c r="HI28" s="377"/>
      <c r="HQ28" s="377">
        <f t="shared" si="27"/>
        <v>15</v>
      </c>
      <c r="HR28" s="826" t="s">
        <v>275</v>
      </c>
      <c r="HS28" s="298"/>
      <c r="HT28" s="231">
        <f>HT26</f>
        <v>0</v>
      </c>
      <c r="HU28" s="231">
        <f>HU26</f>
        <v>0</v>
      </c>
      <c r="HV28" s="231">
        <v>0</v>
      </c>
      <c r="HW28" s="231">
        <f>HW26</f>
        <v>681757.00000000012</v>
      </c>
      <c r="HX28" s="231">
        <f>HW28-HV28</f>
        <v>681757.00000000012</v>
      </c>
    </row>
    <row r="29" spans="1:232" ht="15" thickTop="1" thickBot="1">
      <c r="A29" s="352">
        <f t="shared" si="5"/>
        <v>17</v>
      </c>
      <c r="B29" s="412" t="s">
        <v>301</v>
      </c>
      <c r="C29" s="245"/>
      <c r="D29" s="1293"/>
      <c r="E29" s="1293"/>
      <c r="F29" s="349">
        <v>0</v>
      </c>
      <c r="G29" s="1293"/>
      <c r="H29" s="349">
        <v>835357.9</v>
      </c>
      <c r="I29" s="233">
        <f t="shared" si="0"/>
        <v>17</v>
      </c>
      <c r="L29" s="234"/>
      <c r="M29" s="234"/>
      <c r="N29" s="234"/>
      <c r="O29" s="234"/>
      <c r="P29" s="234"/>
      <c r="AG29" s="352">
        <f t="shared" si="1"/>
        <v>16</v>
      </c>
      <c r="AH29" s="245"/>
      <c r="AN29" s="310"/>
      <c r="AW29" s="367"/>
      <c r="AX29" s="367"/>
      <c r="AY29" s="367"/>
      <c r="AZ29" s="416"/>
      <c r="BA29" s="244"/>
      <c r="BB29" s="244"/>
      <c r="BC29" s="244"/>
      <c r="BD29" s="244"/>
      <c r="BE29" s="367">
        <f t="shared" si="10"/>
        <v>16</v>
      </c>
      <c r="BF29" s="410" t="s">
        <v>249</v>
      </c>
      <c r="BG29" s="250"/>
      <c r="BH29" s="1097">
        <f>-BH26-BH28</f>
        <v>-7378242.4493160741</v>
      </c>
      <c r="BI29" s="1097">
        <f>-BI26-BI28</f>
        <v>-7194097.285300795</v>
      </c>
      <c r="BJ29" s="1097">
        <f>-BJ26-BJ28</f>
        <v>184145.16401528011</v>
      </c>
      <c r="BK29" s="1097">
        <f>-BK26-BK28</f>
        <v>-7194097.285300795</v>
      </c>
      <c r="BL29" s="1097">
        <f>-BL26-BL28</f>
        <v>0</v>
      </c>
      <c r="BM29" s="302"/>
      <c r="DA29" s="302"/>
      <c r="DI29" s="367">
        <f t="shared" si="13"/>
        <v>16</v>
      </c>
      <c r="DJ29" s="410" t="s">
        <v>300</v>
      </c>
      <c r="DK29" s="405">
        <v>0.21</v>
      </c>
      <c r="DL29" s="415">
        <f>-DL28*$DK$29</f>
        <v>-23579676.411560092</v>
      </c>
      <c r="DM29" s="415">
        <f>-DM28*$DK$29</f>
        <v>-23596107.030905426</v>
      </c>
      <c r="DN29" s="415">
        <f>-DN28*$DK$29</f>
        <v>-16430.619345331426</v>
      </c>
      <c r="DO29" s="415">
        <f>-DO28*$DK$29</f>
        <v>-24394520.959076226</v>
      </c>
      <c r="DP29" s="415">
        <f>-DP28*$DK$29</f>
        <v>-798413.9281708037</v>
      </c>
      <c r="DQ29" s="367">
        <f t="shared" si="16"/>
        <v>16</v>
      </c>
      <c r="DR29" s="400"/>
      <c r="DS29" s="397"/>
      <c r="DT29" s="1099"/>
      <c r="DU29" s="1099"/>
      <c r="DV29" s="1099"/>
      <c r="DW29" s="1099"/>
      <c r="DX29" s="1099"/>
      <c r="EG29" s="233"/>
      <c r="EJ29" s="272"/>
      <c r="EK29" s="272"/>
      <c r="EL29" s="272"/>
      <c r="EM29" s="272"/>
      <c r="EN29" s="272"/>
      <c r="EO29" s="233">
        <f t="shared" si="18"/>
        <v>16</v>
      </c>
      <c r="EP29" s="281" t="s">
        <v>299</v>
      </c>
      <c r="ER29" s="234"/>
      <c r="ES29" s="234"/>
      <c r="ET29" s="234"/>
      <c r="EU29" s="234"/>
      <c r="EV29" s="234"/>
      <c r="FM29" s="233">
        <f t="shared" si="20"/>
        <v>16</v>
      </c>
      <c r="FN29" s="399" t="s">
        <v>296</v>
      </c>
      <c r="FO29" s="399"/>
      <c r="FP29" s="244">
        <v>0</v>
      </c>
      <c r="FQ29" s="244">
        <v>0</v>
      </c>
      <c r="FR29" s="244">
        <v>0</v>
      </c>
      <c r="FS29" s="244">
        <v>1355467.7185500001</v>
      </c>
      <c r="FT29" s="244">
        <f>+FS29-FR29</f>
        <v>1355467.7185500001</v>
      </c>
      <c r="FU29" s="367">
        <v>15</v>
      </c>
      <c r="FV29" s="247" t="s">
        <v>298</v>
      </c>
      <c r="FW29" s="247"/>
      <c r="FX29" s="414">
        <f>SUM(FX15:FX28)</f>
        <v>6037166.6034654509</v>
      </c>
      <c r="FY29" s="414">
        <f>SUM(FY15:FY28)</f>
        <v>5605656.5497177504</v>
      </c>
      <c r="FZ29" s="414">
        <f>SUM(FZ15:FZ28)</f>
        <v>-431510.05374770041</v>
      </c>
      <c r="GA29" s="414">
        <f>SUM(GA15:GA28)</f>
        <v>5106227.474543401</v>
      </c>
      <c r="GB29" s="414">
        <f>SUM(GB15:GB28)</f>
        <v>-499429.07517434994</v>
      </c>
      <c r="GC29" s="377">
        <f t="shared" si="23"/>
        <v>16</v>
      </c>
      <c r="GD29" s="413" t="s">
        <v>297</v>
      </c>
      <c r="GE29" s="413"/>
      <c r="GF29" s="245"/>
      <c r="GG29" s="245"/>
      <c r="GH29" s="245"/>
      <c r="GI29" s="245"/>
      <c r="GJ29" s="245"/>
      <c r="GS29" s="377"/>
      <c r="HA29" s="377"/>
      <c r="HI29" s="377"/>
      <c r="HQ29" s="377">
        <f t="shared" si="27"/>
        <v>16</v>
      </c>
      <c r="HR29" s="826"/>
      <c r="HS29" s="298"/>
    </row>
    <row r="30" spans="1:232" ht="15" thickTop="1" thickBot="1">
      <c r="A30" s="352">
        <f t="shared" si="5"/>
        <v>18</v>
      </c>
      <c r="B30" s="412" t="s">
        <v>295</v>
      </c>
      <c r="C30" s="301"/>
      <c r="D30" s="1294"/>
      <c r="E30" s="1294"/>
      <c r="F30" s="349">
        <v>0</v>
      </c>
      <c r="G30" s="1294"/>
      <c r="H30" s="349">
        <v>1010226.96</v>
      </c>
      <c r="I30" s="233">
        <f t="shared" si="0"/>
        <v>18</v>
      </c>
      <c r="J30" s="230" t="s">
        <v>294</v>
      </c>
      <c r="N30" s="231">
        <v>3019</v>
      </c>
      <c r="O30" s="234"/>
      <c r="P30" s="231">
        <v>0</v>
      </c>
      <c r="AG30" s="352">
        <f t="shared" si="1"/>
        <v>17</v>
      </c>
      <c r="AH30" s="411" t="s">
        <v>293</v>
      </c>
      <c r="AN30" s="310"/>
      <c r="AW30" s="367"/>
      <c r="AX30" s="367"/>
      <c r="AY30" s="367"/>
      <c r="AZ30" s="363"/>
      <c r="BA30" s="255"/>
      <c r="BB30" s="255"/>
      <c r="BC30" s="255"/>
      <c r="BD30" s="255"/>
      <c r="DA30" s="302"/>
      <c r="DI30" s="367">
        <f t="shared" si="13"/>
        <v>17</v>
      </c>
      <c r="DJ30" s="410" t="s">
        <v>249</v>
      </c>
      <c r="DK30" s="351"/>
      <c r="DL30" s="396">
        <f>-DL28-DL29</f>
        <v>-88704496.976821303</v>
      </c>
      <c r="DM30" s="396">
        <f>-DM28-DM29</f>
        <v>-88766307.401977554</v>
      </c>
      <c r="DN30" s="396">
        <f>-DN28-DN29</f>
        <v>-61810.425156246805</v>
      </c>
      <c r="DO30" s="396">
        <f>-DO28-DO29</f>
        <v>-91769864.560334384</v>
      </c>
      <c r="DP30" s="396">
        <f>-DP28-DP29</f>
        <v>-3003557.1583568333</v>
      </c>
      <c r="DQ30" s="367">
        <f t="shared" si="16"/>
        <v>17</v>
      </c>
      <c r="DR30" s="400" t="s">
        <v>1433</v>
      </c>
      <c r="DS30" s="397"/>
      <c r="DT30" s="409">
        <f>+DT28</f>
        <v>6936279.8086278215</v>
      </c>
      <c r="DU30" s="409">
        <f>+DU28</f>
        <v>6952933.7275397414</v>
      </c>
      <c r="DV30" s="409">
        <f>+DV28</f>
        <v>16653.918911919929</v>
      </c>
      <c r="DW30" s="409">
        <f>+DW28</f>
        <v>7216449.3275726596</v>
      </c>
      <c r="DX30" s="409">
        <f>+DX28</f>
        <v>263515.60003291816</v>
      </c>
      <c r="EJ30" s="272"/>
      <c r="EK30" s="272"/>
      <c r="EL30" s="272"/>
      <c r="EM30" s="272"/>
      <c r="EN30" s="272"/>
      <c r="EO30" s="233">
        <f t="shared" si="18"/>
        <v>17</v>
      </c>
      <c r="EP30" s="281" t="s">
        <v>291</v>
      </c>
      <c r="ER30" s="293">
        <f t="shared" ref="ER30:ES30" si="32">-ER23</f>
        <v>-405261817.13353872</v>
      </c>
      <c r="ES30" s="293">
        <f t="shared" si="32"/>
        <v>-426660492.4238199</v>
      </c>
      <c r="ET30" s="293">
        <f>-ET23</f>
        <v>-21398675.290281195</v>
      </c>
      <c r="EU30" s="293">
        <f t="shared" ref="EU30:EV30" si="33">-EU23</f>
        <v>-426660492.4238199</v>
      </c>
      <c r="EV30" s="293">
        <f t="shared" si="33"/>
        <v>0</v>
      </c>
      <c r="EW30" s="233"/>
      <c r="FM30" s="233">
        <f t="shared" si="20"/>
        <v>17</v>
      </c>
      <c r="FN30" s="399" t="s">
        <v>1429</v>
      </c>
      <c r="FP30" s="244">
        <v>0</v>
      </c>
      <c r="FQ30" s="244">
        <v>0</v>
      </c>
      <c r="FR30" s="244">
        <v>0</v>
      </c>
      <c r="FS30" s="244">
        <v>-66474.208822265355</v>
      </c>
      <c r="FT30" s="244">
        <f>+FS30-FR30</f>
        <v>-66474.208822265355</v>
      </c>
      <c r="FU30" s="367">
        <v>16</v>
      </c>
      <c r="FV30" s="403" t="s">
        <v>172</v>
      </c>
      <c r="FW30" s="403"/>
      <c r="FX30" s="272"/>
      <c r="FY30" s="272"/>
      <c r="FZ30" s="272"/>
      <c r="GA30" s="272"/>
      <c r="GB30" s="272"/>
      <c r="GC30" s="377">
        <f t="shared" si="23"/>
        <v>17</v>
      </c>
      <c r="GD30" s="399" t="s">
        <v>290</v>
      </c>
      <c r="GE30" s="399"/>
      <c r="GF30" s="274"/>
      <c r="GG30" s="274"/>
      <c r="GH30" s="274">
        <v>0</v>
      </c>
      <c r="GI30" s="274">
        <v>5248913.9956294717</v>
      </c>
      <c r="GJ30" s="274">
        <f>+GI30-GH30</f>
        <v>5248913.9956294717</v>
      </c>
      <c r="GS30" s="377"/>
      <c r="HA30" s="377"/>
      <c r="HI30" s="377"/>
      <c r="HQ30" s="377">
        <f t="shared" si="27"/>
        <v>17</v>
      </c>
      <c r="HR30" s="826" t="s">
        <v>252</v>
      </c>
      <c r="HS30" s="383">
        <v>0.21</v>
      </c>
      <c r="HT30" s="382">
        <f>-HT28*HP37</f>
        <v>0</v>
      </c>
      <c r="HU30" s="382">
        <f>-HU28*HQ33</f>
        <v>0</v>
      </c>
      <c r="HV30" s="382">
        <v>0</v>
      </c>
      <c r="HW30" s="382">
        <f>-HW28*HS30</f>
        <v>-143168.97000000003</v>
      </c>
      <c r="HX30" s="382">
        <f>HW30-HV30</f>
        <v>-143168.97000000003</v>
      </c>
    </row>
    <row r="31" spans="1:232" ht="15" thickTop="1" thickBot="1">
      <c r="A31" s="352">
        <f t="shared" si="5"/>
        <v>19</v>
      </c>
      <c r="B31" s="376" t="s">
        <v>289</v>
      </c>
      <c r="C31" s="245"/>
      <c r="D31" s="360"/>
      <c r="E31" s="360"/>
      <c r="F31" s="408">
        <f>SUM(F25:F30)</f>
        <v>2744403.99</v>
      </c>
      <c r="G31" s="408"/>
      <c r="H31" s="408">
        <f>SUM(H25:H30)</f>
        <v>-16381468.550000004</v>
      </c>
      <c r="I31" s="233">
        <f t="shared" si="0"/>
        <v>19</v>
      </c>
      <c r="J31" s="230" t="s">
        <v>288</v>
      </c>
      <c r="N31" s="234">
        <v>5274141</v>
      </c>
      <c r="O31" s="234"/>
      <c r="P31" s="234">
        <v>9108946</v>
      </c>
      <c r="AE31" s="310"/>
      <c r="AG31" s="352">
        <f t="shared" si="1"/>
        <v>18</v>
      </c>
      <c r="AH31" s="245" t="s">
        <v>19</v>
      </c>
      <c r="AI31" s="369">
        <f>'SEF-3E'!M12</f>
        <v>8.4790000000000004E-3</v>
      </c>
      <c r="AJ31" s="234">
        <v>1605619.9023454485</v>
      </c>
      <c r="AK31" s="310">
        <v>0</v>
      </c>
      <c r="AL31" s="310">
        <f>+AK31-AJ31</f>
        <v>-1605619.9023454485</v>
      </c>
      <c r="AM31" s="310">
        <f>+AK31</f>
        <v>0</v>
      </c>
      <c r="AN31" s="310">
        <f>AM31-AK31</f>
        <v>0</v>
      </c>
      <c r="AW31" s="367"/>
      <c r="AX31" s="367"/>
      <c r="AY31" s="367"/>
      <c r="AZ31" s="363"/>
      <c r="BA31" s="255"/>
      <c r="BB31" s="255"/>
      <c r="BC31" s="255"/>
      <c r="BD31" s="255"/>
      <c r="DA31" s="302"/>
      <c r="DQ31" s="367">
        <f t="shared" si="16"/>
        <v>18</v>
      </c>
      <c r="DR31" s="400"/>
      <c r="DS31" s="397"/>
      <c r="DT31" s="351"/>
      <c r="DU31" s="351"/>
      <c r="DV31" s="351"/>
      <c r="DW31" s="351"/>
      <c r="DX31" s="351"/>
      <c r="EJ31" s="272"/>
      <c r="EK31" s="272"/>
      <c r="EL31" s="272"/>
      <c r="EM31" s="272"/>
      <c r="EN31" s="272"/>
      <c r="EO31" s="233">
        <f t="shared" si="18"/>
        <v>18</v>
      </c>
      <c r="EP31" s="281" t="s">
        <v>287</v>
      </c>
      <c r="ER31" s="234">
        <f t="shared" ref="ER31:ES31" si="34">-ER30*0.21</f>
        <v>85104981.598043129</v>
      </c>
      <c r="ES31" s="234">
        <f t="shared" si="34"/>
        <v>89598703.40900217</v>
      </c>
      <c r="ET31" s="234">
        <f>-ET30*0.21</f>
        <v>4493721.8109590504</v>
      </c>
      <c r="EU31" s="234">
        <f t="shared" ref="EU31:EV31" si="35">-EU30*0.21</f>
        <v>89598703.40900217</v>
      </c>
      <c r="EV31" s="234">
        <f t="shared" si="35"/>
        <v>0</v>
      </c>
      <c r="EW31" s="233"/>
      <c r="FM31" s="233">
        <f t="shared" si="20"/>
        <v>18</v>
      </c>
      <c r="FN31" s="399" t="s">
        <v>284</v>
      </c>
      <c r="FO31" s="399"/>
      <c r="FP31" s="244">
        <v>0</v>
      </c>
      <c r="FQ31" s="244">
        <v>0</v>
      </c>
      <c r="FR31" s="244">
        <v>0</v>
      </c>
      <c r="FS31" s="244">
        <v>1100394.6870659131</v>
      </c>
      <c r="FT31" s="244">
        <f>+FS31-FR31</f>
        <v>1100394.6870659131</v>
      </c>
      <c r="FU31" s="367">
        <v>17</v>
      </c>
      <c r="FV31" s="403" t="s">
        <v>286</v>
      </c>
      <c r="FW31" s="249">
        <v>0.21</v>
      </c>
      <c r="FX31" s="407">
        <f>-$FW$31*FX29</f>
        <v>-1267804.9867277446</v>
      </c>
      <c r="FY31" s="407">
        <f>-$FW$31*FY29</f>
        <v>-1177187.8754407275</v>
      </c>
      <c r="FZ31" s="407">
        <f>-$FW$31*FZ29</f>
        <v>90617.111287017076</v>
      </c>
      <c r="GA31" s="407">
        <f>-$FW$31*GA29</f>
        <v>-1072307.7696541143</v>
      </c>
      <c r="GB31" s="407">
        <f>-$FW$31*GB29</f>
        <v>104880.10578661348</v>
      </c>
      <c r="GC31" s="377">
        <f t="shared" si="23"/>
        <v>18</v>
      </c>
      <c r="GD31" s="399" t="s">
        <v>285</v>
      </c>
      <c r="GE31" s="399"/>
      <c r="GF31" s="244"/>
      <c r="GG31" s="244"/>
      <c r="GH31" s="244">
        <v>0</v>
      </c>
      <c r="GI31" s="244">
        <v>6740783.0967938304</v>
      </c>
      <c r="GJ31" s="244">
        <f>+GI31-GH31</f>
        <v>6740783.0967938304</v>
      </c>
      <c r="GS31" s="377"/>
      <c r="HA31" s="377"/>
      <c r="HI31" s="377"/>
      <c r="HQ31" s="377">
        <f t="shared" si="27"/>
        <v>18</v>
      </c>
      <c r="HR31" s="826" t="s">
        <v>249</v>
      </c>
      <c r="HS31" s="298"/>
      <c r="HT31" s="357">
        <f>-HT28-HT30</f>
        <v>0</v>
      </c>
      <c r="HU31" s="357">
        <f>-HU28-HU30</f>
        <v>0</v>
      </c>
      <c r="HV31" s="357">
        <f>-HV28-HV30</f>
        <v>0</v>
      </c>
      <c r="HW31" s="357">
        <f>-HW28-HW30</f>
        <v>-538588.03</v>
      </c>
      <c r="HX31" s="357">
        <f>-HX28-HX30</f>
        <v>-538588.03</v>
      </c>
    </row>
    <row r="32" spans="1:232" ht="15" thickTop="1" thickBot="1">
      <c r="A32" s="352">
        <f t="shared" si="5"/>
        <v>20</v>
      </c>
      <c r="B32" s="406" t="s">
        <v>283</v>
      </c>
      <c r="C32" s="245"/>
      <c r="D32" s="349"/>
      <c r="E32" s="349"/>
      <c r="F32" s="349">
        <f>F23+F31</f>
        <v>44044500.61980398</v>
      </c>
      <c r="G32" s="349"/>
      <c r="H32" s="349">
        <f>H23+H31</f>
        <v>-34187687.030000001</v>
      </c>
      <c r="I32" s="233">
        <f t="shared" si="0"/>
        <v>20</v>
      </c>
      <c r="J32" s="230" t="s">
        <v>16</v>
      </c>
      <c r="N32" s="357">
        <f>SUM(N30:N31)</f>
        <v>5277160</v>
      </c>
      <c r="O32" s="234"/>
      <c r="P32" s="357">
        <f>SUM(P30:P31)</f>
        <v>9108946</v>
      </c>
      <c r="AE32" s="310"/>
      <c r="AG32" s="352">
        <f t="shared" si="1"/>
        <v>19</v>
      </c>
      <c r="AH32" s="245" t="s">
        <v>17</v>
      </c>
      <c r="AI32" s="369">
        <f>'SEF-3E'!M13</f>
        <v>2E-3</v>
      </c>
      <c r="AJ32" s="234">
        <v>378728.60062400007</v>
      </c>
      <c r="AK32" s="310">
        <v>0</v>
      </c>
      <c r="AL32" s="310">
        <f>+AK32-AJ32</f>
        <v>-378728.60062400007</v>
      </c>
      <c r="AM32" s="310">
        <f>+AK32</f>
        <v>0</v>
      </c>
      <c r="AN32" s="310">
        <f>AM32-AK32</f>
        <v>0</v>
      </c>
      <c r="AW32" s="367"/>
      <c r="AX32" s="367"/>
      <c r="AY32" s="367"/>
      <c r="AZ32" s="363"/>
      <c r="BA32" s="255"/>
      <c r="BB32" s="255"/>
      <c r="BC32" s="255"/>
      <c r="BD32" s="255"/>
      <c r="DA32" s="302"/>
      <c r="DQ32" s="367">
        <f t="shared" si="16"/>
        <v>19</v>
      </c>
      <c r="DR32" s="400" t="s">
        <v>252</v>
      </c>
      <c r="DS32" s="405">
        <v>0.21</v>
      </c>
      <c r="DT32" s="404">
        <f>-DT30*$DS$32</f>
        <v>-1456618.7598118423</v>
      </c>
      <c r="DU32" s="404">
        <f>-DU30*$DS$32</f>
        <v>-1460116.0827833456</v>
      </c>
      <c r="DV32" s="404">
        <f>-DV30*$DS$32</f>
        <v>-3497.3229715031848</v>
      </c>
      <c r="DW32" s="404">
        <f>-DW30*$DS$32</f>
        <v>-1515454.3587902584</v>
      </c>
      <c r="DX32" s="404">
        <f>-DX30*$DS$32</f>
        <v>-55338.276006912813</v>
      </c>
      <c r="EJ32" s="272"/>
      <c r="EK32" s="272"/>
      <c r="EL32" s="272"/>
      <c r="EM32" s="272"/>
      <c r="EN32" s="272"/>
      <c r="EO32" s="233">
        <f t="shared" si="18"/>
        <v>19</v>
      </c>
      <c r="EP32" s="281" t="s">
        <v>282</v>
      </c>
      <c r="ER32" s="353">
        <f t="shared" ref="ER32:ES32" si="36">SUM(ER30:ER31)</f>
        <v>-320156835.53549558</v>
      </c>
      <c r="ES32" s="353">
        <f t="shared" si="36"/>
        <v>-337061789.01481771</v>
      </c>
      <c r="ET32" s="353">
        <f>SUM(ET30:ET31)</f>
        <v>-16904953.479322143</v>
      </c>
      <c r="EU32" s="353">
        <f t="shared" ref="EU32:EV32" si="37">SUM(EU30:EU31)</f>
        <v>-337061789.01481771</v>
      </c>
      <c r="EV32" s="353">
        <f t="shared" si="37"/>
        <v>0</v>
      </c>
      <c r="EW32" s="233"/>
      <c r="FM32" s="233">
        <f t="shared" si="20"/>
        <v>19</v>
      </c>
      <c r="FN32" s="399" t="s">
        <v>279</v>
      </c>
      <c r="FO32" s="399"/>
      <c r="FP32" s="244">
        <v>0</v>
      </c>
      <c r="FQ32" s="244">
        <v>0</v>
      </c>
      <c r="FR32" s="244">
        <v>0</v>
      </c>
      <c r="FS32" s="244">
        <v>3768050.4009562861</v>
      </c>
      <c r="FT32" s="244">
        <f>+FS32-FR32</f>
        <v>3768050.4009562861</v>
      </c>
      <c r="FU32" s="367">
        <v>18</v>
      </c>
      <c r="FV32" s="403" t="s">
        <v>281</v>
      </c>
      <c r="FW32" s="403"/>
      <c r="FX32" s="402">
        <f>-FX29-FX31</f>
        <v>-4769361.6167377066</v>
      </c>
      <c r="FY32" s="402">
        <f>-FY29-FY31</f>
        <v>-4428468.6742770225</v>
      </c>
      <c r="FZ32" s="402">
        <f>-FZ29-FZ31</f>
        <v>340892.94246068335</v>
      </c>
      <c r="GA32" s="402">
        <f>-GA29-GA31</f>
        <v>-4033919.7048892868</v>
      </c>
      <c r="GB32" s="402">
        <f>-GB29-GB31</f>
        <v>394548.96938773646</v>
      </c>
      <c r="GC32" s="377">
        <f t="shared" si="23"/>
        <v>19</v>
      </c>
      <c r="GD32" s="399" t="s">
        <v>280</v>
      </c>
      <c r="GE32" s="399"/>
      <c r="GF32" s="244"/>
      <c r="GG32" s="244"/>
      <c r="GH32" s="244">
        <v>0</v>
      </c>
      <c r="GI32" s="244">
        <v>197130.45445184459</v>
      </c>
      <c r="GJ32" s="244">
        <f>+GI32-GH32</f>
        <v>197130.45445184459</v>
      </c>
      <c r="HQ32" s="377"/>
      <c r="HR32" s="298"/>
      <c r="HS32" s="298"/>
    </row>
    <row r="33" spans="1:225" ht="15" thickTop="1" thickBot="1">
      <c r="A33" s="352">
        <f t="shared" si="5"/>
        <v>21</v>
      </c>
      <c r="B33" s="247"/>
      <c r="C33" s="245"/>
      <c r="D33" s="364"/>
      <c r="E33" s="364"/>
      <c r="F33" s="364"/>
      <c r="G33" s="364"/>
      <c r="H33" s="244"/>
      <c r="N33" s="234"/>
      <c r="O33" s="234"/>
      <c r="P33" s="234"/>
      <c r="AE33" s="310"/>
      <c r="AG33" s="352">
        <f t="shared" si="1"/>
        <v>20</v>
      </c>
      <c r="AH33" s="245" t="s">
        <v>278</v>
      </c>
      <c r="AI33" s="369">
        <f>'SEF-3E'!M14</f>
        <v>3.8406000000000003E-2</v>
      </c>
      <c r="AJ33" s="234">
        <v>7272725.317782674</v>
      </c>
      <c r="AK33" s="310">
        <v>0</v>
      </c>
      <c r="AL33" s="310">
        <f>+AK33-AJ33</f>
        <v>-7272725.317782674</v>
      </c>
      <c r="AM33" s="310">
        <f>+AK33</f>
        <v>0</v>
      </c>
      <c r="AN33" s="310">
        <f>AM33-AK33</f>
        <v>0</v>
      </c>
      <c r="AW33" s="351"/>
      <c r="AX33" s="351"/>
      <c r="AY33" s="351"/>
      <c r="AZ33" s="401"/>
      <c r="BA33" s="401"/>
      <c r="BB33" s="401"/>
      <c r="BC33" s="401"/>
      <c r="BD33" s="401"/>
      <c r="DQ33" s="367">
        <f t="shared" si="16"/>
        <v>20</v>
      </c>
      <c r="DR33" s="400"/>
      <c r="DS33" s="397"/>
      <c r="DT33" s="1099"/>
      <c r="DU33" s="1099"/>
      <c r="DV33" s="1099"/>
      <c r="DW33" s="1099"/>
      <c r="DX33" s="1099"/>
      <c r="EJ33" s="272"/>
      <c r="EK33" s="272"/>
      <c r="EL33" s="272"/>
      <c r="EM33" s="272"/>
      <c r="EN33" s="272"/>
      <c r="EO33" s="233"/>
      <c r="FM33" s="233">
        <f t="shared" si="20"/>
        <v>20</v>
      </c>
      <c r="FN33" s="399" t="s">
        <v>277</v>
      </c>
      <c r="FO33" s="399"/>
      <c r="FP33" s="1126">
        <f>SUM(FP29:FP32)</f>
        <v>0</v>
      </c>
      <c r="FQ33" s="1126">
        <f>SUM(FQ29:FQ32)</f>
        <v>0</v>
      </c>
      <c r="FR33" s="1126">
        <f>SUM(FR29:FR32)</f>
        <v>0</v>
      </c>
      <c r="FS33" s="1126">
        <f>SUM(FS29:FS32)</f>
        <v>6157438.5977499336</v>
      </c>
      <c r="FT33" s="1126">
        <f>SUM(FT29:FT32)</f>
        <v>6157438.5977499336</v>
      </c>
      <c r="FU33" s="367"/>
      <c r="FV33" s="272"/>
      <c r="FW33" s="272"/>
      <c r="FX33" s="272"/>
      <c r="FY33" s="272"/>
      <c r="FZ33" s="272"/>
      <c r="GA33" s="272"/>
      <c r="GB33" s="272"/>
      <c r="GC33" s="377">
        <f t="shared" si="23"/>
        <v>20</v>
      </c>
      <c r="GD33" s="399" t="s">
        <v>277</v>
      </c>
      <c r="GE33" s="399"/>
      <c r="GF33" s="353">
        <f>SUM(GF30:GF32)</f>
        <v>0</v>
      </c>
      <c r="GG33" s="353">
        <f>SUM(GG30:GG32)</f>
        <v>0</v>
      </c>
      <c r="GH33" s="353">
        <f>SUM(GH30:GH32)</f>
        <v>0</v>
      </c>
      <c r="GI33" s="353">
        <f>SUM(GI30:GI32)</f>
        <v>12186827.546875145</v>
      </c>
      <c r="GJ33" s="353">
        <f>SUM(GJ30:GJ32)</f>
        <v>12186827.546875145</v>
      </c>
      <c r="HQ33" s="377"/>
    </row>
    <row r="34" spans="1:225" ht="16.8" thickTop="1" thickBot="1">
      <c r="A34" s="352">
        <f t="shared" si="5"/>
        <v>22</v>
      </c>
      <c r="B34" s="247"/>
      <c r="D34" s="349"/>
      <c r="E34" s="349"/>
      <c r="F34" s="349"/>
      <c r="G34" s="349"/>
      <c r="H34" s="349"/>
      <c r="N34" s="234"/>
      <c r="O34" s="234"/>
      <c r="P34" s="234"/>
      <c r="AE34" s="310"/>
      <c r="AG34" s="352">
        <f t="shared" si="1"/>
        <v>21</v>
      </c>
      <c r="AH34" s="245" t="s">
        <v>16</v>
      </c>
      <c r="AJ34" s="238">
        <f>SUM(AJ31:AJ33)</f>
        <v>9257073.8207521215</v>
      </c>
      <c r="AK34" s="238">
        <f>SUM(AK31:AK33)</f>
        <v>0</v>
      </c>
      <c r="AL34" s="238">
        <f>SUM(AL31:AL33)</f>
        <v>-9257073.8207521215</v>
      </c>
      <c r="AM34" s="237"/>
      <c r="AN34" s="237"/>
      <c r="AW34" s="351"/>
      <c r="AX34" s="351"/>
      <c r="AY34" s="351"/>
      <c r="AZ34" s="351"/>
      <c r="BA34" s="351"/>
      <c r="BB34" s="351"/>
      <c r="BC34" s="351"/>
      <c r="BD34" s="351"/>
      <c r="DQ34" s="367">
        <f t="shared" si="16"/>
        <v>21</v>
      </c>
      <c r="DR34" s="397" t="s">
        <v>249</v>
      </c>
      <c r="DS34" s="397"/>
      <c r="DT34" s="614">
        <f>-DT30-DT32</f>
        <v>-5479661.0488159787</v>
      </c>
      <c r="DU34" s="614">
        <f>-DU30-DU32</f>
        <v>-5492817.6447563954</v>
      </c>
      <c r="DV34" s="614">
        <f>-DV30-DV32</f>
        <v>-13156.595940416744</v>
      </c>
      <c r="DW34" s="614">
        <f>-DW30-DW32</f>
        <v>-5700994.9687824007</v>
      </c>
      <c r="DX34" s="614">
        <f>-DX30-DX32</f>
        <v>-208177.32402600534</v>
      </c>
      <c r="EJ34" s="272"/>
      <c r="EK34" s="272"/>
      <c r="EL34" s="272"/>
      <c r="EM34" s="272"/>
      <c r="EN34" s="272"/>
      <c r="FM34" s="233">
        <f t="shared" si="20"/>
        <v>21</v>
      </c>
      <c r="FN34" s="395" t="s">
        <v>172</v>
      </c>
      <c r="FO34" s="395"/>
      <c r="FP34" s="1128"/>
      <c r="FQ34" s="1128"/>
      <c r="FR34" s="1128"/>
      <c r="FS34" s="1128"/>
      <c r="FT34" s="1128"/>
      <c r="FU34" s="367"/>
      <c r="FV34" s="272"/>
      <c r="FW34" s="272"/>
      <c r="FX34" s="272"/>
      <c r="FY34" s="272"/>
      <c r="FZ34" s="272"/>
      <c r="GA34" s="272"/>
      <c r="GB34" s="272"/>
      <c r="GC34" s="377">
        <f t="shared" si="23"/>
        <v>21</v>
      </c>
      <c r="GD34" s="394" t="s">
        <v>1357</v>
      </c>
      <c r="GE34" s="393">
        <v>0.66190000000000004</v>
      </c>
      <c r="GF34" s="392"/>
      <c r="GG34" s="392"/>
      <c r="GH34" s="392"/>
      <c r="GI34" s="392"/>
      <c r="GJ34" s="392"/>
      <c r="HQ34" s="377"/>
    </row>
    <row r="35" spans="1:225" ht="16.5" customHeight="1" thickTop="1">
      <c r="A35" s="352">
        <f t="shared" si="5"/>
        <v>23</v>
      </c>
      <c r="D35" s="349"/>
      <c r="E35" s="349"/>
      <c r="F35" s="349"/>
      <c r="G35" s="349"/>
      <c r="H35" s="349"/>
      <c r="N35" s="234"/>
      <c r="O35" s="234"/>
      <c r="P35" s="234"/>
      <c r="AE35" s="310"/>
      <c r="AG35" s="352">
        <f t="shared" si="1"/>
        <v>22</v>
      </c>
      <c r="AH35" s="245"/>
      <c r="AN35" s="310"/>
      <c r="AW35" s="351"/>
      <c r="AX35" s="351"/>
      <c r="AY35" s="351"/>
      <c r="AZ35" s="351"/>
      <c r="BA35" s="351"/>
      <c r="BB35" s="351"/>
      <c r="BC35" s="351"/>
      <c r="BD35" s="351"/>
      <c r="EJ35" s="272"/>
      <c r="EK35" s="272"/>
      <c r="EL35" s="272"/>
      <c r="EM35" s="272"/>
      <c r="EN35" s="272"/>
      <c r="FM35" s="233">
        <f t="shared" si="20"/>
        <v>22</v>
      </c>
      <c r="FN35" s="379" t="s">
        <v>275</v>
      </c>
      <c r="FO35" s="379"/>
      <c r="FP35" s="244"/>
      <c r="FQ35" s="244"/>
      <c r="FR35" s="244"/>
      <c r="FS35" s="244">
        <f>+FS33</f>
        <v>6157438.5977499336</v>
      </c>
      <c r="FT35" s="244">
        <f>FT33</f>
        <v>6157438.5977499336</v>
      </c>
      <c r="FU35" s="367"/>
      <c r="FV35" s="272"/>
      <c r="FW35" s="272"/>
      <c r="FX35" s="272"/>
      <c r="FY35" s="272"/>
      <c r="FZ35" s="272"/>
      <c r="GA35" s="272"/>
      <c r="GB35" s="272"/>
      <c r="GC35" s="377">
        <f t="shared" si="23"/>
        <v>22</v>
      </c>
      <c r="GD35" s="379" t="s">
        <v>275</v>
      </c>
      <c r="GE35" s="379"/>
      <c r="GF35" s="244"/>
      <c r="GG35" s="244"/>
      <c r="GH35" s="244"/>
      <c r="GI35" s="244">
        <f>GI33</f>
        <v>12186827.546875145</v>
      </c>
      <c r="GJ35" s="274">
        <f>+GI35-GH35</f>
        <v>12186827.546875145</v>
      </c>
    </row>
    <row r="36" spans="1:225" ht="13.8">
      <c r="A36" s="352">
        <f t="shared" si="5"/>
        <v>24</v>
      </c>
      <c r="B36" s="390" t="s">
        <v>53</v>
      </c>
      <c r="C36" s="245"/>
      <c r="D36" s="349"/>
      <c r="E36" s="349"/>
      <c r="F36" s="349"/>
      <c r="G36" s="349"/>
      <c r="H36" s="349"/>
      <c r="N36" s="234"/>
      <c r="O36" s="234"/>
      <c r="P36" s="234"/>
      <c r="AG36" s="352">
        <f t="shared" si="1"/>
        <v>23</v>
      </c>
      <c r="AH36" s="389" t="s">
        <v>274</v>
      </c>
      <c r="AN36" s="310"/>
      <c r="AW36" s="351"/>
      <c r="AX36" s="351"/>
      <c r="AY36" s="351"/>
      <c r="AZ36" s="351"/>
      <c r="BA36" s="351"/>
      <c r="BB36" s="351"/>
      <c r="BC36" s="351"/>
      <c r="BD36" s="351"/>
      <c r="DT36" s="388"/>
      <c r="DU36" s="388"/>
      <c r="DV36" s="388"/>
      <c r="DW36" s="388"/>
      <c r="DX36" s="388"/>
      <c r="EJ36" s="272"/>
      <c r="EK36" s="272"/>
      <c r="EL36" s="272"/>
      <c r="EM36" s="272"/>
      <c r="EN36" s="272"/>
      <c r="FM36" s="233">
        <f t="shared" si="20"/>
        <v>23</v>
      </c>
      <c r="FN36" s="379" t="s">
        <v>172</v>
      </c>
      <c r="FO36" s="379"/>
      <c r="FP36" s="244"/>
      <c r="FQ36" s="244"/>
      <c r="FR36" s="244"/>
      <c r="FS36" s="244"/>
      <c r="FT36" s="244"/>
      <c r="FU36" s="367"/>
      <c r="FV36" s="272"/>
      <c r="FW36" s="272"/>
      <c r="FX36" s="272"/>
      <c r="FY36" s="272"/>
      <c r="FZ36" s="272"/>
      <c r="GA36" s="272"/>
      <c r="GB36" s="272"/>
      <c r="GC36" s="377">
        <f t="shared" si="23"/>
        <v>23</v>
      </c>
      <c r="GD36" s="379"/>
      <c r="GE36" s="379"/>
      <c r="GF36" s="244"/>
      <c r="GG36" s="244"/>
      <c r="GH36" s="244"/>
      <c r="GI36" s="244"/>
      <c r="GJ36" s="244"/>
    </row>
    <row r="37" spans="1:225" ht="13.8">
      <c r="A37" s="352">
        <f t="shared" si="5"/>
        <v>25</v>
      </c>
      <c r="B37" s="376" t="s">
        <v>273</v>
      </c>
      <c r="C37" s="245"/>
      <c r="D37" s="1293" t="s">
        <v>272</v>
      </c>
      <c r="E37" s="1293"/>
      <c r="F37" s="349">
        <v>31779966.02</v>
      </c>
      <c r="G37" s="1293" t="s">
        <v>272</v>
      </c>
      <c r="H37" s="349">
        <v>0</v>
      </c>
      <c r="I37" s="387"/>
      <c r="J37" s="387"/>
      <c r="K37" s="387"/>
      <c r="L37" s="387"/>
      <c r="M37" s="387"/>
      <c r="N37" s="387"/>
      <c r="O37" s="387"/>
      <c r="P37" s="387"/>
      <c r="AE37" s="310">
        <f>+AE36+AE35</f>
        <v>0</v>
      </c>
      <c r="AG37" s="352">
        <f t="shared" si="1"/>
        <v>24</v>
      </c>
      <c r="AH37" s="386" t="s">
        <v>271</v>
      </c>
      <c r="AJ37" s="310">
        <v>97087902.950000003</v>
      </c>
      <c r="AK37" s="310">
        <v>0</v>
      </c>
      <c r="AL37" s="310">
        <f t="shared" ref="AL37:AL46" si="38">AK37-AJ37</f>
        <v>-97087902.950000003</v>
      </c>
      <c r="AM37" s="310">
        <f t="shared" ref="AM37:AM46" si="39">+AK37</f>
        <v>0</v>
      </c>
      <c r="AN37" s="310">
        <f t="shared" ref="AN37:AN46" si="40">AM37-AK37</f>
        <v>0</v>
      </c>
      <c r="AW37" s="351"/>
      <c r="AX37" s="351"/>
      <c r="AY37" s="351"/>
      <c r="AZ37" s="351"/>
      <c r="BA37" s="351"/>
      <c r="BB37" s="351"/>
      <c r="BC37" s="351"/>
      <c r="BD37" s="351"/>
      <c r="DU37" s="272"/>
      <c r="DV37" s="272"/>
      <c r="DW37" s="272"/>
      <c r="DX37" s="272"/>
      <c r="EJ37" s="272"/>
      <c r="EK37" s="272"/>
      <c r="EL37" s="272"/>
      <c r="EM37" s="272"/>
      <c r="EN37" s="272"/>
      <c r="FM37" s="233">
        <f t="shared" si="20"/>
        <v>24</v>
      </c>
      <c r="FN37" s="379" t="s">
        <v>252</v>
      </c>
      <c r="FO37" s="385">
        <v>0.21</v>
      </c>
      <c r="FP37" s="384"/>
      <c r="FQ37" s="384"/>
      <c r="FR37" s="384">
        <v>0</v>
      </c>
      <c r="FS37" s="384">
        <f>-$FO$37*FS35</f>
        <v>-1293062.105527486</v>
      </c>
      <c r="FT37" s="384">
        <f>-$FO$37*FT35</f>
        <v>-1293062.105527486</v>
      </c>
      <c r="FU37" s="367"/>
      <c r="FV37" s="272"/>
      <c r="FW37" s="272"/>
      <c r="FX37" s="272"/>
      <c r="FY37" s="272"/>
      <c r="FZ37" s="272"/>
      <c r="GA37" s="272"/>
      <c r="GB37" s="272"/>
      <c r="GC37" s="377">
        <f t="shared" si="23"/>
        <v>24</v>
      </c>
      <c r="GD37" s="379" t="s">
        <v>252</v>
      </c>
      <c r="GE37" s="385">
        <v>0.21</v>
      </c>
      <c r="GF37" s="384"/>
      <c r="GG37" s="384"/>
      <c r="GH37" s="384"/>
      <c r="GI37" s="384">
        <f>-GI35*GE37</f>
        <v>-2559233.7848437806</v>
      </c>
      <c r="GJ37" s="384">
        <f>+GI37-GH37</f>
        <v>-2559233.7848437806</v>
      </c>
    </row>
    <row r="38" spans="1:225" ht="14.4" thickBot="1">
      <c r="A38" s="352">
        <f t="shared" si="5"/>
        <v>26</v>
      </c>
      <c r="B38" s="376" t="s">
        <v>270</v>
      </c>
      <c r="C38" s="381"/>
      <c r="D38" s="1294"/>
      <c r="E38" s="1294"/>
      <c r="F38" s="368">
        <v>-430100</v>
      </c>
      <c r="G38" s="1294"/>
      <c r="H38" s="349">
        <v>0</v>
      </c>
      <c r="AG38" s="352">
        <f t="shared" si="1"/>
        <v>25</v>
      </c>
      <c r="AH38" s="366" t="s">
        <v>269</v>
      </c>
      <c r="AJ38" s="310">
        <v>59265943.382832997</v>
      </c>
      <c r="AK38" s="310">
        <v>0</v>
      </c>
      <c r="AL38" s="310">
        <f t="shared" si="38"/>
        <v>-59265943.382832997</v>
      </c>
      <c r="AM38" s="310">
        <f t="shared" si="39"/>
        <v>0</v>
      </c>
      <c r="AN38" s="310">
        <f t="shared" si="40"/>
        <v>0</v>
      </c>
      <c r="AW38" s="351"/>
      <c r="AX38" s="351"/>
      <c r="AY38" s="351"/>
      <c r="AZ38" s="351"/>
      <c r="BA38" s="351"/>
      <c r="BB38" s="351"/>
      <c r="BC38" s="351"/>
      <c r="BD38" s="351"/>
      <c r="DI38" s="265"/>
      <c r="DT38" s="380"/>
      <c r="DU38" s="380"/>
      <c r="DV38" s="380"/>
      <c r="DW38" s="380"/>
      <c r="DX38" s="380"/>
      <c r="EJ38" s="272"/>
      <c r="EK38" s="272"/>
      <c r="EL38" s="272"/>
      <c r="EM38" s="272"/>
      <c r="EN38" s="272"/>
      <c r="FM38" s="233">
        <f t="shared" si="20"/>
        <v>25</v>
      </c>
      <c r="FN38" s="379" t="s">
        <v>249</v>
      </c>
      <c r="FO38" s="379"/>
      <c r="FP38" s="353"/>
      <c r="FQ38" s="353"/>
      <c r="FR38" s="353"/>
      <c r="FS38" s="353">
        <f>-FS35-FS37</f>
        <v>-4864376.4922224479</v>
      </c>
      <c r="FT38" s="353">
        <f>-FT35-FT37</f>
        <v>-4864376.4922224479</v>
      </c>
      <c r="FU38" s="367"/>
      <c r="FV38" s="272"/>
      <c r="FW38" s="272"/>
      <c r="FX38" s="272"/>
      <c r="FY38" s="272"/>
      <c r="FZ38" s="272"/>
      <c r="GA38" s="272"/>
      <c r="GB38" s="272"/>
      <c r="GC38" s="377">
        <f t="shared" si="23"/>
        <v>25</v>
      </c>
      <c r="GD38" s="379" t="s">
        <v>249</v>
      </c>
      <c r="GE38" s="379"/>
      <c r="GF38" s="378">
        <f>-GF35-GF37</f>
        <v>0</v>
      </c>
      <c r="GG38" s="378">
        <f>-GG35-GG37</f>
        <v>0</v>
      </c>
      <c r="GH38" s="378">
        <f>-GH35-GH37</f>
        <v>0</v>
      </c>
      <c r="GI38" s="378">
        <f>-GI35-GI37</f>
        <v>-9627593.7620313652</v>
      </c>
      <c r="GJ38" s="378">
        <f>-GJ35-GJ37</f>
        <v>-9627593.7620313652</v>
      </c>
    </row>
    <row r="39" spans="1:225" ht="14.4" thickTop="1">
      <c r="A39" s="352">
        <f t="shared" si="5"/>
        <v>27</v>
      </c>
      <c r="B39" s="376" t="s">
        <v>268</v>
      </c>
      <c r="C39" s="245"/>
      <c r="D39" s="244"/>
      <c r="E39" s="375"/>
      <c r="F39" s="244">
        <f>SUM(F37:F38)</f>
        <v>31349866.02</v>
      </c>
      <c r="G39" s="375"/>
      <c r="H39" s="375">
        <f>SUM(H37:H38)</f>
        <v>0</v>
      </c>
      <c r="AG39" s="352">
        <f t="shared" si="1"/>
        <v>26</v>
      </c>
      <c r="AH39" s="372" t="s">
        <v>267</v>
      </c>
      <c r="AJ39" s="310">
        <v>82000442.209999993</v>
      </c>
      <c r="AK39" s="310">
        <v>0</v>
      </c>
      <c r="AL39" s="310">
        <f t="shared" si="38"/>
        <v>-82000442.209999993</v>
      </c>
      <c r="AM39" s="310">
        <f t="shared" si="39"/>
        <v>0</v>
      </c>
      <c r="AN39" s="310">
        <f t="shared" si="40"/>
        <v>0</v>
      </c>
      <c r="AW39" s="351"/>
      <c r="AX39" s="351"/>
      <c r="AY39" s="351"/>
      <c r="AZ39" s="351"/>
      <c r="BA39" s="351"/>
      <c r="BB39" s="351"/>
      <c r="BC39" s="351"/>
      <c r="BD39" s="351"/>
      <c r="DI39" s="374"/>
      <c r="DU39" s="272"/>
      <c r="DV39" s="272"/>
      <c r="DW39" s="272"/>
      <c r="DX39" s="272"/>
      <c r="FM39" s="233">
        <f t="shared" si="20"/>
        <v>26</v>
      </c>
      <c r="FN39" s="272" t="s">
        <v>172</v>
      </c>
      <c r="FO39" s="272"/>
      <c r="FP39" s="373"/>
      <c r="FQ39" s="373"/>
      <c r="FR39" s="373"/>
      <c r="FS39" s="373"/>
      <c r="FT39" s="373"/>
      <c r="FU39" s="367"/>
      <c r="FV39" s="272"/>
      <c r="FW39" s="272"/>
      <c r="FX39" s="272"/>
      <c r="FY39" s="272"/>
      <c r="FZ39" s="272"/>
      <c r="GA39" s="272"/>
      <c r="GB39" s="272"/>
    </row>
    <row r="40" spans="1:225" ht="13.8">
      <c r="A40" s="352">
        <f t="shared" si="5"/>
        <v>28</v>
      </c>
      <c r="B40" s="247"/>
      <c r="C40" s="245"/>
      <c r="D40" s="244"/>
      <c r="E40" s="244"/>
      <c r="F40" s="244"/>
      <c r="G40" s="244"/>
      <c r="H40" s="371"/>
      <c r="AG40" s="352">
        <f t="shared" si="1"/>
        <v>27</v>
      </c>
      <c r="AH40" s="372" t="s">
        <v>266</v>
      </c>
      <c r="AJ40" s="310">
        <v>17158857.68</v>
      </c>
      <c r="AK40" s="310">
        <v>0</v>
      </c>
      <c r="AL40" s="310">
        <f t="shared" si="38"/>
        <v>-17158857.68</v>
      </c>
      <c r="AM40" s="310">
        <f t="shared" si="39"/>
        <v>0</v>
      </c>
      <c r="AN40" s="310">
        <f t="shared" si="40"/>
        <v>0</v>
      </c>
      <c r="AW40" s="351"/>
      <c r="AX40" s="351"/>
      <c r="AY40" s="351"/>
      <c r="AZ40" s="351"/>
      <c r="BA40" s="351"/>
      <c r="BB40" s="351"/>
      <c r="BC40" s="351"/>
      <c r="BD40" s="351"/>
      <c r="DI40" s="265"/>
      <c r="DU40" s="272"/>
      <c r="DV40" s="272"/>
      <c r="DW40" s="272"/>
      <c r="DX40" s="272"/>
      <c r="FM40" s="233">
        <f t="shared" si="20"/>
        <v>27</v>
      </c>
      <c r="FN40" s="370" t="s">
        <v>265</v>
      </c>
      <c r="FO40" s="370"/>
      <c r="FP40" s="245"/>
      <c r="FQ40" s="245"/>
      <c r="FR40" s="245"/>
      <c r="FS40" s="245"/>
      <c r="FT40" s="245"/>
      <c r="FU40" s="367"/>
      <c r="FV40" s="272"/>
      <c r="FW40" s="272"/>
      <c r="FX40" s="272"/>
      <c r="FY40" s="272"/>
      <c r="FZ40" s="272"/>
      <c r="GA40" s="272"/>
      <c r="GB40" s="272"/>
    </row>
    <row r="41" spans="1:225" ht="13.8">
      <c r="A41" s="352">
        <f t="shared" si="5"/>
        <v>29</v>
      </c>
      <c r="C41" s="245"/>
      <c r="D41" s="371"/>
      <c r="E41" s="371"/>
      <c r="F41" s="371"/>
      <c r="G41" s="371"/>
      <c r="H41" s="244"/>
      <c r="AG41" s="352">
        <f t="shared" si="1"/>
        <v>28</v>
      </c>
      <c r="AH41" s="255" t="s">
        <v>264</v>
      </c>
      <c r="AJ41" s="310">
        <v>-77453659.510000005</v>
      </c>
      <c r="AK41" s="310">
        <v>0</v>
      </c>
      <c r="AL41" s="310">
        <f t="shared" si="38"/>
        <v>77453659.510000005</v>
      </c>
      <c r="AM41" s="310">
        <f t="shared" si="39"/>
        <v>0</v>
      </c>
      <c r="AN41" s="310">
        <f t="shared" si="40"/>
        <v>0</v>
      </c>
      <c r="AW41" s="351"/>
      <c r="AX41" s="351"/>
      <c r="AY41" s="351"/>
      <c r="AZ41" s="351"/>
      <c r="BA41" s="351"/>
      <c r="BB41" s="351"/>
      <c r="BC41" s="351"/>
      <c r="BD41" s="351"/>
      <c r="DI41" s="265"/>
      <c r="DU41" s="272"/>
      <c r="DV41" s="272"/>
      <c r="DW41" s="272"/>
      <c r="DX41" s="272"/>
      <c r="FM41" s="233">
        <f t="shared" si="20"/>
        <v>28</v>
      </c>
      <c r="FN41" s="370" t="s">
        <v>263</v>
      </c>
      <c r="FO41" s="370"/>
      <c r="FP41" s="245"/>
      <c r="FQ41" s="245"/>
      <c r="FR41" s="245"/>
      <c r="FS41" s="245"/>
      <c r="FT41" s="245"/>
      <c r="FU41" s="367"/>
      <c r="FV41" s="272"/>
      <c r="FW41" s="272"/>
      <c r="FX41" s="272"/>
      <c r="FY41" s="272"/>
      <c r="FZ41" s="272"/>
      <c r="GA41" s="272"/>
      <c r="GB41" s="272"/>
    </row>
    <row r="42" spans="1:225" ht="13.8">
      <c r="A42" s="352">
        <f t="shared" si="5"/>
        <v>30</v>
      </c>
      <c r="B42" s="288" t="s">
        <v>262</v>
      </c>
      <c r="C42" s="256">
        <f>+'SEF-3E'!M12</f>
        <v>8.4790000000000004E-3</v>
      </c>
      <c r="D42" s="349"/>
      <c r="E42" s="364"/>
      <c r="F42" s="364">
        <f>F32*$C$42</f>
        <v>373453.32075531798</v>
      </c>
      <c r="G42" s="364"/>
      <c r="H42" s="348">
        <f>H32*C42</f>
        <v>-289877.39832737</v>
      </c>
      <c r="AG42" s="352">
        <f t="shared" si="1"/>
        <v>29</v>
      </c>
      <c r="AH42" s="255" t="s">
        <v>261</v>
      </c>
      <c r="AJ42" s="310">
        <v>-83311.960000000006</v>
      </c>
      <c r="AK42" s="310">
        <v>0</v>
      </c>
      <c r="AL42" s="310">
        <f t="shared" si="38"/>
        <v>83311.960000000006</v>
      </c>
      <c r="AM42" s="310">
        <f t="shared" si="39"/>
        <v>0</v>
      </c>
      <c r="AN42" s="310">
        <f t="shared" si="40"/>
        <v>0</v>
      </c>
      <c r="AW42" s="351"/>
      <c r="AX42" s="351"/>
      <c r="AY42" s="351"/>
      <c r="AZ42" s="351"/>
      <c r="BA42" s="351"/>
      <c r="BB42" s="351"/>
      <c r="BC42" s="351"/>
      <c r="BD42" s="351"/>
      <c r="DU42" s="272"/>
      <c r="DV42" s="272"/>
      <c r="DW42" s="272"/>
      <c r="DX42" s="272"/>
      <c r="FM42" s="233">
        <f t="shared" si="20"/>
        <v>29</v>
      </c>
      <c r="FN42" s="370" t="s">
        <v>1430</v>
      </c>
      <c r="FO42" s="370"/>
      <c r="FP42" s="272"/>
      <c r="FQ42" s="272"/>
      <c r="FR42" s="272"/>
      <c r="FS42" s="272"/>
      <c r="FT42" s="272"/>
      <c r="FU42" s="367"/>
      <c r="FV42" s="272"/>
      <c r="FW42" s="272"/>
      <c r="FX42" s="272"/>
      <c r="FY42" s="272"/>
      <c r="FZ42" s="272"/>
      <c r="GA42" s="272"/>
      <c r="GB42" s="272"/>
    </row>
    <row r="43" spans="1:225" ht="13.8">
      <c r="A43" s="352">
        <f t="shared" si="5"/>
        <v>31</v>
      </c>
      <c r="B43" s="247" t="s">
        <v>260</v>
      </c>
      <c r="C43" s="256">
        <f>+'SEF-3E'!M13</f>
        <v>2E-3</v>
      </c>
      <c r="D43" s="349"/>
      <c r="E43" s="364"/>
      <c r="F43" s="364">
        <f>F32*$C$43</f>
        <v>88089.001239607955</v>
      </c>
      <c r="G43" s="364"/>
      <c r="H43" s="364">
        <f>H32*C43</f>
        <v>-68375.374060000002</v>
      </c>
      <c r="AG43" s="352">
        <f t="shared" si="1"/>
        <v>30</v>
      </c>
      <c r="AH43" s="255" t="s">
        <v>259</v>
      </c>
      <c r="AJ43" s="310">
        <v>1459363.53</v>
      </c>
      <c r="AK43" s="310">
        <v>1459363.53</v>
      </c>
      <c r="AL43" s="310">
        <f t="shared" si="38"/>
        <v>0</v>
      </c>
      <c r="AM43" s="310">
        <f t="shared" si="39"/>
        <v>1459363.53</v>
      </c>
      <c r="AN43" s="310">
        <f t="shared" si="40"/>
        <v>0</v>
      </c>
      <c r="AW43" s="351"/>
      <c r="AX43" s="351"/>
      <c r="AY43" s="351"/>
      <c r="AZ43" s="351"/>
      <c r="BA43" s="351"/>
      <c r="BB43" s="351"/>
      <c r="BC43" s="351"/>
      <c r="BD43" s="351"/>
      <c r="DU43" s="272"/>
      <c r="DV43" s="272"/>
      <c r="DW43" s="272"/>
      <c r="DX43" s="272"/>
      <c r="FM43" s="272"/>
      <c r="FN43" s="272"/>
      <c r="FO43" s="272"/>
      <c r="FP43" s="272"/>
      <c r="FQ43" s="272"/>
      <c r="FR43" s="272"/>
      <c r="FS43" s="272"/>
      <c r="FT43" s="272"/>
      <c r="FU43" s="367"/>
      <c r="FV43" s="272"/>
    </row>
    <row r="44" spans="1:225" ht="13.8">
      <c r="A44" s="352">
        <f t="shared" si="5"/>
        <v>32</v>
      </c>
      <c r="B44" s="247" t="s">
        <v>258</v>
      </c>
      <c r="C44" s="369">
        <f>+'SEF-3E'!M14</f>
        <v>3.8406000000000003E-2</v>
      </c>
      <c r="D44" s="349"/>
      <c r="E44" s="368"/>
      <c r="F44" s="368">
        <f>(F32+F34)*$C$44</f>
        <v>1691573.0908041918</v>
      </c>
      <c r="G44" s="368"/>
      <c r="H44" s="368">
        <f>(H32+H34)*$C$44</f>
        <v>-1313012.30807418</v>
      </c>
      <c r="AG44" s="352">
        <f t="shared" si="1"/>
        <v>31</v>
      </c>
      <c r="AH44" s="363" t="s">
        <v>257</v>
      </c>
      <c r="AJ44" s="310">
        <v>964405.32000000007</v>
      </c>
      <c r="AK44" s="310">
        <v>0</v>
      </c>
      <c r="AL44" s="310">
        <f t="shared" si="38"/>
        <v>-964405.32000000007</v>
      </c>
      <c r="AM44" s="310">
        <f t="shared" si="39"/>
        <v>0</v>
      </c>
      <c r="AN44" s="310">
        <f t="shared" si="40"/>
        <v>0</v>
      </c>
      <c r="AW44" s="351"/>
      <c r="AX44" s="351"/>
      <c r="AY44" s="351"/>
      <c r="AZ44" s="351"/>
      <c r="BA44" s="351"/>
      <c r="BB44" s="351"/>
      <c r="BC44" s="351"/>
      <c r="BD44" s="351"/>
      <c r="DU44" s="272"/>
      <c r="DV44" s="272"/>
      <c r="DW44" s="272"/>
      <c r="DX44" s="272"/>
      <c r="FU44" s="367"/>
      <c r="FV44" s="272"/>
    </row>
    <row r="45" spans="1:225" ht="13.8">
      <c r="A45" s="352">
        <f t="shared" si="5"/>
        <v>33</v>
      </c>
      <c r="B45" s="366" t="s">
        <v>256</v>
      </c>
      <c r="C45" s="361"/>
      <c r="D45" s="365"/>
      <c r="E45" s="364"/>
      <c r="F45" s="364">
        <f>SUM(F42:F44)</f>
        <v>2153115.4127991176</v>
      </c>
      <c r="G45" s="364"/>
      <c r="H45" s="364">
        <f>SUM(H42:H44)</f>
        <v>-1671265.08046155</v>
      </c>
      <c r="AG45" s="352">
        <f t="shared" si="1"/>
        <v>32</v>
      </c>
      <c r="AH45" s="363" t="s">
        <v>255</v>
      </c>
      <c r="AJ45" s="310">
        <v>29354.23</v>
      </c>
      <c r="AK45" s="310">
        <v>0</v>
      </c>
      <c r="AL45" s="310">
        <f t="shared" si="38"/>
        <v>-29354.23</v>
      </c>
      <c r="AM45" s="310">
        <f t="shared" si="39"/>
        <v>0</v>
      </c>
      <c r="AN45" s="310">
        <f t="shared" si="40"/>
        <v>0</v>
      </c>
      <c r="AW45" s="351"/>
      <c r="AX45" s="351"/>
      <c r="AY45" s="351"/>
      <c r="AZ45" s="351"/>
      <c r="BA45" s="351"/>
      <c r="BB45" s="351"/>
      <c r="BC45" s="351"/>
      <c r="BD45" s="351"/>
      <c r="DU45" s="272"/>
      <c r="DV45" s="272"/>
      <c r="DW45" s="272"/>
      <c r="DX45" s="272"/>
      <c r="FV45" s="272"/>
    </row>
    <row r="46" spans="1:225" ht="13.8">
      <c r="A46" s="352">
        <f t="shared" si="5"/>
        <v>34</v>
      </c>
      <c r="C46" s="245"/>
      <c r="D46" s="364"/>
      <c r="E46" s="364"/>
      <c r="F46" s="364"/>
      <c r="G46" s="364"/>
      <c r="H46" s="244"/>
      <c r="AG46" s="352">
        <f t="shared" si="1"/>
        <v>33</v>
      </c>
      <c r="AH46" s="363" t="s">
        <v>254</v>
      </c>
      <c r="AJ46" s="310">
        <v>7384.6</v>
      </c>
      <c r="AK46" s="310">
        <v>0</v>
      </c>
      <c r="AL46" s="310">
        <f t="shared" si="38"/>
        <v>-7384.6</v>
      </c>
      <c r="AM46" s="310">
        <f t="shared" si="39"/>
        <v>0</v>
      </c>
      <c r="AN46" s="310">
        <f t="shared" si="40"/>
        <v>0</v>
      </c>
      <c r="AW46" s="351"/>
      <c r="AX46" s="351"/>
      <c r="AY46" s="351"/>
      <c r="AZ46" s="351"/>
      <c r="BA46" s="351"/>
      <c r="BB46" s="351"/>
      <c r="BC46" s="351"/>
      <c r="BD46" s="351"/>
      <c r="DU46" s="272"/>
      <c r="DV46" s="272"/>
      <c r="DW46" s="272"/>
      <c r="DX46" s="272"/>
      <c r="FV46" s="272"/>
    </row>
    <row r="47" spans="1:225" ht="13.8">
      <c r="A47" s="352">
        <f t="shared" si="5"/>
        <v>35</v>
      </c>
      <c r="B47" s="247" t="s">
        <v>253</v>
      </c>
      <c r="C47" s="245"/>
      <c r="D47" s="348"/>
      <c r="E47" s="348"/>
      <c r="F47" s="348">
        <f>F32+F34-F39-F45</f>
        <v>10541519.187004862</v>
      </c>
      <c r="G47" s="348"/>
      <c r="H47" s="348">
        <f>H32+H34-H39-H45</f>
        <v>-32516421.949538451</v>
      </c>
      <c r="AG47" s="352">
        <f t="shared" si="1"/>
        <v>34</v>
      </c>
      <c r="AH47" s="301"/>
      <c r="AJ47" s="362">
        <f>SUM(AJ37:AJ46)</f>
        <v>180436682.43283296</v>
      </c>
      <c r="AK47" s="362">
        <f>SUM(AK37:AK46)</f>
        <v>1459363.53</v>
      </c>
      <c r="AL47" s="362">
        <f>SUM(AL37:AL46)</f>
        <v>-178977318.90283296</v>
      </c>
      <c r="AM47" s="362">
        <f>SUM(AM37:AM46)</f>
        <v>1459363.53</v>
      </c>
      <c r="AN47" s="362">
        <f>SUM(AN37:AN46)</f>
        <v>0</v>
      </c>
      <c r="AW47" s="351"/>
      <c r="AX47" s="351"/>
      <c r="AY47" s="351"/>
      <c r="AZ47" s="351"/>
      <c r="BA47" s="351"/>
      <c r="BB47" s="351"/>
      <c r="BC47" s="351"/>
      <c r="BD47" s="351"/>
      <c r="DU47" s="272"/>
      <c r="DV47" s="272"/>
      <c r="DW47" s="272"/>
      <c r="DX47" s="272"/>
      <c r="FV47" s="272"/>
    </row>
    <row r="48" spans="1:225" ht="13.8">
      <c r="A48" s="352">
        <f t="shared" si="5"/>
        <v>36</v>
      </c>
      <c r="C48" s="245"/>
      <c r="D48" s="245"/>
      <c r="E48" s="245"/>
      <c r="F48" s="245"/>
      <c r="G48" s="245"/>
      <c r="H48" s="245"/>
      <c r="AG48" s="352">
        <f t="shared" si="1"/>
        <v>35</v>
      </c>
      <c r="AW48" s="351"/>
      <c r="AX48" s="351"/>
      <c r="AY48" s="351"/>
      <c r="AZ48" s="351"/>
      <c r="BA48" s="351"/>
      <c r="BB48" s="351"/>
      <c r="BC48" s="351"/>
      <c r="BD48" s="351"/>
      <c r="FV48" s="272"/>
    </row>
    <row r="49" spans="1:178" ht="13.8">
      <c r="A49" s="352">
        <f t="shared" si="5"/>
        <v>37</v>
      </c>
      <c r="B49" s="245" t="s">
        <v>252</v>
      </c>
      <c r="C49" s="361">
        <f>+FIT_E</f>
        <v>0.21</v>
      </c>
      <c r="D49" s="360"/>
      <c r="E49" s="359"/>
      <c r="F49" s="359">
        <f>F47*$C$49</f>
        <v>2213719.029271021</v>
      </c>
      <c r="G49" s="358"/>
      <c r="H49" s="358">
        <f>H47*$C$49</f>
        <v>-6828448.6094030747</v>
      </c>
      <c r="AG49" s="352">
        <f t="shared" si="1"/>
        <v>36</v>
      </c>
      <c r="AH49" s="301" t="s">
        <v>251</v>
      </c>
      <c r="AJ49" s="348">
        <f>+AJ28-AJ34-AJ47</f>
        <v>1016568.4049868584</v>
      </c>
      <c r="AK49" s="348">
        <f>+AK28-AK34-AK47</f>
        <v>-1459363.53</v>
      </c>
      <c r="AL49" s="348">
        <f>+AL28-AL34-AL47</f>
        <v>-2475931.9349868596</v>
      </c>
      <c r="AM49" s="348">
        <f>+AM28-AM34-AM47</f>
        <v>-1459363.53</v>
      </c>
      <c r="AN49" s="348">
        <f>AN28-AN34-AN47</f>
        <v>0</v>
      </c>
      <c r="AW49" s="351"/>
      <c r="AX49" s="351"/>
      <c r="AY49" s="351"/>
      <c r="AZ49" s="351"/>
      <c r="BA49" s="351"/>
      <c r="BB49" s="351"/>
      <c r="BC49" s="351"/>
      <c r="BD49" s="351"/>
      <c r="FV49" s="272"/>
    </row>
    <row r="50" spans="1:178" ht="14.4" thickBot="1">
      <c r="A50" s="352">
        <f t="shared" si="5"/>
        <v>38</v>
      </c>
      <c r="B50" s="230" t="s">
        <v>249</v>
      </c>
      <c r="D50" s="357"/>
      <c r="E50" s="357"/>
      <c r="F50" s="357">
        <f>F47-F49</f>
        <v>8327800.1577338409</v>
      </c>
      <c r="G50" s="357"/>
      <c r="H50" s="357">
        <f>H47-H49</f>
        <v>-25687973.340135377</v>
      </c>
      <c r="AG50" s="352">
        <f t="shared" si="1"/>
        <v>37</v>
      </c>
      <c r="AH50" s="301" t="s">
        <v>250</v>
      </c>
      <c r="AI50" s="356">
        <f>FIT_E</f>
        <v>0.21</v>
      </c>
      <c r="AJ50" s="355">
        <f>AJ49*$AI$50</f>
        <v>213479.36504724025</v>
      </c>
      <c r="AK50" s="355">
        <f>AK49*$AI$50</f>
        <v>-306466.34129999997</v>
      </c>
      <c r="AL50" s="355">
        <f>AL49*$AI$50</f>
        <v>-519945.70634724048</v>
      </c>
      <c r="AM50" s="355">
        <f>AM49*$AI$50</f>
        <v>-306466.34129999997</v>
      </c>
      <c r="AN50" s="354">
        <f>AN49*$AI$50</f>
        <v>0</v>
      </c>
      <c r="AW50" s="351"/>
      <c r="AX50" s="351"/>
      <c r="AY50" s="351"/>
      <c r="AZ50" s="351"/>
      <c r="BA50" s="351"/>
      <c r="BB50" s="351"/>
      <c r="BC50" s="351"/>
      <c r="BD50" s="351"/>
      <c r="FV50" s="272"/>
    </row>
    <row r="51" spans="1:178" ht="15" thickTop="1" thickBot="1">
      <c r="A51" s="352">
        <f t="shared" si="5"/>
        <v>39</v>
      </c>
      <c r="AG51" s="352">
        <f t="shared" si="1"/>
        <v>38</v>
      </c>
      <c r="AH51" s="301" t="s">
        <v>249</v>
      </c>
      <c r="AJ51" s="353">
        <f>AJ49-AJ50</f>
        <v>803089.03993961809</v>
      </c>
      <c r="AK51" s="353">
        <f>AK49-AK50</f>
        <v>-1152897.1887000001</v>
      </c>
      <c r="AL51" s="353">
        <f>AL49-AL50</f>
        <v>-1955986.228639619</v>
      </c>
      <c r="AM51" s="353">
        <f>AM49-AM50</f>
        <v>-1152897.1887000001</v>
      </c>
      <c r="AN51" s="353">
        <f>AN49-AN50</f>
        <v>0</v>
      </c>
      <c r="AW51" s="351"/>
      <c r="AX51" s="351"/>
      <c r="AY51" s="351"/>
      <c r="AZ51" s="351"/>
      <c r="BA51" s="351"/>
      <c r="BB51" s="351"/>
      <c r="BC51" s="351"/>
      <c r="BD51" s="351"/>
      <c r="FV51" s="272"/>
    </row>
    <row r="52" spans="1:178" ht="14.4" thickTop="1">
      <c r="A52" s="352">
        <f t="shared" si="5"/>
        <v>40</v>
      </c>
      <c r="B52" s="230" t="s">
        <v>248</v>
      </c>
      <c r="AW52" s="351"/>
      <c r="AX52" s="351"/>
      <c r="AY52" s="351"/>
      <c r="AZ52" s="351"/>
      <c r="BA52" s="351"/>
      <c r="BB52" s="351"/>
      <c r="BC52" s="351"/>
      <c r="BD52" s="351"/>
      <c r="FV52" s="272"/>
    </row>
    <row r="53" spans="1:178" ht="13.8">
      <c r="A53" s="352">
        <f t="shared" si="5"/>
        <v>41</v>
      </c>
      <c r="B53" s="230" t="s">
        <v>247</v>
      </c>
      <c r="AW53" s="351"/>
      <c r="AX53" s="351"/>
      <c r="AY53" s="351"/>
      <c r="AZ53" s="351"/>
      <c r="BA53" s="351"/>
      <c r="BB53" s="351"/>
      <c r="BC53" s="351"/>
      <c r="BD53" s="351"/>
      <c r="FV53" s="272"/>
    </row>
    <row r="54" spans="1:178" ht="13.8">
      <c r="A54" s="352"/>
      <c r="AW54" s="351"/>
      <c r="AX54" s="351"/>
      <c r="AY54" s="351"/>
      <c r="AZ54" s="351"/>
      <c r="BA54" s="351"/>
      <c r="BB54" s="351"/>
      <c r="BC54" s="351"/>
      <c r="BD54" s="351"/>
      <c r="FV54" s="272"/>
    </row>
    <row r="55" spans="1:178" ht="13.8">
      <c r="I55" s="352"/>
      <c r="AW55" s="351"/>
      <c r="AX55" s="351"/>
      <c r="AY55" s="351"/>
      <c r="AZ55" s="351"/>
      <c r="BA55" s="351"/>
      <c r="BB55" s="351"/>
      <c r="BC55" s="351"/>
      <c r="BD55" s="351"/>
      <c r="FV55" s="272"/>
    </row>
    <row r="56" spans="1:178" ht="13.8">
      <c r="I56" s="352"/>
      <c r="AW56" s="351"/>
      <c r="AX56" s="351"/>
      <c r="AY56" s="351"/>
      <c r="AZ56" s="351"/>
      <c r="BA56" s="351"/>
      <c r="BB56" s="351"/>
      <c r="BC56" s="351"/>
      <c r="BD56" s="351"/>
      <c r="FV56" s="272"/>
    </row>
    <row r="57" spans="1:178" ht="13.8">
      <c r="I57" s="352"/>
      <c r="AW57" s="351"/>
      <c r="AX57" s="351"/>
      <c r="AY57" s="351"/>
      <c r="AZ57" s="351"/>
      <c r="BA57" s="351"/>
      <c r="BB57" s="351"/>
      <c r="BC57" s="351"/>
      <c r="BD57" s="351"/>
      <c r="CS57" s="314"/>
      <c r="FV57" s="272"/>
    </row>
    <row r="58" spans="1:178" ht="13.8">
      <c r="I58" s="352"/>
      <c r="AW58" s="351"/>
      <c r="AX58" s="351"/>
      <c r="AY58" s="351"/>
      <c r="AZ58" s="351"/>
      <c r="BA58" s="351"/>
      <c r="BB58" s="351"/>
      <c r="BC58" s="351"/>
      <c r="BD58" s="351"/>
      <c r="CS58" s="314"/>
      <c r="FV58" s="272"/>
    </row>
    <row r="59" spans="1:178" ht="13.8">
      <c r="I59" s="352"/>
      <c r="AW59" s="351"/>
      <c r="AX59" s="351"/>
      <c r="AY59" s="351"/>
      <c r="AZ59" s="351"/>
      <c r="BA59" s="351"/>
      <c r="BB59" s="351"/>
      <c r="BC59" s="351"/>
      <c r="BD59" s="351"/>
      <c r="FV59" s="272"/>
    </row>
    <row r="60" spans="1:178">
      <c r="I60" s="352"/>
      <c r="AW60" s="351"/>
      <c r="AX60" s="351"/>
      <c r="AY60" s="351"/>
      <c r="AZ60" s="351"/>
      <c r="BA60" s="351"/>
      <c r="BB60" s="351"/>
      <c r="BC60" s="351"/>
      <c r="BD60" s="351"/>
    </row>
    <row r="61" spans="1:178">
      <c r="I61" s="352"/>
      <c r="AW61" s="351"/>
      <c r="AX61" s="351"/>
      <c r="AY61" s="351"/>
      <c r="AZ61" s="351"/>
      <c r="BA61" s="351"/>
      <c r="BB61" s="351"/>
      <c r="BC61" s="351"/>
      <c r="BD61" s="351"/>
    </row>
    <row r="62" spans="1:178">
      <c r="I62" s="352"/>
      <c r="AW62" s="351"/>
      <c r="AX62" s="351"/>
      <c r="AY62" s="351"/>
      <c r="AZ62" s="351"/>
      <c r="BA62" s="351"/>
      <c r="BB62" s="351"/>
      <c r="BC62" s="351"/>
      <c r="BD62" s="351"/>
    </row>
    <row r="63" spans="1:178">
      <c r="AW63" s="351"/>
      <c r="AX63" s="351"/>
      <c r="AY63" s="351"/>
      <c r="AZ63" s="351"/>
      <c r="BA63" s="351"/>
      <c r="BB63" s="351"/>
      <c r="BC63" s="351"/>
      <c r="BD63" s="351"/>
    </row>
    <row r="101" spans="1:8">
      <c r="A101" s="350"/>
      <c r="B101" s="350"/>
      <c r="C101" s="350"/>
      <c r="D101" s="350"/>
      <c r="E101" s="350"/>
      <c r="F101" s="350"/>
      <c r="G101" s="350"/>
      <c r="H101" s="350"/>
    </row>
    <row r="102" spans="1:8">
      <c r="A102" s="349"/>
      <c r="B102" s="349"/>
      <c r="C102" s="349"/>
      <c r="D102" s="349"/>
      <c r="E102" s="349"/>
      <c r="F102" s="349"/>
      <c r="G102" s="349"/>
      <c r="H102" s="349"/>
    </row>
    <row r="103" spans="1:8">
      <c r="A103" s="348"/>
      <c r="B103" s="348"/>
      <c r="C103" s="348"/>
      <c r="D103" s="348"/>
      <c r="E103" s="348"/>
      <c r="F103" s="348"/>
      <c r="G103" s="348"/>
      <c r="H103" s="348"/>
    </row>
  </sheetData>
  <mergeCells count="6">
    <mergeCell ref="D14:E22"/>
    <mergeCell ref="G14:G22"/>
    <mergeCell ref="D25:E30"/>
    <mergeCell ref="G25:G30"/>
    <mergeCell ref="D37:E38"/>
    <mergeCell ref="G37:G38"/>
  </mergeCells>
  <printOptions horizontalCentered="1"/>
  <pageMargins left="0.45" right="0.45" top="0.25" bottom="0.25" header="0.3" footer="0.3"/>
  <pageSetup scale="1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0.59999389629810485"/>
    <pageSetUpPr fitToPage="1"/>
  </sheetPr>
  <dimension ref="A1:IG77"/>
  <sheetViews>
    <sheetView zoomScale="85" zoomScaleNormal="85" workbookViewId="0">
      <pane xSplit="1" ySplit="1" topLeftCell="HM2" activePane="bottomRight" state="frozen"/>
      <selection activeCell="C4" sqref="C4"/>
      <selection pane="topRight" activeCell="C4" sqref="C4"/>
      <selection pane="bottomLeft" activeCell="C4" sqref="C4"/>
      <selection pane="bottomRight" activeCell="HV8" sqref="HV8"/>
    </sheetView>
  </sheetViews>
  <sheetFormatPr defaultColWidth="9.109375" defaultRowHeight="13.8"/>
  <cols>
    <col min="1" max="1" width="5.33203125" style="272" bestFit="1" customWidth="1"/>
    <col min="2" max="2" width="43.6640625" style="272" bestFit="1" customWidth="1"/>
    <col min="3" max="3" width="10.109375" style="272" customWidth="1"/>
    <col min="4" max="5" width="14.33203125" style="272" bestFit="1" customWidth="1"/>
    <col min="6" max="6" width="13.88671875" style="272" bestFit="1" customWidth="1"/>
    <col min="7" max="7" width="15.33203125" style="272" bestFit="1" customWidth="1"/>
    <col min="8" max="8" width="17.5546875" style="272" customWidth="1"/>
    <col min="9" max="9" width="5.5546875" style="272" bestFit="1" customWidth="1"/>
    <col min="10" max="10" width="51.6640625" style="272" bestFit="1" customWidth="1"/>
    <col min="11" max="11" width="9.44140625" style="272" bestFit="1" customWidth="1"/>
    <col min="12" max="14" width="15.6640625" style="272" customWidth="1"/>
    <col min="15" max="15" width="18.5546875" style="272" bestFit="1" customWidth="1"/>
    <col min="16" max="16" width="20.88671875" style="272" bestFit="1" customWidth="1"/>
    <col min="17" max="17" width="5.33203125" style="272" bestFit="1" customWidth="1"/>
    <col min="18" max="18" width="35.44140625" style="272" bestFit="1" customWidth="1"/>
    <col min="19" max="19" width="4.5546875" style="272" bestFit="1" customWidth="1"/>
    <col min="20" max="21" width="14.109375" style="272" customWidth="1"/>
    <col min="22" max="22" width="16" style="272" customWidth="1"/>
    <col min="23" max="23" width="14.109375" style="272" customWidth="1"/>
    <col min="24" max="24" width="16.6640625" style="272" customWidth="1"/>
    <col min="25" max="25" width="5.33203125" style="272" bestFit="1" customWidth="1"/>
    <col min="26" max="26" width="33.109375" style="272" customWidth="1"/>
    <col min="27" max="27" width="5" style="272" bestFit="1" customWidth="1"/>
    <col min="28" max="31" width="16.88671875" style="272" customWidth="1"/>
    <col min="32" max="32" width="14.5546875" style="272" bestFit="1" customWidth="1"/>
    <col min="33" max="33" width="9.44140625" style="272" bestFit="1" customWidth="1"/>
    <col min="34" max="34" width="65.33203125" style="272" customWidth="1"/>
    <col min="35" max="35" width="10.33203125" style="272" bestFit="1" customWidth="1"/>
    <col min="36" max="36" width="17.44140625" style="272" customWidth="1"/>
    <col min="37" max="37" width="12.44140625" style="272" customWidth="1"/>
    <col min="38" max="38" width="19.44140625" style="272" customWidth="1"/>
    <col min="39" max="39" width="13.33203125" style="272" customWidth="1"/>
    <col min="40" max="40" width="16.5546875" style="272" bestFit="1" customWidth="1"/>
    <col min="41" max="41" width="5.33203125" style="272" bestFit="1" customWidth="1"/>
    <col min="42" max="42" width="54.33203125" style="272" customWidth="1"/>
    <col min="43" max="43" width="4.6640625" style="272" bestFit="1" customWidth="1"/>
    <col min="44" max="45" width="16" style="272" customWidth="1"/>
    <col min="46" max="46" width="12.44140625" style="272" bestFit="1" customWidth="1"/>
    <col min="47" max="47" width="12.33203125" style="272" bestFit="1" customWidth="1"/>
    <col min="48" max="48" width="14.6640625" style="272" bestFit="1" customWidth="1"/>
    <col min="49" max="49" width="6.33203125" style="272" bestFit="1" customWidth="1"/>
    <col min="50" max="50" width="45.88671875" style="272" customWidth="1"/>
    <col min="51" max="51" width="5" style="272" bestFit="1" customWidth="1"/>
    <col min="52" max="53" width="14.88671875" style="272" bestFit="1" customWidth="1"/>
    <col min="54" max="54" width="16.33203125" style="272" bestFit="1" customWidth="1"/>
    <col min="55" max="55" width="14.88671875" style="272" bestFit="1" customWidth="1"/>
    <col min="56" max="56" width="15" style="272" bestFit="1" customWidth="1"/>
    <col min="57" max="57" width="14" style="272" bestFit="1" customWidth="1"/>
    <col min="58" max="58" width="6.33203125" style="272" bestFit="1" customWidth="1"/>
    <col min="59" max="59" width="45" style="272" customWidth="1"/>
    <col min="60" max="60" width="4.33203125" style="272" customWidth="1"/>
    <col min="61" max="61" width="13" style="272" customWidth="1"/>
    <col min="62" max="62" width="12.109375" style="272" customWidth="1"/>
    <col min="63" max="64" width="14.109375" style="272" bestFit="1" customWidth="1"/>
    <col min="65" max="65" width="13.33203125" style="272" bestFit="1" customWidth="1"/>
    <col min="66" max="66" width="5.33203125" style="272" bestFit="1" customWidth="1"/>
    <col min="67" max="67" width="47.109375" style="272" bestFit="1" customWidth="1"/>
    <col min="68" max="68" width="4.6640625" style="272" bestFit="1" customWidth="1"/>
    <col min="69" max="69" width="13.6640625" style="272" customWidth="1"/>
    <col min="70" max="70" width="14.33203125" style="272" customWidth="1"/>
    <col min="71" max="71" width="15.33203125" style="272" customWidth="1"/>
    <col min="72" max="72" width="13.6640625" style="272" customWidth="1"/>
    <col min="73" max="73" width="14.6640625" style="272" bestFit="1" customWidth="1"/>
    <col min="74" max="74" width="5.33203125" style="272" bestFit="1" customWidth="1"/>
    <col min="75" max="75" width="40.109375" style="272" customWidth="1"/>
    <col min="76" max="76" width="10.6640625" style="272" bestFit="1" customWidth="1"/>
    <col min="77" max="81" width="14.88671875" style="272" customWidth="1"/>
    <col min="82" max="82" width="5.33203125" style="272" bestFit="1" customWidth="1"/>
    <col min="83" max="83" width="49.5546875" style="272" bestFit="1" customWidth="1"/>
    <col min="84" max="84" width="9.109375" style="272"/>
    <col min="85" max="88" width="13.44140625" style="272" customWidth="1"/>
    <col min="89" max="89" width="13.44140625" style="272" bestFit="1" customWidth="1"/>
    <col min="90" max="90" width="5.33203125" style="272" bestFit="1" customWidth="1"/>
    <col min="91" max="91" width="81.6640625" style="272" bestFit="1" customWidth="1"/>
    <col min="92" max="92" width="4.6640625" style="272" bestFit="1" customWidth="1"/>
    <col min="93" max="96" width="13.6640625" style="272" customWidth="1"/>
    <col min="97" max="97" width="13.88671875" style="272" customWidth="1"/>
    <col min="98" max="98" width="5.109375" style="272" bestFit="1" customWidth="1"/>
    <col min="99" max="99" width="48.109375" style="272" customWidth="1"/>
    <col min="100" max="100" width="6.44140625" style="272" customWidth="1"/>
    <col min="101" max="104" width="14.88671875" style="272" customWidth="1"/>
    <col min="105" max="105" width="14.6640625" style="272" customWidth="1"/>
    <col min="106" max="106" width="5.33203125" style="272" bestFit="1" customWidth="1"/>
    <col min="107" max="107" width="39.5546875" style="272" bestFit="1" customWidth="1"/>
    <col min="108" max="108" width="5.5546875" style="272" customWidth="1"/>
    <col min="109" max="109" width="13.88671875" style="272" bestFit="1" customWidth="1"/>
    <col min="110" max="110" width="14.6640625" style="272" bestFit="1" customWidth="1"/>
    <col min="111" max="111" width="13.88671875" style="272" bestFit="1" customWidth="1"/>
    <col min="112" max="112" width="14.6640625" style="272" bestFit="1" customWidth="1"/>
    <col min="113" max="113" width="13.6640625" style="272" bestFit="1" customWidth="1"/>
    <col min="114" max="114" width="5.33203125" style="272" bestFit="1" customWidth="1"/>
    <col min="115" max="115" width="39.5546875" style="272" bestFit="1" customWidth="1"/>
    <col min="116" max="116" width="4.6640625" style="272" bestFit="1" customWidth="1"/>
    <col min="117" max="118" width="13.44140625" style="272" bestFit="1" customWidth="1"/>
    <col min="119" max="119" width="15.109375" style="272" bestFit="1" customWidth="1"/>
    <col min="120" max="120" width="14.88671875" style="272" bestFit="1" customWidth="1"/>
    <col min="121" max="121" width="13.33203125" style="272" bestFit="1" customWidth="1"/>
    <col min="122" max="122" width="5.33203125" style="272" bestFit="1" customWidth="1"/>
    <col min="123" max="123" width="48.44140625" style="272" customWidth="1"/>
    <col min="124" max="124" width="4.6640625" style="272" bestFit="1" customWidth="1"/>
    <col min="125" max="125" width="12.33203125" style="272" customWidth="1"/>
    <col min="126" max="126" width="12.6640625" style="272" customWidth="1"/>
    <col min="127" max="127" width="13.88671875" style="272" bestFit="1" customWidth="1"/>
    <col min="128" max="128" width="12.33203125" style="272" bestFit="1" customWidth="1"/>
    <col min="129" max="129" width="13.88671875" style="272" bestFit="1" customWidth="1"/>
    <col min="130" max="130" width="5.5546875" style="272" bestFit="1" customWidth="1"/>
    <col min="131" max="131" width="31.6640625" style="272" customWidth="1"/>
    <col min="132" max="132" width="4.6640625" style="272" bestFit="1" customWidth="1"/>
    <col min="133" max="133" width="13.88671875" style="272" bestFit="1" customWidth="1"/>
    <col min="134" max="134" width="11.5546875" style="272" bestFit="1" customWidth="1"/>
    <col min="135" max="135" width="11.88671875" style="272" customWidth="1"/>
    <col min="136" max="136" width="12.109375" style="272" bestFit="1" customWidth="1"/>
    <col min="137" max="137" width="13.44140625" style="272" bestFit="1" customWidth="1"/>
    <col min="138" max="138" width="5.33203125" style="272" bestFit="1" customWidth="1"/>
    <col min="139" max="139" width="30.6640625" style="272" bestFit="1" customWidth="1"/>
    <col min="140" max="140" width="4.109375" style="272" customWidth="1"/>
    <col min="141" max="142" width="16.33203125" style="272" bestFit="1" customWidth="1"/>
    <col min="143" max="143" width="14.109375" style="272" customWidth="1"/>
    <col min="144" max="144" width="16.5546875" style="272" customWidth="1"/>
    <col min="145" max="145" width="16.88671875" style="272" bestFit="1" customWidth="1"/>
    <col min="146" max="146" width="7.5546875" style="272" customWidth="1"/>
    <col min="147" max="147" width="60" style="272" customWidth="1"/>
    <col min="148" max="148" width="4.5546875" style="272" customWidth="1"/>
    <col min="149" max="149" width="15.88671875" style="272" customWidth="1"/>
    <col min="150" max="150" width="14.6640625" style="272" customWidth="1"/>
    <col min="151" max="151" width="15.5546875" style="272" customWidth="1"/>
    <col min="152" max="152" width="14.33203125" style="272" customWidth="1"/>
    <col min="153" max="153" width="13.6640625" style="272" customWidth="1"/>
    <col min="154" max="154" width="5.33203125" style="272" bestFit="1" customWidth="1"/>
    <col min="155" max="155" width="46.33203125" style="272" bestFit="1" customWidth="1"/>
    <col min="156" max="156" width="9.33203125" style="272" bestFit="1" customWidth="1"/>
    <col min="157" max="157" width="11.6640625" style="272" bestFit="1" customWidth="1"/>
    <col min="158" max="158" width="11.33203125" style="272" bestFit="1" customWidth="1"/>
    <col min="159" max="159" width="13.88671875" style="272" customWidth="1"/>
    <col min="160" max="160" width="12.109375" style="272" bestFit="1" customWidth="1"/>
    <col min="161" max="161" width="13.44140625" style="272" bestFit="1" customWidth="1"/>
    <col min="162" max="162" width="9.33203125" style="272" bestFit="1" customWidth="1"/>
    <col min="163" max="163" width="67" style="272" bestFit="1" customWidth="1"/>
    <col min="164" max="164" width="7.33203125" style="272" customWidth="1"/>
    <col min="165" max="165" width="13.6640625" style="272" customWidth="1"/>
    <col min="166" max="166" width="12.33203125" style="272" customWidth="1"/>
    <col min="167" max="167" width="13.88671875" style="272" bestFit="1" customWidth="1"/>
    <col min="168" max="168" width="12.109375" style="272" bestFit="1" customWidth="1"/>
    <col min="169" max="169" width="14.88671875" style="272" customWidth="1"/>
    <col min="170" max="170" width="5.33203125" style="272" bestFit="1" customWidth="1"/>
    <col min="171" max="171" width="71.88671875" style="272" bestFit="1" customWidth="1"/>
    <col min="172" max="175" width="9.33203125" style="272" bestFit="1" customWidth="1"/>
    <col min="176" max="176" width="12.6640625" style="272" bestFit="1" customWidth="1"/>
    <col min="177" max="177" width="13.88671875" style="272" bestFit="1" customWidth="1"/>
    <col min="178" max="178" width="5.33203125" style="272" bestFit="1" customWidth="1"/>
    <col min="179" max="179" width="36.33203125" style="272" bestFit="1" customWidth="1"/>
    <col min="180" max="180" width="5.109375" style="272" bestFit="1" customWidth="1"/>
    <col min="181" max="182" width="12.44140625" style="272" bestFit="1" customWidth="1"/>
    <col min="183" max="183" width="13.6640625" style="272" bestFit="1" customWidth="1"/>
    <col min="184" max="184" width="12.44140625" style="272" bestFit="1" customWidth="1"/>
    <col min="185" max="185" width="13.88671875" style="272" bestFit="1" customWidth="1"/>
    <col min="186" max="186" width="9.33203125" style="272" bestFit="1" customWidth="1"/>
    <col min="187" max="187" width="47" style="272" customWidth="1"/>
    <col min="188" max="188" width="6.88671875" style="272" customWidth="1"/>
    <col min="189" max="190" width="12.6640625" style="272" customWidth="1"/>
    <col min="191" max="191" width="14.5546875" style="272" customWidth="1"/>
    <col min="192" max="192" width="15.109375" style="272" bestFit="1" customWidth="1"/>
    <col min="193" max="193" width="14.44140625" style="272" customWidth="1"/>
    <col min="194" max="194" width="5.33203125" style="272" bestFit="1" customWidth="1"/>
    <col min="195" max="195" width="47" style="272" customWidth="1"/>
    <col min="196" max="196" width="6.88671875" style="272" customWidth="1"/>
    <col min="197" max="198" width="12.6640625" style="272" customWidth="1"/>
    <col min="199" max="199" width="14.5546875" style="272" customWidth="1"/>
    <col min="200" max="200" width="12.88671875" style="272" customWidth="1"/>
    <col min="201" max="201" width="14.44140625" style="272" customWidth="1"/>
    <col min="202" max="202" width="8.33203125" style="230" customWidth="1"/>
    <col min="203" max="203" width="34.5546875" style="230" bestFit="1" customWidth="1"/>
    <col min="204" max="204" width="6" style="230" customWidth="1"/>
    <col min="205" max="208" width="13.6640625" style="230" bestFit="1" customWidth="1"/>
    <col min="209" max="209" width="13.88671875" style="230" bestFit="1" customWidth="1"/>
    <col min="210" max="210" width="5.33203125" style="272" bestFit="1" customWidth="1"/>
    <col min="211" max="211" width="27.6640625" style="272" customWidth="1"/>
    <col min="212" max="212" width="11.109375" style="272" customWidth="1"/>
    <col min="213" max="217" width="13.6640625" style="272" customWidth="1"/>
    <col min="218" max="218" width="5.33203125" style="272" bestFit="1" customWidth="1"/>
    <col min="219" max="219" width="38.33203125" style="272" customWidth="1"/>
    <col min="220" max="220" width="8.44140625" style="272" customWidth="1"/>
    <col min="221" max="221" width="12.88671875" style="272" customWidth="1"/>
    <col min="222" max="222" width="13.44140625" style="272" bestFit="1" customWidth="1"/>
    <col min="223" max="223" width="13.33203125" style="272" customWidth="1"/>
    <col min="224" max="224" width="13.44140625" style="272" bestFit="1" customWidth="1"/>
    <col min="225" max="225" width="13.88671875" style="272" bestFit="1" customWidth="1"/>
    <col min="226" max="226" width="9.33203125" style="272" bestFit="1" customWidth="1"/>
    <col min="227" max="227" width="69" style="272" customWidth="1"/>
    <col min="228" max="228" width="7.109375" style="272" bestFit="1" customWidth="1"/>
    <col min="229" max="231" width="14.6640625" style="272" customWidth="1"/>
    <col min="232" max="232" width="12.109375" style="272" bestFit="1" customWidth="1"/>
    <col min="233" max="233" width="13.6640625" style="272" bestFit="1" customWidth="1"/>
    <col min="234" max="235" width="9.109375" style="272"/>
    <col min="236" max="236" width="11.33203125" style="272" bestFit="1" customWidth="1"/>
    <col min="237" max="240" width="9.109375" style="272"/>
    <col min="241" max="241" width="13.6640625" style="272" bestFit="1" customWidth="1"/>
    <col min="242" max="16384" width="9.109375" style="272"/>
  </cols>
  <sheetData>
    <row r="1" spans="1:241" s="250" customFormat="1" thickBot="1">
      <c r="A1" s="318"/>
      <c r="B1" s="318"/>
      <c r="C1" s="318"/>
      <c r="D1" s="318"/>
      <c r="E1" s="318"/>
      <c r="F1" s="318"/>
      <c r="G1" s="1095"/>
      <c r="H1" s="1095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18"/>
      <c r="AQ1" s="318"/>
      <c r="AR1" s="318"/>
      <c r="AS1" s="318"/>
      <c r="AT1" s="318"/>
      <c r="AU1" s="318"/>
      <c r="AV1" s="318"/>
      <c r="AW1" s="318"/>
      <c r="AX1" s="318"/>
      <c r="AY1" s="318"/>
      <c r="AZ1" s="318"/>
      <c r="BA1" s="318"/>
      <c r="BB1" s="318"/>
      <c r="BC1" s="318"/>
      <c r="BD1" s="318"/>
      <c r="BE1" s="318"/>
      <c r="BF1" s="318"/>
      <c r="BG1" s="318"/>
      <c r="BH1" s="318"/>
      <c r="BI1" s="318"/>
      <c r="BJ1" s="318"/>
      <c r="BK1" s="318"/>
      <c r="BL1" s="318"/>
      <c r="BM1" s="318"/>
      <c r="BN1" s="318"/>
      <c r="BO1" s="318"/>
      <c r="BP1" s="318"/>
      <c r="BQ1" s="318"/>
      <c r="BR1" s="318"/>
      <c r="BS1" s="318"/>
      <c r="BT1" s="318"/>
      <c r="BU1" s="318"/>
      <c r="BV1" s="318"/>
      <c r="BW1" s="318"/>
      <c r="BX1" s="318"/>
      <c r="BY1" s="318"/>
      <c r="BZ1" s="318"/>
      <c r="CA1" s="318"/>
      <c r="CB1" s="318"/>
      <c r="CC1" s="318"/>
      <c r="CD1" s="318"/>
      <c r="CE1" s="318"/>
      <c r="CF1" s="318"/>
      <c r="CG1" s="318"/>
      <c r="CH1" s="318"/>
      <c r="CI1" s="318"/>
      <c r="CJ1" s="318"/>
      <c r="CK1" s="318"/>
      <c r="CL1" s="318"/>
      <c r="CM1" s="318"/>
      <c r="CN1" s="318"/>
      <c r="CO1" s="318"/>
      <c r="CP1" s="318"/>
      <c r="CQ1" s="318"/>
      <c r="CR1" s="318"/>
      <c r="CS1" s="318"/>
      <c r="CT1" s="318"/>
      <c r="CU1" s="318"/>
      <c r="CV1" s="318"/>
      <c r="CW1" s="318"/>
      <c r="CX1" s="318"/>
      <c r="CY1" s="318"/>
      <c r="CZ1" s="318"/>
      <c r="DA1" s="318"/>
      <c r="DB1" s="318"/>
      <c r="DC1" s="318"/>
      <c r="DD1" s="318"/>
      <c r="DE1" s="318"/>
      <c r="DF1" s="318"/>
      <c r="DG1" s="318"/>
      <c r="DH1" s="318"/>
      <c r="DI1" s="318"/>
      <c r="DJ1" s="318"/>
      <c r="DK1" s="318"/>
      <c r="DL1" s="318"/>
      <c r="DM1" s="318"/>
      <c r="DN1" s="318"/>
      <c r="DO1" s="318"/>
      <c r="DP1" s="318"/>
      <c r="DQ1" s="318"/>
      <c r="DR1" s="318"/>
      <c r="DS1" s="318"/>
      <c r="DT1" s="318"/>
      <c r="DU1" s="318"/>
      <c r="DV1" s="318"/>
      <c r="DW1" s="318"/>
      <c r="DX1" s="318"/>
      <c r="DY1" s="318"/>
      <c r="DZ1" s="318"/>
      <c r="EA1" s="318"/>
      <c r="EB1" s="318"/>
      <c r="EC1" s="318"/>
      <c r="ED1" s="318"/>
      <c r="EE1" s="318"/>
      <c r="EF1" s="318"/>
      <c r="EG1" s="318"/>
      <c r="EH1" s="318"/>
      <c r="EI1" s="318"/>
      <c r="EJ1" s="318"/>
      <c r="EK1" s="318"/>
      <c r="EL1" s="318"/>
      <c r="EM1" s="318"/>
      <c r="EN1" s="318"/>
      <c r="EO1" s="318"/>
      <c r="EP1" s="318"/>
      <c r="EQ1" s="318"/>
      <c r="ER1" s="318"/>
      <c r="ES1" s="318"/>
      <c r="ET1" s="318"/>
      <c r="EU1" s="318"/>
      <c r="EV1" s="318"/>
      <c r="EW1" s="318"/>
      <c r="EX1" s="318"/>
      <c r="EY1" s="318"/>
      <c r="EZ1" s="318"/>
      <c r="FA1" s="318"/>
      <c r="FB1" s="318"/>
      <c r="FC1" s="318"/>
      <c r="FD1" s="318"/>
      <c r="FE1" s="318"/>
      <c r="FF1" s="318"/>
      <c r="FG1" s="318"/>
      <c r="FH1" s="318"/>
      <c r="FI1" s="318"/>
      <c r="FJ1" s="318"/>
      <c r="FK1" s="318"/>
      <c r="FL1" s="318"/>
      <c r="FM1" s="318"/>
      <c r="FN1" s="318"/>
      <c r="FO1" s="318"/>
      <c r="FP1" s="318"/>
      <c r="FQ1" s="318"/>
      <c r="FR1" s="318"/>
      <c r="FS1" s="318"/>
      <c r="FT1" s="318"/>
      <c r="FU1" s="318"/>
      <c r="FV1" s="318"/>
      <c r="FW1" s="318"/>
      <c r="FX1" s="318"/>
      <c r="FY1" s="318"/>
      <c r="FZ1" s="318"/>
      <c r="GA1" s="318"/>
      <c r="GB1" s="318"/>
      <c r="GC1" s="318"/>
      <c r="GD1" s="318"/>
      <c r="GE1" s="318"/>
      <c r="GF1" s="318"/>
      <c r="GG1" s="318"/>
      <c r="GH1" s="318"/>
      <c r="GI1" s="318"/>
      <c r="GJ1" s="318"/>
      <c r="GK1" s="318"/>
      <c r="GL1" s="318"/>
      <c r="GM1" s="318"/>
      <c r="GN1" s="318"/>
      <c r="GO1" s="318"/>
      <c r="GP1" s="318"/>
      <c r="GQ1" s="318"/>
      <c r="GR1" s="318"/>
      <c r="GS1" s="318"/>
      <c r="GT1" s="318"/>
      <c r="GU1" s="318"/>
      <c r="GV1" s="318"/>
      <c r="GW1" s="318"/>
      <c r="GX1" s="318"/>
      <c r="GY1" s="318"/>
      <c r="GZ1" s="318"/>
      <c r="HA1" s="318"/>
      <c r="HB1" s="318"/>
      <c r="HC1" s="318"/>
      <c r="HD1" s="318"/>
      <c r="HE1" s="318"/>
      <c r="HF1" s="318"/>
      <c r="HG1" s="318"/>
      <c r="HH1" s="318"/>
      <c r="HI1" s="318"/>
      <c r="HJ1" s="318"/>
      <c r="HK1" s="318"/>
      <c r="HL1" s="318"/>
      <c r="HM1" s="318"/>
      <c r="HN1" s="318"/>
      <c r="HO1" s="318"/>
      <c r="HP1" s="318"/>
      <c r="HQ1" s="318"/>
      <c r="HR1" s="318"/>
      <c r="HS1" s="318"/>
      <c r="HT1" s="318"/>
      <c r="HU1" s="318"/>
      <c r="HV1" s="318"/>
      <c r="HW1" s="318"/>
      <c r="HX1" s="318"/>
    </row>
    <row r="2" spans="1:241">
      <c r="G2" s="848"/>
      <c r="H2" s="610" t="str">
        <f>DOCKETNUMBER_G</f>
        <v>UG_________</v>
      </c>
      <c r="I2" s="826"/>
      <c r="J2" s="826"/>
      <c r="K2" s="826"/>
      <c r="L2" s="826"/>
      <c r="M2" s="826"/>
      <c r="N2" s="606"/>
      <c r="O2" s="861"/>
      <c r="P2" s="610" t="str">
        <f>DOCKETNUMBER_G</f>
        <v>UG_________</v>
      </c>
      <c r="W2" s="848"/>
      <c r="X2" s="610" t="str">
        <f>DOCKETNUMBER_G</f>
        <v>UG_________</v>
      </c>
      <c r="AE2" s="847"/>
      <c r="AF2" s="610" t="str">
        <f>DOCKETNUMBER_G</f>
        <v>UG_________</v>
      </c>
      <c r="AM2" s="847"/>
      <c r="AN2" s="610" t="str">
        <f>DOCKETNUMBER_G</f>
        <v>UG_________</v>
      </c>
      <c r="AU2" s="847"/>
      <c r="AV2" s="610" t="str">
        <f>DOCKETNUMBER_G</f>
        <v>UG_________</v>
      </c>
      <c r="BD2" s="847"/>
      <c r="BE2" s="610" t="str">
        <f>DOCKETNUMBER_G</f>
        <v>UG_________</v>
      </c>
      <c r="BL2" s="847"/>
      <c r="BM2" s="610" t="str">
        <f>DOCKETNUMBER_G</f>
        <v>UG_________</v>
      </c>
      <c r="BT2" s="847"/>
      <c r="BU2" s="610" t="str">
        <f>DOCKETNUMBER_G</f>
        <v>UG_________</v>
      </c>
      <c r="CB2" s="847"/>
      <c r="CC2" s="610" t="str">
        <f>DOCKETNUMBER_G</f>
        <v>UG_________</v>
      </c>
      <c r="CJ2" s="847"/>
      <c r="CK2" s="610" t="str">
        <f>DOCKETNUMBER_G</f>
        <v>UG_________</v>
      </c>
      <c r="CR2" s="847"/>
      <c r="CS2" s="610" t="str">
        <f>DOCKETNUMBER_G</f>
        <v>UG_________</v>
      </c>
      <c r="CZ2" s="847"/>
      <c r="DA2" s="610" t="str">
        <f>DOCKETNUMBER_G</f>
        <v>UG_________</v>
      </c>
      <c r="DH2" s="847"/>
      <c r="DI2" s="610" t="str">
        <f>DOCKETNUMBER_G</f>
        <v>UG_________</v>
      </c>
      <c r="DP2" s="847"/>
      <c r="DQ2" s="610" t="str">
        <f>DOCKETNUMBER_G</f>
        <v>UG_________</v>
      </c>
      <c r="DX2" s="847"/>
      <c r="DY2" s="610" t="str">
        <f>DOCKETNUMBER_G</f>
        <v>UG_________</v>
      </c>
      <c r="EF2" s="847"/>
      <c r="EG2" s="610" t="str">
        <f>DOCKETNUMBER_G</f>
        <v>UG_________</v>
      </c>
      <c r="EN2" s="847"/>
      <c r="EO2" s="610" t="str">
        <f>DOCKETNUMBER_G</f>
        <v>UG_________</v>
      </c>
      <c r="EV2" s="847"/>
      <c r="EW2" s="610" t="str">
        <f>DOCKETNUMBER_G</f>
        <v>UG_________</v>
      </c>
      <c r="FD2" s="847"/>
      <c r="FE2" s="610" t="str">
        <f>DOCKETNUMBER_G</f>
        <v>UG_________</v>
      </c>
      <c r="FL2" s="847"/>
      <c r="FM2" s="610" t="str">
        <f>DOCKETNUMBER_G</f>
        <v>UG_________</v>
      </c>
      <c r="FT2" s="847"/>
      <c r="FU2" s="610" t="str">
        <f>DOCKETNUMBER_G</f>
        <v>UG_________</v>
      </c>
      <c r="GB2" s="847"/>
      <c r="GC2" s="610" t="str">
        <f>DOCKETNUMBER_G</f>
        <v>UG_________</v>
      </c>
      <c r="GJ2" s="847"/>
      <c r="GK2" s="610" t="str">
        <f>DOCKETNUMBER_G</f>
        <v>UG_________</v>
      </c>
      <c r="GR2" s="847"/>
      <c r="GS2" s="610" t="str">
        <f>DOCKETNUMBER_G</f>
        <v>UG_________</v>
      </c>
      <c r="GZ2" s="847"/>
      <c r="HA2" s="610" t="str">
        <f>DOCKETNUMBER_G</f>
        <v>UG_________</v>
      </c>
      <c r="HH2" s="847"/>
      <c r="HI2" s="610" t="str">
        <f>DOCKETNUMBER_G</f>
        <v>UG_________</v>
      </c>
      <c r="HP2" s="847"/>
      <c r="HQ2" s="610" t="str">
        <f>DOCKETNUMBER_G</f>
        <v>UG_________</v>
      </c>
      <c r="HX2" s="847"/>
      <c r="HY2" s="610" t="str">
        <f>DOCKETNUMBER_G</f>
        <v>UG_________</v>
      </c>
    </row>
    <row r="3" spans="1:241" ht="14.4" thickBot="1">
      <c r="G3" s="846"/>
      <c r="H3" s="845" t="s">
        <v>749</v>
      </c>
      <c r="I3" s="826"/>
      <c r="J3" s="826"/>
      <c r="K3" s="826"/>
      <c r="L3" s="826"/>
      <c r="M3" s="826"/>
      <c r="N3" s="606"/>
      <c r="O3" s="1101"/>
      <c r="P3" s="845" t="s">
        <v>748</v>
      </c>
      <c r="W3" s="846"/>
      <c r="X3" s="845" t="s">
        <v>747</v>
      </c>
      <c r="AE3" s="844"/>
      <c r="AF3" s="844" t="s">
        <v>746</v>
      </c>
      <c r="AM3" s="844"/>
      <c r="AN3" s="844" t="s">
        <v>745</v>
      </c>
      <c r="AU3" s="844"/>
      <c r="AV3" s="844" t="s">
        <v>744</v>
      </c>
      <c r="BD3" s="844"/>
      <c r="BE3" s="844" t="s">
        <v>743</v>
      </c>
      <c r="BL3" s="844"/>
      <c r="BM3" s="844" t="s">
        <v>742</v>
      </c>
      <c r="BT3" s="844"/>
      <c r="BU3" s="844" t="s">
        <v>741</v>
      </c>
      <c r="CB3" s="844"/>
      <c r="CC3" s="844" t="s">
        <v>740</v>
      </c>
      <c r="CJ3" s="844"/>
      <c r="CK3" s="844" t="s">
        <v>739</v>
      </c>
      <c r="CR3" s="844"/>
      <c r="CS3" s="844" t="s">
        <v>738</v>
      </c>
      <c r="CZ3" s="844"/>
      <c r="DA3" s="844" t="s">
        <v>737</v>
      </c>
      <c r="DH3" s="844"/>
      <c r="DI3" s="844" t="s">
        <v>736</v>
      </c>
      <c r="DP3" s="844"/>
      <c r="DQ3" s="844" t="s">
        <v>735</v>
      </c>
      <c r="DX3" s="844"/>
      <c r="DY3" s="844" t="s">
        <v>734</v>
      </c>
      <c r="EF3" s="844"/>
      <c r="EG3" s="844" t="s">
        <v>733</v>
      </c>
      <c r="EN3" s="844"/>
      <c r="EO3" s="844" t="s">
        <v>732</v>
      </c>
      <c r="EV3" s="844"/>
      <c r="EW3" s="844" t="s">
        <v>731</v>
      </c>
      <c r="FD3" s="844"/>
      <c r="FE3" s="844" t="s">
        <v>730</v>
      </c>
      <c r="FL3" s="844"/>
      <c r="FM3" s="844" t="s">
        <v>729</v>
      </c>
      <c r="FT3" s="844"/>
      <c r="FU3" s="844" t="s">
        <v>728</v>
      </c>
      <c r="GB3" s="844"/>
      <c r="GC3" s="844" t="s">
        <v>727</v>
      </c>
      <c r="GJ3" s="844"/>
      <c r="GK3" s="844" t="s">
        <v>726</v>
      </c>
      <c r="GR3" s="844"/>
      <c r="GS3" s="844" t="s">
        <v>725</v>
      </c>
      <c r="GZ3" s="844"/>
      <c r="HA3" s="844" t="s">
        <v>724</v>
      </c>
      <c r="HH3" s="844"/>
      <c r="HI3" s="844" t="s">
        <v>723</v>
      </c>
      <c r="HP3" s="844"/>
      <c r="HQ3" s="844" t="s">
        <v>722</v>
      </c>
      <c r="HX3" s="844"/>
      <c r="HY3" s="844" t="s">
        <v>721</v>
      </c>
    </row>
    <row r="4" spans="1:241" s="297" customFormat="1" ht="14.4" thickBot="1">
      <c r="A4" s="607"/>
      <c r="B4" s="607"/>
      <c r="C4" s="607"/>
      <c r="D4" s="607"/>
      <c r="E4" s="607"/>
      <c r="F4" s="607"/>
      <c r="G4" s="607"/>
      <c r="I4" s="265"/>
      <c r="J4" s="265"/>
      <c r="K4" s="265"/>
      <c r="L4" s="265"/>
      <c r="M4" s="265"/>
      <c r="N4" s="265"/>
      <c r="O4" s="265"/>
      <c r="P4" s="265"/>
      <c r="EO4" s="836"/>
      <c r="GT4" s="265"/>
      <c r="GU4" s="265"/>
      <c r="GV4" s="265"/>
      <c r="GW4" s="265"/>
      <c r="GX4" s="265"/>
      <c r="GY4" s="265"/>
      <c r="GZ4" s="265"/>
      <c r="HA4" s="265"/>
      <c r="IG4" s="843"/>
    </row>
    <row r="5" spans="1:241" s="265" customFormat="1" ht="13.2">
      <c r="A5" s="266" t="str">
        <f>Comp_G</f>
        <v>PUGET SOUND ENERGY - NATURAL GAS</v>
      </c>
      <c r="B5" s="266"/>
      <c r="C5" s="266"/>
      <c r="D5" s="266"/>
      <c r="E5" s="266"/>
      <c r="F5" s="266"/>
      <c r="G5" s="266"/>
      <c r="H5" s="266"/>
      <c r="I5" s="266" t="str">
        <f>Comp_G</f>
        <v>PUGET SOUND ENERGY - NATURAL GAS</v>
      </c>
      <c r="J5" s="266"/>
      <c r="K5" s="266"/>
      <c r="L5" s="266"/>
      <c r="M5" s="266"/>
      <c r="N5" s="266"/>
      <c r="O5" s="266"/>
      <c r="P5" s="266"/>
      <c r="Q5" s="266" t="str">
        <f>Comp_G</f>
        <v>PUGET SOUND ENERGY - NATURAL GAS</v>
      </c>
      <c r="R5" s="266"/>
      <c r="S5" s="266"/>
      <c r="T5" s="266"/>
      <c r="U5" s="266"/>
      <c r="V5" s="266"/>
      <c r="W5" s="266"/>
      <c r="X5" s="266"/>
      <c r="Y5" s="266" t="str">
        <f>Comp_G</f>
        <v>PUGET SOUND ENERGY - NATURAL GAS</v>
      </c>
      <c r="Z5" s="266"/>
      <c r="AA5" s="266"/>
      <c r="AB5" s="266"/>
      <c r="AC5" s="266"/>
      <c r="AD5" s="266"/>
      <c r="AE5" s="266"/>
      <c r="AF5" s="266"/>
      <c r="AG5" s="266" t="str">
        <f>Comp_G</f>
        <v>PUGET SOUND ENERGY - NATURAL GAS</v>
      </c>
      <c r="AH5" s="266"/>
      <c r="AI5" s="266"/>
      <c r="AJ5" s="266"/>
      <c r="AK5" s="266"/>
      <c r="AL5" s="266"/>
      <c r="AM5" s="266"/>
      <c r="AN5" s="266"/>
      <c r="AO5" s="266" t="str">
        <f>Comp_G</f>
        <v>PUGET SOUND ENERGY - NATURAL GAS</v>
      </c>
      <c r="AP5" s="266"/>
      <c r="AQ5" s="266"/>
      <c r="AR5" s="266"/>
      <c r="AS5" s="266"/>
      <c r="AT5" s="266"/>
      <c r="AU5" s="266"/>
      <c r="AV5" s="266"/>
      <c r="AW5" s="266" t="str">
        <f>Comp_G</f>
        <v>PUGET SOUND ENERGY - NATURAL GAS</v>
      </c>
      <c r="AX5" s="266"/>
      <c r="AY5" s="266"/>
      <c r="AZ5" s="266"/>
      <c r="BA5" s="266"/>
      <c r="BB5" s="266"/>
      <c r="BC5" s="266"/>
      <c r="BD5" s="266"/>
      <c r="BE5" s="266"/>
      <c r="BF5" s="266" t="str">
        <f>Comp_G</f>
        <v>PUGET SOUND ENERGY - NATURAL GAS</v>
      </c>
      <c r="BG5" s="266"/>
      <c r="BH5" s="266"/>
      <c r="BI5" s="266"/>
      <c r="BJ5" s="266"/>
      <c r="BK5" s="266"/>
      <c r="BL5" s="266"/>
      <c r="BM5" s="266"/>
      <c r="BN5" s="266" t="str">
        <f>Comp_G</f>
        <v>PUGET SOUND ENERGY - NATURAL GAS</v>
      </c>
      <c r="BO5" s="266"/>
      <c r="BP5" s="266"/>
      <c r="BQ5" s="266"/>
      <c r="BR5" s="266"/>
      <c r="BS5" s="266"/>
      <c r="BT5" s="266"/>
      <c r="BU5" s="266"/>
      <c r="BV5" s="266" t="str">
        <f>Comp_G</f>
        <v>PUGET SOUND ENERGY - NATURAL GAS</v>
      </c>
      <c r="BW5" s="266"/>
      <c r="BX5" s="266"/>
      <c r="BY5" s="266"/>
      <c r="BZ5" s="266"/>
      <c r="CA5" s="266"/>
      <c r="CB5" s="266"/>
      <c r="CC5" s="266"/>
      <c r="CD5" s="266" t="str">
        <f>Comp_G</f>
        <v>PUGET SOUND ENERGY - NATURAL GAS</v>
      </c>
      <c r="CE5" s="266"/>
      <c r="CF5" s="266"/>
      <c r="CG5" s="266"/>
      <c r="CH5" s="266"/>
      <c r="CI5" s="266"/>
      <c r="CJ5" s="266"/>
      <c r="CK5" s="266"/>
      <c r="CL5" s="266" t="str">
        <f>Comp_G</f>
        <v>PUGET SOUND ENERGY - NATURAL GAS</v>
      </c>
      <c r="CM5" s="266"/>
      <c r="CN5" s="266"/>
      <c r="CO5" s="266"/>
      <c r="CP5" s="266"/>
      <c r="CQ5" s="266"/>
      <c r="CR5" s="266"/>
      <c r="CS5" s="266"/>
      <c r="CT5" s="266" t="str">
        <f>Comp_G</f>
        <v>PUGET SOUND ENERGY - NATURAL GAS</v>
      </c>
      <c r="CU5" s="266"/>
      <c r="CV5" s="266"/>
      <c r="CW5" s="266"/>
      <c r="CX5" s="266"/>
      <c r="CY5" s="266"/>
      <c r="CZ5" s="266"/>
      <c r="DA5" s="266"/>
      <c r="DB5" s="266" t="str">
        <f>Comp_G</f>
        <v>PUGET SOUND ENERGY - NATURAL GAS</v>
      </c>
      <c r="DC5" s="266"/>
      <c r="DD5" s="266"/>
      <c r="DE5" s="266"/>
      <c r="DF5" s="266"/>
      <c r="DG5" s="266"/>
      <c r="DH5" s="266"/>
      <c r="DI5" s="266"/>
      <c r="DJ5" s="266" t="str">
        <f>Comp_G</f>
        <v>PUGET SOUND ENERGY - NATURAL GAS</v>
      </c>
      <c r="DK5" s="266"/>
      <c r="DL5" s="266"/>
      <c r="DM5" s="266"/>
      <c r="DN5" s="266"/>
      <c r="DO5" s="266"/>
      <c r="DP5" s="266"/>
      <c r="DQ5" s="266"/>
      <c r="DR5" s="266" t="str">
        <f>Comp_G</f>
        <v>PUGET SOUND ENERGY - NATURAL GAS</v>
      </c>
      <c r="DS5" s="266"/>
      <c r="DT5" s="266"/>
      <c r="DU5" s="266"/>
      <c r="DV5" s="266"/>
      <c r="DW5" s="266"/>
      <c r="DX5" s="266"/>
      <c r="DY5" s="266"/>
      <c r="DZ5" s="266" t="str">
        <f>Comp_G</f>
        <v>PUGET SOUND ENERGY - NATURAL GAS</v>
      </c>
      <c r="EA5" s="266"/>
      <c r="EB5" s="266"/>
      <c r="EC5" s="266"/>
      <c r="ED5" s="266"/>
      <c r="EE5" s="266"/>
      <c r="EF5" s="266"/>
      <c r="EG5" s="266"/>
      <c r="EH5" s="266" t="str">
        <f>Comp_G</f>
        <v>PUGET SOUND ENERGY - NATURAL GAS</v>
      </c>
      <c r="EI5" s="266"/>
      <c r="EJ5" s="266"/>
      <c r="EK5" s="266"/>
      <c r="EL5" s="266"/>
      <c r="EM5" s="266"/>
      <c r="EN5" s="266"/>
      <c r="EO5" s="266"/>
      <c r="EP5" s="1295" t="str">
        <f>Comp_G</f>
        <v>PUGET SOUND ENERGY - NATURAL GAS</v>
      </c>
      <c r="EQ5" s="1295"/>
      <c r="ER5" s="1295"/>
      <c r="ES5" s="1295"/>
      <c r="ET5" s="1295"/>
      <c r="EU5" s="1295"/>
      <c r="EV5" s="1295"/>
      <c r="EW5" s="1295"/>
      <c r="EX5" s="266" t="str">
        <f>Comp_G</f>
        <v>PUGET SOUND ENERGY - NATURAL GAS</v>
      </c>
      <c r="EY5" s="266"/>
      <c r="EZ5" s="266"/>
      <c r="FA5" s="266"/>
      <c r="FB5" s="266"/>
      <c r="FC5" s="266"/>
      <c r="FD5" s="266"/>
      <c r="FE5" s="266"/>
      <c r="FF5" s="266" t="str">
        <f>Comp_G</f>
        <v>PUGET SOUND ENERGY - NATURAL GAS</v>
      </c>
      <c r="FG5" s="266"/>
      <c r="FH5" s="266"/>
      <c r="FI5" s="266"/>
      <c r="FJ5" s="266"/>
      <c r="FK5" s="266"/>
      <c r="FL5" s="266"/>
      <c r="FM5" s="266"/>
      <c r="FN5" s="1295" t="str">
        <f>Comp_G</f>
        <v>PUGET SOUND ENERGY - NATURAL GAS</v>
      </c>
      <c r="FO5" s="1295"/>
      <c r="FP5" s="1295"/>
      <c r="FQ5" s="1295"/>
      <c r="FR5" s="1295"/>
      <c r="FS5" s="1295"/>
      <c r="FT5" s="1295"/>
      <c r="FU5" s="1295"/>
      <c r="FV5" s="266" t="str">
        <f>Comp_G</f>
        <v>PUGET SOUND ENERGY - NATURAL GAS</v>
      </c>
      <c r="FW5" s="266"/>
      <c r="FX5" s="266"/>
      <c r="FY5" s="266"/>
      <c r="FZ5" s="266"/>
      <c r="GA5" s="266"/>
      <c r="GB5" s="266"/>
      <c r="GC5" s="266"/>
      <c r="GD5" s="1295" t="str">
        <f>Comp_G</f>
        <v>PUGET SOUND ENERGY - NATURAL GAS</v>
      </c>
      <c r="GE5" s="1295"/>
      <c r="GF5" s="1295"/>
      <c r="GG5" s="1295"/>
      <c r="GH5" s="1295"/>
      <c r="GI5" s="1295"/>
      <c r="GJ5" s="1295"/>
      <c r="GK5" s="1295"/>
      <c r="GL5" s="1295" t="str">
        <f>Comp_G</f>
        <v>PUGET SOUND ENERGY - NATURAL GAS</v>
      </c>
      <c r="GM5" s="1295"/>
      <c r="GN5" s="1295"/>
      <c r="GO5" s="1295"/>
      <c r="GP5" s="1295"/>
      <c r="GQ5" s="1295"/>
      <c r="GR5" s="1295"/>
      <c r="GS5" s="1295"/>
      <c r="GT5" s="266" t="str">
        <f>Comp_G</f>
        <v>PUGET SOUND ENERGY - NATURAL GAS</v>
      </c>
      <c r="GU5" s="266"/>
      <c r="GV5" s="266"/>
      <c r="GW5" s="266"/>
      <c r="GX5" s="266"/>
      <c r="GY5" s="266"/>
      <c r="GZ5" s="266"/>
      <c r="HA5" s="266"/>
      <c r="HB5" s="1295" t="str">
        <f>Comp_G</f>
        <v>PUGET SOUND ENERGY - NATURAL GAS</v>
      </c>
      <c r="HC5" s="1295"/>
      <c r="HD5" s="1295"/>
      <c r="HE5" s="1295"/>
      <c r="HF5" s="1295"/>
      <c r="HG5" s="1295"/>
      <c r="HH5" s="1295"/>
      <c r="HI5" s="1295"/>
      <c r="HJ5" s="1295" t="str">
        <f>Comp_G</f>
        <v>PUGET SOUND ENERGY - NATURAL GAS</v>
      </c>
      <c r="HK5" s="1295"/>
      <c r="HL5" s="1295"/>
      <c r="HM5" s="1295"/>
      <c r="HN5" s="1295"/>
      <c r="HO5" s="1295"/>
      <c r="HP5" s="1295"/>
      <c r="HQ5" s="1295"/>
      <c r="HR5" s="266" t="str">
        <f>Comp_G</f>
        <v>PUGET SOUND ENERGY - NATURAL GAS</v>
      </c>
      <c r="HS5" s="266"/>
      <c r="HT5" s="266"/>
      <c r="HU5" s="266"/>
      <c r="HV5" s="266"/>
      <c r="HW5" s="266"/>
      <c r="HX5" s="266"/>
      <c r="HY5" s="266"/>
      <c r="HZ5" s="1295"/>
      <c r="IA5" s="1295"/>
      <c r="IB5" s="1295"/>
      <c r="IC5" s="1295"/>
      <c r="ID5" s="1295"/>
      <c r="IE5" s="1295"/>
      <c r="IF5" s="1295"/>
      <c r="IG5" s="1295"/>
    </row>
    <row r="6" spans="1:241" s="374" customFormat="1" ht="14.4" customHeight="1">
      <c r="A6" s="603" t="s">
        <v>483</v>
      </c>
      <c r="B6" s="603"/>
      <c r="C6" s="603"/>
      <c r="D6" s="603"/>
      <c r="E6" s="603"/>
      <c r="F6" s="603"/>
      <c r="G6" s="603"/>
      <c r="H6" s="603"/>
      <c r="I6" s="603" t="s">
        <v>482</v>
      </c>
      <c r="J6" s="603"/>
      <c r="K6" s="603"/>
      <c r="L6" s="603"/>
      <c r="M6" s="603"/>
      <c r="N6" s="603"/>
      <c r="O6" s="603"/>
      <c r="P6" s="603"/>
      <c r="Q6" s="603" t="s">
        <v>481</v>
      </c>
      <c r="R6" s="603"/>
      <c r="S6" s="603"/>
      <c r="T6" s="603"/>
      <c r="U6" s="603"/>
      <c r="V6" s="603"/>
      <c r="W6" s="603"/>
      <c r="X6" s="603"/>
      <c r="Y6" s="603" t="s">
        <v>480</v>
      </c>
      <c r="Z6" s="603"/>
      <c r="AA6" s="603"/>
      <c r="AB6" s="603"/>
      <c r="AC6" s="603"/>
      <c r="AD6" s="603"/>
      <c r="AE6" s="603"/>
      <c r="AF6" s="603"/>
      <c r="AG6" s="602" t="s">
        <v>479</v>
      </c>
      <c r="AH6" s="603"/>
      <c r="AI6" s="603"/>
      <c r="AJ6" s="603"/>
      <c r="AK6" s="603"/>
      <c r="AL6" s="603"/>
      <c r="AM6" s="603"/>
      <c r="AN6" s="603"/>
      <c r="AO6" s="603" t="s">
        <v>478</v>
      </c>
      <c r="AP6" s="603"/>
      <c r="AQ6" s="603"/>
      <c r="AR6" s="603"/>
      <c r="AS6" s="603"/>
      <c r="AT6" s="603"/>
      <c r="AU6" s="603"/>
      <c r="AV6" s="603"/>
      <c r="AW6" s="603" t="s">
        <v>19</v>
      </c>
      <c r="AX6" s="603"/>
      <c r="AY6" s="603"/>
      <c r="AZ6" s="603"/>
      <c r="BA6" s="603"/>
      <c r="BB6" s="603"/>
      <c r="BC6" s="603"/>
      <c r="BD6" s="603"/>
      <c r="BE6" s="603"/>
      <c r="BF6" s="604" t="s">
        <v>477</v>
      </c>
      <c r="BG6" s="603"/>
      <c r="BH6" s="603"/>
      <c r="BI6" s="603"/>
      <c r="BJ6" s="603"/>
      <c r="BK6" s="603"/>
      <c r="BL6" s="603"/>
      <c r="BM6" s="603"/>
      <c r="BN6" s="603" t="s">
        <v>476</v>
      </c>
      <c r="BO6" s="603"/>
      <c r="BP6" s="603"/>
      <c r="BQ6" s="603"/>
      <c r="BR6" s="603"/>
      <c r="BS6" s="603"/>
      <c r="BT6" s="603"/>
      <c r="BU6" s="603"/>
      <c r="BV6" s="604" t="s">
        <v>475</v>
      </c>
      <c r="BW6" s="603"/>
      <c r="BX6" s="603"/>
      <c r="BY6" s="603"/>
      <c r="BZ6" s="603"/>
      <c r="CA6" s="603"/>
      <c r="CB6" s="603"/>
      <c r="CC6" s="603"/>
      <c r="CD6" s="602" t="s">
        <v>474</v>
      </c>
      <c r="CE6" s="603"/>
      <c r="CF6" s="603"/>
      <c r="CG6" s="603"/>
      <c r="CH6" s="603"/>
      <c r="CI6" s="603"/>
      <c r="CJ6" s="603"/>
      <c r="CK6" s="603"/>
      <c r="CL6" s="602" t="s">
        <v>473</v>
      </c>
      <c r="CM6" s="603"/>
      <c r="CN6" s="603"/>
      <c r="CO6" s="603"/>
      <c r="CP6" s="603"/>
      <c r="CQ6" s="603"/>
      <c r="CR6" s="603"/>
      <c r="CS6" s="603"/>
      <c r="CT6" s="602" t="s">
        <v>472</v>
      </c>
      <c r="CU6" s="603"/>
      <c r="CV6" s="603"/>
      <c r="CW6" s="603"/>
      <c r="CX6" s="603"/>
      <c r="CY6" s="603"/>
      <c r="CZ6" s="602"/>
      <c r="DA6" s="603"/>
      <c r="DB6" s="602" t="s">
        <v>471</v>
      </c>
      <c r="DC6" s="603"/>
      <c r="DD6" s="603"/>
      <c r="DE6" s="603"/>
      <c r="DF6" s="603"/>
      <c r="DG6" s="603"/>
      <c r="DH6" s="602"/>
      <c r="DI6" s="603"/>
      <c r="DJ6" s="604" t="s">
        <v>470</v>
      </c>
      <c r="DK6" s="603"/>
      <c r="DL6" s="603"/>
      <c r="DM6" s="603"/>
      <c r="DN6" s="603"/>
      <c r="DO6" s="603"/>
      <c r="DP6" s="602"/>
      <c r="DQ6" s="603"/>
      <c r="DR6" s="604" t="s">
        <v>469</v>
      </c>
      <c r="DS6" s="603"/>
      <c r="DT6" s="603"/>
      <c r="DU6" s="603"/>
      <c r="DV6" s="603"/>
      <c r="DW6" s="603"/>
      <c r="DX6" s="602"/>
      <c r="DY6" s="603"/>
      <c r="DZ6" s="604" t="s">
        <v>468</v>
      </c>
      <c r="EA6" s="603"/>
      <c r="EB6" s="603"/>
      <c r="EC6" s="603"/>
      <c r="ED6" s="603"/>
      <c r="EE6" s="603"/>
      <c r="EF6" s="602"/>
      <c r="EG6" s="603"/>
      <c r="EH6" s="602" t="s">
        <v>467</v>
      </c>
      <c r="EI6" s="602"/>
      <c r="EJ6" s="602"/>
      <c r="EK6" s="602"/>
      <c r="EL6" s="602"/>
      <c r="EM6" s="603"/>
      <c r="EN6" s="603"/>
      <c r="EO6" s="602"/>
      <c r="EP6" s="603" t="s">
        <v>720</v>
      </c>
      <c r="EQ6" s="603"/>
      <c r="ER6" s="603"/>
      <c r="ES6" s="603"/>
      <c r="ET6" s="603"/>
      <c r="EU6" s="603"/>
      <c r="EV6" s="603"/>
      <c r="EW6" s="603"/>
      <c r="EX6" s="602" t="s">
        <v>465</v>
      </c>
      <c r="EY6" s="602"/>
      <c r="EZ6" s="602"/>
      <c r="FA6" s="602"/>
      <c r="FB6" s="602"/>
      <c r="FC6" s="603"/>
      <c r="FD6" s="603"/>
      <c r="FE6" s="602"/>
      <c r="FF6" s="604" t="s">
        <v>464</v>
      </c>
      <c r="FG6" s="603"/>
      <c r="FH6" s="603"/>
      <c r="FI6" s="603"/>
      <c r="FJ6" s="603"/>
      <c r="FK6" s="603"/>
      <c r="FL6" s="603"/>
      <c r="FM6" s="603"/>
      <c r="FN6" s="1296" t="s">
        <v>210</v>
      </c>
      <c r="FO6" s="1296"/>
      <c r="FP6" s="1296"/>
      <c r="FQ6" s="1296"/>
      <c r="FR6" s="1296"/>
      <c r="FS6" s="1296"/>
      <c r="FT6" s="1296"/>
      <c r="FU6" s="1296"/>
      <c r="FV6" s="603" t="s">
        <v>463</v>
      </c>
      <c r="FW6" s="603"/>
      <c r="FX6" s="603"/>
      <c r="FY6" s="603"/>
      <c r="FZ6" s="603"/>
      <c r="GA6" s="603"/>
      <c r="GB6" s="603"/>
      <c r="GC6" s="603"/>
      <c r="GD6" s="602" t="s">
        <v>462</v>
      </c>
      <c r="GE6" s="603"/>
      <c r="GF6" s="603"/>
      <c r="GG6" s="603"/>
      <c r="GH6" s="603"/>
      <c r="GI6" s="603"/>
      <c r="GJ6" s="603"/>
      <c r="GK6" s="603"/>
      <c r="GL6" s="1296" t="s">
        <v>719</v>
      </c>
      <c r="GM6" s="1296"/>
      <c r="GN6" s="1296"/>
      <c r="GO6" s="1296"/>
      <c r="GP6" s="1296"/>
      <c r="GQ6" s="1296"/>
      <c r="GR6" s="1296"/>
      <c r="GS6" s="1296"/>
      <c r="GT6" s="603" t="s">
        <v>460</v>
      </c>
      <c r="GU6" s="603"/>
      <c r="GV6" s="603"/>
      <c r="GW6" s="603"/>
      <c r="GX6" s="603"/>
      <c r="GY6" s="603"/>
      <c r="GZ6" s="603"/>
      <c r="HA6" s="603"/>
      <c r="HB6" s="1296" t="s">
        <v>459</v>
      </c>
      <c r="HC6" s="1296"/>
      <c r="HD6" s="1296"/>
      <c r="HE6" s="1296"/>
      <c r="HF6" s="1296"/>
      <c r="HG6" s="1296"/>
      <c r="HH6" s="1296"/>
      <c r="HI6" s="1296"/>
      <c r="HJ6" s="1296" t="s">
        <v>458</v>
      </c>
      <c r="HK6" s="1296"/>
      <c r="HL6" s="1296"/>
      <c r="HM6" s="1296"/>
      <c r="HN6" s="1296"/>
      <c r="HO6" s="1296"/>
      <c r="HP6" s="1296"/>
      <c r="HQ6" s="1296"/>
      <c r="HR6" s="603" t="s">
        <v>631</v>
      </c>
      <c r="HS6" s="603"/>
      <c r="HT6" s="603"/>
      <c r="HU6" s="603"/>
      <c r="HV6" s="603"/>
      <c r="HW6" s="603"/>
      <c r="HX6" s="603"/>
      <c r="HY6" s="603"/>
      <c r="HZ6" s="1296"/>
      <c r="IA6" s="1296"/>
      <c r="IB6" s="1296"/>
      <c r="IC6" s="1296"/>
      <c r="ID6" s="1296"/>
      <c r="IE6" s="1296"/>
      <c r="IF6" s="1296"/>
      <c r="IG6" s="1296"/>
    </row>
    <row r="7" spans="1:241" s="265" customFormat="1" ht="13.2">
      <c r="A7" s="266" t="str">
        <f>TESTYEAR_G</f>
        <v>12 MONTHS ENDED DECEMBER 31, 2018</v>
      </c>
      <c r="B7" s="266"/>
      <c r="C7" s="266"/>
      <c r="D7" s="266"/>
      <c r="E7" s="266"/>
      <c r="F7" s="266"/>
      <c r="G7" s="266"/>
      <c r="H7" s="266"/>
      <c r="I7" s="266" t="str">
        <f>TESTYEAR_G</f>
        <v>12 MONTHS ENDED DECEMBER 31, 2018</v>
      </c>
      <c r="J7" s="266"/>
      <c r="K7" s="266"/>
      <c r="L7" s="266"/>
      <c r="M7" s="266"/>
      <c r="N7" s="266"/>
      <c r="O7" s="266"/>
      <c r="P7" s="266"/>
      <c r="Q7" s="266" t="str">
        <f>TESTYEAR_G</f>
        <v>12 MONTHS ENDED DECEMBER 31, 2018</v>
      </c>
      <c r="R7" s="266"/>
      <c r="S7" s="266"/>
      <c r="T7" s="266"/>
      <c r="U7" s="266"/>
      <c r="V7" s="266"/>
      <c r="W7" s="266"/>
      <c r="X7" s="266"/>
      <c r="Y7" s="266" t="str">
        <f>TESTYEAR_G</f>
        <v>12 MONTHS ENDED DECEMBER 31, 2018</v>
      </c>
      <c r="Z7" s="266"/>
      <c r="AA7" s="266"/>
      <c r="AB7" s="266"/>
      <c r="AC7" s="266"/>
      <c r="AD7" s="266"/>
      <c r="AE7" s="266"/>
      <c r="AF7" s="266"/>
      <c r="AG7" s="266" t="str">
        <f>TESTYEAR_G</f>
        <v>12 MONTHS ENDED DECEMBER 31, 2018</v>
      </c>
      <c r="AH7" s="266"/>
      <c r="AI7" s="266"/>
      <c r="AJ7" s="266"/>
      <c r="AK7" s="266"/>
      <c r="AL7" s="266"/>
      <c r="AM7" s="266"/>
      <c r="AN7" s="266"/>
      <c r="AO7" s="266" t="str">
        <f>TESTYEAR_G</f>
        <v>12 MONTHS ENDED DECEMBER 31, 2018</v>
      </c>
      <c r="AP7" s="266"/>
      <c r="AQ7" s="266"/>
      <c r="AR7" s="266"/>
      <c r="AS7" s="266"/>
      <c r="AT7" s="266"/>
      <c r="AU7" s="266"/>
      <c r="AV7" s="266"/>
      <c r="AW7" s="266" t="str">
        <f>TESTYEAR_G</f>
        <v>12 MONTHS ENDED DECEMBER 31, 2018</v>
      </c>
      <c r="AX7" s="266"/>
      <c r="AY7" s="266"/>
      <c r="AZ7" s="266"/>
      <c r="BA7" s="266"/>
      <c r="BB7" s="266"/>
      <c r="BC7" s="266"/>
      <c r="BD7" s="266"/>
      <c r="BE7" s="266"/>
      <c r="BF7" s="266" t="str">
        <f>TESTYEAR_G</f>
        <v>12 MONTHS ENDED DECEMBER 31, 2018</v>
      </c>
      <c r="BG7" s="266"/>
      <c r="BH7" s="266"/>
      <c r="BI7" s="266"/>
      <c r="BJ7" s="266"/>
      <c r="BK7" s="266"/>
      <c r="BL7" s="266"/>
      <c r="BM7" s="266"/>
      <c r="BN7" s="266" t="str">
        <f>TESTYEAR_G</f>
        <v>12 MONTHS ENDED DECEMBER 31, 2018</v>
      </c>
      <c r="BO7" s="266"/>
      <c r="BP7" s="266"/>
      <c r="BQ7" s="266"/>
      <c r="BR7" s="266"/>
      <c r="BS7" s="266"/>
      <c r="BT7" s="266"/>
      <c r="BU7" s="266"/>
      <c r="BV7" s="266" t="str">
        <f>TESTYEAR_G</f>
        <v>12 MONTHS ENDED DECEMBER 31, 2018</v>
      </c>
      <c r="BW7" s="266"/>
      <c r="BX7" s="266"/>
      <c r="BY7" s="266"/>
      <c r="BZ7" s="266"/>
      <c r="CA7" s="266"/>
      <c r="CB7" s="266"/>
      <c r="CC7" s="266"/>
      <c r="CD7" s="266" t="str">
        <f>TESTYEAR_G</f>
        <v>12 MONTHS ENDED DECEMBER 31, 2018</v>
      </c>
      <c r="CE7" s="266"/>
      <c r="CF7" s="266"/>
      <c r="CG7" s="266"/>
      <c r="CH7" s="266"/>
      <c r="CI7" s="266"/>
      <c r="CJ7" s="266"/>
      <c r="CK7" s="266"/>
      <c r="CL7" s="266" t="str">
        <f>TESTYEAR_G</f>
        <v>12 MONTHS ENDED DECEMBER 31, 2018</v>
      </c>
      <c r="CM7" s="266"/>
      <c r="CN7" s="266"/>
      <c r="CO7" s="266"/>
      <c r="CP7" s="266"/>
      <c r="CQ7" s="266"/>
      <c r="CR7" s="266"/>
      <c r="CS7" s="266"/>
      <c r="CT7" s="266" t="str">
        <f>TESTYEAR_G</f>
        <v>12 MONTHS ENDED DECEMBER 31, 2018</v>
      </c>
      <c r="CU7" s="266"/>
      <c r="CV7" s="266"/>
      <c r="CW7" s="266"/>
      <c r="CX7" s="266"/>
      <c r="CY7" s="266"/>
      <c r="CZ7" s="266"/>
      <c r="DA7" s="266"/>
      <c r="DB7" s="266" t="str">
        <f>TESTYEAR_G</f>
        <v>12 MONTHS ENDED DECEMBER 31, 2018</v>
      </c>
      <c r="DC7" s="266"/>
      <c r="DD7" s="266"/>
      <c r="DE7" s="266"/>
      <c r="DF7" s="266"/>
      <c r="DG7" s="266"/>
      <c r="DH7" s="266"/>
      <c r="DI7" s="266"/>
      <c r="DJ7" s="266" t="str">
        <f>TESTYEAR_G</f>
        <v>12 MONTHS ENDED DECEMBER 31, 2018</v>
      </c>
      <c r="DK7" s="266"/>
      <c r="DL7" s="266"/>
      <c r="DM7" s="266"/>
      <c r="DN7" s="266"/>
      <c r="DO7" s="266"/>
      <c r="DP7" s="266"/>
      <c r="DQ7" s="266"/>
      <c r="DR7" s="266" t="str">
        <f>TESTYEAR_G</f>
        <v>12 MONTHS ENDED DECEMBER 31, 2018</v>
      </c>
      <c r="DS7" s="266"/>
      <c r="DT7" s="266"/>
      <c r="DU7" s="266"/>
      <c r="DV7" s="266"/>
      <c r="DW7" s="266"/>
      <c r="DX7" s="266"/>
      <c r="DY7" s="266"/>
      <c r="DZ7" s="266" t="str">
        <f>TESTYEAR_G</f>
        <v>12 MONTHS ENDED DECEMBER 31, 2018</v>
      </c>
      <c r="EA7" s="266"/>
      <c r="EB7" s="266"/>
      <c r="EC7" s="266"/>
      <c r="ED7" s="266"/>
      <c r="EE7" s="266"/>
      <c r="EF7" s="266"/>
      <c r="EG7" s="266"/>
      <c r="EH7" s="266" t="str">
        <f>TESTYEAR_G</f>
        <v>12 MONTHS ENDED DECEMBER 31, 2018</v>
      </c>
      <c r="EI7" s="266"/>
      <c r="EJ7" s="266"/>
      <c r="EK7" s="266"/>
      <c r="EL7" s="266"/>
      <c r="EM7" s="266"/>
      <c r="EN7" s="266"/>
      <c r="EO7" s="266"/>
      <c r="EP7" s="1295" t="str">
        <f>TESTYEAR_G</f>
        <v>12 MONTHS ENDED DECEMBER 31, 2018</v>
      </c>
      <c r="EQ7" s="1295"/>
      <c r="ER7" s="1295"/>
      <c r="ES7" s="1295"/>
      <c r="ET7" s="1295"/>
      <c r="EU7" s="1295"/>
      <c r="EV7" s="1295"/>
      <c r="EW7" s="1295"/>
      <c r="EX7" s="266" t="str">
        <f>TESTYEAR_G</f>
        <v>12 MONTHS ENDED DECEMBER 31, 2018</v>
      </c>
      <c r="EY7" s="266"/>
      <c r="EZ7" s="266"/>
      <c r="FA7" s="266"/>
      <c r="FB7" s="266"/>
      <c r="FC7" s="266"/>
      <c r="FD7" s="266"/>
      <c r="FE7" s="266"/>
      <c r="FF7" s="266" t="str">
        <f>TESTYEAR_G</f>
        <v>12 MONTHS ENDED DECEMBER 31, 2018</v>
      </c>
      <c r="FG7" s="266"/>
      <c r="FH7" s="266"/>
      <c r="FI7" s="266"/>
      <c r="FJ7" s="266"/>
      <c r="FK7" s="266"/>
      <c r="FL7" s="266"/>
      <c r="FM7" s="266"/>
      <c r="FN7" s="1295" t="str">
        <f>TESTYEAR_G</f>
        <v>12 MONTHS ENDED DECEMBER 31, 2018</v>
      </c>
      <c r="FO7" s="1295"/>
      <c r="FP7" s="1295"/>
      <c r="FQ7" s="1295"/>
      <c r="FR7" s="1295"/>
      <c r="FS7" s="1295"/>
      <c r="FT7" s="1295"/>
      <c r="FU7" s="1295"/>
      <c r="FV7" s="266" t="str">
        <f>TESTYEAR_G</f>
        <v>12 MONTHS ENDED DECEMBER 31, 2018</v>
      </c>
      <c r="FW7" s="266"/>
      <c r="FX7" s="266"/>
      <c r="FY7" s="266"/>
      <c r="FZ7" s="266"/>
      <c r="GA7" s="266"/>
      <c r="GB7" s="266"/>
      <c r="GC7" s="266"/>
      <c r="GD7" s="1295" t="str">
        <f>TESTYEAR_G</f>
        <v>12 MONTHS ENDED DECEMBER 31, 2018</v>
      </c>
      <c r="GE7" s="1295"/>
      <c r="GF7" s="1295"/>
      <c r="GG7" s="1295"/>
      <c r="GH7" s="1295"/>
      <c r="GI7" s="1295"/>
      <c r="GJ7" s="1295"/>
      <c r="GK7" s="1295"/>
      <c r="GL7" s="1295" t="str">
        <f>TESTYEAR_G</f>
        <v>12 MONTHS ENDED DECEMBER 31, 2018</v>
      </c>
      <c r="GM7" s="1295"/>
      <c r="GN7" s="1295"/>
      <c r="GO7" s="1295"/>
      <c r="GP7" s="1295"/>
      <c r="GQ7" s="1295"/>
      <c r="GR7" s="1295"/>
      <c r="GS7" s="1295"/>
      <c r="GT7" s="266" t="str">
        <f>TESTYEAR_G</f>
        <v>12 MONTHS ENDED DECEMBER 31, 2018</v>
      </c>
      <c r="GU7" s="266"/>
      <c r="GV7" s="266"/>
      <c r="GW7" s="266"/>
      <c r="GX7" s="266"/>
      <c r="GY7" s="266"/>
      <c r="GZ7" s="266"/>
      <c r="HA7" s="266"/>
      <c r="HB7" s="1295" t="str">
        <f>TESTYEAR_G</f>
        <v>12 MONTHS ENDED DECEMBER 31, 2018</v>
      </c>
      <c r="HC7" s="1295"/>
      <c r="HD7" s="1295"/>
      <c r="HE7" s="1295"/>
      <c r="HF7" s="1295"/>
      <c r="HG7" s="1295"/>
      <c r="HH7" s="1295"/>
      <c r="HI7" s="1295"/>
      <c r="HJ7" s="1295" t="str">
        <f>TESTYEAR_G</f>
        <v>12 MONTHS ENDED DECEMBER 31, 2018</v>
      </c>
      <c r="HK7" s="1295"/>
      <c r="HL7" s="1295"/>
      <c r="HM7" s="1295"/>
      <c r="HN7" s="1295"/>
      <c r="HO7" s="1295"/>
      <c r="HP7" s="1295"/>
      <c r="HQ7" s="1295"/>
      <c r="HR7" s="266" t="str">
        <f>TESTYEAR_G</f>
        <v>12 MONTHS ENDED DECEMBER 31, 2018</v>
      </c>
      <c r="HS7" s="266"/>
      <c r="HT7" s="266"/>
      <c r="HU7" s="266"/>
      <c r="HV7" s="266"/>
      <c r="HW7" s="266"/>
      <c r="HX7" s="266"/>
      <c r="HY7" s="266"/>
      <c r="HZ7" s="1295"/>
      <c r="IA7" s="1295"/>
      <c r="IB7" s="1295"/>
      <c r="IC7" s="1295"/>
      <c r="ID7" s="1295"/>
      <c r="IE7" s="1295"/>
      <c r="IF7" s="1295"/>
      <c r="IG7" s="1295"/>
    </row>
    <row r="8" spans="1:241" s="265" customFormat="1" thickBot="1">
      <c r="A8" s="266" t="str">
        <f>CASE_G</f>
        <v>2019 GENERAL RATE CASE</v>
      </c>
      <c r="B8" s="266"/>
      <c r="C8" s="266"/>
      <c r="D8" s="266"/>
      <c r="E8" s="266"/>
      <c r="F8" s="266"/>
      <c r="G8" s="266"/>
      <c r="H8" s="266"/>
      <c r="I8" s="266" t="str">
        <f>CASE_G</f>
        <v>2019 GENERAL RATE CASE</v>
      </c>
      <c r="J8" s="266"/>
      <c r="K8" s="266"/>
      <c r="L8" s="266"/>
      <c r="M8" s="266"/>
      <c r="N8" s="266"/>
      <c r="O8" s="266"/>
      <c r="P8" s="266"/>
      <c r="Q8" s="266" t="str">
        <f>CASE_G</f>
        <v>2019 GENERAL RATE CASE</v>
      </c>
      <c r="R8" s="266"/>
      <c r="S8" s="266"/>
      <c r="T8" s="266"/>
      <c r="U8" s="266"/>
      <c r="V8" s="266"/>
      <c r="W8" s="266"/>
      <c r="X8" s="266"/>
      <c r="Y8" s="266" t="str">
        <f>CASE_G</f>
        <v>2019 GENERAL RATE CASE</v>
      </c>
      <c r="Z8" s="266"/>
      <c r="AA8" s="266"/>
      <c r="AB8" s="266"/>
      <c r="AC8" s="266"/>
      <c r="AD8" s="266"/>
      <c r="AE8" s="266"/>
      <c r="AF8" s="266"/>
      <c r="AG8" s="266" t="str">
        <f>CASE_G</f>
        <v>2019 GENERAL RATE CASE</v>
      </c>
      <c r="AH8" s="266"/>
      <c r="AI8" s="266"/>
      <c r="AJ8" s="266"/>
      <c r="AK8" s="266"/>
      <c r="AL8" s="266"/>
      <c r="AM8" s="266"/>
      <c r="AN8" s="266"/>
      <c r="AO8" s="266" t="str">
        <f>CASE_G</f>
        <v>2019 GENERAL RATE CASE</v>
      </c>
      <c r="AP8" s="266"/>
      <c r="AQ8" s="266"/>
      <c r="AR8" s="266"/>
      <c r="AS8" s="266"/>
      <c r="AT8" s="266"/>
      <c r="AU8" s="266"/>
      <c r="AV8" s="266"/>
      <c r="AW8" s="266" t="str">
        <f>CASE_G</f>
        <v>2019 GENERAL RATE CASE</v>
      </c>
      <c r="AX8" s="266"/>
      <c r="AY8" s="266"/>
      <c r="AZ8" s="266"/>
      <c r="BA8" s="266"/>
      <c r="BB8" s="266"/>
      <c r="BC8" s="266"/>
      <c r="BD8" s="266"/>
      <c r="BE8" s="266"/>
      <c r="BF8" s="266" t="str">
        <f>CASE_G</f>
        <v>2019 GENERAL RATE CASE</v>
      </c>
      <c r="BG8" s="266"/>
      <c r="BH8" s="266"/>
      <c r="BI8" s="266"/>
      <c r="BJ8" s="266"/>
      <c r="BK8" s="266"/>
      <c r="BL8" s="266"/>
      <c r="BM8" s="266"/>
      <c r="BN8" s="266" t="str">
        <f>CASE_G</f>
        <v>2019 GENERAL RATE CASE</v>
      </c>
      <c r="BO8" s="266"/>
      <c r="BP8" s="266"/>
      <c r="BQ8" s="266"/>
      <c r="BR8" s="266"/>
      <c r="BS8" s="266"/>
      <c r="BT8" s="266"/>
      <c r="BU8" s="266"/>
      <c r="BV8" s="266" t="str">
        <f>CASE_G</f>
        <v>2019 GENERAL RATE CASE</v>
      </c>
      <c r="BW8" s="266"/>
      <c r="BX8" s="266"/>
      <c r="BY8" s="266"/>
      <c r="BZ8" s="266"/>
      <c r="CA8" s="266"/>
      <c r="CB8" s="266"/>
      <c r="CC8" s="266"/>
      <c r="CD8" s="266" t="str">
        <f>CASE_G</f>
        <v>2019 GENERAL RATE CASE</v>
      </c>
      <c r="CE8" s="266"/>
      <c r="CF8" s="266"/>
      <c r="CG8" s="266"/>
      <c r="CH8" s="266"/>
      <c r="CI8" s="266"/>
      <c r="CJ8" s="266"/>
      <c r="CK8" s="266"/>
      <c r="CL8" s="266" t="str">
        <f>CASE_G</f>
        <v>2019 GENERAL RATE CASE</v>
      </c>
      <c r="CM8" s="266"/>
      <c r="CN8" s="266"/>
      <c r="CO8" s="266"/>
      <c r="CP8" s="266"/>
      <c r="CQ8" s="266"/>
      <c r="CR8" s="266"/>
      <c r="CS8" s="266"/>
      <c r="CT8" s="266" t="str">
        <f>CASE_G</f>
        <v>2019 GENERAL RATE CASE</v>
      </c>
      <c r="CU8" s="266"/>
      <c r="CV8" s="266"/>
      <c r="CW8" s="266"/>
      <c r="CX8" s="266"/>
      <c r="CY8" s="266"/>
      <c r="CZ8" s="266"/>
      <c r="DA8" s="266"/>
      <c r="DB8" s="266" t="str">
        <f>CASE_G</f>
        <v>2019 GENERAL RATE CASE</v>
      </c>
      <c r="DC8" s="266"/>
      <c r="DD8" s="266"/>
      <c r="DE8" s="266"/>
      <c r="DF8" s="266"/>
      <c r="DG8" s="266"/>
      <c r="DH8" s="266"/>
      <c r="DI8" s="266"/>
      <c r="DJ8" s="266" t="str">
        <f>CASE_G</f>
        <v>2019 GENERAL RATE CASE</v>
      </c>
      <c r="DK8" s="266"/>
      <c r="DL8" s="266"/>
      <c r="DM8" s="266"/>
      <c r="DN8" s="266"/>
      <c r="DO8" s="266"/>
      <c r="DP8" s="266"/>
      <c r="DQ8" s="266"/>
      <c r="DR8" s="266" t="str">
        <f>CASE_G</f>
        <v>2019 GENERAL RATE CASE</v>
      </c>
      <c r="DS8" s="266"/>
      <c r="DT8" s="266"/>
      <c r="DU8" s="266"/>
      <c r="DV8" s="266"/>
      <c r="DW8" s="266"/>
      <c r="DX8" s="266"/>
      <c r="DY8" s="266"/>
      <c r="DZ8" s="266" t="str">
        <f>CASE_G</f>
        <v>2019 GENERAL RATE CASE</v>
      </c>
      <c r="EA8" s="266"/>
      <c r="EB8" s="266"/>
      <c r="EC8" s="266"/>
      <c r="ED8" s="266"/>
      <c r="EE8" s="266"/>
      <c r="EF8" s="266"/>
      <c r="EG8" s="266"/>
      <c r="EH8" s="266" t="str">
        <f>CASE_G</f>
        <v>2019 GENERAL RATE CASE</v>
      </c>
      <c r="EI8" s="266"/>
      <c r="EJ8" s="266"/>
      <c r="EK8" s="266"/>
      <c r="EL8" s="266"/>
      <c r="EM8" s="266"/>
      <c r="EN8" s="266"/>
      <c r="EO8" s="266"/>
      <c r="EP8" s="1295" t="str">
        <f>CASE_G</f>
        <v>2019 GENERAL RATE CASE</v>
      </c>
      <c r="EQ8" s="1295"/>
      <c r="ER8" s="1295"/>
      <c r="ES8" s="1295"/>
      <c r="ET8" s="1295"/>
      <c r="EU8" s="1295"/>
      <c r="EV8" s="1295"/>
      <c r="EW8" s="1295"/>
      <c r="EX8" s="266" t="str">
        <f>CASE_G</f>
        <v>2019 GENERAL RATE CASE</v>
      </c>
      <c r="EY8" s="266"/>
      <c r="EZ8" s="266"/>
      <c r="FA8" s="266"/>
      <c r="FB8" s="266"/>
      <c r="FC8" s="266"/>
      <c r="FD8" s="266"/>
      <c r="FE8" s="266"/>
      <c r="FF8" s="266" t="str">
        <f>CASE_G</f>
        <v>2019 GENERAL RATE CASE</v>
      </c>
      <c r="FG8" s="266"/>
      <c r="FH8" s="266"/>
      <c r="FI8" s="266"/>
      <c r="FJ8" s="266"/>
      <c r="FK8" s="266"/>
      <c r="FL8" s="266"/>
      <c r="FM8" s="266"/>
      <c r="FN8" s="1295" t="str">
        <f>CASE_G</f>
        <v>2019 GENERAL RATE CASE</v>
      </c>
      <c r="FO8" s="1295"/>
      <c r="FP8" s="1295"/>
      <c r="FQ8" s="1295"/>
      <c r="FR8" s="1295"/>
      <c r="FS8" s="1295"/>
      <c r="FT8" s="1295"/>
      <c r="FU8" s="1295"/>
      <c r="FV8" s="266" t="str">
        <f>CASE_G</f>
        <v>2019 GENERAL RATE CASE</v>
      </c>
      <c r="FW8" s="266"/>
      <c r="FX8" s="266"/>
      <c r="FY8" s="266"/>
      <c r="FZ8" s="266"/>
      <c r="GA8" s="266"/>
      <c r="GB8" s="266"/>
      <c r="GC8" s="266"/>
      <c r="GD8" s="1295" t="str">
        <f>CASE_G</f>
        <v>2019 GENERAL RATE CASE</v>
      </c>
      <c r="GE8" s="1295"/>
      <c r="GF8" s="1295"/>
      <c r="GG8" s="1295"/>
      <c r="GH8" s="1295"/>
      <c r="GI8" s="1295"/>
      <c r="GJ8" s="1295"/>
      <c r="GK8" s="1295"/>
      <c r="GL8" s="1295" t="str">
        <f>CASE_G</f>
        <v>2019 GENERAL RATE CASE</v>
      </c>
      <c r="GM8" s="1295"/>
      <c r="GN8" s="1295"/>
      <c r="GO8" s="1295"/>
      <c r="GP8" s="1295"/>
      <c r="GQ8" s="1295"/>
      <c r="GR8" s="1295"/>
      <c r="GS8" s="1295"/>
      <c r="GT8" s="266" t="str">
        <f>CASE_G</f>
        <v>2019 GENERAL RATE CASE</v>
      </c>
      <c r="GU8" s="266"/>
      <c r="GV8" s="266"/>
      <c r="GW8" s="266"/>
      <c r="GX8" s="266"/>
      <c r="GY8" s="266"/>
      <c r="GZ8" s="266"/>
      <c r="HA8" s="266"/>
      <c r="HB8" s="1295" t="str">
        <f>CASE_G</f>
        <v>2019 GENERAL RATE CASE</v>
      </c>
      <c r="HC8" s="1295"/>
      <c r="HD8" s="1295"/>
      <c r="HE8" s="1295"/>
      <c r="HF8" s="1295"/>
      <c r="HG8" s="1295"/>
      <c r="HH8" s="1295"/>
      <c r="HI8" s="1295"/>
      <c r="HJ8" s="1295" t="str">
        <f>CASE_G</f>
        <v>2019 GENERAL RATE CASE</v>
      </c>
      <c r="HK8" s="1295"/>
      <c r="HL8" s="1295"/>
      <c r="HM8" s="1295"/>
      <c r="HN8" s="1295"/>
      <c r="HO8" s="1295"/>
      <c r="HP8" s="1295"/>
      <c r="HQ8" s="1295"/>
      <c r="HR8" s="266" t="str">
        <f>CASE_G</f>
        <v>2019 GENERAL RATE CASE</v>
      </c>
      <c r="HS8" s="266"/>
      <c r="HT8" s="266"/>
      <c r="HU8" s="266"/>
      <c r="HV8" s="266"/>
      <c r="HW8" s="266"/>
      <c r="HX8" s="266"/>
      <c r="HY8" s="266"/>
      <c r="HZ8" s="1295"/>
      <c r="IA8" s="1295"/>
      <c r="IB8" s="1295"/>
      <c r="IC8" s="1295"/>
      <c r="ID8" s="1295"/>
      <c r="IE8" s="1295"/>
      <c r="IF8" s="1295"/>
      <c r="IG8" s="1295"/>
    </row>
    <row r="9" spans="1:241" s="265" customFormat="1" thickBot="1">
      <c r="A9" s="266"/>
      <c r="B9" s="266"/>
      <c r="C9" s="266"/>
      <c r="D9" s="266"/>
      <c r="E9" s="266"/>
      <c r="F9" s="841">
        <f>'SEF-4G p 2-5'!D9</f>
        <v>6.01</v>
      </c>
      <c r="G9" s="842"/>
      <c r="H9" s="837">
        <f>'SEF-4G p 2-5'!Z9</f>
        <v>6.01</v>
      </c>
      <c r="I9" s="266"/>
      <c r="J9" s="266"/>
      <c r="K9" s="266"/>
      <c r="N9" s="841">
        <f>+'SEF-4G p 2-5'!E9</f>
        <v>6.02</v>
      </c>
      <c r="P9" s="837">
        <f>+'SEF-4G p 2-5'!AA9</f>
        <v>6.02</v>
      </c>
      <c r="Q9" s="266"/>
      <c r="R9" s="266"/>
      <c r="S9" s="264"/>
      <c r="T9" s="264"/>
      <c r="U9" s="264"/>
      <c r="V9" s="841">
        <f>+'SEF-4E p 2-7'!F9</f>
        <v>6.0299999999999994</v>
      </c>
      <c r="W9" s="264"/>
      <c r="X9" s="837" t="s">
        <v>336</v>
      </c>
      <c r="Y9" s="266"/>
      <c r="Z9" s="266"/>
      <c r="AA9" s="266"/>
      <c r="AB9" s="266"/>
      <c r="AC9" s="266"/>
      <c r="AD9" s="841">
        <f>'SEF-4G p 2-5'!G9</f>
        <v>6.0399999999999991</v>
      </c>
      <c r="AE9" s="842"/>
      <c r="AF9" s="837">
        <f>'SEF-4G p 2-5'!AB9</f>
        <v>6.0399999999999991</v>
      </c>
      <c r="AG9" s="266"/>
      <c r="AH9" s="266"/>
      <c r="AI9" s="266"/>
      <c r="AJ9" s="266"/>
      <c r="AK9" s="266"/>
      <c r="AL9" s="841">
        <f>'SEF-4G p 2-5'!H9</f>
        <v>6.0499999999999989</v>
      </c>
      <c r="AM9" s="266"/>
      <c r="AN9" s="838" t="s">
        <v>336</v>
      </c>
      <c r="AO9" s="266"/>
      <c r="AP9" s="266"/>
      <c r="AQ9" s="266"/>
      <c r="AR9" s="266"/>
      <c r="AS9" s="266"/>
      <c r="AT9" s="841">
        <f>'SEF-4G p 2-5'!I9</f>
        <v>6.0599999999999987</v>
      </c>
      <c r="AU9" s="266"/>
      <c r="AV9" s="838" t="s">
        <v>336</v>
      </c>
      <c r="AW9" s="266"/>
      <c r="AX9" s="266"/>
      <c r="AY9" s="266"/>
      <c r="AZ9" s="266"/>
      <c r="BA9" s="266"/>
      <c r="BB9" s="841">
        <f>'SEF-4G p 2-5'!J9</f>
        <v>6.0699999999999985</v>
      </c>
      <c r="BC9" s="266"/>
      <c r="BD9" s="838" t="s">
        <v>336</v>
      </c>
      <c r="BE9" s="266"/>
      <c r="BF9" s="266"/>
      <c r="BG9" s="266"/>
      <c r="BH9" s="266"/>
      <c r="BI9" s="266"/>
      <c r="BJ9" s="266"/>
      <c r="BK9" s="841">
        <f>'SEF-4G p 2-5'!K9</f>
        <v>6.0799999999999983</v>
      </c>
      <c r="BL9" s="266"/>
      <c r="BM9" s="838" t="s">
        <v>336</v>
      </c>
      <c r="BN9" s="266"/>
      <c r="BO9" s="266"/>
      <c r="BP9" s="266"/>
      <c r="BQ9" s="266"/>
      <c r="BR9" s="266"/>
      <c r="BS9" s="841">
        <f>'SEF-4G p 2-5'!L9</f>
        <v>6.0899999999999981</v>
      </c>
      <c r="BT9" s="266"/>
      <c r="BU9" s="837">
        <f>'SEF-4G p 2-5'!AC9</f>
        <v>6.0899999999999981</v>
      </c>
      <c r="BV9" s="266"/>
      <c r="BW9" s="266"/>
      <c r="BX9" s="266"/>
      <c r="BY9" s="266"/>
      <c r="BZ9" s="266"/>
      <c r="CA9" s="841">
        <f>'SEF-4G p 2-5'!M9</f>
        <v>6.0999999999999979</v>
      </c>
      <c r="CB9" s="266"/>
      <c r="CC9" s="837">
        <f>'SEF-4G p 2-5'!AD9</f>
        <v>6.0999999999999979</v>
      </c>
      <c r="CD9" s="266"/>
      <c r="CE9" s="266"/>
      <c r="CF9" s="266"/>
      <c r="CG9" s="266"/>
      <c r="CH9" s="266"/>
      <c r="CI9" s="841">
        <f>'SEF-4G p 2-5'!N9</f>
        <v>6.1099999999999977</v>
      </c>
      <c r="CJ9" s="266"/>
      <c r="CK9" s="838" t="s">
        <v>336</v>
      </c>
      <c r="CL9" s="266"/>
      <c r="CM9" s="266"/>
      <c r="CN9" s="266"/>
      <c r="CO9" s="266"/>
      <c r="CP9" s="266"/>
      <c r="CQ9" s="841">
        <f>'SEF-4G p 2-5'!O9</f>
        <v>6.1199999999999974</v>
      </c>
      <c r="CR9" s="266"/>
      <c r="CS9" s="838" t="s">
        <v>336</v>
      </c>
      <c r="CT9" s="266"/>
      <c r="CU9" s="266"/>
      <c r="CV9" s="266"/>
      <c r="CW9" s="266"/>
      <c r="CX9" s="266"/>
      <c r="CY9" s="841">
        <f>'SEF-4G p 2-5'!P9</f>
        <v>6.1299999999999972</v>
      </c>
      <c r="CZ9" s="266"/>
      <c r="DA9" s="838" t="s">
        <v>336</v>
      </c>
      <c r="DB9" s="266"/>
      <c r="DC9" s="266"/>
      <c r="DD9" s="266"/>
      <c r="DE9" s="266"/>
      <c r="DF9" s="266"/>
      <c r="DG9" s="841">
        <f>'SEF-4G p 2-5'!Q9</f>
        <v>6.14</v>
      </c>
      <c r="DH9" s="266"/>
      <c r="DI9" s="837">
        <f>'SEF-4G p 2-5'!AE9</f>
        <v>6.14</v>
      </c>
      <c r="DJ9" s="266"/>
      <c r="DK9" s="266"/>
      <c r="DL9" s="266"/>
      <c r="DM9" s="266"/>
      <c r="DN9" s="266"/>
      <c r="DO9" s="841">
        <f>'SEF-4G p 2-5'!R9</f>
        <v>6.15</v>
      </c>
      <c r="DP9" s="266"/>
      <c r="DQ9" s="837">
        <f>'SEF-4G p 2-5'!AF9</f>
        <v>6.15</v>
      </c>
      <c r="DR9" s="266"/>
      <c r="DS9" s="266"/>
      <c r="DT9" s="266"/>
      <c r="DU9" s="266"/>
      <c r="DV9" s="266"/>
      <c r="DW9" s="841">
        <f>'SEF-4G p 2-5'!S9</f>
        <v>6.16</v>
      </c>
      <c r="DX9" s="266"/>
      <c r="DY9" s="837">
        <f>'SEF-4G p 2-5'!AG9</f>
        <v>6.16</v>
      </c>
      <c r="DZ9" s="266"/>
      <c r="EA9" s="266"/>
      <c r="EB9" s="266"/>
      <c r="EC9" s="266"/>
      <c r="ED9" s="266"/>
      <c r="EE9" s="841">
        <f>'SEF-4G p 2-5'!T9</f>
        <v>6.17</v>
      </c>
      <c r="EF9" s="266"/>
      <c r="EG9" s="837">
        <f>'SEF-4G p 2-5'!AH9</f>
        <v>6.17</v>
      </c>
      <c r="EH9" s="836"/>
      <c r="EI9" s="836"/>
      <c r="EJ9" s="836"/>
      <c r="EK9" s="836"/>
      <c r="EL9" s="836"/>
      <c r="EM9" s="841">
        <f>'SEF-4G p 2-5'!U9</f>
        <v>6.18</v>
      </c>
      <c r="EN9" s="836"/>
      <c r="EO9" s="838" t="s">
        <v>336</v>
      </c>
      <c r="EP9" s="836"/>
      <c r="EQ9" s="836"/>
      <c r="ER9" s="836"/>
      <c r="ES9" s="836"/>
      <c r="ET9" s="836"/>
      <c r="EU9" s="841">
        <f>'SEF-4G p 2-5'!V9</f>
        <v>6.19</v>
      </c>
      <c r="EV9" s="836"/>
      <c r="EW9" s="838" t="s">
        <v>336</v>
      </c>
      <c r="EX9" s="266"/>
      <c r="EY9" s="266"/>
      <c r="EZ9" s="266"/>
      <c r="FA9" s="266"/>
      <c r="FB9" s="266"/>
      <c r="FC9" s="838" t="s">
        <v>336</v>
      </c>
      <c r="FD9" s="266"/>
      <c r="FE9" s="837">
        <f>'SEF-4G p 2-5'!AI9</f>
        <v>6.2</v>
      </c>
      <c r="FF9" s="840"/>
      <c r="FG9" s="840"/>
      <c r="FH9" s="840"/>
      <c r="FI9" s="840"/>
      <c r="FJ9" s="840"/>
      <c r="FK9" s="838" t="s">
        <v>336</v>
      </c>
      <c r="FL9" s="840"/>
      <c r="FM9" s="837">
        <f>'SEF-4G p 2-5'!AJ9</f>
        <v>6.21</v>
      </c>
      <c r="FN9" s="836"/>
      <c r="FS9" s="838" t="s">
        <v>336</v>
      </c>
      <c r="FU9" s="837">
        <f>'SEF-4G p 2-5'!AK9</f>
        <v>6.22</v>
      </c>
      <c r="FV9" s="836"/>
      <c r="GA9" s="839">
        <f>'SEF-4G p 2-5'!W9</f>
        <v>6.23</v>
      </c>
      <c r="GC9" s="837">
        <f>'SEF-4G p 2-5'!AL9</f>
        <v>6.2299999999999995</v>
      </c>
      <c r="GD9" s="836"/>
      <c r="GI9" s="838" t="s">
        <v>336</v>
      </c>
      <c r="GK9" s="837">
        <f>'SEF-4G p 2-5'!AM9</f>
        <v>6.2399999999999993</v>
      </c>
      <c r="GL9" s="836"/>
      <c r="GQ9" s="838" t="s">
        <v>336</v>
      </c>
      <c r="GS9" s="837">
        <f>'SEF-4G p 2-5'!AN9</f>
        <v>6.2499999999999991</v>
      </c>
      <c r="GT9" s="836"/>
      <c r="GY9" s="838" t="s">
        <v>336</v>
      </c>
      <c r="HA9" s="837">
        <f>'SEF-4G p 2-5'!AO9</f>
        <v>6.2599999999999989</v>
      </c>
      <c r="HB9" s="836"/>
      <c r="HG9" s="838" t="s">
        <v>336</v>
      </c>
      <c r="HI9" s="837">
        <f>'SEF-4G p 2-5'!AP9</f>
        <v>6.2699999999999987</v>
      </c>
      <c r="HJ9" s="836"/>
      <c r="HO9" s="838" t="s">
        <v>336</v>
      </c>
      <c r="HQ9" s="837">
        <f>'SEF-4G p 2-5'!AQ9</f>
        <v>6.2799999999999985</v>
      </c>
      <c r="HR9" s="836"/>
      <c r="HW9" s="838" t="s">
        <v>336</v>
      </c>
      <c r="HY9" s="837">
        <f>'SEF-4G p 2-5'!AR9</f>
        <v>6.2899999999999983</v>
      </c>
      <c r="HZ9" s="836"/>
    </row>
    <row r="10" spans="1:241">
      <c r="C10" s="598"/>
      <c r="D10" s="295" t="s">
        <v>455</v>
      </c>
      <c r="E10" s="595"/>
      <c r="F10" s="586" t="s">
        <v>96</v>
      </c>
      <c r="G10" s="595"/>
      <c r="H10" s="586" t="s">
        <v>91</v>
      </c>
      <c r="I10" s="599"/>
      <c r="J10" s="598"/>
      <c r="K10" s="598"/>
      <c r="L10" s="295" t="s">
        <v>455</v>
      </c>
      <c r="M10" s="595"/>
      <c r="N10" s="586" t="s">
        <v>96</v>
      </c>
      <c r="O10" s="595"/>
      <c r="P10" s="586" t="s">
        <v>91</v>
      </c>
      <c r="S10" s="598"/>
      <c r="T10" s="295" t="s">
        <v>455</v>
      </c>
      <c r="U10" s="595"/>
      <c r="V10" s="586" t="s">
        <v>96</v>
      </c>
      <c r="W10" s="595"/>
      <c r="X10" s="586" t="s">
        <v>91</v>
      </c>
      <c r="Y10" s="599"/>
      <c r="Z10" s="598"/>
      <c r="AA10" s="598"/>
      <c r="AB10" s="295" t="s">
        <v>455</v>
      </c>
      <c r="AC10" s="595"/>
      <c r="AD10" s="586" t="s">
        <v>96</v>
      </c>
      <c r="AE10" s="595"/>
      <c r="AF10" s="586" t="s">
        <v>91</v>
      </c>
      <c r="AI10" s="598"/>
      <c r="AJ10" s="295" t="s">
        <v>455</v>
      </c>
      <c r="AK10" s="595"/>
      <c r="AL10" s="586" t="s">
        <v>96</v>
      </c>
      <c r="AM10" s="595"/>
      <c r="AN10" s="586" t="s">
        <v>91</v>
      </c>
      <c r="AO10" s="599"/>
      <c r="AP10" s="598"/>
      <c r="AQ10" s="598"/>
      <c r="AR10" s="295" t="s">
        <v>455</v>
      </c>
      <c r="AS10" s="595"/>
      <c r="AT10" s="586" t="s">
        <v>96</v>
      </c>
      <c r="AU10" s="595"/>
      <c r="AV10" s="586" t="s">
        <v>91</v>
      </c>
      <c r="AX10" s="588"/>
      <c r="AY10" s="598"/>
      <c r="AZ10" s="295" t="s">
        <v>455</v>
      </c>
      <c r="BA10" s="595"/>
      <c r="BB10" s="586" t="s">
        <v>96</v>
      </c>
      <c r="BC10" s="595"/>
      <c r="BD10" s="586" t="s">
        <v>91</v>
      </c>
      <c r="BE10" s="262" t="s">
        <v>718</v>
      </c>
      <c r="BH10" s="596"/>
      <c r="BI10" s="295" t="s">
        <v>455</v>
      </c>
      <c r="BJ10" s="595"/>
      <c r="BK10" s="586" t="s">
        <v>96</v>
      </c>
      <c r="BL10" s="595"/>
      <c r="BM10" s="586" t="s">
        <v>91</v>
      </c>
      <c r="BN10" s="587"/>
      <c r="BO10" s="596"/>
      <c r="BP10" s="596"/>
      <c r="BQ10" s="295" t="s">
        <v>455</v>
      </c>
      <c r="BR10" s="595"/>
      <c r="BS10" s="586" t="s">
        <v>96</v>
      </c>
      <c r="BT10" s="595"/>
      <c r="BU10" s="586" t="s">
        <v>91</v>
      </c>
      <c r="BV10" s="587"/>
      <c r="BW10" s="596"/>
      <c r="BX10" s="596"/>
      <c r="BY10" s="295" t="s">
        <v>455</v>
      </c>
      <c r="BZ10" s="595"/>
      <c r="CA10" s="586" t="s">
        <v>96</v>
      </c>
      <c r="CB10" s="595"/>
      <c r="CC10" s="586" t="s">
        <v>91</v>
      </c>
      <c r="CD10" s="587"/>
      <c r="CE10" s="596"/>
      <c r="CF10" s="596"/>
      <c r="CG10" s="295" t="s">
        <v>455</v>
      </c>
      <c r="CH10" s="595"/>
      <c r="CI10" s="586" t="s">
        <v>96</v>
      </c>
      <c r="CJ10" s="595"/>
      <c r="CK10" s="586" t="s">
        <v>91</v>
      </c>
      <c r="CN10" s="596"/>
      <c r="CO10" s="295" t="s">
        <v>455</v>
      </c>
      <c r="CP10" s="595"/>
      <c r="CQ10" s="586" t="s">
        <v>96</v>
      </c>
      <c r="CR10" s="595"/>
      <c r="CS10" s="586" t="s">
        <v>91</v>
      </c>
      <c r="CV10" s="596"/>
      <c r="CW10" s="295" t="s">
        <v>455</v>
      </c>
      <c r="CX10" s="595"/>
      <c r="CY10" s="586" t="s">
        <v>96</v>
      </c>
      <c r="CZ10" s="595"/>
      <c r="DA10" s="586" t="s">
        <v>91</v>
      </c>
      <c r="DD10" s="596"/>
      <c r="DE10" s="295" t="s">
        <v>455</v>
      </c>
      <c r="DF10" s="595"/>
      <c r="DG10" s="586" t="s">
        <v>96</v>
      </c>
      <c r="DH10" s="595"/>
      <c r="DI10" s="586" t="s">
        <v>91</v>
      </c>
      <c r="DL10" s="596"/>
      <c r="DM10" s="295" t="s">
        <v>455</v>
      </c>
      <c r="DN10" s="595"/>
      <c r="DO10" s="586" t="s">
        <v>96</v>
      </c>
      <c r="DP10" s="595"/>
      <c r="DQ10" s="586" t="s">
        <v>91</v>
      </c>
      <c r="DR10" s="591"/>
      <c r="DS10" s="597"/>
      <c r="DT10" s="596"/>
      <c r="DU10" s="295" t="s">
        <v>455</v>
      </c>
      <c r="DV10" s="595"/>
      <c r="DW10" s="586" t="s">
        <v>96</v>
      </c>
      <c r="DX10" s="595"/>
      <c r="DY10" s="586" t="s">
        <v>91</v>
      </c>
      <c r="EB10" s="596"/>
      <c r="EC10" s="295" t="s">
        <v>455</v>
      </c>
      <c r="ED10" s="595"/>
      <c r="EE10" s="586" t="s">
        <v>96</v>
      </c>
      <c r="EF10" s="595"/>
      <c r="EG10" s="586" t="s">
        <v>91</v>
      </c>
      <c r="EJ10" s="596"/>
      <c r="EK10" s="295" t="s">
        <v>455</v>
      </c>
      <c r="EL10" s="595"/>
      <c r="EM10" s="586" t="s">
        <v>96</v>
      </c>
      <c r="EN10" s="595"/>
      <c r="EO10" s="586" t="s">
        <v>91</v>
      </c>
      <c r="ER10" s="596"/>
      <c r="ES10" s="295" t="s">
        <v>455</v>
      </c>
      <c r="ET10" s="595"/>
      <c r="EU10" s="586" t="s">
        <v>96</v>
      </c>
      <c r="EV10" s="595"/>
      <c r="EW10" s="586" t="s">
        <v>91</v>
      </c>
      <c r="EZ10" s="596"/>
      <c r="FA10" s="295" t="s">
        <v>455</v>
      </c>
      <c r="FB10" s="595"/>
      <c r="FC10" s="586" t="s">
        <v>96</v>
      </c>
      <c r="FD10" s="595"/>
      <c r="FE10" s="586" t="s">
        <v>91</v>
      </c>
      <c r="FF10" s="780"/>
      <c r="FG10" s="780"/>
      <c r="FH10" s="780"/>
      <c r="FI10" s="295" t="s">
        <v>455</v>
      </c>
      <c r="FJ10" s="595"/>
      <c r="FK10" s="586" t="s">
        <v>96</v>
      </c>
      <c r="FL10" s="595"/>
      <c r="FM10" s="586" t="s">
        <v>91</v>
      </c>
      <c r="FN10" s="780"/>
      <c r="FO10" s="780"/>
      <c r="FP10" s="780"/>
      <c r="FQ10" s="295" t="s">
        <v>455</v>
      </c>
      <c r="FR10" s="595"/>
      <c r="FS10" s="586" t="s">
        <v>96</v>
      </c>
      <c r="FT10" s="595"/>
      <c r="FU10" s="586" t="s">
        <v>91</v>
      </c>
      <c r="FV10" s="780"/>
      <c r="FW10" s="780"/>
      <c r="FX10" s="780"/>
      <c r="FY10" s="295" t="s">
        <v>455</v>
      </c>
      <c r="FZ10" s="595"/>
      <c r="GA10" s="586" t="s">
        <v>96</v>
      </c>
      <c r="GB10" s="595"/>
      <c r="GC10" s="586" t="s">
        <v>91</v>
      </c>
      <c r="GD10" s="780"/>
      <c r="GE10" s="780"/>
      <c r="GF10" s="780"/>
      <c r="GG10" s="295" t="s">
        <v>455</v>
      </c>
      <c r="GH10" s="595"/>
      <c r="GI10" s="586" t="s">
        <v>96</v>
      </c>
      <c r="GJ10" s="595"/>
      <c r="GK10" s="586" t="s">
        <v>91</v>
      </c>
      <c r="GL10" s="780"/>
      <c r="GM10" s="780"/>
      <c r="GN10" s="780"/>
      <c r="GO10" s="295" t="s">
        <v>455</v>
      </c>
      <c r="GP10" s="595"/>
      <c r="GQ10" s="586" t="s">
        <v>96</v>
      </c>
      <c r="GR10" s="595"/>
      <c r="GS10" s="586" t="s">
        <v>91</v>
      </c>
      <c r="GT10" s="780"/>
      <c r="GU10" s="780"/>
      <c r="GV10" s="780"/>
      <c r="GW10" s="295" t="s">
        <v>455</v>
      </c>
      <c r="GX10" s="595"/>
      <c r="GY10" s="586" t="s">
        <v>96</v>
      </c>
      <c r="GZ10" s="595"/>
      <c r="HA10" s="586" t="s">
        <v>91</v>
      </c>
      <c r="HB10" s="780"/>
      <c r="HC10" s="780"/>
      <c r="HD10" s="780"/>
      <c r="HE10" s="295" t="s">
        <v>455</v>
      </c>
      <c r="HF10" s="595"/>
      <c r="HG10" s="586" t="s">
        <v>96</v>
      </c>
      <c r="HH10" s="595"/>
      <c r="HI10" s="586" t="s">
        <v>91</v>
      </c>
      <c r="HJ10" s="780"/>
      <c r="HK10" s="780"/>
      <c r="HL10" s="780"/>
      <c r="HM10" s="295" t="s">
        <v>455</v>
      </c>
      <c r="HN10" s="595"/>
      <c r="HO10" s="586" t="s">
        <v>96</v>
      </c>
      <c r="HP10" s="595"/>
      <c r="HQ10" s="586" t="s">
        <v>91</v>
      </c>
      <c r="HR10" s="780"/>
      <c r="HS10" s="780"/>
      <c r="HT10" s="780"/>
      <c r="HU10" s="295" t="s">
        <v>455</v>
      </c>
      <c r="HV10" s="595"/>
      <c r="HW10" s="586" t="s">
        <v>96</v>
      </c>
      <c r="HX10" s="595"/>
      <c r="HY10" s="586" t="s">
        <v>91</v>
      </c>
      <c r="HZ10" s="780"/>
    </row>
    <row r="11" spans="1:241">
      <c r="A11" s="663" t="s">
        <v>26</v>
      </c>
      <c r="B11" s="835"/>
      <c r="C11" s="588"/>
      <c r="D11" s="586" t="s">
        <v>97</v>
      </c>
      <c r="E11" s="586" t="s">
        <v>96</v>
      </c>
      <c r="F11" s="586" t="s">
        <v>454</v>
      </c>
      <c r="G11" s="586" t="s">
        <v>91</v>
      </c>
      <c r="H11" s="586" t="s">
        <v>454</v>
      </c>
      <c r="I11" s="1042" t="s">
        <v>26</v>
      </c>
      <c r="J11" s="588"/>
      <c r="K11" s="588"/>
      <c r="L11" s="586" t="s">
        <v>97</v>
      </c>
      <c r="M11" s="586" t="s">
        <v>96</v>
      </c>
      <c r="N11" s="586" t="s">
        <v>454</v>
      </c>
      <c r="O11" s="586" t="s">
        <v>91</v>
      </c>
      <c r="P11" s="586" t="s">
        <v>454</v>
      </c>
      <c r="Q11" s="334" t="s">
        <v>26</v>
      </c>
      <c r="S11" s="588"/>
      <c r="T11" s="586" t="s">
        <v>97</v>
      </c>
      <c r="U11" s="586" t="s">
        <v>96</v>
      </c>
      <c r="V11" s="586" t="s">
        <v>454</v>
      </c>
      <c r="W11" s="586" t="s">
        <v>91</v>
      </c>
      <c r="X11" s="586" t="s">
        <v>454</v>
      </c>
      <c r="Y11" s="334" t="s">
        <v>26</v>
      </c>
      <c r="Z11" s="588"/>
      <c r="AA11" s="588"/>
      <c r="AB11" s="586" t="s">
        <v>97</v>
      </c>
      <c r="AC11" s="586" t="s">
        <v>96</v>
      </c>
      <c r="AD11" s="586" t="s">
        <v>454</v>
      </c>
      <c r="AE11" s="586" t="s">
        <v>91</v>
      </c>
      <c r="AF11" s="586" t="s">
        <v>454</v>
      </c>
      <c r="AG11" s="663" t="s">
        <v>26</v>
      </c>
      <c r="AH11" s="835"/>
      <c r="AI11" s="588"/>
      <c r="AJ11" s="586" t="s">
        <v>97</v>
      </c>
      <c r="AK11" s="586" t="s">
        <v>96</v>
      </c>
      <c r="AL11" s="586" t="s">
        <v>454</v>
      </c>
      <c r="AM11" s="586" t="s">
        <v>91</v>
      </c>
      <c r="AN11" s="586" t="s">
        <v>454</v>
      </c>
      <c r="AO11" s="334" t="s">
        <v>26</v>
      </c>
      <c r="AP11" s="588"/>
      <c r="AQ11" s="588"/>
      <c r="AR11" s="586" t="s">
        <v>97</v>
      </c>
      <c r="AS11" s="586" t="s">
        <v>96</v>
      </c>
      <c r="AT11" s="586" t="s">
        <v>454</v>
      </c>
      <c r="AU11" s="586" t="s">
        <v>91</v>
      </c>
      <c r="AV11" s="586" t="s">
        <v>454</v>
      </c>
      <c r="AW11" s="834" t="s">
        <v>26</v>
      </c>
      <c r="AX11" s="834"/>
      <c r="AY11" s="588"/>
      <c r="AZ11" s="586" t="s">
        <v>97</v>
      </c>
      <c r="BA11" s="586" t="s">
        <v>96</v>
      </c>
      <c r="BB11" s="586" t="s">
        <v>454</v>
      </c>
      <c r="BC11" s="586" t="s">
        <v>91</v>
      </c>
      <c r="BD11" s="586" t="s">
        <v>454</v>
      </c>
      <c r="BE11" s="262" t="s">
        <v>717</v>
      </c>
      <c r="BF11" s="834" t="s">
        <v>26</v>
      </c>
      <c r="BG11" s="834"/>
      <c r="BH11" s="587"/>
      <c r="BI11" s="586" t="s">
        <v>97</v>
      </c>
      <c r="BJ11" s="586" t="s">
        <v>96</v>
      </c>
      <c r="BK11" s="586" t="s">
        <v>454</v>
      </c>
      <c r="BL11" s="586" t="s">
        <v>91</v>
      </c>
      <c r="BM11" s="586" t="s">
        <v>454</v>
      </c>
      <c r="BN11" s="572" t="s">
        <v>26</v>
      </c>
      <c r="BO11" s="587"/>
      <c r="BP11" s="587"/>
      <c r="BQ11" s="586" t="s">
        <v>97</v>
      </c>
      <c r="BR11" s="586" t="s">
        <v>96</v>
      </c>
      <c r="BS11" s="586" t="s">
        <v>454</v>
      </c>
      <c r="BT11" s="586" t="s">
        <v>91</v>
      </c>
      <c r="BU11" s="586" t="s">
        <v>454</v>
      </c>
      <c r="BV11" s="572" t="s">
        <v>26</v>
      </c>
      <c r="BW11" s="587"/>
      <c r="BX11" s="587"/>
      <c r="BY11" s="586" t="s">
        <v>97</v>
      </c>
      <c r="BZ11" s="586" t="s">
        <v>96</v>
      </c>
      <c r="CA11" s="586" t="s">
        <v>454</v>
      </c>
      <c r="CB11" s="586" t="s">
        <v>91</v>
      </c>
      <c r="CC11" s="586" t="s">
        <v>454</v>
      </c>
      <c r="CD11" s="572" t="s">
        <v>26</v>
      </c>
      <c r="CE11" s="587"/>
      <c r="CF11" s="587"/>
      <c r="CG11" s="586" t="s">
        <v>97</v>
      </c>
      <c r="CH11" s="586" t="s">
        <v>96</v>
      </c>
      <c r="CI11" s="586" t="s">
        <v>454</v>
      </c>
      <c r="CJ11" s="586" t="s">
        <v>91</v>
      </c>
      <c r="CK11" s="586" t="s">
        <v>454</v>
      </c>
      <c r="CL11" s="334" t="s">
        <v>26</v>
      </c>
      <c r="CM11" s="588"/>
      <c r="CN11" s="587"/>
      <c r="CO11" s="586" t="s">
        <v>97</v>
      </c>
      <c r="CP11" s="586" t="s">
        <v>96</v>
      </c>
      <c r="CQ11" s="586" t="s">
        <v>454</v>
      </c>
      <c r="CR11" s="586" t="s">
        <v>91</v>
      </c>
      <c r="CS11" s="586" t="s">
        <v>454</v>
      </c>
      <c r="CT11" s="334" t="s">
        <v>26</v>
      </c>
      <c r="CU11" s="588"/>
      <c r="CV11" s="587"/>
      <c r="CW11" s="586" t="s">
        <v>97</v>
      </c>
      <c r="CX11" s="586" t="s">
        <v>96</v>
      </c>
      <c r="CY11" s="586" t="s">
        <v>454</v>
      </c>
      <c r="CZ11" s="586" t="s">
        <v>91</v>
      </c>
      <c r="DA11" s="586" t="s">
        <v>454</v>
      </c>
      <c r="DB11" s="334" t="s">
        <v>26</v>
      </c>
      <c r="DC11" s="588"/>
      <c r="DD11" s="587"/>
      <c r="DE11" s="586" t="s">
        <v>97</v>
      </c>
      <c r="DF11" s="586" t="s">
        <v>96</v>
      </c>
      <c r="DG11" s="586" t="s">
        <v>454</v>
      </c>
      <c r="DH11" s="586" t="s">
        <v>91</v>
      </c>
      <c r="DI11" s="586" t="s">
        <v>454</v>
      </c>
      <c r="DJ11" s="334" t="s">
        <v>26</v>
      </c>
      <c r="DK11" s="588"/>
      <c r="DL11" s="587"/>
      <c r="DM11" s="586" t="s">
        <v>97</v>
      </c>
      <c r="DN11" s="586" t="s">
        <v>96</v>
      </c>
      <c r="DO11" s="586" t="s">
        <v>454</v>
      </c>
      <c r="DP11" s="586" t="s">
        <v>91</v>
      </c>
      <c r="DQ11" s="586" t="s">
        <v>454</v>
      </c>
      <c r="DR11" s="592" t="s">
        <v>26</v>
      </c>
      <c r="DS11" s="591"/>
      <c r="DT11" s="587"/>
      <c r="DU11" s="586" t="s">
        <v>97</v>
      </c>
      <c r="DV11" s="586" t="s">
        <v>96</v>
      </c>
      <c r="DW11" s="586" t="s">
        <v>454</v>
      </c>
      <c r="DX11" s="586" t="s">
        <v>91</v>
      </c>
      <c r="DY11" s="586" t="s">
        <v>454</v>
      </c>
      <c r="DZ11" s="262" t="s">
        <v>26</v>
      </c>
      <c r="EA11" s="588"/>
      <c r="EB11" s="587"/>
      <c r="EC11" s="586" t="s">
        <v>97</v>
      </c>
      <c r="ED11" s="586" t="s">
        <v>96</v>
      </c>
      <c r="EE11" s="586" t="s">
        <v>454</v>
      </c>
      <c r="EF11" s="586" t="s">
        <v>91</v>
      </c>
      <c r="EG11" s="586" t="s">
        <v>454</v>
      </c>
      <c r="EH11" s="262" t="s">
        <v>26</v>
      </c>
      <c r="EI11" s="588"/>
      <c r="EJ11" s="587"/>
      <c r="EK11" s="586" t="s">
        <v>97</v>
      </c>
      <c r="EL11" s="586" t="s">
        <v>96</v>
      </c>
      <c r="EM11" s="586" t="s">
        <v>454</v>
      </c>
      <c r="EN11" s="586" t="s">
        <v>91</v>
      </c>
      <c r="EO11" s="586" t="s">
        <v>454</v>
      </c>
      <c r="EP11" s="262" t="s">
        <v>26</v>
      </c>
      <c r="EQ11" s="588"/>
      <c r="ER11" s="587"/>
      <c r="ES11" s="586" t="s">
        <v>97</v>
      </c>
      <c r="ET11" s="586" t="s">
        <v>96</v>
      </c>
      <c r="EU11" s="586" t="s">
        <v>454</v>
      </c>
      <c r="EV11" s="586" t="s">
        <v>91</v>
      </c>
      <c r="EW11" s="586" t="s">
        <v>454</v>
      </c>
      <c r="EX11" s="262" t="s">
        <v>26</v>
      </c>
      <c r="EY11" s="588"/>
      <c r="EZ11" s="587"/>
      <c r="FA11" s="586" t="s">
        <v>97</v>
      </c>
      <c r="FB11" s="586" t="s">
        <v>96</v>
      </c>
      <c r="FC11" s="586" t="s">
        <v>454</v>
      </c>
      <c r="FD11" s="586" t="s">
        <v>91</v>
      </c>
      <c r="FE11" s="586" t="s">
        <v>454</v>
      </c>
      <c r="FF11" s="586" t="s">
        <v>26</v>
      </c>
      <c r="FG11" s="589"/>
      <c r="FH11" s="589"/>
      <c r="FI11" s="586" t="s">
        <v>97</v>
      </c>
      <c r="FJ11" s="586" t="s">
        <v>96</v>
      </c>
      <c r="FK11" s="586" t="s">
        <v>454</v>
      </c>
      <c r="FL11" s="586" t="s">
        <v>91</v>
      </c>
      <c r="FM11" s="586" t="s">
        <v>454</v>
      </c>
      <c r="FN11" s="586" t="s">
        <v>26</v>
      </c>
      <c r="FO11" s="589"/>
      <c r="FP11" s="589"/>
      <c r="FQ11" s="586" t="s">
        <v>97</v>
      </c>
      <c r="FR11" s="586" t="s">
        <v>96</v>
      </c>
      <c r="FS11" s="586" t="s">
        <v>454</v>
      </c>
      <c r="FT11" s="586" t="s">
        <v>91</v>
      </c>
      <c r="FU11" s="586" t="s">
        <v>454</v>
      </c>
      <c r="FV11" s="586" t="s">
        <v>26</v>
      </c>
      <c r="FW11" s="589"/>
      <c r="FX11" s="589"/>
      <c r="FY11" s="586" t="s">
        <v>97</v>
      </c>
      <c r="FZ11" s="586" t="s">
        <v>96</v>
      </c>
      <c r="GA11" s="586" t="s">
        <v>454</v>
      </c>
      <c r="GB11" s="586" t="s">
        <v>91</v>
      </c>
      <c r="GC11" s="586" t="s">
        <v>454</v>
      </c>
      <c r="GD11" s="586" t="s">
        <v>26</v>
      </c>
      <c r="GE11" s="589"/>
      <c r="GF11" s="589"/>
      <c r="GG11" s="586" t="s">
        <v>97</v>
      </c>
      <c r="GH11" s="586" t="s">
        <v>96</v>
      </c>
      <c r="GI11" s="586" t="s">
        <v>454</v>
      </c>
      <c r="GJ11" s="586" t="s">
        <v>91</v>
      </c>
      <c r="GK11" s="586" t="s">
        <v>454</v>
      </c>
      <c r="GL11" s="586" t="s">
        <v>26</v>
      </c>
      <c r="GM11" s="589"/>
      <c r="GN11" s="589"/>
      <c r="GO11" s="586" t="s">
        <v>97</v>
      </c>
      <c r="GP11" s="586" t="s">
        <v>96</v>
      </c>
      <c r="GQ11" s="586" t="s">
        <v>454</v>
      </c>
      <c r="GR11" s="586" t="s">
        <v>91</v>
      </c>
      <c r="GS11" s="586" t="s">
        <v>454</v>
      </c>
      <c r="GT11" s="586" t="s">
        <v>26</v>
      </c>
      <c r="GU11" s="589"/>
      <c r="GV11" s="589"/>
      <c r="GW11" s="586" t="s">
        <v>97</v>
      </c>
      <c r="GX11" s="586" t="s">
        <v>96</v>
      </c>
      <c r="GY11" s="586" t="s">
        <v>454</v>
      </c>
      <c r="GZ11" s="586" t="s">
        <v>91</v>
      </c>
      <c r="HA11" s="586" t="s">
        <v>454</v>
      </c>
      <c r="HB11" s="586" t="s">
        <v>26</v>
      </c>
      <c r="HC11" s="589"/>
      <c r="HD11" s="589"/>
      <c r="HE11" s="586" t="s">
        <v>97</v>
      </c>
      <c r="HF11" s="586" t="s">
        <v>96</v>
      </c>
      <c r="HG11" s="586" t="s">
        <v>454</v>
      </c>
      <c r="HH11" s="586" t="s">
        <v>91</v>
      </c>
      <c r="HI11" s="586" t="s">
        <v>454</v>
      </c>
      <c r="HJ11" s="586" t="s">
        <v>26</v>
      </c>
      <c r="HK11" s="589"/>
      <c r="HL11" s="589"/>
      <c r="HM11" s="586" t="s">
        <v>97</v>
      </c>
      <c r="HN11" s="586" t="s">
        <v>96</v>
      </c>
      <c r="HO11" s="586" t="s">
        <v>454</v>
      </c>
      <c r="HP11" s="586" t="s">
        <v>91</v>
      </c>
      <c r="HQ11" s="586" t="s">
        <v>454</v>
      </c>
      <c r="HR11" s="586" t="s">
        <v>26</v>
      </c>
      <c r="HS11" s="589"/>
      <c r="HT11" s="589"/>
      <c r="HU11" s="586" t="s">
        <v>97</v>
      </c>
      <c r="HV11" s="586" t="s">
        <v>96</v>
      </c>
      <c r="HW11" s="586" t="s">
        <v>454</v>
      </c>
      <c r="HX11" s="586" t="s">
        <v>91</v>
      </c>
      <c r="HY11" s="586" t="s">
        <v>454</v>
      </c>
      <c r="HZ11" s="586"/>
      <c r="IA11" s="590"/>
      <c r="IB11" s="590"/>
      <c r="IC11" s="590"/>
      <c r="ID11" s="592"/>
      <c r="IE11" s="592"/>
      <c r="IF11" s="592"/>
      <c r="IG11" s="592"/>
    </row>
    <row r="12" spans="1:241">
      <c r="A12" s="661" t="s">
        <v>23</v>
      </c>
      <c r="B12" s="660" t="s">
        <v>22</v>
      </c>
      <c r="C12" s="583" t="s">
        <v>453</v>
      </c>
      <c r="D12" s="580" t="s">
        <v>452</v>
      </c>
      <c r="E12" s="575" t="s">
        <v>451</v>
      </c>
      <c r="F12" s="833" t="s">
        <v>450</v>
      </c>
      <c r="G12" s="575" t="s">
        <v>449</v>
      </c>
      <c r="H12" s="833" t="s">
        <v>448</v>
      </c>
      <c r="I12" s="260" t="s">
        <v>23</v>
      </c>
      <c r="J12" s="573" t="s">
        <v>22</v>
      </c>
      <c r="K12" s="832" t="s">
        <v>453</v>
      </c>
      <c r="L12" s="1102" t="s">
        <v>452</v>
      </c>
      <c r="M12" s="586" t="s">
        <v>451</v>
      </c>
      <c r="N12" s="1102" t="s">
        <v>450</v>
      </c>
      <c r="O12" s="586" t="s">
        <v>449</v>
      </c>
      <c r="P12" s="1102" t="s">
        <v>448</v>
      </c>
      <c r="Q12" s="575" t="s">
        <v>23</v>
      </c>
      <c r="R12" s="581" t="s">
        <v>22</v>
      </c>
      <c r="S12" s="583" t="s">
        <v>453</v>
      </c>
      <c r="T12" s="261" t="s">
        <v>452</v>
      </c>
      <c r="U12" s="575" t="s">
        <v>451</v>
      </c>
      <c r="V12" s="261" t="s">
        <v>450</v>
      </c>
      <c r="W12" s="575" t="s">
        <v>449</v>
      </c>
      <c r="X12" s="261" t="s">
        <v>448</v>
      </c>
      <c r="Y12" s="260" t="s">
        <v>23</v>
      </c>
      <c r="Z12" s="584" t="s">
        <v>22</v>
      </c>
      <c r="AA12" s="583" t="s">
        <v>453</v>
      </c>
      <c r="AB12" s="580" t="s">
        <v>452</v>
      </c>
      <c r="AC12" s="575" t="s">
        <v>451</v>
      </c>
      <c r="AD12" s="580" t="s">
        <v>450</v>
      </c>
      <c r="AE12" s="575" t="s">
        <v>449</v>
      </c>
      <c r="AF12" s="580" t="s">
        <v>448</v>
      </c>
      <c r="AG12" s="661" t="s">
        <v>23</v>
      </c>
      <c r="AH12" s="660" t="s">
        <v>22</v>
      </c>
      <c r="AI12" s="583" t="s">
        <v>453</v>
      </c>
      <c r="AJ12" s="580" t="s">
        <v>452</v>
      </c>
      <c r="AK12" s="575" t="s">
        <v>451</v>
      </c>
      <c r="AL12" s="580" t="s">
        <v>450</v>
      </c>
      <c r="AM12" s="575" t="s">
        <v>449</v>
      </c>
      <c r="AN12" s="580" t="s">
        <v>448</v>
      </c>
      <c r="AO12" s="260" t="s">
        <v>23</v>
      </c>
      <c r="AP12" s="584" t="s">
        <v>22</v>
      </c>
      <c r="AQ12" s="583" t="s">
        <v>453</v>
      </c>
      <c r="AR12" s="580" t="s">
        <v>452</v>
      </c>
      <c r="AS12" s="575" t="s">
        <v>451</v>
      </c>
      <c r="AT12" s="580" t="s">
        <v>450</v>
      </c>
      <c r="AU12" s="575" t="s">
        <v>449</v>
      </c>
      <c r="AV12" s="580" t="s">
        <v>448</v>
      </c>
      <c r="AW12" s="831" t="s">
        <v>23</v>
      </c>
      <c r="AX12" s="584" t="s">
        <v>22</v>
      </c>
      <c r="AY12" s="583" t="s">
        <v>453</v>
      </c>
      <c r="AZ12" s="580" t="s">
        <v>452</v>
      </c>
      <c r="BA12" s="575" t="s">
        <v>451</v>
      </c>
      <c r="BB12" s="580" t="s">
        <v>450</v>
      </c>
      <c r="BC12" s="575" t="s">
        <v>449</v>
      </c>
      <c r="BD12" s="580" t="s">
        <v>448</v>
      </c>
      <c r="BE12" s="260" t="s">
        <v>716</v>
      </c>
      <c r="BF12" s="831" t="s">
        <v>23</v>
      </c>
      <c r="BG12" s="584" t="s">
        <v>22</v>
      </c>
      <c r="BH12" s="576" t="s">
        <v>453</v>
      </c>
      <c r="BI12" s="580" t="s">
        <v>452</v>
      </c>
      <c r="BJ12" s="575" t="s">
        <v>451</v>
      </c>
      <c r="BK12" s="580" t="s">
        <v>450</v>
      </c>
      <c r="BL12" s="575" t="s">
        <v>449</v>
      </c>
      <c r="BM12" s="580" t="s">
        <v>448</v>
      </c>
      <c r="BN12" s="578" t="s">
        <v>23</v>
      </c>
      <c r="BO12" s="582" t="s">
        <v>22</v>
      </c>
      <c r="BP12" s="576" t="s">
        <v>453</v>
      </c>
      <c r="BQ12" s="580" t="s">
        <v>452</v>
      </c>
      <c r="BR12" s="575" t="s">
        <v>451</v>
      </c>
      <c r="BS12" s="580" t="s">
        <v>450</v>
      </c>
      <c r="BT12" s="575" t="s">
        <v>449</v>
      </c>
      <c r="BU12" s="580" t="s">
        <v>448</v>
      </c>
      <c r="BV12" s="578" t="s">
        <v>23</v>
      </c>
      <c r="BW12" s="582" t="s">
        <v>22</v>
      </c>
      <c r="BX12" s="576" t="s">
        <v>453</v>
      </c>
      <c r="BY12" s="580" t="s">
        <v>452</v>
      </c>
      <c r="BZ12" s="575" t="s">
        <v>451</v>
      </c>
      <c r="CA12" s="580" t="s">
        <v>450</v>
      </c>
      <c r="CB12" s="575" t="s">
        <v>449</v>
      </c>
      <c r="CC12" s="580" t="s">
        <v>448</v>
      </c>
      <c r="CD12" s="578" t="s">
        <v>23</v>
      </c>
      <c r="CE12" s="582" t="s">
        <v>22</v>
      </c>
      <c r="CF12" s="576" t="s">
        <v>453</v>
      </c>
      <c r="CG12" s="580" t="s">
        <v>452</v>
      </c>
      <c r="CH12" s="575" t="s">
        <v>451</v>
      </c>
      <c r="CI12" s="580" t="s">
        <v>450</v>
      </c>
      <c r="CJ12" s="575" t="s">
        <v>449</v>
      </c>
      <c r="CK12" s="580" t="s">
        <v>448</v>
      </c>
      <c r="CL12" s="260" t="s">
        <v>23</v>
      </c>
      <c r="CM12" s="577" t="s">
        <v>22</v>
      </c>
      <c r="CN12" s="576" t="s">
        <v>453</v>
      </c>
      <c r="CO12" s="580" t="s">
        <v>452</v>
      </c>
      <c r="CP12" s="575" t="s">
        <v>451</v>
      </c>
      <c r="CQ12" s="580" t="s">
        <v>450</v>
      </c>
      <c r="CR12" s="575" t="s">
        <v>449</v>
      </c>
      <c r="CS12" s="580" t="s">
        <v>448</v>
      </c>
      <c r="CT12" s="260" t="s">
        <v>23</v>
      </c>
      <c r="CU12" s="577" t="s">
        <v>22</v>
      </c>
      <c r="CV12" s="576" t="s">
        <v>453</v>
      </c>
      <c r="CW12" s="580" t="s">
        <v>452</v>
      </c>
      <c r="CX12" s="575" t="s">
        <v>451</v>
      </c>
      <c r="CY12" s="580" t="s">
        <v>450</v>
      </c>
      <c r="CZ12" s="575" t="s">
        <v>449</v>
      </c>
      <c r="DA12" s="580" t="s">
        <v>448</v>
      </c>
      <c r="DB12" s="260" t="s">
        <v>23</v>
      </c>
      <c r="DC12" s="577" t="s">
        <v>22</v>
      </c>
      <c r="DD12" s="576" t="s">
        <v>453</v>
      </c>
      <c r="DE12" s="580" t="s">
        <v>452</v>
      </c>
      <c r="DF12" s="575" t="s">
        <v>451</v>
      </c>
      <c r="DG12" s="580" t="s">
        <v>450</v>
      </c>
      <c r="DH12" s="575" t="s">
        <v>449</v>
      </c>
      <c r="DI12" s="580" t="s">
        <v>448</v>
      </c>
      <c r="DJ12" s="260" t="s">
        <v>23</v>
      </c>
      <c r="DK12" s="577" t="s">
        <v>22</v>
      </c>
      <c r="DL12" s="576" t="s">
        <v>453</v>
      </c>
      <c r="DM12" s="580" t="s">
        <v>452</v>
      </c>
      <c r="DN12" s="575" t="s">
        <v>451</v>
      </c>
      <c r="DO12" s="580" t="s">
        <v>450</v>
      </c>
      <c r="DP12" s="575" t="s">
        <v>449</v>
      </c>
      <c r="DQ12" s="580" t="s">
        <v>448</v>
      </c>
      <c r="DR12" s="578" t="s">
        <v>23</v>
      </c>
      <c r="DS12" s="579" t="s">
        <v>22</v>
      </c>
      <c r="DT12" s="576" t="s">
        <v>453</v>
      </c>
      <c r="DU12" s="261" t="s">
        <v>452</v>
      </c>
      <c r="DV12" s="575" t="s">
        <v>451</v>
      </c>
      <c r="DW12" s="261" t="s">
        <v>450</v>
      </c>
      <c r="DX12" s="575" t="s">
        <v>449</v>
      </c>
      <c r="DY12" s="261" t="s">
        <v>448</v>
      </c>
      <c r="DZ12" s="260" t="s">
        <v>23</v>
      </c>
      <c r="EA12" s="584" t="s">
        <v>22</v>
      </c>
      <c r="EB12" s="576" t="s">
        <v>453</v>
      </c>
      <c r="EC12" s="580" t="s">
        <v>452</v>
      </c>
      <c r="ED12" s="575" t="s">
        <v>451</v>
      </c>
      <c r="EE12" s="580" t="s">
        <v>450</v>
      </c>
      <c r="EF12" s="575" t="s">
        <v>449</v>
      </c>
      <c r="EG12" s="580" t="s">
        <v>448</v>
      </c>
      <c r="EH12" s="260" t="s">
        <v>23</v>
      </c>
      <c r="EI12" s="584" t="s">
        <v>22</v>
      </c>
      <c r="EJ12" s="576" t="s">
        <v>453</v>
      </c>
      <c r="EK12" s="580" t="s">
        <v>452</v>
      </c>
      <c r="EL12" s="575" t="s">
        <v>451</v>
      </c>
      <c r="EM12" s="580" t="s">
        <v>450</v>
      </c>
      <c r="EN12" s="575" t="s">
        <v>449</v>
      </c>
      <c r="EO12" s="580" t="s">
        <v>448</v>
      </c>
      <c r="EP12" s="260" t="s">
        <v>23</v>
      </c>
      <c r="EQ12" s="584" t="s">
        <v>22</v>
      </c>
      <c r="ER12" s="576" t="s">
        <v>453</v>
      </c>
      <c r="ES12" s="580" t="s">
        <v>452</v>
      </c>
      <c r="ET12" s="575" t="s">
        <v>451</v>
      </c>
      <c r="EU12" s="580" t="s">
        <v>450</v>
      </c>
      <c r="EV12" s="575" t="s">
        <v>449</v>
      </c>
      <c r="EW12" s="580" t="s">
        <v>448</v>
      </c>
      <c r="EX12" s="260" t="s">
        <v>23</v>
      </c>
      <c r="EY12" s="584" t="s">
        <v>22</v>
      </c>
      <c r="EZ12" s="576" t="s">
        <v>453</v>
      </c>
      <c r="FA12" s="580" t="s">
        <v>452</v>
      </c>
      <c r="FB12" s="575" t="s">
        <v>451</v>
      </c>
      <c r="FC12" s="580" t="s">
        <v>450</v>
      </c>
      <c r="FD12" s="575" t="s">
        <v>449</v>
      </c>
      <c r="FE12" s="580" t="s">
        <v>448</v>
      </c>
      <c r="FF12" s="575" t="s">
        <v>23</v>
      </c>
      <c r="FG12" s="260" t="s">
        <v>22</v>
      </c>
      <c r="FH12" s="576" t="s">
        <v>453</v>
      </c>
      <c r="FI12" s="580" t="s">
        <v>452</v>
      </c>
      <c r="FJ12" s="575" t="s">
        <v>451</v>
      </c>
      <c r="FK12" s="580" t="s">
        <v>450</v>
      </c>
      <c r="FL12" s="575" t="s">
        <v>449</v>
      </c>
      <c r="FM12" s="580" t="s">
        <v>448</v>
      </c>
      <c r="FN12" s="575" t="s">
        <v>23</v>
      </c>
      <c r="FO12" s="260" t="s">
        <v>22</v>
      </c>
      <c r="FP12" s="576" t="s">
        <v>453</v>
      </c>
      <c r="FQ12" s="580" t="s">
        <v>452</v>
      </c>
      <c r="FR12" s="575" t="s">
        <v>451</v>
      </c>
      <c r="FS12" s="580" t="s">
        <v>450</v>
      </c>
      <c r="FT12" s="575" t="s">
        <v>449</v>
      </c>
      <c r="FU12" s="580" t="s">
        <v>448</v>
      </c>
      <c r="FV12" s="575" t="s">
        <v>23</v>
      </c>
      <c r="FW12" s="260" t="s">
        <v>22</v>
      </c>
      <c r="FX12" s="576" t="s">
        <v>453</v>
      </c>
      <c r="FY12" s="580" t="s">
        <v>452</v>
      </c>
      <c r="FZ12" s="575" t="s">
        <v>451</v>
      </c>
      <c r="GA12" s="580" t="s">
        <v>450</v>
      </c>
      <c r="GB12" s="575" t="s">
        <v>449</v>
      </c>
      <c r="GC12" s="580" t="s">
        <v>448</v>
      </c>
      <c r="GD12" s="575" t="s">
        <v>23</v>
      </c>
      <c r="GE12" s="260" t="s">
        <v>22</v>
      </c>
      <c r="GF12" s="576" t="s">
        <v>453</v>
      </c>
      <c r="GG12" s="580" t="s">
        <v>452</v>
      </c>
      <c r="GH12" s="575" t="s">
        <v>451</v>
      </c>
      <c r="GI12" s="580" t="s">
        <v>450</v>
      </c>
      <c r="GJ12" s="575" t="s">
        <v>449</v>
      </c>
      <c r="GK12" s="580" t="s">
        <v>448</v>
      </c>
      <c r="GL12" s="575" t="s">
        <v>23</v>
      </c>
      <c r="GM12" s="260" t="s">
        <v>22</v>
      </c>
      <c r="GN12" s="576" t="s">
        <v>453</v>
      </c>
      <c r="GO12" s="580" t="s">
        <v>452</v>
      </c>
      <c r="GP12" s="575" t="s">
        <v>451</v>
      </c>
      <c r="GQ12" s="580" t="s">
        <v>450</v>
      </c>
      <c r="GR12" s="575" t="s">
        <v>449</v>
      </c>
      <c r="GS12" s="580" t="s">
        <v>448</v>
      </c>
      <c r="GT12" s="575" t="s">
        <v>23</v>
      </c>
      <c r="GU12" s="260" t="s">
        <v>22</v>
      </c>
      <c r="GV12" s="576" t="s">
        <v>453</v>
      </c>
      <c r="GW12" s="580" t="s">
        <v>452</v>
      </c>
      <c r="GX12" s="575" t="s">
        <v>451</v>
      </c>
      <c r="GY12" s="580" t="s">
        <v>450</v>
      </c>
      <c r="GZ12" s="575" t="s">
        <v>449</v>
      </c>
      <c r="HA12" s="580" t="s">
        <v>448</v>
      </c>
      <c r="HB12" s="575" t="s">
        <v>23</v>
      </c>
      <c r="HC12" s="260" t="s">
        <v>22</v>
      </c>
      <c r="HD12" s="576" t="s">
        <v>453</v>
      </c>
      <c r="HE12" s="580" t="s">
        <v>452</v>
      </c>
      <c r="HF12" s="575" t="s">
        <v>451</v>
      </c>
      <c r="HG12" s="580" t="s">
        <v>450</v>
      </c>
      <c r="HH12" s="575" t="s">
        <v>449</v>
      </c>
      <c r="HI12" s="580" t="s">
        <v>448</v>
      </c>
      <c r="HJ12" s="575" t="s">
        <v>23</v>
      </c>
      <c r="HK12" s="260" t="s">
        <v>22</v>
      </c>
      <c r="HL12" s="576" t="s">
        <v>453</v>
      </c>
      <c r="HM12" s="580" t="s">
        <v>452</v>
      </c>
      <c r="HN12" s="575" t="s">
        <v>451</v>
      </c>
      <c r="HO12" s="580" t="s">
        <v>450</v>
      </c>
      <c r="HP12" s="575" t="s">
        <v>449</v>
      </c>
      <c r="HQ12" s="580" t="s">
        <v>448</v>
      </c>
      <c r="HR12" s="575" t="s">
        <v>23</v>
      </c>
      <c r="HS12" s="260" t="s">
        <v>22</v>
      </c>
      <c r="HT12" s="576" t="s">
        <v>453</v>
      </c>
      <c r="HU12" s="580" t="s">
        <v>452</v>
      </c>
      <c r="HV12" s="575" t="s">
        <v>451</v>
      </c>
      <c r="HW12" s="580" t="s">
        <v>450</v>
      </c>
      <c r="HX12" s="575" t="s">
        <v>449</v>
      </c>
      <c r="HY12" s="580" t="s">
        <v>448</v>
      </c>
      <c r="HZ12" s="575"/>
      <c r="IA12" s="579"/>
      <c r="IB12" s="579"/>
      <c r="IC12" s="578"/>
      <c r="ID12" s="578"/>
      <c r="IE12" s="578"/>
      <c r="IF12" s="578"/>
      <c r="IG12" s="578"/>
    </row>
    <row r="13" spans="1:241">
      <c r="A13" s="759"/>
      <c r="B13" s="759"/>
      <c r="C13" s="759"/>
      <c r="D13" s="759"/>
      <c r="E13" s="759"/>
      <c r="F13" s="769"/>
      <c r="G13" s="769"/>
      <c r="H13" s="769"/>
      <c r="I13" s="826"/>
      <c r="J13" s="237"/>
      <c r="K13" s="237"/>
      <c r="L13" s="237"/>
      <c r="M13" s="237"/>
      <c r="N13" s="237"/>
      <c r="O13" s="237"/>
      <c r="P13" s="237"/>
      <c r="Y13" s="574"/>
      <c r="Z13" s="503"/>
      <c r="AG13" s="756">
        <v>1</v>
      </c>
      <c r="AH13" s="642" t="s">
        <v>715</v>
      </c>
      <c r="AI13" s="830"/>
      <c r="AJ13" s="830"/>
      <c r="AK13" s="830"/>
      <c r="AL13" s="830"/>
      <c r="AN13" s="830"/>
      <c r="AO13" s="295"/>
      <c r="AP13" s="573"/>
      <c r="AQ13" s="573"/>
      <c r="AW13" s="571"/>
      <c r="AX13" s="571"/>
      <c r="AY13" s="571"/>
      <c r="BF13" s="571"/>
      <c r="BG13" s="571"/>
      <c r="BH13" s="571"/>
      <c r="BN13" s="445"/>
      <c r="BO13" s="445"/>
      <c r="BP13" s="445"/>
      <c r="CL13" s="571"/>
      <c r="CM13" s="571"/>
      <c r="CN13" s="571"/>
      <c r="CO13" s="571"/>
      <c r="CP13" s="571"/>
      <c r="CQ13" s="571"/>
      <c r="CR13" s="571"/>
      <c r="CS13" s="571"/>
      <c r="CT13" s="245"/>
      <c r="CU13" s="245"/>
      <c r="CV13" s="245"/>
      <c r="DB13" s="464"/>
      <c r="DC13" s="464"/>
      <c r="DD13" s="464"/>
      <c r="DE13" s="572"/>
      <c r="DF13" s="572"/>
      <c r="DG13" s="572"/>
      <c r="DH13" s="572"/>
      <c r="DI13" s="572"/>
      <c r="DJ13" s="397"/>
      <c r="DK13" s="397"/>
      <c r="DL13" s="351"/>
      <c r="DM13" s="571"/>
      <c r="DN13" s="571"/>
      <c r="DO13" s="571"/>
      <c r="DP13" s="571"/>
      <c r="DQ13" s="571"/>
      <c r="DR13" s="397"/>
      <c r="DS13" s="397"/>
      <c r="DT13" s="397"/>
      <c r="DU13" s="571"/>
      <c r="DV13" s="571"/>
      <c r="DW13" s="571"/>
      <c r="DX13" s="571"/>
      <c r="DY13" s="571"/>
      <c r="DZ13" s="245"/>
      <c r="EA13" s="245"/>
      <c r="EH13" s="245"/>
      <c r="EI13" s="570" t="s">
        <v>44</v>
      </c>
      <c r="EK13" s="273"/>
      <c r="EL13" s="273"/>
      <c r="FF13" s="245"/>
      <c r="FG13" s="245"/>
      <c r="FH13" s="245"/>
      <c r="FI13" s="245"/>
      <c r="FJ13" s="245"/>
      <c r="FK13" s="245"/>
      <c r="FL13" s="245"/>
      <c r="FM13" s="245"/>
    </row>
    <row r="14" spans="1:241">
      <c r="A14" s="756">
        <v>1</v>
      </c>
      <c r="B14" s="778" t="s">
        <v>75</v>
      </c>
      <c r="C14" s="590"/>
      <c r="D14" s="464"/>
      <c r="E14" s="464"/>
      <c r="F14" s="464"/>
      <c r="G14" s="464"/>
      <c r="H14" s="464"/>
      <c r="I14" s="314">
        <v>1</v>
      </c>
      <c r="J14" s="826" t="s">
        <v>1360</v>
      </c>
      <c r="K14" s="826"/>
      <c r="L14" s="1103" t="s">
        <v>1361</v>
      </c>
      <c r="M14" s="1104"/>
      <c r="N14" s="1105"/>
      <c r="O14" s="1103" t="s">
        <v>1362</v>
      </c>
      <c r="P14" s="1105"/>
      <c r="Q14" s="233">
        <v>1</v>
      </c>
      <c r="R14" s="247" t="s">
        <v>286</v>
      </c>
      <c r="S14" s="247"/>
      <c r="T14" s="350">
        <v>31944158.879999999</v>
      </c>
      <c r="U14" s="350">
        <v>20646290.180616394</v>
      </c>
      <c r="V14" s="350">
        <f>U14-T14</f>
        <v>-11297868.699383605</v>
      </c>
      <c r="W14" s="350">
        <f>U14</f>
        <v>20646290.180616394</v>
      </c>
      <c r="X14" s="350">
        <f>W14-U14</f>
        <v>0</v>
      </c>
      <c r="Y14" s="233">
        <v>1</v>
      </c>
      <c r="Z14" s="503" t="s">
        <v>46</v>
      </c>
      <c r="AB14" s="350">
        <v>0</v>
      </c>
      <c r="AC14" s="350">
        <f>+'SEF-4G p 1'!E57</f>
        <v>2092179523.9832296</v>
      </c>
      <c r="AD14" s="350">
        <f>+'SEF-4G p 1'!E57</f>
        <v>2092179523.9832296</v>
      </c>
      <c r="AE14" s="350">
        <f>'SEF-4G p 1'!G57</f>
        <v>2112672665.850872</v>
      </c>
      <c r="AF14" s="350">
        <f>+AE14-AD14</f>
        <v>20493141.867642403</v>
      </c>
      <c r="AG14" s="756">
        <f t="shared" ref="AG14:AG39" si="0">AG13+1</f>
        <v>2</v>
      </c>
      <c r="AH14" s="366" t="s">
        <v>714</v>
      </c>
      <c r="AI14" s="829"/>
      <c r="AJ14" s="387">
        <v>5022860.7894830378</v>
      </c>
      <c r="AK14" s="523">
        <v>0</v>
      </c>
      <c r="AL14" s="387">
        <f t="shared" ref="AL14:AL24" si="1">AK14-AJ14</f>
        <v>-5022860.7894830378</v>
      </c>
      <c r="AM14" s="523">
        <f t="shared" ref="AM14:AM24" si="2">AK14</f>
        <v>0</v>
      </c>
      <c r="AN14" s="523">
        <f t="shared" ref="AN14:AN24" si="3">+AM14-AK14</f>
        <v>0</v>
      </c>
      <c r="AO14" s="233">
        <v>1</v>
      </c>
      <c r="AP14" s="451" t="s">
        <v>444</v>
      </c>
      <c r="AQ14" s="451"/>
      <c r="AR14" s="524">
        <v>-1380897.52</v>
      </c>
      <c r="AS14" s="524">
        <v>243867.49333333332</v>
      </c>
      <c r="AT14" s="524">
        <f>AS14-AR14</f>
        <v>1624765.0133333334</v>
      </c>
      <c r="AU14" s="698">
        <f>+AS14</f>
        <v>243867.49333333332</v>
      </c>
      <c r="AV14" s="524">
        <f>+AU14-AS14</f>
        <v>0</v>
      </c>
      <c r="AW14" s="779">
        <v>1</v>
      </c>
      <c r="AX14" s="779"/>
      <c r="AY14" s="779"/>
      <c r="AZ14" s="561"/>
      <c r="BA14" s="560"/>
      <c r="BB14" s="560"/>
      <c r="BC14" s="560"/>
      <c r="BD14" s="560"/>
      <c r="BE14" s="571"/>
      <c r="BF14" s="367">
        <v>1</v>
      </c>
      <c r="BG14" s="401" t="s">
        <v>443</v>
      </c>
      <c r="BI14" s="698"/>
      <c r="BJ14" s="698"/>
      <c r="BK14" s="698"/>
      <c r="BL14" s="698"/>
      <c r="BM14" s="698"/>
      <c r="BN14" s="478">
        <v>1</v>
      </c>
      <c r="BO14" s="531" t="s">
        <v>442</v>
      </c>
      <c r="BP14" s="531"/>
      <c r="BQ14" s="451">
        <v>34660463.048212998</v>
      </c>
      <c r="BR14" s="451">
        <v>34517801.980430998</v>
      </c>
      <c r="BS14" s="451">
        <f>BR14-BQ14</f>
        <v>-142661.06778199971</v>
      </c>
      <c r="BT14" s="451">
        <v>34660463.048212998</v>
      </c>
      <c r="BU14" s="451">
        <f>BT14-BR14</f>
        <v>142661.06778199971</v>
      </c>
      <c r="BV14" s="468">
        <v>1</v>
      </c>
      <c r="BW14" s="397" t="s">
        <v>441</v>
      </c>
      <c r="BX14" s="397"/>
      <c r="BY14" s="409">
        <v>60814.661506623946</v>
      </c>
      <c r="BZ14" s="409">
        <v>55965.26325353235</v>
      </c>
      <c r="CA14" s="421">
        <f>+BZ14-BY14</f>
        <v>-4849.3982530915964</v>
      </c>
      <c r="CB14" s="409">
        <f>+BY14</f>
        <v>60814.661506623946</v>
      </c>
      <c r="CC14" s="409">
        <f>+CB14-BZ14</f>
        <v>4849.3982530915964</v>
      </c>
      <c r="CD14" s="302">
        <v>1</v>
      </c>
      <c r="CE14" s="301" t="s">
        <v>440</v>
      </c>
      <c r="CG14" s="698">
        <v>0</v>
      </c>
      <c r="CH14" s="698">
        <v>204503.64267608413</v>
      </c>
      <c r="CI14" s="698">
        <f>+CH14-CG14</f>
        <v>204503.64267608413</v>
      </c>
      <c r="CJ14" s="698">
        <f>CH14</f>
        <v>204503.64267608413</v>
      </c>
      <c r="CK14" s="698">
        <f>CJ14-CH14</f>
        <v>0</v>
      </c>
      <c r="CL14" s="367">
        <v>1</v>
      </c>
      <c r="CM14" s="390" t="s">
        <v>432</v>
      </c>
      <c r="CN14" s="390"/>
      <c r="CO14" s="561"/>
      <c r="CP14" s="560"/>
      <c r="CQ14" s="560"/>
      <c r="CR14" s="560"/>
      <c r="CS14" s="560"/>
      <c r="CT14" s="233">
        <v>1</v>
      </c>
      <c r="CU14" s="515" t="s">
        <v>439</v>
      </c>
      <c r="CV14" s="515"/>
      <c r="CW14" s="293">
        <v>2033423.3546339665</v>
      </c>
      <c r="CX14" s="293">
        <v>3008677.465349237</v>
      </c>
      <c r="CY14" s="293">
        <f>CX14-CW14</f>
        <v>975254.11071527051</v>
      </c>
      <c r="CZ14" s="293">
        <f>CX14</f>
        <v>3008677.465349237</v>
      </c>
      <c r="DA14" s="293">
        <f>CZ14-CX14</f>
        <v>0</v>
      </c>
      <c r="DB14" s="302">
        <v>1</v>
      </c>
      <c r="DC14" s="245" t="s">
        <v>438</v>
      </c>
      <c r="DD14" s="293"/>
      <c r="DE14" s="293">
        <v>149851.99538199999</v>
      </c>
      <c r="DF14" s="293">
        <v>121922.86461600001</v>
      </c>
      <c r="DG14" s="293">
        <f>DF14-DE14</f>
        <v>-27929.130765999987</v>
      </c>
      <c r="DH14" s="293">
        <v>139710.59841226495</v>
      </c>
      <c r="DI14" s="293">
        <f>DH14-DF14</f>
        <v>17787.733796264947</v>
      </c>
      <c r="DJ14" s="367">
        <v>1</v>
      </c>
      <c r="DK14" s="566" t="s">
        <v>437</v>
      </c>
      <c r="DL14" s="397"/>
      <c r="DM14" s="409"/>
      <c r="DN14" s="409"/>
      <c r="DO14" s="421"/>
      <c r="DP14" s="409"/>
      <c r="DQ14" s="409"/>
      <c r="DR14" s="367">
        <v>1</v>
      </c>
      <c r="DS14" s="494" t="s">
        <v>436</v>
      </c>
      <c r="DT14" s="433"/>
      <c r="DU14" s="409"/>
      <c r="DV14" s="409"/>
      <c r="DW14" s="421"/>
      <c r="DX14" s="409"/>
      <c r="DY14" s="409"/>
      <c r="DZ14" s="233">
        <v>1</v>
      </c>
      <c r="EA14" s="565" t="s">
        <v>435</v>
      </c>
      <c r="EH14" s="233">
        <v>1</v>
      </c>
      <c r="EI14" s="281" t="s">
        <v>43</v>
      </c>
      <c r="EK14" s="421">
        <v>4100600279.3772311</v>
      </c>
      <c r="EL14" s="421">
        <v>4300940372.1867046</v>
      </c>
      <c r="EM14" s="421">
        <f t="shared" ref="EM14:EM19" si="4">EL14-EK14</f>
        <v>200340092.80947351</v>
      </c>
      <c r="EN14" s="421">
        <f t="shared" ref="EN14:EN19" si="5">EL14</f>
        <v>4300940372.1867046</v>
      </c>
      <c r="EO14" s="421">
        <f t="shared" ref="EO14:EO19" si="6">EN14-EL14</f>
        <v>0</v>
      </c>
      <c r="EP14" s="767">
        <v>1</v>
      </c>
      <c r="EQ14" s="245" t="s">
        <v>713</v>
      </c>
      <c r="ER14" s="314"/>
      <c r="ES14" s="231">
        <v>107878753.22000001</v>
      </c>
      <c r="ET14" s="231">
        <v>111415455.8932782</v>
      </c>
      <c r="EU14" s="231">
        <f>ET14-ES14</f>
        <v>3536702.6732781827</v>
      </c>
      <c r="EV14" s="231">
        <f>ET14</f>
        <v>111415455.8932782</v>
      </c>
      <c r="EW14" s="231">
        <f>EV14-ET14</f>
        <v>0</v>
      </c>
      <c r="EX14" s="314">
        <v>1</v>
      </c>
      <c r="EY14" s="230" t="s">
        <v>431</v>
      </c>
      <c r="EZ14" s="230"/>
      <c r="FA14" s="231"/>
      <c r="FB14" s="231"/>
      <c r="FC14" s="231"/>
      <c r="FD14" s="231"/>
      <c r="FE14" s="231"/>
      <c r="FF14" s="233">
        <v>1</v>
      </c>
      <c r="FG14" s="564"/>
      <c r="FH14" s="507"/>
      <c r="FI14" s="828"/>
      <c r="FJ14" s="828"/>
      <c r="FK14" s="563"/>
      <c r="FL14" s="562"/>
      <c r="FM14" s="562"/>
      <c r="FN14" s="233">
        <v>1</v>
      </c>
      <c r="FO14" s="470" t="s">
        <v>428</v>
      </c>
      <c r="FP14" s="470"/>
      <c r="FQ14" s="470"/>
      <c r="FR14" s="470"/>
      <c r="FS14" s="548"/>
      <c r="FT14" s="548"/>
      <c r="FU14" s="548"/>
      <c r="FV14" s="367">
        <v>1</v>
      </c>
      <c r="FW14" s="390"/>
      <c r="FX14" s="390"/>
      <c r="FY14" s="561"/>
      <c r="FZ14" s="560"/>
      <c r="GA14" s="560"/>
      <c r="GB14" s="560"/>
      <c r="GC14" s="560"/>
      <c r="GD14" s="377">
        <v>1</v>
      </c>
      <c r="GE14" s="470" t="s">
        <v>428</v>
      </c>
      <c r="GF14" s="470"/>
      <c r="GG14" s="548"/>
      <c r="GH14" s="548"/>
      <c r="GI14" s="548"/>
      <c r="GJ14" s="548"/>
      <c r="GK14" s="548"/>
      <c r="GL14" s="767">
        <v>1</v>
      </c>
      <c r="GM14" s="826" t="s">
        <v>431</v>
      </c>
      <c r="GT14" s="233">
        <v>1</v>
      </c>
      <c r="GU14" s="590" t="s">
        <v>430</v>
      </c>
      <c r="GV14" s="470"/>
      <c r="GW14" s="451"/>
      <c r="GX14" s="451"/>
      <c r="GY14" s="451"/>
      <c r="GZ14" s="451"/>
      <c r="HA14" s="451"/>
      <c r="HB14" s="367">
        <v>1</v>
      </c>
      <c r="HC14" s="559" t="s">
        <v>429</v>
      </c>
      <c r="HD14" s="433"/>
      <c r="HE14" s="433"/>
      <c r="HF14" s="433"/>
      <c r="HG14" s="433"/>
      <c r="HH14" s="433"/>
      <c r="HI14" s="433"/>
      <c r="HJ14" s="767">
        <v>1</v>
      </c>
      <c r="HK14" s="247" t="s">
        <v>63</v>
      </c>
      <c r="HM14" s="698">
        <v>1477.51</v>
      </c>
      <c r="HN14" s="698">
        <v>1477.51</v>
      </c>
      <c r="HO14" s="698">
        <f>HN14-HM14</f>
        <v>0</v>
      </c>
      <c r="HP14" s="698">
        <v>1521.84</v>
      </c>
      <c r="HQ14" s="698">
        <f>HP14-HN14</f>
        <v>44.329999999999927</v>
      </c>
      <c r="HR14" s="767">
        <v>1</v>
      </c>
      <c r="HS14" s="965" t="s">
        <v>428</v>
      </c>
    </row>
    <row r="15" spans="1:241">
      <c r="A15" s="756">
        <f t="shared" ref="A15:A48" si="7">+A14+1</f>
        <v>2</v>
      </c>
      <c r="B15" s="774" t="s">
        <v>712</v>
      </c>
      <c r="C15" s="466"/>
      <c r="D15" s="1292" t="s">
        <v>272</v>
      </c>
      <c r="E15" s="821"/>
      <c r="F15" s="274">
        <v>0</v>
      </c>
      <c r="G15" s="1292" t="s">
        <v>272</v>
      </c>
      <c r="H15" s="274">
        <v>50971.28</v>
      </c>
      <c r="I15" s="314">
        <f t="shared" ref="I15:I32" si="8">I14+1</f>
        <v>2</v>
      </c>
      <c r="J15" s="525" t="s">
        <v>711</v>
      </c>
      <c r="K15" s="826"/>
      <c r="L15" s="1106">
        <v>248449022.34600002</v>
      </c>
      <c r="M15" s="1106">
        <v>250876388.34600002</v>
      </c>
      <c r="N15" s="1106">
        <f>M15-L15</f>
        <v>2427366</v>
      </c>
      <c r="O15" s="1106">
        <v>307560348.34599978</v>
      </c>
      <c r="P15" s="1107">
        <v>56683959.999999762</v>
      </c>
      <c r="Q15" s="233">
        <f>Q14+1</f>
        <v>2</v>
      </c>
      <c r="R15" s="247" t="s">
        <v>426</v>
      </c>
      <c r="S15" s="247"/>
      <c r="T15" s="371">
        <v>-9558130.5900000036</v>
      </c>
      <c r="U15" s="303">
        <v>523319.51868811855</v>
      </c>
      <c r="V15" s="371">
        <f>U15-T15</f>
        <v>10081450.108688122</v>
      </c>
      <c r="W15" s="556">
        <f>U15</f>
        <v>523319.51868811855</v>
      </c>
      <c r="X15" s="234">
        <f>W15-U15</f>
        <v>0</v>
      </c>
      <c r="Y15" s="233">
        <f t="shared" ref="Y15:Y22" si="9">Y14+1</f>
        <v>2</v>
      </c>
      <c r="Z15" s="503" t="s">
        <v>425</v>
      </c>
      <c r="AB15" s="1111"/>
      <c r="AC15" s="1111"/>
      <c r="AD15" s="1111"/>
      <c r="AE15" s="1111"/>
      <c r="AF15" s="1111"/>
      <c r="AG15" s="756">
        <f t="shared" si="0"/>
        <v>3</v>
      </c>
      <c r="AH15" s="366" t="s">
        <v>710</v>
      </c>
      <c r="AI15" s="796"/>
      <c r="AJ15" s="348">
        <v>15312447.357404472</v>
      </c>
      <c r="AK15" s="354">
        <v>0</v>
      </c>
      <c r="AL15" s="348">
        <f t="shared" si="1"/>
        <v>-15312447.357404472</v>
      </c>
      <c r="AM15" s="354">
        <f t="shared" si="2"/>
        <v>0</v>
      </c>
      <c r="AN15" s="354">
        <f t="shared" si="3"/>
        <v>0</v>
      </c>
      <c r="AO15" s="233">
        <f t="shared" ref="AO15:AO21" si="10">AO14+1</f>
        <v>2</v>
      </c>
      <c r="AP15" s="451" t="s">
        <v>424</v>
      </c>
      <c r="AQ15" s="451"/>
      <c r="AR15" s="514">
        <v>915434.50818377954</v>
      </c>
      <c r="AS15" s="514">
        <v>880946.86970319226</v>
      </c>
      <c r="AT15" s="514">
        <f>AS15-AR15</f>
        <v>-34487.63848058728</v>
      </c>
      <c r="AU15" s="678">
        <f>+AS15</f>
        <v>880946.86970319226</v>
      </c>
      <c r="AV15" s="513">
        <f>+AU15-AS15</f>
        <v>0</v>
      </c>
      <c r="AW15" s="779">
        <f>AW14+1</f>
        <v>2</v>
      </c>
      <c r="AX15" s="827" t="s">
        <v>423</v>
      </c>
      <c r="AY15" s="827"/>
      <c r="AZ15" s="560">
        <v>4333223.3545110002</v>
      </c>
      <c r="BA15" s="560">
        <v>4491993.9301330792</v>
      </c>
      <c r="BB15" s="560">
        <f>BA15-AZ15</f>
        <v>158770.57562207896</v>
      </c>
      <c r="BC15" s="560">
        <f>BA15</f>
        <v>4491993.9301330792</v>
      </c>
      <c r="BD15" s="560">
        <f>BC15-BA15</f>
        <v>0</v>
      </c>
      <c r="BE15" s="823"/>
      <c r="BF15" s="367">
        <f t="shared" ref="BF15:BF30" si="11">BF14+1</f>
        <v>2</v>
      </c>
      <c r="BG15" s="477" t="s">
        <v>709</v>
      </c>
      <c r="BI15" s="560">
        <v>6401.1338036276547</v>
      </c>
      <c r="BJ15" s="560">
        <v>6786.3900751868023</v>
      </c>
      <c r="BK15" s="560">
        <v>385.25627155914754</v>
      </c>
      <c r="BL15" s="560">
        <v>6786.3900751868023</v>
      </c>
      <c r="BM15" s="560">
        <v>0</v>
      </c>
      <c r="BN15" s="478">
        <v>2</v>
      </c>
      <c r="BO15" s="531" t="s">
        <v>422</v>
      </c>
      <c r="BP15" s="531"/>
      <c r="BQ15" s="475">
        <v>1699067.74</v>
      </c>
      <c r="BR15" s="475">
        <v>1753265.3513399998</v>
      </c>
      <c r="BS15" s="467">
        <f>BR15-BQ15</f>
        <v>54197.611339999828</v>
      </c>
      <c r="BT15" s="475">
        <v>1699067.74</v>
      </c>
      <c r="BU15" s="448">
        <f>BT15-BR15</f>
        <v>-54197.611339999828</v>
      </c>
      <c r="BV15" s="468">
        <f t="shared" ref="BV15:BV22" si="12">BV14+1</f>
        <v>2</v>
      </c>
      <c r="BW15" s="397"/>
      <c r="BX15" s="397"/>
      <c r="BY15" s="1099"/>
      <c r="BZ15" s="1099"/>
      <c r="CA15" s="1099"/>
      <c r="CB15" s="1099"/>
      <c r="CC15" s="1099"/>
      <c r="CD15" s="302">
        <f>CD14+1</f>
        <v>2</v>
      </c>
      <c r="CE15" s="245"/>
      <c r="CG15" s="1099"/>
      <c r="CH15" s="1099"/>
      <c r="CI15" s="1099"/>
      <c r="CJ15" s="1099"/>
      <c r="CK15" s="1099"/>
      <c r="CL15" s="367">
        <f>+CL14+1</f>
        <v>2</v>
      </c>
      <c r="CM15" s="247"/>
      <c r="CN15" s="247"/>
      <c r="CT15" s="233">
        <f>CT14+1</f>
        <v>2</v>
      </c>
      <c r="CU15" s="247" t="s">
        <v>402</v>
      </c>
      <c r="CV15" s="247"/>
      <c r="CW15" s="1119">
        <f>SUM(CW14:CW14)</f>
        <v>2033423.3546339665</v>
      </c>
      <c r="CX15" s="1119">
        <f>SUM(CX14:CX14)</f>
        <v>3008677.465349237</v>
      </c>
      <c r="CY15" s="1119">
        <f>SUM(CY14:CY14)</f>
        <v>975254.11071527051</v>
      </c>
      <c r="CZ15" s="1119">
        <f>SUM(CZ14)</f>
        <v>3008677.465349237</v>
      </c>
      <c r="DA15" s="1119">
        <f>SUM(DA14)</f>
        <v>0</v>
      </c>
      <c r="DB15" s="302">
        <f>DB14+1</f>
        <v>2</v>
      </c>
      <c r="DC15" s="245" t="s">
        <v>420</v>
      </c>
      <c r="DD15" s="303"/>
      <c r="DE15" s="280">
        <v>1080057.9592850001</v>
      </c>
      <c r="DF15" s="280">
        <v>1174632.7056924999</v>
      </c>
      <c r="DG15" s="287">
        <f>DF15-DE15</f>
        <v>94574.74640749977</v>
      </c>
      <c r="DH15" s="280">
        <v>1187833.3182450002</v>
      </c>
      <c r="DI15" s="280">
        <f>DH15-DF15</f>
        <v>13200.61255250033</v>
      </c>
      <c r="DJ15" s="367">
        <f t="shared" ref="DJ15:DJ31" si="13">+DJ14+1</f>
        <v>2</v>
      </c>
      <c r="DK15" s="466" t="s">
        <v>709</v>
      </c>
      <c r="DL15" s="397"/>
      <c r="DM15" s="409">
        <v>87900.023997021053</v>
      </c>
      <c r="DN15" s="409">
        <v>88886.105385896954</v>
      </c>
      <c r="DO15" s="421">
        <f t="shared" ref="DO15:DO23" si="14">+DN15-DM15</f>
        <v>986.0813888759003</v>
      </c>
      <c r="DP15" s="409">
        <v>93145.827811614639</v>
      </c>
      <c r="DQ15" s="409">
        <f t="shared" ref="DQ15:DQ23" si="15">+DP15-DN15</f>
        <v>4259.7224257176858</v>
      </c>
      <c r="DR15" s="367">
        <f t="shared" ref="DR15:DR34" si="16">DR14+1</f>
        <v>2</v>
      </c>
      <c r="DS15" s="436" t="s">
        <v>418</v>
      </c>
      <c r="DT15" s="367"/>
      <c r="DU15" s="421">
        <v>4258316.1606000001</v>
      </c>
      <c r="DV15" s="421">
        <v>4258316.1606000001</v>
      </c>
      <c r="DW15" s="421">
        <f>+DV15-DU15</f>
        <v>0</v>
      </c>
      <c r="DX15" s="421">
        <v>4421409.6695509804</v>
      </c>
      <c r="DY15" s="421">
        <f>+DX15-DV15</f>
        <v>163093.50895098038</v>
      </c>
      <c r="DZ15" s="233">
        <v>2</v>
      </c>
      <c r="EA15" s="410" t="s">
        <v>417</v>
      </c>
      <c r="EC15" s="421">
        <v>8855913.9655213989</v>
      </c>
      <c r="ED15" s="421">
        <v>8840311.0115771983</v>
      </c>
      <c r="EE15" s="421">
        <f>ED15-EC15</f>
        <v>-15602.95394420065</v>
      </c>
      <c r="EF15" s="421">
        <v>9350086.0560744014</v>
      </c>
      <c r="EG15" s="421">
        <f>EF15-ED15</f>
        <v>509775.04449720308</v>
      </c>
      <c r="EH15" s="233">
        <f t="shared" ref="EH15:EH20" si="17">EH14+1</f>
        <v>2</v>
      </c>
      <c r="EI15" s="281" t="s">
        <v>42</v>
      </c>
      <c r="EK15" s="234">
        <v>-1569795173.3202429</v>
      </c>
      <c r="EL15" s="521">
        <v>-1625310954.9975498</v>
      </c>
      <c r="EM15" s="234">
        <f t="shared" si="4"/>
        <v>-55515781.67730689</v>
      </c>
      <c r="EN15" s="521">
        <f t="shared" si="5"/>
        <v>-1625310954.9975498</v>
      </c>
      <c r="EO15" s="234">
        <f t="shared" si="6"/>
        <v>0</v>
      </c>
      <c r="EP15" s="767">
        <f t="shared" ref="EP15:EP31" si="18">EP14+1</f>
        <v>2</v>
      </c>
      <c r="EQ15" s="247" t="s">
        <v>708</v>
      </c>
      <c r="ER15" s="767"/>
      <c r="ES15" s="521">
        <v>8928406.3818600178</v>
      </c>
      <c r="ET15" s="521">
        <v>9523330.3541565742</v>
      </c>
      <c r="EU15" s="521">
        <f>ET15-ES15</f>
        <v>594923.97229655646</v>
      </c>
      <c r="EV15" s="521">
        <f>ET15</f>
        <v>9523330.3541565742</v>
      </c>
      <c r="EW15" s="521">
        <f>EV15-ET15</f>
        <v>0</v>
      </c>
      <c r="EX15" s="314">
        <f t="shared" ref="EX15:EX20" si="19">EX14+1</f>
        <v>2</v>
      </c>
      <c r="EY15" s="230" t="s">
        <v>413</v>
      </c>
      <c r="EZ15" s="230"/>
      <c r="FA15" s="231">
        <v>116306.4</v>
      </c>
      <c r="FB15" s="231">
        <v>116306.4</v>
      </c>
      <c r="FC15" s="231">
        <f>FB15-FA15</f>
        <v>0</v>
      </c>
      <c r="FD15" s="231">
        <v>24348.123333333362</v>
      </c>
      <c r="FE15" s="231">
        <f>FD15-FB15</f>
        <v>-91958.276666666628</v>
      </c>
      <c r="FF15" s="233">
        <f>FF14+1</f>
        <v>2</v>
      </c>
      <c r="FG15" s="549" t="s">
        <v>1356</v>
      </c>
      <c r="FH15" s="487"/>
      <c r="FI15" s="384">
        <v>8603273.5200000051</v>
      </c>
      <c r="FJ15" s="384">
        <v>8603273.5200000051</v>
      </c>
      <c r="FK15" s="488">
        <f>FJ15-FI15</f>
        <v>0</v>
      </c>
      <c r="FL15" s="488">
        <v>9460164.1915668994</v>
      </c>
      <c r="FM15" s="488">
        <f>FL15-FJ15</f>
        <v>856890.67156689428</v>
      </c>
      <c r="FN15" s="233">
        <f t="shared" ref="FN15:FN42" si="20">FN14+1</f>
        <v>2</v>
      </c>
      <c r="FO15" s="470" t="s">
        <v>414</v>
      </c>
      <c r="FP15" s="470"/>
      <c r="FQ15" s="470"/>
      <c r="FR15" s="470"/>
      <c r="FS15" s="548"/>
      <c r="FT15" s="548"/>
      <c r="FU15" s="548"/>
      <c r="FV15" s="367">
        <v>2</v>
      </c>
      <c r="FW15" s="272" t="s">
        <v>415</v>
      </c>
      <c r="FX15" s="419"/>
      <c r="FY15" s="274">
        <v>525851.89837950014</v>
      </c>
      <c r="FZ15" s="274">
        <v>0</v>
      </c>
      <c r="GA15" s="274">
        <f t="shared" ref="GA15:GA22" si="21">FZ15-FY15</f>
        <v>-525851.89837950014</v>
      </c>
      <c r="GB15" s="274">
        <v>0</v>
      </c>
      <c r="GC15" s="274">
        <f t="shared" ref="GC15:GC22" si="22">GB15-FZ15</f>
        <v>0</v>
      </c>
      <c r="GD15" s="377">
        <f t="shared" ref="GD15:GD38" si="23">+GD14+1</f>
        <v>2</v>
      </c>
      <c r="GE15" s="470" t="s">
        <v>414</v>
      </c>
      <c r="GF15" s="470"/>
      <c r="GG15" s="548"/>
      <c r="GH15" s="548"/>
      <c r="GI15" s="548"/>
      <c r="GJ15" s="548"/>
      <c r="GK15" s="548"/>
      <c r="GL15" s="767">
        <f t="shared" ref="GL15:GL20" si="24">GL14+1</f>
        <v>2</v>
      </c>
      <c r="GM15" s="826" t="s">
        <v>413</v>
      </c>
      <c r="GN15" s="230"/>
      <c r="GO15" s="655">
        <v>597372</v>
      </c>
      <c r="GP15" s="655">
        <v>597372</v>
      </c>
      <c r="GQ15" s="655">
        <f>GP15-GO15</f>
        <v>0</v>
      </c>
      <c r="GR15" s="655">
        <v>161804.418725</v>
      </c>
      <c r="GS15" s="655">
        <f>GR15-GP15</f>
        <v>-435567.581275</v>
      </c>
      <c r="GT15" s="233">
        <v>2</v>
      </c>
      <c r="GU15" s="464" t="s">
        <v>412</v>
      </c>
      <c r="GV15" s="470"/>
      <c r="GW15" s="655">
        <v>-2890521.5106920004</v>
      </c>
      <c r="GX15" s="655">
        <f>GW15</f>
        <v>-2890521.5106920004</v>
      </c>
      <c r="GY15" s="655">
        <f>GX15-GW15</f>
        <v>0</v>
      </c>
      <c r="GZ15" s="655">
        <v>-2529206.3218555013</v>
      </c>
      <c r="HA15" s="655">
        <f>GZ15-GX15</f>
        <v>361315.18883649912</v>
      </c>
      <c r="HB15" s="367">
        <v>2</v>
      </c>
      <c r="HC15" s="535" t="s">
        <v>411</v>
      </c>
      <c r="HD15" s="433"/>
      <c r="HE15" s="231">
        <v>0</v>
      </c>
      <c r="HF15" s="231">
        <f>+HE15</f>
        <v>0</v>
      </c>
      <c r="HG15" s="231">
        <f>HF15-HE15</f>
        <v>0</v>
      </c>
      <c r="HH15" s="231">
        <v>6264183.9699999997</v>
      </c>
      <c r="HI15" s="231">
        <f>HH15-HG15</f>
        <v>6264183.9699999997</v>
      </c>
      <c r="HJ15" s="767">
        <f t="shared" ref="HJ15:HJ22" si="25">HJ14+1</f>
        <v>2</v>
      </c>
      <c r="HK15" s="247" t="s">
        <v>62</v>
      </c>
      <c r="HL15" s="230"/>
      <c r="HM15" s="521">
        <v>1905.79</v>
      </c>
      <c r="HN15" s="521">
        <v>1905.79</v>
      </c>
      <c r="HO15" s="521">
        <f>HN15-HM15</f>
        <v>0</v>
      </c>
      <c r="HP15" s="521">
        <v>1963.54</v>
      </c>
      <c r="HQ15" s="521">
        <f>HP15-HN15</f>
        <v>57.75</v>
      </c>
      <c r="HR15" s="767">
        <f t="shared" ref="HR15:HR30" si="26">HR14+1</f>
        <v>2</v>
      </c>
      <c r="HS15" s="965" t="s">
        <v>165</v>
      </c>
      <c r="HT15" s="230"/>
      <c r="HU15" s="655"/>
      <c r="HV15" s="655"/>
      <c r="HW15" s="655"/>
      <c r="HX15" s="655"/>
      <c r="HY15" s="655"/>
    </row>
    <row r="16" spans="1:241" ht="14.4" thickBot="1">
      <c r="A16" s="756">
        <f t="shared" si="7"/>
        <v>3</v>
      </c>
      <c r="B16" s="774" t="s">
        <v>707</v>
      </c>
      <c r="C16" s="466"/>
      <c r="D16" s="1292"/>
      <c r="E16" s="821"/>
      <c r="F16" s="244">
        <v>-39807519.093474321</v>
      </c>
      <c r="G16" s="1292"/>
      <c r="H16" s="348">
        <v>0</v>
      </c>
      <c r="I16" s="314">
        <f t="shared" si="8"/>
        <v>3</v>
      </c>
      <c r="J16" s="419"/>
      <c r="K16" s="826"/>
      <c r="L16" s="250"/>
      <c r="M16" s="250"/>
      <c r="N16" s="250"/>
      <c r="O16" s="250"/>
      <c r="P16" s="250"/>
      <c r="Q16" s="233">
        <f>Q15+1</f>
        <v>3</v>
      </c>
      <c r="R16" s="245"/>
      <c r="S16" s="245"/>
      <c r="T16" s="545"/>
      <c r="U16" s="545"/>
      <c r="V16" s="545"/>
      <c r="W16" s="545"/>
      <c r="X16" s="545"/>
      <c r="Y16" s="233">
        <f t="shared" si="9"/>
        <v>3</v>
      </c>
      <c r="Z16" s="464" t="s">
        <v>407</v>
      </c>
      <c r="AB16" s="274"/>
      <c r="AC16" s="274"/>
      <c r="AD16" s="274"/>
      <c r="AE16" s="274"/>
      <c r="AF16" s="1111"/>
      <c r="AG16" s="756">
        <f t="shared" si="0"/>
        <v>4</v>
      </c>
      <c r="AH16" s="366" t="s">
        <v>406</v>
      </c>
      <c r="AI16" s="796"/>
      <c r="AJ16" s="348">
        <v>22625480.126507826</v>
      </c>
      <c r="AK16" s="354">
        <v>0</v>
      </c>
      <c r="AL16" s="348">
        <f t="shared" si="1"/>
        <v>-22625480.126507826</v>
      </c>
      <c r="AM16" s="354">
        <f t="shared" si="2"/>
        <v>0</v>
      </c>
      <c r="AN16" s="354">
        <f t="shared" si="3"/>
        <v>0</v>
      </c>
      <c r="AO16" s="233">
        <f t="shared" si="10"/>
        <v>3</v>
      </c>
      <c r="AP16" s="451" t="s">
        <v>405</v>
      </c>
      <c r="AQ16" s="451"/>
      <c r="AR16" s="501">
        <f>SUM(AR14:AR15)</f>
        <v>-465463.01181622047</v>
      </c>
      <c r="AS16" s="501">
        <f>SUM(AS14:AS15)</f>
        <v>1124814.3630365257</v>
      </c>
      <c r="AT16" s="501">
        <f>SUM(AT14:AT15)</f>
        <v>1590277.3748527463</v>
      </c>
      <c r="AU16" s="501">
        <f>SUM(AU14:AU15)</f>
        <v>1124814.3630365257</v>
      </c>
      <c r="AV16" s="501">
        <f>SUM(AV14:AV15)</f>
        <v>0</v>
      </c>
      <c r="AW16" s="779">
        <f>AW15+1</f>
        <v>3</v>
      </c>
      <c r="AX16" s="779"/>
      <c r="AY16" s="779"/>
      <c r="AZ16" s="560"/>
      <c r="BA16" s="560"/>
      <c r="BB16" s="560"/>
      <c r="BC16" s="560"/>
      <c r="BD16" s="560"/>
      <c r="BE16" s="823"/>
      <c r="BF16" s="367">
        <f t="shared" si="11"/>
        <v>3</v>
      </c>
      <c r="BG16" s="477" t="s">
        <v>705</v>
      </c>
      <c r="BI16" s="818">
        <v>132672.84419330524</v>
      </c>
      <c r="BJ16" s="818">
        <v>139195.59441203115</v>
      </c>
      <c r="BK16" s="818">
        <v>6522.7502187259088</v>
      </c>
      <c r="BL16" s="818">
        <v>139195.59441203115</v>
      </c>
      <c r="BM16" s="818">
        <v>0</v>
      </c>
      <c r="BN16" s="478">
        <v>3</v>
      </c>
      <c r="BO16" s="531" t="s">
        <v>404</v>
      </c>
      <c r="BP16" s="531"/>
      <c r="BQ16" s="542">
        <f>BQ14+BQ15</f>
        <v>36359530.788213</v>
      </c>
      <c r="BR16" s="542">
        <f>BR14+BR15</f>
        <v>36271067.331771001</v>
      </c>
      <c r="BS16" s="542">
        <f>BS14+BS15</f>
        <v>-88463.456441999879</v>
      </c>
      <c r="BT16" s="542">
        <f>BT14+BT15</f>
        <v>36359530.788213</v>
      </c>
      <c r="BU16" s="541">
        <f>BU14+BU15</f>
        <v>88463.456441999879</v>
      </c>
      <c r="BV16" s="468">
        <f t="shared" si="12"/>
        <v>3</v>
      </c>
      <c r="BW16" s="397" t="s">
        <v>303</v>
      </c>
      <c r="BX16" s="397"/>
      <c r="BY16" s="1118">
        <f>SUM(BY14:BY15)</f>
        <v>60814.661506623946</v>
      </c>
      <c r="BZ16" s="1118">
        <f>SUM(BZ14:BZ15)</f>
        <v>55965.26325353235</v>
      </c>
      <c r="CA16" s="1118">
        <f>SUM(CA14:CA15)</f>
        <v>-4849.3982530915964</v>
      </c>
      <c r="CB16" s="1118">
        <f>SUM(CB14:CB15)</f>
        <v>60814.661506623946</v>
      </c>
      <c r="CC16" s="1118">
        <f>SUM(CC14:CC15)</f>
        <v>4849.3982530915964</v>
      </c>
      <c r="CD16" s="302">
        <f>CD15+1</f>
        <v>3</v>
      </c>
      <c r="CE16" s="245" t="s">
        <v>249</v>
      </c>
      <c r="CG16" s="428">
        <f>-SUM(CG14:CG15)</f>
        <v>0</v>
      </c>
      <c r="CH16" s="428">
        <f>-SUM(CH14:CH15)</f>
        <v>-204503.64267608413</v>
      </c>
      <c r="CI16" s="428">
        <f>-SUM(CI14:CI15)</f>
        <v>-204503.64267608413</v>
      </c>
      <c r="CJ16" s="428">
        <f>-SUM(CJ14:CJ15)</f>
        <v>-204503.64267608413</v>
      </c>
      <c r="CK16" s="428">
        <f>-SUM(CK14:CK15)</f>
        <v>0</v>
      </c>
      <c r="CL16" s="367">
        <f>+CL15+1</f>
        <v>3</v>
      </c>
      <c r="CM16" s="247" t="s">
        <v>706</v>
      </c>
      <c r="CN16" s="247"/>
      <c r="CO16" s="825">
        <v>-6029.4623969999993</v>
      </c>
      <c r="CP16" s="825">
        <v>548500</v>
      </c>
      <c r="CQ16" s="825">
        <f>CP16-CO16</f>
        <v>554529.46239700005</v>
      </c>
      <c r="CR16" s="825">
        <f>CP16</f>
        <v>548500</v>
      </c>
      <c r="CS16" s="825">
        <f>CR16-CP16</f>
        <v>0</v>
      </c>
      <c r="CT16" s="233">
        <f>CT15+1</f>
        <v>3</v>
      </c>
      <c r="CU16" s="247"/>
      <c r="CV16" s="247"/>
      <c r="CW16" s="244"/>
      <c r="CX16" s="244"/>
      <c r="CY16" s="244"/>
      <c r="CZ16" s="244"/>
      <c r="DA16" s="244"/>
      <c r="DB16" s="302">
        <f>DB15+1</f>
        <v>3</v>
      </c>
      <c r="DC16" s="247" t="s">
        <v>402</v>
      </c>
      <c r="DD16" s="973"/>
      <c r="DE16" s="539">
        <f>SUM(DE14:DE15)</f>
        <v>1229909.9546670001</v>
      </c>
      <c r="DF16" s="539">
        <f>SUM(DF14:DF15)</f>
        <v>1296555.5703085</v>
      </c>
      <c r="DG16" s="539">
        <f>SUM(DG14:DG15)</f>
        <v>66645.615641499782</v>
      </c>
      <c r="DH16" s="539">
        <f>SUM(DH14:DH15)</f>
        <v>1327543.9166572653</v>
      </c>
      <c r="DI16" s="540">
        <f>SUM(DI14:DI15)</f>
        <v>30988.346348765277</v>
      </c>
      <c r="DJ16" s="367">
        <f t="shared" si="13"/>
        <v>3</v>
      </c>
      <c r="DK16" s="466" t="s">
        <v>705</v>
      </c>
      <c r="DL16" s="397"/>
      <c r="DM16" s="441">
        <v>1821447.3193938991</v>
      </c>
      <c r="DN16" s="495">
        <v>1823268.7667132928</v>
      </c>
      <c r="DO16" s="443">
        <f t="shared" si="14"/>
        <v>1821.4473193937447</v>
      </c>
      <c r="DP16" s="495">
        <v>1893099.960478412</v>
      </c>
      <c r="DQ16" s="495">
        <f t="shared" si="15"/>
        <v>69831.193765119184</v>
      </c>
      <c r="DR16" s="367">
        <f t="shared" si="16"/>
        <v>3</v>
      </c>
      <c r="DS16" s="452"/>
      <c r="DT16" s="538"/>
      <c r="DU16" s="409"/>
      <c r="DV16" s="409"/>
      <c r="DW16" s="421"/>
      <c r="DX16" s="409"/>
      <c r="DY16" s="409"/>
      <c r="DZ16" s="233">
        <v>3</v>
      </c>
      <c r="EA16" s="366" t="s">
        <v>400</v>
      </c>
      <c r="EB16" s="780"/>
      <c r="EC16" s="384">
        <v>4614715.3414345989</v>
      </c>
      <c r="ED16" s="384">
        <v>4657270.0677107992</v>
      </c>
      <c r="EE16" s="384">
        <f>ED16-EC16</f>
        <v>42554.726276200265</v>
      </c>
      <c r="EF16" s="384">
        <v>4928632.6259016003</v>
      </c>
      <c r="EG16" s="488">
        <f>EF16-ED16</f>
        <v>271362.55819080118</v>
      </c>
      <c r="EH16" s="233">
        <f t="shared" si="17"/>
        <v>3</v>
      </c>
      <c r="EI16" s="245" t="s">
        <v>41</v>
      </c>
      <c r="EK16" s="234">
        <v>-604032300.68879509</v>
      </c>
      <c r="EL16" s="521">
        <v>-600273754.652915</v>
      </c>
      <c r="EM16" s="234">
        <f t="shared" si="4"/>
        <v>3758546.0358800888</v>
      </c>
      <c r="EN16" s="521">
        <f t="shared" si="5"/>
        <v>-600273754.652915</v>
      </c>
      <c r="EO16" s="234">
        <f t="shared" si="6"/>
        <v>0</v>
      </c>
      <c r="EP16" s="767">
        <f t="shared" si="18"/>
        <v>3</v>
      </c>
      <c r="EQ16" s="245" t="s">
        <v>704</v>
      </c>
      <c r="ER16" s="767"/>
      <c r="ES16" s="521">
        <v>3292939.59</v>
      </c>
      <c r="ET16" s="521">
        <v>3442117.919999999</v>
      </c>
      <c r="EU16" s="521">
        <f>ET16-ES16</f>
        <v>149178.32999999914</v>
      </c>
      <c r="EV16" s="521">
        <f>ET16</f>
        <v>3442117.919999999</v>
      </c>
      <c r="EW16" s="521">
        <f>EV16-ET16</f>
        <v>0</v>
      </c>
      <c r="EX16" s="314">
        <f t="shared" si="19"/>
        <v>3</v>
      </c>
      <c r="EY16" s="230"/>
      <c r="EZ16" s="230"/>
      <c r="FA16" s="1123"/>
      <c r="FB16" s="1123"/>
      <c r="FC16" s="1123"/>
      <c r="FD16" s="1123"/>
      <c r="FE16" s="1123"/>
      <c r="FF16" s="233">
        <f>FF15+1</f>
        <v>3</v>
      </c>
      <c r="FG16" s="520" t="s">
        <v>398</v>
      </c>
      <c r="FH16" s="406"/>
      <c r="FI16" s="536">
        <f>FI15</f>
        <v>8603273.5200000051</v>
      </c>
      <c r="FJ16" s="536">
        <f>FJ15</f>
        <v>8603273.5200000051</v>
      </c>
      <c r="FK16" s="536">
        <f>FK15</f>
        <v>0</v>
      </c>
      <c r="FL16" s="536">
        <f>FL15</f>
        <v>9460164.1915668994</v>
      </c>
      <c r="FM16" s="536">
        <f>FM15</f>
        <v>856890.67156689428</v>
      </c>
      <c r="FN16" s="233">
        <f t="shared" si="20"/>
        <v>3</v>
      </c>
      <c r="FO16" s="505" t="s">
        <v>397</v>
      </c>
      <c r="FP16" s="505"/>
      <c r="FQ16" s="274">
        <v>0</v>
      </c>
      <c r="FR16" s="274">
        <v>0</v>
      </c>
      <c r="FS16" s="274">
        <v>0</v>
      </c>
      <c r="FT16" s="274">
        <v>12465833.289999997</v>
      </c>
      <c r="FU16" s="274">
        <f>+FT16-FS16</f>
        <v>12465833.289999997</v>
      </c>
      <c r="FV16" s="367">
        <v>3</v>
      </c>
      <c r="FW16" s="272" t="s">
        <v>703</v>
      </c>
      <c r="FX16" s="419"/>
      <c r="FY16" s="1115">
        <v>133121.9008728</v>
      </c>
      <c r="FZ16" s="1115">
        <v>0</v>
      </c>
      <c r="GA16" s="1115">
        <f t="shared" si="21"/>
        <v>-133121.9008728</v>
      </c>
      <c r="GB16" s="1115">
        <v>0</v>
      </c>
      <c r="GC16" s="1115">
        <f t="shared" si="22"/>
        <v>0</v>
      </c>
      <c r="GD16" s="377">
        <f t="shared" si="23"/>
        <v>3</v>
      </c>
      <c r="GE16" s="505" t="s">
        <v>395</v>
      </c>
      <c r="GF16" s="505"/>
      <c r="GG16" s="274">
        <v>0</v>
      </c>
      <c r="GH16" s="274">
        <v>0</v>
      </c>
      <c r="GI16" s="274">
        <v>0</v>
      </c>
      <c r="GJ16" s="274">
        <v>10974426.034299001</v>
      </c>
      <c r="GK16" s="274">
        <f>+GJ16-GI16</f>
        <v>10974426.034299001</v>
      </c>
      <c r="GL16" s="767">
        <f t="shared" si="24"/>
        <v>3</v>
      </c>
      <c r="GM16" s="245"/>
      <c r="GN16" s="230"/>
      <c r="GO16" s="1123"/>
      <c r="GP16" s="1123"/>
      <c r="GQ16" s="1123"/>
      <c r="GR16" s="1123"/>
      <c r="GS16" s="1123"/>
      <c r="GT16" s="233">
        <v>3</v>
      </c>
      <c r="GU16" s="464" t="s">
        <v>37</v>
      </c>
      <c r="GV16" s="470"/>
      <c r="GW16" s="1131">
        <f>SUM(GW15)</f>
        <v>-2890521.5106920004</v>
      </c>
      <c r="GX16" s="1131">
        <f>SUM(GX15)</f>
        <v>-2890521.5106920004</v>
      </c>
      <c r="GY16" s="1131">
        <f>SUM(GY15)</f>
        <v>0</v>
      </c>
      <c r="GZ16" s="1131">
        <f>SUM(GZ15)</f>
        <v>-2529206.3218555013</v>
      </c>
      <c r="HA16" s="1131">
        <f>SUM(HA15)</f>
        <v>361315.18883649912</v>
      </c>
      <c r="HB16" s="367">
        <v>3</v>
      </c>
      <c r="HC16" s="535" t="s">
        <v>394</v>
      </c>
      <c r="HD16" s="433"/>
      <c r="HE16" s="526">
        <v>0</v>
      </c>
      <c r="HF16" s="526">
        <f>+HE16</f>
        <v>0</v>
      </c>
      <c r="HG16" s="526">
        <f t="shared" ref="HG16:HI17" si="27">HF16-HE16</f>
        <v>0</v>
      </c>
      <c r="HH16" s="526">
        <v>-259802.34853480852</v>
      </c>
      <c r="HI16" s="475">
        <f t="shared" si="27"/>
        <v>-259802.34853480852</v>
      </c>
      <c r="HJ16" s="767">
        <f t="shared" si="25"/>
        <v>3</v>
      </c>
      <c r="HK16" s="247" t="s">
        <v>61</v>
      </c>
      <c r="HL16" s="230"/>
      <c r="HM16" s="521">
        <v>16474238.73</v>
      </c>
      <c r="HN16" s="521">
        <v>16474238.73</v>
      </c>
      <c r="HO16" s="521">
        <f>HN16-HM16</f>
        <v>0</v>
      </c>
      <c r="HP16" s="521">
        <v>16752856.240000002</v>
      </c>
      <c r="HQ16" s="521">
        <f>HP16-HN16</f>
        <v>278617.51000000164</v>
      </c>
      <c r="HR16" s="767">
        <f t="shared" si="26"/>
        <v>3</v>
      </c>
      <c r="HS16" s="965" t="s">
        <v>1436</v>
      </c>
      <c r="HT16" s="230"/>
      <c r="HU16" s="655">
        <v>0</v>
      </c>
      <c r="HV16" s="655">
        <v>0</v>
      </c>
      <c r="HW16" s="655">
        <v>0</v>
      </c>
      <c r="HX16" s="655">
        <v>3482430</v>
      </c>
      <c r="HY16" s="655">
        <v>3482430</v>
      </c>
      <c r="HZ16" s="780"/>
    </row>
    <row r="17" spans="1:236" ht="15" thickTop="1" thickBot="1">
      <c r="A17" s="756">
        <f t="shared" si="7"/>
        <v>4</v>
      </c>
      <c r="B17" s="774" t="s">
        <v>702</v>
      </c>
      <c r="C17" s="822"/>
      <c r="D17" s="1292"/>
      <c r="E17" s="821"/>
      <c r="F17" s="244">
        <v>2929656.4452484697</v>
      </c>
      <c r="G17" s="1292"/>
      <c r="H17" s="348">
        <v>0</v>
      </c>
      <c r="I17" s="314">
        <f t="shared" si="8"/>
        <v>4</v>
      </c>
      <c r="J17" s="525" t="s">
        <v>701</v>
      </c>
      <c r="K17" s="826"/>
      <c r="L17" s="1108">
        <v>1.7457330262515006E-2</v>
      </c>
      <c r="M17" s="1108">
        <f>N17</f>
        <v>1.7457330262515006E-2</v>
      </c>
      <c r="N17" s="1108">
        <f>N19/N15</f>
        <v>1.7457330262515006E-2</v>
      </c>
      <c r="O17" s="1108">
        <f>P17</f>
        <v>0.61961176735111789</v>
      </c>
      <c r="P17" s="1108">
        <f>P19/P15</f>
        <v>0.61961176735111789</v>
      </c>
      <c r="Q17" s="233">
        <f>Q16+1</f>
        <v>4</v>
      </c>
      <c r="R17" s="247" t="s">
        <v>408</v>
      </c>
      <c r="S17" s="247"/>
      <c r="T17" s="824">
        <f>-SUM(T14:T16)</f>
        <v>-22386028.289999995</v>
      </c>
      <c r="U17" s="824">
        <f>-SUM(U14:U16)</f>
        <v>-21169609.699304514</v>
      </c>
      <c r="V17" s="824">
        <f>-SUM(V14:V16)</f>
        <v>1216418.5906954836</v>
      </c>
      <c r="W17" s="824">
        <f>-SUM(W14:W16)</f>
        <v>-21169609.699304514</v>
      </c>
      <c r="X17" s="824">
        <f>-SUM(X14:X16)</f>
        <v>0</v>
      </c>
      <c r="Y17" s="233">
        <f t="shared" si="9"/>
        <v>4</v>
      </c>
      <c r="Z17" s="464"/>
      <c r="AB17" s="273"/>
      <c r="AC17" s="273"/>
      <c r="AD17" s="273"/>
      <c r="AE17" s="273"/>
      <c r="AF17" s="273"/>
      <c r="AG17" s="756">
        <f t="shared" si="0"/>
        <v>5</v>
      </c>
      <c r="AH17" s="366" t="s">
        <v>700</v>
      </c>
      <c r="AI17" s="796"/>
      <c r="AJ17" s="348">
        <v>-24621258.285291649</v>
      </c>
      <c r="AK17" s="354">
        <v>0</v>
      </c>
      <c r="AL17" s="348">
        <f t="shared" si="1"/>
        <v>24621258.285291649</v>
      </c>
      <c r="AM17" s="354">
        <f t="shared" si="2"/>
        <v>0</v>
      </c>
      <c r="AN17" s="354">
        <f t="shared" si="3"/>
        <v>0</v>
      </c>
      <c r="AO17" s="233">
        <f t="shared" si="10"/>
        <v>4</v>
      </c>
      <c r="AP17" s="534"/>
      <c r="AQ17" s="534"/>
      <c r="AR17" s="533"/>
      <c r="AS17" s="533"/>
      <c r="AT17" s="533"/>
      <c r="AU17" s="533" t="s">
        <v>45</v>
      </c>
      <c r="AV17" s="532"/>
      <c r="AW17" s="779">
        <f>AW16+1</f>
        <v>4</v>
      </c>
      <c r="AX17" s="549" t="s">
        <v>699</v>
      </c>
      <c r="AY17" s="549"/>
      <c r="AZ17" s="1116">
        <f>-AZ15</f>
        <v>-4333223.3545110002</v>
      </c>
      <c r="BA17" s="1116">
        <f>-BA15</f>
        <v>-4491993.9301330792</v>
      </c>
      <c r="BB17" s="1116">
        <f>-BB15</f>
        <v>-158770.57562207896</v>
      </c>
      <c r="BC17" s="1116">
        <f>-BC15</f>
        <v>-4491993.9301330792</v>
      </c>
      <c r="BD17" s="1116">
        <f>-BD15</f>
        <v>0</v>
      </c>
      <c r="BE17" s="823"/>
      <c r="BF17" s="367">
        <f t="shared" si="11"/>
        <v>4</v>
      </c>
      <c r="BG17" s="477" t="s">
        <v>697</v>
      </c>
      <c r="BI17" s="818">
        <v>106190.91876733195</v>
      </c>
      <c r="BJ17" s="818">
        <v>111578.2529830624</v>
      </c>
      <c r="BK17" s="818">
        <v>5387.3342157304432</v>
      </c>
      <c r="BL17" s="818">
        <v>111578.2529830624</v>
      </c>
      <c r="BM17" s="818">
        <v>0</v>
      </c>
      <c r="BN17" s="478">
        <v>4</v>
      </c>
      <c r="BO17" s="531"/>
      <c r="BP17" s="531"/>
      <c r="BQ17" s="475"/>
      <c r="BR17" s="475"/>
      <c r="BS17" s="407"/>
      <c r="BT17" s="475"/>
      <c r="BV17" s="468">
        <f t="shared" si="12"/>
        <v>4</v>
      </c>
      <c r="BW17" s="397"/>
      <c r="BX17" s="397"/>
      <c r="BY17" s="401"/>
      <c r="BZ17" s="401"/>
      <c r="CA17" s="401"/>
      <c r="CB17" s="401"/>
      <c r="CC17" s="401"/>
      <c r="CD17" s="302"/>
      <c r="CL17" s="367">
        <v>4</v>
      </c>
      <c r="CM17" s="247" t="s">
        <v>298</v>
      </c>
      <c r="CN17" s="247"/>
      <c r="CO17" s="407">
        <f>SUM(CO16)</f>
        <v>-6029.4623969999993</v>
      </c>
      <c r="CP17" s="407">
        <f>SUM(CP16)</f>
        <v>548500</v>
      </c>
      <c r="CQ17" s="407">
        <f>SUM(CQ16)</f>
        <v>554529.46239700005</v>
      </c>
      <c r="CR17" s="407">
        <f>SUM(CR16)</f>
        <v>548500</v>
      </c>
      <c r="CS17" s="407">
        <f>SUM(CS16)</f>
        <v>0</v>
      </c>
      <c r="CT17" s="233">
        <f>CT16+1</f>
        <v>4</v>
      </c>
      <c r="CU17" s="515" t="s">
        <v>698</v>
      </c>
      <c r="CV17" s="515"/>
      <c r="CW17" s="541">
        <f>+CW15</f>
        <v>2033423.3546339665</v>
      </c>
      <c r="CX17" s="541">
        <f>+CX15</f>
        <v>3008677.465349237</v>
      </c>
      <c r="CY17" s="541">
        <f>CX17-CW17</f>
        <v>975254.11071527051</v>
      </c>
      <c r="CZ17" s="541">
        <f>CX17</f>
        <v>3008677.465349237</v>
      </c>
      <c r="DA17" s="541">
        <f>CZ17-CX17</f>
        <v>0</v>
      </c>
      <c r="DB17" s="302">
        <f>DB16+1</f>
        <v>4</v>
      </c>
      <c r="DC17" s="247"/>
      <c r="DD17" s="245"/>
      <c r="DE17" s="245"/>
      <c r="DF17" s="245"/>
      <c r="DG17" s="245"/>
      <c r="DH17" s="245"/>
      <c r="DI17" s="348"/>
      <c r="DJ17" s="367">
        <f t="shared" si="13"/>
        <v>4</v>
      </c>
      <c r="DK17" s="466" t="s">
        <v>697</v>
      </c>
      <c r="DL17" s="397"/>
      <c r="DM17" s="441">
        <v>1457876.2514683935</v>
      </c>
      <c r="DN17" s="441">
        <v>1461357.1134527726</v>
      </c>
      <c r="DO17" s="443">
        <f t="shared" si="14"/>
        <v>3480.8619843791239</v>
      </c>
      <c r="DP17" s="441">
        <v>1497997.8793014847</v>
      </c>
      <c r="DQ17" s="441">
        <f t="shared" si="15"/>
        <v>36640.765848712064</v>
      </c>
      <c r="DR17" s="367">
        <f t="shared" si="16"/>
        <v>4</v>
      </c>
      <c r="DS17" s="494" t="s">
        <v>390</v>
      </c>
      <c r="DT17" s="528"/>
      <c r="DU17" s="351"/>
      <c r="DV17" s="351"/>
      <c r="DW17" s="351"/>
      <c r="DX17" s="351"/>
      <c r="DY17" s="351"/>
      <c r="DZ17" s="233">
        <v>4</v>
      </c>
      <c r="EA17" s="248" t="s">
        <v>389</v>
      </c>
      <c r="EB17" s="780"/>
      <c r="EC17" s="234">
        <f>SUM(EC15:EC16)</f>
        <v>13470629.306955997</v>
      </c>
      <c r="ED17" s="234">
        <f>SUM(ED15:ED16)</f>
        <v>13497581.079287998</v>
      </c>
      <c r="EE17" s="234">
        <f>SUM(EE15:EE16)</f>
        <v>26951.772331999615</v>
      </c>
      <c r="EF17" s="234">
        <f>SUM(EF15:EF16)</f>
        <v>14278718.681976002</v>
      </c>
      <c r="EG17" s="244">
        <f>SUM(EG15:EG16)</f>
        <v>781137.60268800426</v>
      </c>
      <c r="EH17" s="233">
        <f t="shared" si="17"/>
        <v>4</v>
      </c>
      <c r="EI17" s="245" t="s">
        <v>40</v>
      </c>
      <c r="EK17" s="234">
        <v>-29952462.162250079</v>
      </c>
      <c r="EL17" s="521">
        <v>-26993656.705525</v>
      </c>
      <c r="EM17" s="234">
        <f t="shared" si="4"/>
        <v>2958805.4567250796</v>
      </c>
      <c r="EN17" s="521">
        <f t="shared" si="5"/>
        <v>-26993656.705525</v>
      </c>
      <c r="EO17" s="234">
        <f t="shared" si="6"/>
        <v>0</v>
      </c>
      <c r="EP17" s="767">
        <f t="shared" si="18"/>
        <v>4</v>
      </c>
      <c r="EQ17" s="247" t="s">
        <v>696</v>
      </c>
      <c r="ER17" s="767"/>
      <c r="ES17" s="521">
        <v>22665497.230383031</v>
      </c>
      <c r="ET17" s="521">
        <v>30696938.992545016</v>
      </c>
      <c r="EU17" s="521">
        <f>ET17-ES17</f>
        <v>8031441.762161985</v>
      </c>
      <c r="EV17" s="521">
        <f>ET17</f>
        <v>30696938.992545016</v>
      </c>
      <c r="EW17" s="521">
        <f>EV17-ET17</f>
        <v>0</v>
      </c>
      <c r="EX17" s="314">
        <f t="shared" si="19"/>
        <v>4</v>
      </c>
      <c r="EY17" s="248" t="s">
        <v>385</v>
      </c>
      <c r="EZ17" s="248"/>
      <c r="FA17" s="521">
        <f>FA15</f>
        <v>116306.4</v>
      </c>
      <c r="FB17" s="521">
        <f>FB15</f>
        <v>116306.4</v>
      </c>
      <c r="FC17" s="521">
        <f>FC15</f>
        <v>0</v>
      </c>
      <c r="FD17" s="521">
        <f>FD15</f>
        <v>24348.123333333362</v>
      </c>
      <c r="FE17" s="521">
        <f>FE15</f>
        <v>-91958.276666666628</v>
      </c>
      <c r="FF17" s="233">
        <f>FF16+1</f>
        <v>4</v>
      </c>
      <c r="FG17" s="527"/>
      <c r="FH17" s="464"/>
      <c r="FI17" s="464"/>
      <c r="FJ17" s="464"/>
      <c r="FK17" s="348"/>
      <c r="FL17" s="348"/>
      <c r="FM17" s="244"/>
      <c r="FN17" s="233">
        <f t="shared" si="20"/>
        <v>4</v>
      </c>
      <c r="FO17" s="440" t="s">
        <v>383</v>
      </c>
      <c r="FP17" s="440"/>
      <c r="FQ17" s="244">
        <v>0</v>
      </c>
      <c r="FR17" s="244">
        <v>0</v>
      </c>
      <c r="FS17" s="244">
        <v>0</v>
      </c>
      <c r="FT17" s="244">
        <v>-1019306.0138624996</v>
      </c>
      <c r="FU17" s="244">
        <f>+FT17-FS17</f>
        <v>-1019306.0138624996</v>
      </c>
      <c r="FV17" s="367">
        <v>4</v>
      </c>
      <c r="FW17" s="272" t="s">
        <v>695</v>
      </c>
      <c r="FX17" s="419"/>
      <c r="FY17" s="1115">
        <v>0</v>
      </c>
      <c r="FZ17" s="1115">
        <v>0</v>
      </c>
      <c r="GA17" s="1115">
        <f t="shared" si="21"/>
        <v>0</v>
      </c>
      <c r="GB17" s="1115">
        <v>0</v>
      </c>
      <c r="GC17" s="1115">
        <f t="shared" si="22"/>
        <v>0</v>
      </c>
      <c r="GD17" s="377">
        <f t="shared" si="23"/>
        <v>4</v>
      </c>
      <c r="GE17" s="440" t="s">
        <v>386</v>
      </c>
      <c r="GF17" s="440"/>
      <c r="GG17" s="244">
        <v>0</v>
      </c>
      <c r="GH17" s="244">
        <v>0</v>
      </c>
      <c r="GI17" s="244">
        <v>0</v>
      </c>
      <c r="GJ17" s="244">
        <v>-4519875.9271734888</v>
      </c>
      <c r="GK17" s="244">
        <f>+GJ17-GI17</f>
        <v>-4519875.9271734888</v>
      </c>
      <c r="GL17" s="767">
        <f t="shared" si="24"/>
        <v>4</v>
      </c>
      <c r="GM17" s="245" t="s">
        <v>385</v>
      </c>
      <c r="GN17" s="230"/>
      <c r="GO17" s="521">
        <f>GO15</f>
        <v>597372</v>
      </c>
      <c r="GP17" s="521">
        <f>GP15</f>
        <v>597372</v>
      </c>
      <c r="GQ17" s="521">
        <f>GQ15</f>
        <v>0</v>
      </c>
      <c r="GR17" s="521">
        <f>GR15</f>
        <v>161804.418725</v>
      </c>
      <c r="GS17" s="521">
        <f>GS15</f>
        <v>-435567.581275</v>
      </c>
      <c r="GT17" s="233">
        <v>4</v>
      </c>
      <c r="GU17" s="464"/>
      <c r="GV17" s="470"/>
      <c r="GW17" s="504"/>
      <c r="GX17" s="504"/>
      <c r="GY17" s="504"/>
      <c r="GZ17" s="504"/>
      <c r="HA17" s="504"/>
      <c r="HB17" s="367">
        <v>4</v>
      </c>
      <c r="HC17" s="376" t="s">
        <v>384</v>
      </c>
      <c r="HD17" s="433"/>
      <c r="HE17" s="526">
        <v>0</v>
      </c>
      <c r="HF17" s="526">
        <f>+HE17</f>
        <v>0</v>
      </c>
      <c r="HG17" s="526">
        <f t="shared" si="27"/>
        <v>0</v>
      </c>
      <c r="HH17" s="526">
        <v>-57733.95656081185</v>
      </c>
      <c r="HI17" s="475">
        <f t="shared" si="27"/>
        <v>-57733.95656081185</v>
      </c>
      <c r="HJ17" s="767">
        <f t="shared" si="25"/>
        <v>4</v>
      </c>
      <c r="HK17" s="247" t="s">
        <v>60</v>
      </c>
      <c r="HL17" s="230"/>
      <c r="HM17" s="234">
        <v>7112059.2000000002</v>
      </c>
      <c r="HN17" s="234">
        <v>7112059.2000000002</v>
      </c>
      <c r="HO17" s="234">
        <f>HN17-HM17</f>
        <v>0</v>
      </c>
      <c r="HP17" s="234">
        <v>7217317.6799999997</v>
      </c>
      <c r="HQ17" s="234">
        <f>HP17-HN17</f>
        <v>105258.47999999952</v>
      </c>
      <c r="HR17" s="767">
        <f t="shared" si="26"/>
        <v>4</v>
      </c>
      <c r="HS17" s="965" t="s">
        <v>1363</v>
      </c>
      <c r="HT17" s="230"/>
      <c r="HU17" s="234">
        <v>0</v>
      </c>
      <c r="HV17" s="234">
        <v>0</v>
      </c>
      <c r="HW17" s="234">
        <v>0</v>
      </c>
      <c r="HX17" s="234">
        <v>-493344.24999999988</v>
      </c>
      <c r="HY17" s="234">
        <v>-493344.24999999988</v>
      </c>
    </row>
    <row r="18" spans="1:236" ht="15" thickTop="1" thickBot="1">
      <c r="A18" s="756">
        <f t="shared" si="7"/>
        <v>5</v>
      </c>
      <c r="B18" s="774" t="s">
        <v>694</v>
      </c>
      <c r="C18" s="822"/>
      <c r="D18" s="1292"/>
      <c r="E18" s="821"/>
      <c r="F18" s="244">
        <v>-11165964.627245229</v>
      </c>
      <c r="G18" s="1292"/>
      <c r="H18" s="348">
        <v>0</v>
      </c>
      <c r="I18" s="314">
        <f t="shared" si="8"/>
        <v>5</v>
      </c>
      <c r="J18" s="517"/>
      <c r="K18" s="826"/>
      <c r="L18" s="250"/>
      <c r="M18" s="250"/>
      <c r="N18" s="250"/>
      <c r="O18" s="250"/>
      <c r="P18" s="250"/>
      <c r="Q18" s="683"/>
      <c r="R18" s="683"/>
      <c r="S18" s="683"/>
      <c r="T18" s="683"/>
      <c r="U18" s="683"/>
      <c r="V18" s="683"/>
      <c r="W18" s="683"/>
      <c r="X18" s="683"/>
      <c r="Y18" s="233">
        <f t="shared" si="9"/>
        <v>5</v>
      </c>
      <c r="Z18" s="503" t="s">
        <v>381</v>
      </c>
      <c r="AB18" s="820"/>
      <c r="AC18" s="697">
        <f>'SEF-5E p 5 &amp; SEF-5G p 4'!E12</f>
        <v>2.9399999999999999E-2</v>
      </c>
      <c r="AD18" s="697"/>
      <c r="AE18" s="697">
        <f>+'SEF-3G'!H12</f>
        <v>2.87E-2</v>
      </c>
      <c r="AF18" s="697"/>
      <c r="AG18" s="756">
        <f t="shared" si="0"/>
        <v>6</v>
      </c>
      <c r="AH18" s="366" t="s">
        <v>693</v>
      </c>
      <c r="AI18" s="796"/>
      <c r="AJ18" s="244">
        <v>154860.41999999998</v>
      </c>
      <c r="AK18" s="354">
        <v>0</v>
      </c>
      <c r="AL18" s="244">
        <f t="shared" si="1"/>
        <v>-154860.41999999998</v>
      </c>
      <c r="AM18" s="354">
        <f t="shared" si="2"/>
        <v>0</v>
      </c>
      <c r="AN18" s="354">
        <f t="shared" si="3"/>
        <v>0</v>
      </c>
      <c r="AO18" s="233">
        <f t="shared" si="10"/>
        <v>5</v>
      </c>
      <c r="AP18" s="451" t="s">
        <v>379</v>
      </c>
      <c r="AQ18" s="451"/>
      <c r="AR18" s="524">
        <f>+AR16</f>
        <v>-465463.01181622047</v>
      </c>
      <c r="AS18" s="524">
        <f>+AS16</f>
        <v>1124814.3630365257</v>
      </c>
      <c r="AT18" s="524">
        <f>+AT16</f>
        <v>1590277.3748527463</v>
      </c>
      <c r="AU18" s="524">
        <f>+AU16</f>
        <v>1124814.3630365257</v>
      </c>
      <c r="AV18" s="524">
        <f>+AV16</f>
        <v>0</v>
      </c>
      <c r="AW18" s="779">
        <f>AW17+1</f>
        <v>5</v>
      </c>
      <c r="AX18" s="508" t="s">
        <v>250</v>
      </c>
      <c r="AY18" s="385">
        <f>+FIT_G</f>
        <v>0.21</v>
      </c>
      <c r="AZ18" s="1115">
        <f>+AZ17*$AY$18</f>
        <v>-909976.90444731002</v>
      </c>
      <c r="BA18" s="1115">
        <f>+BA17*$AY$18</f>
        <v>-943318.72532794659</v>
      </c>
      <c r="BB18" s="1115">
        <f>BA18-AZ18</f>
        <v>-33341.820880636573</v>
      </c>
      <c r="BC18" s="1115">
        <f>BA18</f>
        <v>-943318.72532794659</v>
      </c>
      <c r="BD18" s="1115">
        <f>BC18-BA18</f>
        <v>0</v>
      </c>
      <c r="BE18" s="819"/>
      <c r="BF18" s="367">
        <f t="shared" si="11"/>
        <v>5</v>
      </c>
      <c r="BG18" s="477" t="s">
        <v>391</v>
      </c>
      <c r="BI18" s="818">
        <v>0</v>
      </c>
      <c r="BJ18" s="818">
        <v>0</v>
      </c>
      <c r="BK18" s="818">
        <v>0</v>
      </c>
      <c r="BL18" s="818">
        <v>0</v>
      </c>
      <c r="BM18" s="818">
        <v>0</v>
      </c>
      <c r="BN18" s="478">
        <v>5</v>
      </c>
      <c r="BO18" s="436" t="s">
        <v>378</v>
      </c>
      <c r="BP18" s="436"/>
      <c r="BQ18" s="244">
        <f>BQ16</f>
        <v>36359530.788213</v>
      </c>
      <c r="BR18" s="244">
        <f>BR16</f>
        <v>36271067.331771001</v>
      </c>
      <c r="BS18" s="467">
        <f>BR18-BQ18</f>
        <v>-88463.456441998482</v>
      </c>
      <c r="BT18" s="244">
        <f>BT16</f>
        <v>36359530.788213</v>
      </c>
      <c r="BU18" s="244">
        <f>BU16</f>
        <v>88463.456441999879</v>
      </c>
      <c r="BV18" s="468">
        <f t="shared" si="12"/>
        <v>5</v>
      </c>
      <c r="BW18" s="397" t="s">
        <v>292</v>
      </c>
      <c r="BX18" s="397"/>
      <c r="BY18" s="409">
        <f>+BY16</f>
        <v>60814.661506623946</v>
      </c>
      <c r="BZ18" s="409">
        <f>+BZ16</f>
        <v>55965.26325353235</v>
      </c>
      <c r="CA18" s="409">
        <f>+CA16</f>
        <v>-4849.3982530915964</v>
      </c>
      <c r="CB18" s="409">
        <f>+CB16</f>
        <v>60814.661506623946</v>
      </c>
      <c r="CC18" s="409">
        <f>+CC16</f>
        <v>4849.3982530915964</v>
      </c>
      <c r="CL18" s="367">
        <f>+CL17+1</f>
        <v>5</v>
      </c>
      <c r="CM18" s="247"/>
      <c r="CN18" s="247"/>
      <c r="CT18" s="233">
        <f>CT17+1</f>
        <v>5</v>
      </c>
      <c r="CU18" s="247" t="s">
        <v>692</v>
      </c>
      <c r="CV18" s="249">
        <f>FIT_G</f>
        <v>0.21</v>
      </c>
      <c r="CW18" s="280">
        <f>-$CV$18*CW17</f>
        <v>-427018.90447313292</v>
      </c>
      <c r="CX18" s="280">
        <f>-$CV$18*CX17</f>
        <v>-631822.26772333973</v>
      </c>
      <c r="CY18" s="280">
        <f>CX18-CW18</f>
        <v>-204803.36325020681</v>
      </c>
      <c r="CZ18" s="280">
        <f>CX18</f>
        <v>-631822.26772333973</v>
      </c>
      <c r="DA18" s="280">
        <f>CZ18-CX18</f>
        <v>0</v>
      </c>
      <c r="DB18" s="302">
        <f>DB17+1</f>
        <v>5</v>
      </c>
      <c r="DC18" s="247" t="s">
        <v>252</v>
      </c>
      <c r="DD18" s="249">
        <f>FIT_G</f>
        <v>0.21</v>
      </c>
      <c r="DE18" s="358">
        <f>-DE16*$DD$18</f>
        <v>-258281.09048007001</v>
      </c>
      <c r="DF18" s="358">
        <f>-DF16*$DD$18</f>
        <v>-272276.66976478498</v>
      </c>
      <c r="DG18" s="358">
        <f>-DG16*$DD$18</f>
        <v>-13995.579284714953</v>
      </c>
      <c r="DH18" s="358">
        <f>-DH16*$DD$18</f>
        <v>-278784.22249802569</v>
      </c>
      <c r="DI18" s="358">
        <f>-DI16*$DD$18</f>
        <v>-6507.5527332407082</v>
      </c>
      <c r="DJ18" s="367">
        <f t="shared" si="13"/>
        <v>5</v>
      </c>
      <c r="DK18" s="466" t="s">
        <v>391</v>
      </c>
      <c r="DL18" s="397"/>
      <c r="DM18" s="441">
        <v>0</v>
      </c>
      <c r="DN18" s="441">
        <v>0</v>
      </c>
      <c r="DO18" s="443">
        <f t="shared" si="14"/>
        <v>0</v>
      </c>
      <c r="DP18" s="441">
        <v>0</v>
      </c>
      <c r="DQ18" s="441">
        <f t="shared" si="15"/>
        <v>0</v>
      </c>
      <c r="DR18" s="367">
        <f t="shared" si="16"/>
        <v>5</v>
      </c>
      <c r="DS18" s="436" t="s">
        <v>375</v>
      </c>
      <c r="DT18" s="367"/>
      <c r="DU18" s="471">
        <v>1462408.4927999999</v>
      </c>
      <c r="DV18" s="471">
        <v>1462408.4927999999</v>
      </c>
      <c r="DW18" s="471">
        <f>+DV18-DU18</f>
        <v>0</v>
      </c>
      <c r="DX18" s="471">
        <v>1506280.747584</v>
      </c>
      <c r="DY18" s="471">
        <f>+DX18-DV18</f>
        <v>43872.254784000106</v>
      </c>
      <c r="DZ18" s="233">
        <v>5</v>
      </c>
      <c r="EA18" s="366"/>
      <c r="EG18" s="348"/>
      <c r="EH18" s="233">
        <f t="shared" si="17"/>
        <v>5</v>
      </c>
      <c r="EI18" s="245" t="s">
        <v>39</v>
      </c>
      <c r="EK18" s="234">
        <v>54431800.053166389</v>
      </c>
      <c r="EL18" s="521">
        <v>53555825.759281471</v>
      </c>
      <c r="EM18" s="234">
        <f t="shared" si="4"/>
        <v>-875974.29388491809</v>
      </c>
      <c r="EN18" s="521">
        <f t="shared" si="5"/>
        <v>53555825.759281471</v>
      </c>
      <c r="EO18" s="234">
        <f t="shared" si="6"/>
        <v>0</v>
      </c>
      <c r="EP18" s="767">
        <f t="shared" si="18"/>
        <v>5</v>
      </c>
      <c r="EQ18" s="247" t="s">
        <v>374</v>
      </c>
      <c r="ER18" s="767"/>
      <c r="ES18" s="236">
        <f>SUM(ES14:ES17)</f>
        <v>142765596.42224306</v>
      </c>
      <c r="ET18" s="236">
        <f>SUM(ET14:ET17)</f>
        <v>155077843.15997979</v>
      </c>
      <c r="EU18" s="236">
        <f>SUM(EU14:EU17)</f>
        <v>12312246.737736724</v>
      </c>
      <c r="EV18" s="236">
        <f>SUM(EV14:EV17)</f>
        <v>155077843.15997979</v>
      </c>
      <c r="EW18" s="236">
        <f>SUM(EW14:EW17)</f>
        <v>0</v>
      </c>
      <c r="EX18" s="314">
        <f t="shared" si="19"/>
        <v>5</v>
      </c>
      <c r="EY18" s="230"/>
      <c r="EZ18" s="230"/>
      <c r="FA18" s="826"/>
      <c r="FB18" s="826"/>
      <c r="FC18" s="230"/>
      <c r="FD18" s="826"/>
      <c r="FE18" s="826"/>
      <c r="FF18" s="233">
        <f>FF17+1</f>
        <v>5</v>
      </c>
      <c r="FG18" s="520" t="s">
        <v>373</v>
      </c>
      <c r="FH18" s="249">
        <f>FIT_G</f>
        <v>0.21</v>
      </c>
      <c r="FI18" s="355">
        <f>-FI16*$FH$18</f>
        <v>-1806687.4392000011</v>
      </c>
      <c r="FJ18" s="355">
        <f>-FJ16*$FH$18</f>
        <v>-1806687.4392000011</v>
      </c>
      <c r="FK18" s="355">
        <f>-FK16*$FH$18</f>
        <v>0</v>
      </c>
      <c r="FL18" s="355">
        <f>-FL16*$FH$18</f>
        <v>-1986634.4802290488</v>
      </c>
      <c r="FM18" s="355">
        <f>-FM16*$FH$18</f>
        <v>-179947.0410290478</v>
      </c>
      <c r="FN18" s="233">
        <f t="shared" si="20"/>
        <v>5</v>
      </c>
      <c r="FO18" s="440" t="s">
        <v>368</v>
      </c>
      <c r="FP18" s="440"/>
      <c r="FQ18" s="244">
        <v>0</v>
      </c>
      <c r="FR18" s="244">
        <v>0</v>
      </c>
      <c r="FS18" s="244">
        <v>0</v>
      </c>
      <c r="FT18" s="244">
        <v>-872688.03016393958</v>
      </c>
      <c r="FU18" s="244">
        <f>+FT18-FS18</f>
        <v>-872688.03016393958</v>
      </c>
      <c r="FV18" s="367">
        <v>5</v>
      </c>
      <c r="FW18" s="272" t="s">
        <v>372</v>
      </c>
      <c r="FX18" s="419"/>
      <c r="FY18" s="1115">
        <v>1567215.6078579</v>
      </c>
      <c r="FZ18" s="1115">
        <v>1567215.6078579</v>
      </c>
      <c r="GA18" s="1115">
        <f t="shared" si="21"/>
        <v>0</v>
      </c>
      <c r="GB18" s="1115">
        <v>1505385.8006040002</v>
      </c>
      <c r="GC18" s="1115">
        <f t="shared" si="22"/>
        <v>-61829.807253899751</v>
      </c>
      <c r="GD18" s="377">
        <f t="shared" si="23"/>
        <v>5</v>
      </c>
      <c r="GE18" s="440" t="s">
        <v>371</v>
      </c>
      <c r="GF18" s="440"/>
      <c r="GG18" s="244">
        <v>0</v>
      </c>
      <c r="GH18" s="244">
        <v>0</v>
      </c>
      <c r="GI18" s="244">
        <v>0</v>
      </c>
      <c r="GJ18" s="244">
        <v>-36545.302130847929</v>
      </c>
      <c r="GK18" s="244">
        <f>+GJ18-GI18</f>
        <v>-36545.302130847929</v>
      </c>
      <c r="GL18" s="767">
        <f t="shared" si="24"/>
        <v>5</v>
      </c>
      <c r="GM18" s="245"/>
      <c r="GN18" s="230"/>
      <c r="GO18" s="234"/>
      <c r="GP18" s="234"/>
      <c r="GQ18" s="234"/>
      <c r="GR18" s="234"/>
      <c r="GS18" s="234"/>
      <c r="GT18" s="233">
        <v>5</v>
      </c>
      <c r="GU18" s="590" t="s">
        <v>370</v>
      </c>
      <c r="GV18" s="470"/>
      <c r="GW18" s="504"/>
      <c r="GX18" s="504"/>
      <c r="GY18" s="504"/>
      <c r="GZ18" s="504"/>
      <c r="HA18" s="504"/>
      <c r="HB18" s="367">
        <v>5</v>
      </c>
      <c r="HC18" s="366" t="s">
        <v>369</v>
      </c>
      <c r="HD18" s="433"/>
      <c r="HE18" s="1120">
        <f t="shared" ref="HE18:HG18" si="28">SUM(HE15:HE17)</f>
        <v>0</v>
      </c>
      <c r="HF18" s="1120">
        <f t="shared" si="28"/>
        <v>0</v>
      </c>
      <c r="HG18" s="1120">
        <f t="shared" si="28"/>
        <v>0</v>
      </c>
      <c r="HH18" s="1120">
        <f>SUM(HH15:HH17)</f>
        <v>5946647.6649043793</v>
      </c>
      <c r="HI18" s="1120">
        <f>SUM(HI15:HI17)</f>
        <v>5946647.6649043793</v>
      </c>
      <c r="HJ18" s="767">
        <f t="shared" si="25"/>
        <v>5</v>
      </c>
      <c r="HK18" s="247" t="s">
        <v>57</v>
      </c>
      <c r="HL18" s="230"/>
      <c r="HM18" s="482">
        <v>19366.041045000002</v>
      </c>
      <c r="HN18" s="482">
        <v>19366.041045000002</v>
      </c>
      <c r="HO18" s="482">
        <f>HN18-HM18</f>
        <v>0</v>
      </c>
      <c r="HP18" s="482">
        <v>19966.917678000002</v>
      </c>
      <c r="HQ18" s="482">
        <f>HP18-HN18</f>
        <v>600.87663299999986</v>
      </c>
      <c r="HR18" s="767">
        <f t="shared" si="26"/>
        <v>5</v>
      </c>
      <c r="HS18" s="965" t="s">
        <v>1364</v>
      </c>
      <c r="HT18" s="230"/>
      <c r="HU18" s="234">
        <v>0</v>
      </c>
      <c r="HV18" s="234">
        <v>0</v>
      </c>
      <c r="HW18" s="234">
        <v>0</v>
      </c>
      <c r="HX18" s="234">
        <v>-189353.38777026249</v>
      </c>
      <c r="HY18" s="234">
        <v>-189353.38777026249</v>
      </c>
    </row>
    <row r="19" spans="1:236" ht="15" thickTop="1" thickBot="1">
      <c r="A19" s="756">
        <f t="shared" si="7"/>
        <v>6</v>
      </c>
      <c r="B19" s="774" t="s">
        <v>691</v>
      </c>
      <c r="C19" s="759"/>
      <c r="D19" s="1291"/>
      <c r="E19" s="817"/>
      <c r="F19" s="244">
        <v>945501.50930613512</v>
      </c>
      <c r="G19" s="1291"/>
      <c r="H19" s="772">
        <v>0</v>
      </c>
      <c r="I19" s="314">
        <f t="shared" si="8"/>
        <v>6</v>
      </c>
      <c r="J19" s="525" t="s">
        <v>382</v>
      </c>
      <c r="K19" s="826"/>
      <c r="L19" s="1109">
        <f>L15*L17</f>
        <v>4337256.6364930933</v>
      </c>
      <c r="M19" s="1109">
        <f>M15*M17</f>
        <v>4379631.9664230933</v>
      </c>
      <c r="N19" s="1109">
        <v>42375.32993</v>
      </c>
      <c r="O19" s="1109">
        <v>39501680.602483019</v>
      </c>
      <c r="P19" s="1109">
        <f>O19-M19</f>
        <v>35122048.636059925</v>
      </c>
      <c r="Q19" s="683"/>
      <c r="R19" s="683"/>
      <c r="S19" s="683"/>
      <c r="T19" s="683"/>
      <c r="U19" s="683"/>
      <c r="V19" s="683"/>
      <c r="W19" s="683"/>
      <c r="X19" s="683"/>
      <c r="Y19" s="233">
        <f t="shared" si="9"/>
        <v>6</v>
      </c>
      <c r="Z19" s="503" t="s">
        <v>367</v>
      </c>
      <c r="AB19" s="1112">
        <v>0</v>
      </c>
      <c r="AC19" s="1112">
        <f>+AC14*AC18</f>
        <v>61510078.005106948</v>
      </c>
      <c r="AD19" s="1112">
        <f>+AC19-AB19</f>
        <v>61510078.005106948</v>
      </c>
      <c r="AE19" s="1113">
        <f>+AE14*AE18</f>
        <v>60633705.509920031</v>
      </c>
      <c r="AF19" s="1114">
        <f>+AE19-AD19</f>
        <v>-876372.49518691748</v>
      </c>
      <c r="AG19" s="756">
        <f t="shared" si="0"/>
        <v>7</v>
      </c>
      <c r="AH19" s="366" t="s">
        <v>690</v>
      </c>
      <c r="AI19" s="796"/>
      <c r="AJ19" s="244">
        <v>-52671.83</v>
      </c>
      <c r="AK19" s="354">
        <v>0</v>
      </c>
      <c r="AL19" s="244">
        <f t="shared" si="1"/>
        <v>52671.83</v>
      </c>
      <c r="AM19" s="354">
        <f t="shared" si="2"/>
        <v>0</v>
      </c>
      <c r="AN19" s="354">
        <f t="shared" si="3"/>
        <v>0</v>
      </c>
      <c r="AO19" s="233">
        <f t="shared" si="10"/>
        <v>6</v>
      </c>
      <c r="AP19" s="515" t="s">
        <v>252</v>
      </c>
      <c r="AQ19" s="385">
        <f>+FIT_G</f>
        <v>0.21</v>
      </c>
      <c r="AR19" s="513">
        <f>-$AQ$19*AR18</f>
        <v>97747.232481406303</v>
      </c>
      <c r="AS19" s="513">
        <f>-$AQ$19*AS18</f>
        <v>-236211.01623767038</v>
      </c>
      <c r="AT19" s="513">
        <f>-$AQ$19*AT18</f>
        <v>-333958.24871907668</v>
      </c>
      <c r="AU19" s="513">
        <f>-$AQ$19*AU18</f>
        <v>-236211.01623767038</v>
      </c>
      <c r="AV19" s="513">
        <f>-$AQ$19*AV18</f>
        <v>0</v>
      </c>
      <c r="AW19" s="779">
        <f>AW18+1</f>
        <v>6</v>
      </c>
      <c r="AX19" s="508" t="s">
        <v>249</v>
      </c>
      <c r="AY19" s="508"/>
      <c r="AZ19" s="1117">
        <f>AZ17-AZ18</f>
        <v>-3423246.4500636901</v>
      </c>
      <c r="BA19" s="1117">
        <f>BA17-BA18</f>
        <v>-3548675.2048051325</v>
      </c>
      <c r="BB19" s="1117">
        <f>BB17-BB18</f>
        <v>-125428.75474144239</v>
      </c>
      <c r="BC19" s="1117">
        <f>BC17-BC18</f>
        <v>-3548675.2048051325</v>
      </c>
      <c r="BD19" s="1117">
        <f>BD17-BD18</f>
        <v>0</v>
      </c>
      <c r="BE19" s="816">
        <v>5.1240000000000001E-3</v>
      </c>
      <c r="BF19" s="367">
        <f t="shared" si="11"/>
        <v>6</v>
      </c>
      <c r="BG19" s="477" t="s">
        <v>376</v>
      </c>
      <c r="BI19" s="818">
        <v>1865743.5814950194</v>
      </c>
      <c r="BJ19" s="818">
        <v>1986577.5876422047</v>
      </c>
      <c r="BK19" s="818">
        <v>120834.00614718534</v>
      </c>
      <c r="BL19" s="818">
        <v>1986577.5876422047</v>
      </c>
      <c r="BM19" s="818">
        <v>0</v>
      </c>
      <c r="BN19" s="478">
        <v>6</v>
      </c>
      <c r="BO19" s="436" t="s">
        <v>366</v>
      </c>
      <c r="BP19" s="512">
        <f>+FIT_G</f>
        <v>0.21</v>
      </c>
      <c r="BQ19" s="457">
        <f>-$BP$19*BQ18</f>
        <v>-7635501.4655247293</v>
      </c>
      <c r="BR19" s="457">
        <f>-$BP$19*BR18</f>
        <v>-7616924.1396719096</v>
      </c>
      <c r="BS19" s="467">
        <f>BR19-BQ19</f>
        <v>18577.325852819718</v>
      </c>
      <c r="BT19" s="457">
        <f>-$BP$19*BT18</f>
        <v>-7635501.4655247293</v>
      </c>
      <c r="BU19" s="303">
        <f>-BU18*BP19</f>
        <v>-18577.325852819973</v>
      </c>
      <c r="BV19" s="468">
        <f t="shared" si="12"/>
        <v>6</v>
      </c>
      <c r="BW19" s="397"/>
      <c r="BX19" s="397"/>
      <c r="BY19" s="351"/>
      <c r="BZ19" s="351"/>
      <c r="CA19" s="351"/>
      <c r="CB19" s="351"/>
      <c r="CC19" s="351"/>
      <c r="CL19" s="367">
        <v>6</v>
      </c>
      <c r="CM19" s="403" t="s">
        <v>689</v>
      </c>
      <c r="CN19" s="618">
        <f>FIT_G</f>
        <v>0.21</v>
      </c>
      <c r="CO19" s="276">
        <f>-CO17*CN19</f>
        <v>1266.1871033699997</v>
      </c>
      <c r="CP19" s="276">
        <f>-CP17*CN19</f>
        <v>-115185</v>
      </c>
      <c r="CQ19" s="276">
        <f>CP19-CO19</f>
        <v>-116451.18710337</v>
      </c>
      <c r="CR19" s="276">
        <f>CP19</f>
        <v>-115185</v>
      </c>
      <c r="CS19" s="276">
        <f>CR19-CP19</f>
        <v>0</v>
      </c>
      <c r="CT19" s="233">
        <f>CT18+1</f>
        <v>6</v>
      </c>
      <c r="CU19" s="247" t="s">
        <v>249</v>
      </c>
      <c r="CV19" s="247"/>
      <c r="CW19" s="518">
        <f>-CW17-CW18</f>
        <v>-1606404.4501608335</v>
      </c>
      <c r="CX19" s="518">
        <f>-CX17-CX18</f>
        <v>-2376855.1976258974</v>
      </c>
      <c r="CY19" s="518">
        <f>-CY17-CY18</f>
        <v>-770450.7474650637</v>
      </c>
      <c r="CZ19" s="518">
        <f>-CZ17-CZ18</f>
        <v>-2376855.1976258974</v>
      </c>
      <c r="DA19" s="518">
        <f>-DA17-DA18</f>
        <v>0</v>
      </c>
      <c r="DB19" s="302">
        <f>DB18+1</f>
        <v>6</v>
      </c>
      <c r="DC19" s="247" t="s">
        <v>249</v>
      </c>
      <c r="DD19" s="245"/>
      <c r="DE19" s="511">
        <f>-DE16-DE18</f>
        <v>-971628.86418693012</v>
      </c>
      <c r="DF19" s="511">
        <f>-DF16-DF18</f>
        <v>-1024278.900543715</v>
      </c>
      <c r="DG19" s="511">
        <f>-DG16-DG18</f>
        <v>-52650.036356784825</v>
      </c>
      <c r="DH19" s="511">
        <f>-DH16-DH18</f>
        <v>-1048759.6941592395</v>
      </c>
      <c r="DI19" s="511">
        <f>-DI16-DI18</f>
        <v>-24480.79361552457</v>
      </c>
      <c r="DJ19" s="367">
        <f t="shared" si="13"/>
        <v>6</v>
      </c>
      <c r="DK19" s="466" t="s">
        <v>376</v>
      </c>
      <c r="DL19" s="397"/>
      <c r="DM19" s="441">
        <v>25614608.633726873</v>
      </c>
      <c r="DN19" s="441">
        <v>26017231.896021232</v>
      </c>
      <c r="DO19" s="443">
        <f t="shared" si="14"/>
        <v>402623.26229435951</v>
      </c>
      <c r="DP19" s="441">
        <v>27367437.778159473</v>
      </c>
      <c r="DQ19" s="441">
        <f t="shared" si="15"/>
        <v>1350205.8821382411</v>
      </c>
      <c r="DR19" s="367">
        <f t="shared" si="16"/>
        <v>6</v>
      </c>
      <c r="DS19" s="452"/>
      <c r="DT19" s="465"/>
      <c r="DU19" s="471"/>
      <c r="DV19" s="471"/>
      <c r="DW19" s="471"/>
      <c r="DX19" s="471"/>
      <c r="DY19" s="471"/>
      <c r="DZ19" s="233">
        <v>6</v>
      </c>
      <c r="EA19" s="510" t="s">
        <v>363</v>
      </c>
      <c r="EB19" s="249">
        <v>0.49997132880489842</v>
      </c>
      <c r="EC19" s="303">
        <f>EC17*$EB$19</f>
        <v>6734928.4344369974</v>
      </c>
      <c r="ED19" s="303">
        <f>ED17*$EB$19</f>
        <v>6748403.547863475</v>
      </c>
      <c r="EE19" s="303">
        <f>EE17*$EB$19</f>
        <v>13475.113426476943</v>
      </c>
      <c r="EF19" s="303">
        <f>EF17*$EB$19</f>
        <v>7138949.9530588696</v>
      </c>
      <c r="EG19" s="303">
        <f>EG17*$EB$19</f>
        <v>390546.4051953943</v>
      </c>
      <c r="EH19" s="233">
        <f t="shared" si="17"/>
        <v>6</v>
      </c>
      <c r="EI19" s="245" t="s">
        <v>38</v>
      </c>
      <c r="EK19" s="1121">
        <v>0</v>
      </c>
      <c r="EL19" s="1121">
        <v>0</v>
      </c>
      <c r="EM19" s="1121">
        <f t="shared" si="4"/>
        <v>0</v>
      </c>
      <c r="EN19" s="1121">
        <f t="shared" si="5"/>
        <v>0</v>
      </c>
      <c r="EO19" s="1121">
        <f t="shared" si="6"/>
        <v>0</v>
      </c>
      <c r="EP19" s="767">
        <f t="shared" si="18"/>
        <v>6</v>
      </c>
      <c r="EQ19" s="247" t="s">
        <v>688</v>
      </c>
      <c r="ER19" s="767"/>
      <c r="ES19" s="234">
        <v>150570.87421800001</v>
      </c>
      <c r="ET19" s="234">
        <v>155899.85061600001</v>
      </c>
      <c r="EU19" s="234">
        <f>ET19-ES19</f>
        <v>5328.9763979999989</v>
      </c>
      <c r="EV19" s="234">
        <f>ET19</f>
        <v>155899.85061600001</v>
      </c>
      <c r="EW19" s="234">
        <f>EV19-ET19</f>
        <v>0</v>
      </c>
      <c r="EX19" s="314">
        <f t="shared" si="19"/>
        <v>6</v>
      </c>
      <c r="EY19" s="248" t="s">
        <v>250</v>
      </c>
      <c r="EZ19" s="249">
        <v>0.21</v>
      </c>
      <c r="FA19" s="234">
        <f>-$EZ$19*FA17</f>
        <v>-24424.343999999997</v>
      </c>
      <c r="FB19" s="234">
        <f>-$EZ$19*FB17</f>
        <v>-24424.343999999997</v>
      </c>
      <c r="FC19" s="234">
        <f>-$EZ$19*FC17</f>
        <v>0</v>
      </c>
      <c r="FD19" s="234">
        <f>-$EZ$19*FD17</f>
        <v>-5113.1059000000059</v>
      </c>
      <c r="FE19" s="234">
        <f>-$EZ$19*FE17</f>
        <v>19311.238099999991</v>
      </c>
      <c r="FF19" s="233">
        <f>FF18+1</f>
        <v>6</v>
      </c>
      <c r="FG19" s="508" t="s">
        <v>249</v>
      </c>
      <c r="FH19" s="507"/>
      <c r="FI19" s="506">
        <f>-FI16-FI18</f>
        <v>-6796586.0808000043</v>
      </c>
      <c r="FJ19" s="506">
        <f>-FJ16-FJ18</f>
        <v>-6796586.0808000043</v>
      </c>
      <c r="FK19" s="506">
        <f>-FK16-FK18</f>
        <v>0</v>
      </c>
      <c r="FL19" s="506">
        <f>-FL16-FL18</f>
        <v>-7473529.7113378504</v>
      </c>
      <c r="FM19" s="506">
        <f>-FM16-FM18</f>
        <v>-676943.63053784647</v>
      </c>
      <c r="FN19" s="233">
        <f t="shared" si="20"/>
        <v>6</v>
      </c>
      <c r="FO19" s="397" t="s">
        <v>360</v>
      </c>
      <c r="FP19" s="397"/>
      <c r="FQ19" s="1126">
        <f t="shared" ref="FQ19:FR19" si="29">SUM(FQ16:FQ18)</f>
        <v>0</v>
      </c>
      <c r="FR19" s="1126">
        <f t="shared" si="29"/>
        <v>0</v>
      </c>
      <c r="FS19" s="1126">
        <f>SUM(FS16:FS18)</f>
        <v>0</v>
      </c>
      <c r="FT19" s="1126">
        <f>SUM(FT16:FT18)</f>
        <v>10573839.245973557</v>
      </c>
      <c r="FU19" s="1126">
        <f>SUM(FU16:FU18)</f>
        <v>10573839.245973557</v>
      </c>
      <c r="FV19" s="367">
        <v>6</v>
      </c>
      <c r="FW19" s="272" t="s">
        <v>687</v>
      </c>
      <c r="FX19" s="419"/>
      <c r="FY19" s="1115">
        <v>450520.55347530002</v>
      </c>
      <c r="FZ19" s="1115">
        <v>450520.55347530002</v>
      </c>
      <c r="GA19" s="1115">
        <f t="shared" si="21"/>
        <v>0</v>
      </c>
      <c r="GB19" s="1115">
        <v>337383.05895000004</v>
      </c>
      <c r="GC19" s="1115">
        <f t="shared" si="22"/>
        <v>-113137.49452529999</v>
      </c>
      <c r="GD19" s="377">
        <f t="shared" si="23"/>
        <v>6</v>
      </c>
      <c r="GE19" s="397" t="s">
        <v>360</v>
      </c>
      <c r="GF19" s="440"/>
      <c r="GG19" s="375">
        <f>SUM(GG16:GG18)</f>
        <v>0</v>
      </c>
      <c r="GH19" s="375">
        <f>SUM(GH16:GH18)</f>
        <v>0</v>
      </c>
      <c r="GI19" s="375">
        <f>SUM(GI16:GI18)</f>
        <v>0</v>
      </c>
      <c r="GJ19" s="375">
        <f>SUM(GJ16:GJ18)</f>
        <v>6418004.8049946642</v>
      </c>
      <c r="GK19" s="375">
        <f>SUM(GK16:GK18)</f>
        <v>6418004.8049946642</v>
      </c>
      <c r="GL19" s="767">
        <f t="shared" si="24"/>
        <v>6</v>
      </c>
      <c r="GM19" s="245" t="s">
        <v>250</v>
      </c>
      <c r="GN19" s="249">
        <f>FIT_G</f>
        <v>0.21</v>
      </c>
      <c r="GO19" s="482">
        <f>-GO17*GN19</f>
        <v>-125448.12</v>
      </c>
      <c r="GP19" s="482">
        <f>-GP17*GN19</f>
        <v>-125448.12</v>
      </c>
      <c r="GQ19" s="482">
        <f>GP19-GO19</f>
        <v>0</v>
      </c>
      <c r="GR19" s="482">
        <f>-GR17*GN19</f>
        <v>-33978.927932250001</v>
      </c>
      <c r="GS19" s="482">
        <f>-GS17*GN19</f>
        <v>91469.192067750002</v>
      </c>
      <c r="GT19" s="233">
        <v>6</v>
      </c>
      <c r="GU19" s="464" t="s">
        <v>359</v>
      </c>
      <c r="GV19" s="505"/>
      <c r="GW19" s="655">
        <v>0</v>
      </c>
      <c r="GX19" s="655">
        <f>GW19</f>
        <v>0</v>
      </c>
      <c r="GY19" s="655">
        <f>GX19-GW19</f>
        <v>0</v>
      </c>
      <c r="GZ19" s="655">
        <v>-722630.37767299998</v>
      </c>
      <c r="HA19" s="655">
        <f>GZ19-GX19</f>
        <v>-722630.37767299998</v>
      </c>
      <c r="HB19" s="367">
        <v>6</v>
      </c>
      <c r="HE19" s="678"/>
      <c r="HF19" s="678"/>
      <c r="HG19" s="678"/>
      <c r="HH19" s="678"/>
      <c r="HI19" s="678"/>
      <c r="HJ19" s="767">
        <f t="shared" si="25"/>
        <v>6</v>
      </c>
      <c r="HK19" s="247" t="s">
        <v>298</v>
      </c>
      <c r="HM19" s="521">
        <f>SUM(HM14:HM18)</f>
        <v>23609047.271044999</v>
      </c>
      <c r="HN19" s="521">
        <f>SUM(HN14:HN18)</f>
        <v>23609047.271044999</v>
      </c>
      <c r="HO19" s="521">
        <f>SUM(HO14:HO18)</f>
        <v>0</v>
      </c>
      <c r="HP19" s="521">
        <f>SUM(HP14:HP18)</f>
        <v>23993626.217678003</v>
      </c>
      <c r="HQ19" s="521">
        <f>SUM(HQ14:HQ18)</f>
        <v>384578.94663300115</v>
      </c>
      <c r="HR19" s="767">
        <f t="shared" si="26"/>
        <v>6</v>
      </c>
      <c r="HS19" s="965" t="s">
        <v>360</v>
      </c>
      <c r="HT19" s="249"/>
      <c r="HU19" s="450">
        <f>SUM(HU16:HU18)</f>
        <v>0</v>
      </c>
      <c r="HV19" s="450">
        <f>SUM(HV16:HV18)</f>
        <v>0</v>
      </c>
      <c r="HW19" s="450">
        <f>SUM(HW16:HW18)</f>
        <v>0</v>
      </c>
      <c r="HX19" s="450">
        <f>SUM(HX16:HX18)</f>
        <v>2799732.3622297375</v>
      </c>
      <c r="HY19" s="450">
        <f>SUM(HY16:HY18)</f>
        <v>2799732.3622297375</v>
      </c>
    </row>
    <row r="20" spans="1:236" ht="15.6" thickTop="1" thickBot="1">
      <c r="A20" s="756">
        <f t="shared" si="7"/>
        <v>7</v>
      </c>
      <c r="B20" s="788" t="s">
        <v>686</v>
      </c>
      <c r="C20" s="759"/>
      <c r="D20" s="770"/>
      <c r="E20" s="770"/>
      <c r="F20" s="770">
        <f>SUM(F15:F19)</f>
        <v>-47098325.766164944</v>
      </c>
      <c r="G20" s="770"/>
      <c r="H20" s="770">
        <f>SUM(H15:H19)</f>
        <v>50971.28</v>
      </c>
      <c r="I20" s="314">
        <f t="shared" si="8"/>
        <v>7</v>
      </c>
      <c r="J20" s="517"/>
      <c r="K20" s="826"/>
      <c r="L20" s="250"/>
      <c r="M20" s="250"/>
      <c r="N20" s="250"/>
      <c r="O20" s="250"/>
      <c r="P20" s="250"/>
      <c r="Q20" s="683"/>
      <c r="R20" s="683"/>
      <c r="S20" s="683"/>
      <c r="T20" s="683"/>
      <c r="U20" s="683"/>
      <c r="V20" s="683"/>
      <c r="W20" s="683"/>
      <c r="X20" s="683"/>
      <c r="Y20" s="233">
        <f t="shared" si="9"/>
        <v>7</v>
      </c>
      <c r="Z20" s="503"/>
      <c r="AB20" s="273"/>
      <c r="AC20" s="273"/>
      <c r="AD20" s="273"/>
      <c r="AE20" s="273"/>
      <c r="AF20" s="273"/>
      <c r="AG20" s="756">
        <f t="shared" si="0"/>
        <v>8</v>
      </c>
      <c r="AH20" s="366" t="s">
        <v>333</v>
      </c>
      <c r="AI20" s="796"/>
      <c r="AJ20" s="244">
        <v>46012584.141477734</v>
      </c>
      <c r="AK20" s="354">
        <v>0</v>
      </c>
      <c r="AL20" s="244">
        <f t="shared" si="1"/>
        <v>-46012584.141477734</v>
      </c>
      <c r="AM20" s="354">
        <f t="shared" si="2"/>
        <v>0</v>
      </c>
      <c r="AN20" s="354">
        <f t="shared" si="3"/>
        <v>0</v>
      </c>
      <c r="AO20" s="233">
        <f t="shared" si="10"/>
        <v>7</v>
      </c>
      <c r="AP20" s="245"/>
      <c r="AQ20" s="245"/>
      <c r="AR20" s="469"/>
      <c r="AS20" s="469"/>
      <c r="AT20" s="469"/>
      <c r="AU20" s="501">
        <f>SUM(AU18:AU19)</f>
        <v>888603.34679885535</v>
      </c>
      <c r="AV20" s="500"/>
      <c r="AW20" s="779"/>
      <c r="AX20" s="377"/>
      <c r="AY20" s="779"/>
      <c r="AZ20" s="814"/>
      <c r="BA20" s="657"/>
      <c r="BB20" s="813"/>
      <c r="BC20" s="813"/>
      <c r="BD20" s="813"/>
      <c r="BE20" s="527"/>
      <c r="BF20" s="367">
        <f t="shared" si="11"/>
        <v>7</v>
      </c>
      <c r="BG20" s="477" t="s">
        <v>364</v>
      </c>
      <c r="BI20" s="818">
        <v>590456.90913402813</v>
      </c>
      <c r="BJ20" s="818">
        <v>619932.49943511235</v>
      </c>
      <c r="BK20" s="818">
        <v>29475.590301084216</v>
      </c>
      <c r="BL20" s="818">
        <v>619932.49943511235</v>
      </c>
      <c r="BM20" s="818">
        <v>0</v>
      </c>
      <c r="BN20" s="478">
        <v>7</v>
      </c>
      <c r="BO20" s="436" t="s">
        <v>281</v>
      </c>
      <c r="BP20" s="436"/>
      <c r="BQ20" s="353">
        <f>-BQ18-BQ19</f>
        <v>-28724029.32268827</v>
      </c>
      <c r="BR20" s="353">
        <f>-BR18-BR19</f>
        <v>-28654143.192099091</v>
      </c>
      <c r="BS20" s="353">
        <f>-BS18-BS19</f>
        <v>69886.130589178763</v>
      </c>
      <c r="BT20" s="353">
        <f>-BT18-BT19</f>
        <v>-28724029.32268827</v>
      </c>
      <c r="BU20" s="353">
        <f>-BU18-BU19</f>
        <v>-69886.130589179898</v>
      </c>
      <c r="BV20" s="468">
        <f t="shared" si="12"/>
        <v>7</v>
      </c>
      <c r="BW20" s="397" t="s">
        <v>252</v>
      </c>
      <c r="BX20" s="512">
        <f>+FIT_G</f>
        <v>0.21</v>
      </c>
      <c r="BY20" s="404">
        <f>-BY18*$BX$20</f>
        <v>-12771.078916391029</v>
      </c>
      <c r="BZ20" s="404">
        <f>-BZ18*$BX$20</f>
        <v>-11752.705283241794</v>
      </c>
      <c r="CA20" s="404">
        <f>-CA18*$BX$20</f>
        <v>1018.3736331492352</v>
      </c>
      <c r="CB20" s="404">
        <f>-CB18*$BX$20</f>
        <v>-12771.078916391029</v>
      </c>
      <c r="CC20" s="404">
        <f>-CC18*BX20</f>
        <v>-1018.3736331492352</v>
      </c>
      <c r="CL20" s="367">
        <f>+CL19+1</f>
        <v>7</v>
      </c>
      <c r="CM20" s="403" t="s">
        <v>281</v>
      </c>
      <c r="CN20" s="403"/>
      <c r="CO20" s="402">
        <f>-CO17-CO19</f>
        <v>4763.2752936299994</v>
      </c>
      <c r="CP20" s="402">
        <f>-CP17-CP19</f>
        <v>-433315</v>
      </c>
      <c r="CQ20" s="402">
        <f>-CQ17-CQ19</f>
        <v>-438078.27529363008</v>
      </c>
      <c r="CR20" s="402">
        <f>-CR17-CR19</f>
        <v>-433315</v>
      </c>
      <c r="CS20" s="402">
        <f>-CS17-CS19</f>
        <v>0</v>
      </c>
      <c r="CT20" s="302"/>
      <c r="DB20" s="302"/>
      <c r="DJ20" s="367">
        <f t="shared" si="13"/>
        <v>7</v>
      </c>
      <c r="DK20" s="466" t="s">
        <v>364</v>
      </c>
      <c r="DL20" s="397"/>
      <c r="DM20" s="441">
        <v>8106312.9809994772</v>
      </c>
      <c r="DN20" s="495">
        <v>8119269.1840749597</v>
      </c>
      <c r="DO20" s="443">
        <f t="shared" si="14"/>
        <v>12956.20307548251</v>
      </c>
      <c r="DP20" s="495">
        <v>8393646.5255392529</v>
      </c>
      <c r="DQ20" s="495">
        <f t="shared" si="15"/>
        <v>274377.34146429319</v>
      </c>
      <c r="DR20" s="367">
        <f t="shared" si="16"/>
        <v>7</v>
      </c>
      <c r="DS20" s="494" t="s">
        <v>356</v>
      </c>
      <c r="DT20" s="493"/>
      <c r="DU20" s="471"/>
      <c r="DV20" s="471"/>
      <c r="DW20" s="471"/>
      <c r="DX20" s="471"/>
      <c r="DY20" s="471"/>
      <c r="DZ20" s="233">
        <v>7</v>
      </c>
      <c r="EA20" s="492" t="s">
        <v>355</v>
      </c>
      <c r="EC20" s="482">
        <v>6749185.0726644062</v>
      </c>
      <c r="ED20" s="384">
        <v>6749185.0726644062</v>
      </c>
      <c r="EE20" s="384">
        <f>ED20-EC20</f>
        <v>0</v>
      </c>
      <c r="EF20" s="384">
        <v>6749185.0726644062</v>
      </c>
      <c r="EG20" s="488">
        <f>EF20-ED20</f>
        <v>0</v>
      </c>
      <c r="EH20" s="233">
        <f t="shared" si="17"/>
        <v>7</v>
      </c>
      <c r="EI20" s="245" t="s">
        <v>37</v>
      </c>
      <c r="EK20" s="614">
        <f>SUM(EK14:EK19)</f>
        <v>1951252143.2591095</v>
      </c>
      <c r="EL20" s="614">
        <f>SUM(EL14:EL19)</f>
        <v>2101917831.5899961</v>
      </c>
      <c r="EM20" s="614">
        <f>SUM(EM14:EM19)</f>
        <v>150665688.3308869</v>
      </c>
      <c r="EN20" s="614">
        <f>SUM(EN14:EN19)</f>
        <v>2101917831.5899961</v>
      </c>
      <c r="EO20" s="1122">
        <f>SUM(EO14:EO19)</f>
        <v>0</v>
      </c>
      <c r="EP20" s="767">
        <f t="shared" si="18"/>
        <v>7</v>
      </c>
      <c r="EQ20" s="247" t="s">
        <v>685</v>
      </c>
      <c r="ER20" s="767"/>
      <c r="ES20" s="482">
        <v>159133.14000000001</v>
      </c>
      <c r="ET20" s="482">
        <v>168529.08</v>
      </c>
      <c r="EU20" s="482">
        <f>ET20-ES20</f>
        <v>9395.9399999999732</v>
      </c>
      <c r="EV20" s="482">
        <f>ET20</f>
        <v>168529.08</v>
      </c>
      <c r="EW20" s="482">
        <f>EV20-ET20</f>
        <v>0</v>
      </c>
      <c r="EX20" s="314">
        <f t="shared" si="19"/>
        <v>7</v>
      </c>
      <c r="EY20" s="248" t="s">
        <v>249</v>
      </c>
      <c r="EZ20" s="248"/>
      <c r="FA20" s="357">
        <f>-FA17-FA19</f>
        <v>-91882.055999999997</v>
      </c>
      <c r="FB20" s="357">
        <f>-FB17-FB19</f>
        <v>-91882.055999999997</v>
      </c>
      <c r="FC20" s="357">
        <f>-FC17-FC19</f>
        <v>0</v>
      </c>
      <c r="FD20" s="357">
        <f>-FD17-FD19</f>
        <v>-19235.017433333356</v>
      </c>
      <c r="FE20" s="357">
        <f>-FE17-FE19</f>
        <v>72647.038566666641</v>
      </c>
      <c r="FH20" s="487"/>
      <c r="FI20" s="812"/>
      <c r="FJ20" s="487"/>
      <c r="FK20" s="808"/>
      <c r="FL20" s="348"/>
      <c r="FM20" s="244"/>
      <c r="FN20" s="233">
        <f t="shared" si="20"/>
        <v>7</v>
      </c>
      <c r="FO20" s="470" t="s">
        <v>347</v>
      </c>
      <c r="FP20" s="397"/>
      <c r="FQ20" s="1126"/>
      <c r="FR20" s="1126"/>
      <c r="FS20" s="1126"/>
      <c r="FT20" s="1126"/>
      <c r="FU20" s="1126"/>
      <c r="FV20" s="367">
        <v>7</v>
      </c>
      <c r="FW20" s="272" t="s">
        <v>684</v>
      </c>
      <c r="FX20" s="419"/>
      <c r="FY20" s="1115">
        <v>165631.64519055001</v>
      </c>
      <c r="FZ20" s="1115">
        <v>165631.64519055001</v>
      </c>
      <c r="GA20" s="1115">
        <f t="shared" si="21"/>
        <v>0</v>
      </c>
      <c r="GB20" s="1115">
        <v>400013.62731539999</v>
      </c>
      <c r="GC20" s="1115">
        <f t="shared" si="22"/>
        <v>234381.98212484998</v>
      </c>
      <c r="GD20" s="377">
        <f t="shared" si="23"/>
        <v>7</v>
      </c>
      <c r="GE20" s="397"/>
      <c r="GF20" s="440"/>
      <c r="GG20" s="375"/>
      <c r="GH20" s="375"/>
      <c r="GI20" s="375"/>
      <c r="GJ20" s="375"/>
      <c r="GK20" s="375"/>
      <c r="GL20" s="767">
        <f t="shared" si="24"/>
        <v>7</v>
      </c>
      <c r="GM20" s="245" t="s">
        <v>249</v>
      </c>
      <c r="GN20" s="230"/>
      <c r="GO20" s="357">
        <f>-GO17-GO19</f>
        <v>-471923.88</v>
      </c>
      <c r="GP20" s="357">
        <f>-GP17-GP19</f>
        <v>-471923.88</v>
      </c>
      <c r="GQ20" s="357">
        <f>-GQ17-GQ19</f>
        <v>0</v>
      </c>
      <c r="GR20" s="357">
        <f>-GR17-GR19</f>
        <v>-127825.49079275</v>
      </c>
      <c r="GS20" s="357">
        <f>-GS17-GS19</f>
        <v>344098.38920724997</v>
      </c>
      <c r="GT20" s="233">
        <v>7</v>
      </c>
      <c r="GU20" s="811" t="s">
        <v>304</v>
      </c>
      <c r="GV20" s="410"/>
      <c r="GW20" s="1132">
        <f>GW19</f>
        <v>0</v>
      </c>
      <c r="GX20" s="1132">
        <f>GX19</f>
        <v>0</v>
      </c>
      <c r="GY20" s="1132">
        <f>GY19</f>
        <v>0</v>
      </c>
      <c r="GZ20" s="1132">
        <f>GZ19</f>
        <v>-722630.37767299998</v>
      </c>
      <c r="HA20" s="1132">
        <f>HA19</f>
        <v>-722630.37767299998</v>
      </c>
      <c r="HB20" s="367">
        <v>7</v>
      </c>
      <c r="HC20" s="413" t="s">
        <v>297</v>
      </c>
      <c r="HD20" s="413"/>
      <c r="HE20" s="678"/>
      <c r="HF20" s="678"/>
      <c r="HG20" s="678"/>
      <c r="HH20" s="678"/>
      <c r="HI20" s="678"/>
      <c r="HJ20" s="767">
        <f t="shared" si="25"/>
        <v>7</v>
      </c>
      <c r="HK20" s="403"/>
      <c r="HL20" s="230"/>
      <c r="HM20" s="234"/>
      <c r="HN20" s="234"/>
      <c r="HO20" s="234"/>
      <c r="HP20" s="234"/>
      <c r="HQ20" s="234"/>
      <c r="HR20" s="767">
        <f t="shared" si="26"/>
        <v>7</v>
      </c>
      <c r="HS20" s="826"/>
      <c r="HU20" s="826"/>
      <c r="HV20" s="826"/>
      <c r="HW20" s="826"/>
      <c r="HX20" s="826"/>
      <c r="HY20" s="826"/>
    </row>
    <row r="21" spans="1:236" ht="15.6" thickTop="1" thickBot="1">
      <c r="A21" s="756">
        <f t="shared" si="7"/>
        <v>8</v>
      </c>
      <c r="B21" s="774"/>
      <c r="C21" s="466"/>
      <c r="D21" s="244"/>
      <c r="E21" s="244"/>
      <c r="F21" s="348"/>
      <c r="G21" s="348"/>
      <c r="H21" s="772"/>
      <c r="I21" s="314">
        <f t="shared" si="8"/>
        <v>8</v>
      </c>
      <c r="J21" s="525" t="s">
        <v>683</v>
      </c>
      <c r="K21" s="826"/>
      <c r="L21" s="317">
        <v>0</v>
      </c>
      <c r="M21" s="317">
        <v>0</v>
      </c>
      <c r="N21" s="317">
        <f>M21-L21</f>
        <v>0</v>
      </c>
      <c r="O21" s="318">
        <v>16597941.863750041</v>
      </c>
      <c r="P21" s="1107">
        <f>O21-M21</f>
        <v>16597941.863750041</v>
      </c>
      <c r="Q21" s="683"/>
      <c r="R21" s="683"/>
      <c r="S21" s="683"/>
      <c r="T21" s="683"/>
      <c r="U21" s="683"/>
      <c r="V21" s="683"/>
      <c r="W21" s="683"/>
      <c r="X21" s="683"/>
      <c r="Y21" s="233">
        <f t="shared" si="9"/>
        <v>8</v>
      </c>
      <c r="Z21" s="464" t="s">
        <v>300</v>
      </c>
      <c r="AA21" s="768">
        <f>FIT_G</f>
        <v>0.21</v>
      </c>
      <c r="AB21" s="289">
        <f>-AB19*$AA$21</f>
        <v>0</v>
      </c>
      <c r="AC21" s="289">
        <f>-AC19*$AA$21</f>
        <v>-12917116.381072458</v>
      </c>
      <c r="AD21" s="289">
        <f>-AD19*$AA$21</f>
        <v>-12917116.381072458</v>
      </c>
      <c r="AE21" s="289">
        <f>-AE19*$AA$21</f>
        <v>-12733078.157083206</v>
      </c>
      <c r="AF21" s="289">
        <f>-AF19*$AA$21</f>
        <v>184038.22398925267</v>
      </c>
      <c r="AG21" s="756">
        <f t="shared" si="0"/>
        <v>9</v>
      </c>
      <c r="AH21" s="366" t="s">
        <v>326</v>
      </c>
      <c r="AI21" s="796"/>
      <c r="AJ21" s="244">
        <v>-43921450.229999997</v>
      </c>
      <c r="AK21" s="354">
        <v>0</v>
      </c>
      <c r="AL21" s="244">
        <f t="shared" si="1"/>
        <v>43921450.229999997</v>
      </c>
      <c r="AM21" s="354">
        <f t="shared" si="2"/>
        <v>0</v>
      </c>
      <c r="AN21" s="354">
        <f t="shared" si="3"/>
        <v>0</v>
      </c>
      <c r="AO21" s="233">
        <f t="shared" si="10"/>
        <v>8</v>
      </c>
      <c r="AP21" s="480" t="s">
        <v>249</v>
      </c>
      <c r="AQ21" s="480"/>
      <c r="AR21" s="479">
        <f>-AR18-AR19</f>
        <v>367715.77933481417</v>
      </c>
      <c r="AS21" s="479">
        <f>-AS18-AS19</f>
        <v>-888603.34679885535</v>
      </c>
      <c r="AT21" s="479">
        <f>-AT18-AT19</f>
        <v>-1256319.1261336696</v>
      </c>
      <c r="AU21" s="479">
        <f>-AU18-AU19</f>
        <v>-888603.34679885535</v>
      </c>
      <c r="AV21" s="479">
        <f>-AV18-AV19</f>
        <v>0</v>
      </c>
      <c r="AW21" s="779"/>
      <c r="AX21" s="377"/>
      <c r="AY21" s="779"/>
      <c r="AZ21" s="799"/>
      <c r="BA21" s="686"/>
      <c r="BB21" s="806"/>
      <c r="BC21" s="686"/>
      <c r="BD21" s="686"/>
      <c r="BE21" s="810"/>
      <c r="BF21" s="367">
        <f t="shared" si="11"/>
        <v>8</v>
      </c>
      <c r="BG21" s="477" t="s">
        <v>357</v>
      </c>
      <c r="BH21" s="410"/>
      <c r="BI21" s="818">
        <v>62084.89431110851</v>
      </c>
      <c r="BJ21" s="818">
        <v>65121.924963913763</v>
      </c>
      <c r="BK21" s="818">
        <v>3037.0306528052533</v>
      </c>
      <c r="BL21" s="818">
        <v>65121.924963913763</v>
      </c>
      <c r="BM21" s="818">
        <v>0</v>
      </c>
      <c r="BN21" s="302"/>
      <c r="BO21" s="476"/>
      <c r="BP21" s="475"/>
      <c r="BQ21" s="809"/>
      <c r="BR21" s="809"/>
      <c r="BS21" s="809"/>
      <c r="BT21" s="809"/>
      <c r="BU21" s="809"/>
      <c r="BV21" s="468">
        <f t="shared" si="12"/>
        <v>8</v>
      </c>
      <c r="BW21" s="397"/>
      <c r="BX21" s="397"/>
      <c r="BY21" s="1099"/>
      <c r="BZ21" s="1099"/>
      <c r="CA21" s="1099"/>
      <c r="CB21" s="1099"/>
      <c r="CC21" s="1099"/>
      <c r="CL21" s="367"/>
      <c r="CM21" s="376"/>
      <c r="CN21" s="376"/>
      <c r="CT21" s="302"/>
      <c r="DB21" s="302"/>
      <c r="DJ21" s="367">
        <f t="shared" si="13"/>
        <v>8</v>
      </c>
      <c r="DK21" s="466" t="s">
        <v>357</v>
      </c>
      <c r="DL21" s="397"/>
      <c r="DM21" s="441">
        <v>852371.36942795804</v>
      </c>
      <c r="DN21" s="495">
        <v>853095.85341986758</v>
      </c>
      <c r="DO21" s="443">
        <f t="shared" si="14"/>
        <v>724.48399190953933</v>
      </c>
      <c r="DP21" s="495">
        <v>884707.95937244641</v>
      </c>
      <c r="DQ21" s="495">
        <f t="shared" si="15"/>
        <v>31612.10595257883</v>
      </c>
      <c r="DR21" s="367">
        <f t="shared" si="16"/>
        <v>8</v>
      </c>
      <c r="DS21" s="436" t="s">
        <v>350</v>
      </c>
      <c r="DT21" s="472"/>
      <c r="DU21" s="471">
        <v>471519.19799999997</v>
      </c>
      <c r="DV21" s="471">
        <v>482128.37995499995</v>
      </c>
      <c r="DW21" s="471">
        <f>+DV21-DU21</f>
        <v>10609.181954999978</v>
      </c>
      <c r="DX21" s="471">
        <v>510248.51771587541</v>
      </c>
      <c r="DY21" s="471">
        <f>+DX21-DV21</f>
        <v>28120.137760875456</v>
      </c>
      <c r="DZ21" s="233">
        <v>8</v>
      </c>
      <c r="EA21" s="436" t="s">
        <v>275</v>
      </c>
      <c r="EC21" s="234">
        <f>EC19-EC20</f>
        <v>-14256.638227408752</v>
      </c>
      <c r="ED21" s="234">
        <f>ED19-ED20</f>
        <v>-781.52480093110353</v>
      </c>
      <c r="EE21" s="234">
        <f>EE19-EE20</f>
        <v>13475.113426476943</v>
      </c>
      <c r="EF21" s="234">
        <f>EF19-EF20</f>
        <v>389764.88039446343</v>
      </c>
      <c r="EG21" s="317">
        <f>EG19-EG20</f>
        <v>390546.4051953943</v>
      </c>
      <c r="EH21" s="233"/>
      <c r="EK21" s="678"/>
      <c r="EL21" s="678"/>
      <c r="EM21" s="678"/>
      <c r="EN21" s="678"/>
      <c r="EO21" s="678"/>
      <c r="EP21" s="767">
        <f t="shared" si="18"/>
        <v>8</v>
      </c>
      <c r="EQ21" s="247" t="s">
        <v>349</v>
      </c>
      <c r="ER21" s="767"/>
      <c r="ES21" s="234">
        <f>SUM(ES18:ES20)</f>
        <v>143075300.43646103</v>
      </c>
      <c r="ET21" s="234">
        <f>SUM(ET18:ET20)</f>
        <v>155402272.09059581</v>
      </c>
      <c r="EU21" s="234">
        <f>SUM(EU18:EU20)</f>
        <v>12326971.654134724</v>
      </c>
      <c r="EV21" s="234">
        <f>SUM(EV18:EV20)</f>
        <v>155402272.09059581</v>
      </c>
      <c r="EW21" s="234">
        <f>SUM(EW18:EW20)</f>
        <v>0</v>
      </c>
      <c r="EX21" s="314"/>
      <c r="EY21" s="230"/>
      <c r="EZ21" s="230"/>
      <c r="FA21" s="230"/>
      <c r="FB21" s="230"/>
      <c r="FC21" s="230"/>
      <c r="FD21" s="230"/>
      <c r="FE21" s="230"/>
      <c r="FH21" s="406"/>
      <c r="FI21" s="406"/>
      <c r="FJ21" s="406"/>
      <c r="FK21" s="808"/>
      <c r="FL21" s="244"/>
      <c r="FM21" s="244"/>
      <c r="FN21" s="233">
        <f t="shared" si="20"/>
        <v>8</v>
      </c>
      <c r="FO21" s="440" t="s">
        <v>345</v>
      </c>
      <c r="FP21" s="397"/>
      <c r="FQ21" s="244"/>
      <c r="FR21" s="244"/>
      <c r="FS21" s="244">
        <v>0</v>
      </c>
      <c r="FT21" s="244">
        <v>5026060.749488458</v>
      </c>
      <c r="FU21" s="244">
        <f>+FT21-FS21</f>
        <v>5026060.749488458</v>
      </c>
      <c r="FV21" s="367">
        <v>8</v>
      </c>
      <c r="FW21" s="272" t="s">
        <v>682</v>
      </c>
      <c r="FX21" s="419"/>
      <c r="FY21" s="1115">
        <v>456719.19790035009</v>
      </c>
      <c r="FZ21" s="1115">
        <v>456719.19790035009</v>
      </c>
      <c r="GA21" s="1115">
        <f t="shared" si="21"/>
        <v>0</v>
      </c>
      <c r="GB21" s="1115">
        <v>365489.92458720005</v>
      </c>
      <c r="GC21" s="1115">
        <f t="shared" si="22"/>
        <v>-91229.273313150043</v>
      </c>
      <c r="GD21" s="377">
        <f t="shared" si="23"/>
        <v>8</v>
      </c>
      <c r="GE21" s="470" t="s">
        <v>347</v>
      </c>
      <c r="GF21" s="440"/>
      <c r="GG21" s="244"/>
      <c r="GH21" s="244"/>
      <c r="GI21" s="244"/>
      <c r="GJ21" s="244"/>
      <c r="GK21" s="244"/>
      <c r="GL21" s="767"/>
      <c r="GN21" s="230"/>
      <c r="GO21" s="230"/>
      <c r="GP21" s="230"/>
      <c r="GQ21" s="230"/>
      <c r="GR21" s="230"/>
      <c r="GS21" s="230"/>
      <c r="GT21" s="233">
        <v>8</v>
      </c>
      <c r="GU21" s="436"/>
      <c r="GV21" s="436"/>
      <c r="GW21" s="298"/>
      <c r="GX21" s="298"/>
      <c r="GY21" s="298"/>
      <c r="GZ21" s="298"/>
      <c r="HA21" s="298"/>
      <c r="HB21" s="367">
        <v>8</v>
      </c>
      <c r="HC21" s="399" t="s">
        <v>346</v>
      </c>
      <c r="HD21" s="399"/>
      <c r="HE21" s="234">
        <v>0</v>
      </c>
      <c r="HF21" s="234">
        <v>0</v>
      </c>
      <c r="HG21" s="234">
        <f t="shared" ref="HG21" si="30">HF21-HE21</f>
        <v>0</v>
      </c>
      <c r="HH21" s="234">
        <v>156400.22579821481</v>
      </c>
      <c r="HI21" s="234">
        <f t="shared" ref="HI21" si="31">HH21-HG21</f>
        <v>156400.22579821481</v>
      </c>
      <c r="HJ21" s="767">
        <f t="shared" si="25"/>
        <v>8</v>
      </c>
      <c r="HK21" s="403" t="s">
        <v>286</v>
      </c>
      <c r="HL21" s="249">
        <f>FIT_G</f>
        <v>0.21</v>
      </c>
      <c r="HM21" s="678">
        <f>-HM19*HL21</f>
        <v>-4957899.9269194501</v>
      </c>
      <c r="HN21" s="678">
        <f>-HN19*HL21</f>
        <v>-4957899.9269194501</v>
      </c>
      <c r="HO21" s="521">
        <f>HN21-HM21</f>
        <v>0</v>
      </c>
      <c r="HP21" s="678">
        <f>-HP19*HL21</f>
        <v>-5038661.5057123806</v>
      </c>
      <c r="HQ21" s="678">
        <f>HP21-HN21</f>
        <v>-80761.578792930581</v>
      </c>
      <c r="HR21" s="767">
        <f t="shared" si="26"/>
        <v>8</v>
      </c>
      <c r="HS21" s="826" t="s">
        <v>306</v>
      </c>
      <c r="HU21" s="235">
        <f t="shared" ref="HU21:HW21" si="32">HU19</f>
        <v>0</v>
      </c>
      <c r="HV21" s="235">
        <f t="shared" si="32"/>
        <v>0</v>
      </c>
      <c r="HW21" s="235">
        <f t="shared" si="32"/>
        <v>0</v>
      </c>
      <c r="HX21" s="235">
        <f>HX19</f>
        <v>2799732.3622297375</v>
      </c>
      <c r="HY21" s="235">
        <f>HY19</f>
        <v>2799732.3622297375</v>
      </c>
    </row>
    <row r="22" spans="1:236" ht="15" thickTop="1" thickBot="1">
      <c r="A22" s="756">
        <f t="shared" si="7"/>
        <v>9</v>
      </c>
      <c r="B22" s="778" t="s">
        <v>72</v>
      </c>
      <c r="C22" s="590"/>
      <c r="D22" s="769"/>
      <c r="E22" s="244"/>
      <c r="F22" s="348"/>
      <c r="G22" s="348"/>
      <c r="H22" s="772"/>
      <c r="I22" s="314">
        <f t="shared" si="8"/>
        <v>9</v>
      </c>
      <c r="J22" s="826"/>
      <c r="K22" s="826"/>
      <c r="L22" s="237"/>
      <c r="M22" s="237"/>
      <c r="N22" s="237"/>
      <c r="O22" s="237"/>
      <c r="P22" s="237"/>
      <c r="Q22" s="683"/>
      <c r="R22" s="683"/>
      <c r="S22" s="683"/>
      <c r="T22" s="683"/>
      <c r="U22" s="683"/>
      <c r="V22" s="683"/>
      <c r="W22" s="683"/>
      <c r="X22" s="683"/>
      <c r="Y22" s="233">
        <f t="shared" si="9"/>
        <v>9</v>
      </c>
      <c r="Z22" s="464" t="s">
        <v>249</v>
      </c>
      <c r="AB22" s="782">
        <f>-AB21</f>
        <v>0</v>
      </c>
      <c r="AC22" s="782">
        <f>-AC21</f>
        <v>12917116.381072458</v>
      </c>
      <c r="AD22" s="782">
        <f>-AD21</f>
        <v>12917116.381072458</v>
      </c>
      <c r="AE22" s="782">
        <f>-AE21</f>
        <v>12733078.157083206</v>
      </c>
      <c r="AF22" s="782">
        <f>-AF21</f>
        <v>-184038.22398925267</v>
      </c>
      <c r="AG22" s="756">
        <f t="shared" si="0"/>
        <v>10</v>
      </c>
      <c r="AH22" s="366" t="s">
        <v>653</v>
      </c>
      <c r="AI22" s="273"/>
      <c r="AJ22" s="244">
        <v>41329081.230000004</v>
      </c>
      <c r="AK22" s="354">
        <v>0</v>
      </c>
      <c r="AL22" s="244">
        <f t="shared" si="1"/>
        <v>-41329081.230000004</v>
      </c>
      <c r="AM22" s="354">
        <f t="shared" si="2"/>
        <v>0</v>
      </c>
      <c r="AN22" s="354">
        <f t="shared" si="3"/>
        <v>0</v>
      </c>
      <c r="AO22" s="302"/>
      <c r="AW22" s="779"/>
      <c r="AX22" s="779"/>
      <c r="AY22" s="779"/>
      <c r="AZ22" s="799"/>
      <c r="BA22" s="686"/>
      <c r="BB22" s="806"/>
      <c r="BC22" s="686"/>
      <c r="BD22" s="686"/>
      <c r="BE22" s="805"/>
      <c r="BF22" s="367">
        <f t="shared" si="11"/>
        <v>9</v>
      </c>
      <c r="BG22" s="477" t="s">
        <v>351</v>
      </c>
      <c r="BH22" s="410"/>
      <c r="BI22" s="818">
        <v>0</v>
      </c>
      <c r="BJ22" s="818">
        <v>0</v>
      </c>
      <c r="BK22" s="818">
        <v>0</v>
      </c>
      <c r="BL22" s="818">
        <v>0</v>
      </c>
      <c r="BM22" s="818">
        <v>0</v>
      </c>
      <c r="BN22" s="302"/>
      <c r="BV22" s="468">
        <f t="shared" si="12"/>
        <v>9</v>
      </c>
      <c r="BW22" s="397" t="s">
        <v>249</v>
      </c>
      <c r="BX22" s="397"/>
      <c r="BY22" s="428">
        <f>-BY18-BY20</f>
        <v>-48043.582590232916</v>
      </c>
      <c r="BZ22" s="428">
        <f>-BZ18-BZ20</f>
        <v>-44212.557970290552</v>
      </c>
      <c r="CA22" s="428">
        <f>-CA18-CA20</f>
        <v>3831.0246199423614</v>
      </c>
      <c r="CB22" s="428">
        <f>-CB18-CB20</f>
        <v>-48043.582590232916</v>
      </c>
      <c r="CC22" s="428">
        <f>-CC18-CC20</f>
        <v>-3831.0246199423614</v>
      </c>
      <c r="CL22" s="367"/>
      <c r="CM22" s="247"/>
      <c r="CN22" s="247"/>
      <c r="DB22" s="302"/>
      <c r="DJ22" s="367">
        <f t="shared" si="13"/>
        <v>9</v>
      </c>
      <c r="DK22" s="466" t="s">
        <v>351</v>
      </c>
      <c r="DL22" s="397"/>
      <c r="DM22" s="441">
        <v>0</v>
      </c>
      <c r="DN22" s="441">
        <v>0</v>
      </c>
      <c r="DO22" s="443">
        <f t="shared" si="14"/>
        <v>0</v>
      </c>
      <c r="DP22" s="441">
        <v>0</v>
      </c>
      <c r="DQ22" s="441">
        <f t="shared" si="15"/>
        <v>0</v>
      </c>
      <c r="DR22" s="367">
        <f t="shared" si="16"/>
        <v>9</v>
      </c>
      <c r="DS22" s="452"/>
      <c r="DT22" s="465"/>
      <c r="DU22" s="1098"/>
      <c r="DV22" s="1098"/>
      <c r="DW22" s="1098"/>
      <c r="DX22" s="1098"/>
      <c r="DY22" s="1098"/>
      <c r="DZ22" s="233">
        <v>9</v>
      </c>
      <c r="EA22" s="436"/>
      <c r="EG22" s="348"/>
      <c r="EH22" s="233"/>
      <c r="EK22" s="678"/>
      <c r="EL22" s="678"/>
      <c r="EM22" s="678"/>
      <c r="EN22" s="678"/>
      <c r="EO22" s="678"/>
      <c r="EP22" s="767">
        <f t="shared" si="18"/>
        <v>9</v>
      </c>
      <c r="EQ22" s="247"/>
      <c r="ER22" s="767"/>
      <c r="ES22" s="234"/>
      <c r="ET22" s="234"/>
      <c r="EU22" s="234"/>
      <c r="EV22" s="234"/>
      <c r="EW22" s="234"/>
      <c r="EX22" s="314"/>
      <c r="EY22" s="230"/>
      <c r="EZ22" s="230"/>
      <c r="FA22" s="230"/>
      <c r="FB22" s="230"/>
      <c r="FC22" s="230"/>
      <c r="FD22" s="230"/>
      <c r="FE22" s="231"/>
      <c r="FH22" s="464"/>
      <c r="FI22" s="464"/>
      <c r="FJ22" s="464"/>
      <c r="FN22" s="233">
        <f t="shared" si="20"/>
        <v>9</v>
      </c>
      <c r="FO22" s="440" t="s">
        <v>335</v>
      </c>
      <c r="FP22" s="397"/>
      <c r="FQ22" s="244"/>
      <c r="FR22" s="244"/>
      <c r="FS22" s="244">
        <v>0</v>
      </c>
      <c r="FT22" s="244">
        <v>-837676.79158140963</v>
      </c>
      <c r="FU22" s="244">
        <f>+FT22-FS22</f>
        <v>-837676.79158140963</v>
      </c>
      <c r="FV22" s="367">
        <v>9</v>
      </c>
      <c r="FW22" s="272" t="s">
        <v>681</v>
      </c>
      <c r="FX22" s="419"/>
      <c r="FY22" s="1115">
        <v>0</v>
      </c>
      <c r="FZ22" s="1115">
        <v>0</v>
      </c>
      <c r="GA22" s="1115">
        <f t="shared" si="21"/>
        <v>0</v>
      </c>
      <c r="GB22" s="1115">
        <v>0</v>
      </c>
      <c r="GC22" s="1115">
        <f t="shared" si="22"/>
        <v>0</v>
      </c>
      <c r="GD22" s="377">
        <f t="shared" si="23"/>
        <v>9</v>
      </c>
      <c r="GE22" s="440" t="s">
        <v>338</v>
      </c>
      <c r="GF22" s="440"/>
      <c r="GG22" s="244">
        <v>0</v>
      </c>
      <c r="GH22" s="244">
        <v>0</v>
      </c>
      <c r="GI22" s="244">
        <v>0</v>
      </c>
      <c r="GJ22" s="244">
        <v>10329621.234443244</v>
      </c>
      <c r="GK22" s="244">
        <f>+GJ22-GI22</f>
        <v>10329621.234443244</v>
      </c>
      <c r="GL22" s="767"/>
      <c r="GN22" s="230"/>
      <c r="GO22" s="230"/>
      <c r="GP22" s="230"/>
      <c r="GQ22" s="230"/>
      <c r="GR22" s="230"/>
      <c r="GS22" s="230"/>
      <c r="GT22" s="233">
        <v>9</v>
      </c>
      <c r="GU22" s="245" t="s">
        <v>337</v>
      </c>
      <c r="GV22" s="463">
        <f>FIT_G</f>
        <v>0.21</v>
      </c>
      <c r="GW22" s="1133" t="s">
        <v>336</v>
      </c>
      <c r="GX22" s="1133" t="s">
        <v>336</v>
      </c>
      <c r="GY22" s="1133" t="s">
        <v>336</v>
      </c>
      <c r="GZ22" s="1133" t="s">
        <v>336</v>
      </c>
      <c r="HA22" s="1133" t="s">
        <v>336</v>
      </c>
      <c r="HB22" s="367">
        <v>9</v>
      </c>
      <c r="HC22" s="399" t="s">
        <v>277</v>
      </c>
      <c r="HD22" s="399"/>
      <c r="HE22" s="1125">
        <f t="shared" ref="HE22:HF22" si="33">SUM(HE21)</f>
        <v>0</v>
      </c>
      <c r="HF22" s="1125">
        <f t="shared" si="33"/>
        <v>0</v>
      </c>
      <c r="HG22" s="1125">
        <f>SUM(HG21)</f>
        <v>0</v>
      </c>
      <c r="HH22" s="1125">
        <f t="shared" ref="HH22" si="34">SUM(HH21)</f>
        <v>156400.22579821481</v>
      </c>
      <c r="HI22" s="1126">
        <f>SUM(HI21)</f>
        <v>156400.22579821481</v>
      </c>
      <c r="HJ22" s="767">
        <f t="shared" si="25"/>
        <v>9</v>
      </c>
      <c r="HK22" s="403" t="s">
        <v>281</v>
      </c>
      <c r="HM22" s="357">
        <f>-HM19-HM21</f>
        <v>-18651147.34412555</v>
      </c>
      <c r="HN22" s="357">
        <f>-HN19-HN21</f>
        <v>-18651147.34412555</v>
      </c>
      <c r="HO22" s="357">
        <f>-HO19-HO21</f>
        <v>0</v>
      </c>
      <c r="HP22" s="357">
        <f>-HP19-HP21</f>
        <v>-18954964.711965621</v>
      </c>
      <c r="HQ22" s="357">
        <f>-HQ19-HQ21</f>
        <v>-303817.36784007057</v>
      </c>
      <c r="HR22" s="767">
        <f t="shared" si="26"/>
        <v>9</v>
      </c>
      <c r="HS22" s="826"/>
      <c r="HU22" s="826"/>
      <c r="HV22" s="826"/>
      <c r="HW22" s="826"/>
      <c r="HX22" s="826"/>
      <c r="HY22" s="826"/>
    </row>
    <row r="23" spans="1:236" ht="16.5" customHeight="1" thickTop="1" thickBot="1">
      <c r="A23" s="756">
        <f t="shared" si="7"/>
        <v>10</v>
      </c>
      <c r="B23" s="774" t="s">
        <v>680</v>
      </c>
      <c r="C23" s="466"/>
      <c r="D23" s="1293" t="s">
        <v>272</v>
      </c>
      <c r="E23" s="798"/>
      <c r="F23" s="348">
        <v>48508.420000000006</v>
      </c>
      <c r="G23" s="1297" t="s">
        <v>272</v>
      </c>
      <c r="H23" s="772">
        <v>8284.9599999986021</v>
      </c>
      <c r="I23" s="314">
        <f t="shared" si="8"/>
        <v>10</v>
      </c>
      <c r="J23" s="826"/>
      <c r="K23" s="826"/>
      <c r="L23" s="826"/>
      <c r="M23" s="826"/>
      <c r="N23" s="826"/>
      <c r="O23" s="826"/>
      <c r="P23" s="826"/>
      <c r="Y23" s="233"/>
      <c r="Z23" s="464"/>
      <c r="AG23" s="756">
        <f t="shared" si="0"/>
        <v>11</v>
      </c>
      <c r="AH23" s="255" t="s">
        <v>679</v>
      </c>
      <c r="AI23" s="273"/>
      <c r="AJ23" s="348">
        <v>242193.71000000005</v>
      </c>
      <c r="AK23" s="354"/>
      <c r="AL23" s="244">
        <f t="shared" si="1"/>
        <v>-242193.71000000005</v>
      </c>
      <c r="AM23" s="354">
        <f t="shared" si="2"/>
        <v>0</v>
      </c>
      <c r="AN23" s="354">
        <f t="shared" si="3"/>
        <v>0</v>
      </c>
      <c r="AO23" s="302"/>
      <c r="AW23" s="779"/>
      <c r="AX23" s="779"/>
      <c r="AY23" s="779"/>
      <c r="AZ23" s="657"/>
      <c r="BA23" s="686"/>
      <c r="BB23" s="802"/>
      <c r="BC23" s="686"/>
      <c r="BD23" s="686"/>
      <c r="BE23" s="801"/>
      <c r="BF23" s="367">
        <f t="shared" si="11"/>
        <v>10</v>
      </c>
      <c r="BG23" s="477" t="s">
        <v>340</v>
      </c>
      <c r="BI23" s="815">
        <v>1051189.7681332757</v>
      </c>
      <c r="BJ23" s="815">
        <v>1103125.4735233695</v>
      </c>
      <c r="BK23" s="815">
        <v>51935.705390093848</v>
      </c>
      <c r="BL23" s="815">
        <v>1103125.4735233695</v>
      </c>
      <c r="BM23" s="815">
        <v>0</v>
      </c>
      <c r="BN23" s="302"/>
      <c r="BV23" s="302"/>
      <c r="BW23" s="245"/>
      <c r="CL23" s="367"/>
      <c r="CM23" s="247"/>
      <c r="CN23" s="247"/>
      <c r="DB23" s="302"/>
      <c r="DJ23" s="367">
        <f t="shared" si="13"/>
        <v>10</v>
      </c>
      <c r="DK23" s="466" t="s">
        <v>340</v>
      </c>
      <c r="DL23" s="351"/>
      <c r="DM23" s="447">
        <v>14431674.188193813</v>
      </c>
      <c r="DN23" s="447">
        <v>14448286.588557353</v>
      </c>
      <c r="DO23" s="446">
        <f t="shared" si="14"/>
        <v>16612.400363540277</v>
      </c>
      <c r="DP23" s="447">
        <v>15001205.100258833</v>
      </c>
      <c r="DQ23" s="447">
        <f t="shared" si="15"/>
        <v>552918.51170147955</v>
      </c>
      <c r="DR23" s="367">
        <f t="shared" si="16"/>
        <v>10</v>
      </c>
      <c r="DS23" s="461" t="s">
        <v>16</v>
      </c>
      <c r="DT23" s="460"/>
      <c r="DU23" s="471"/>
      <c r="DV23" s="471"/>
      <c r="DW23" s="471"/>
      <c r="DX23" s="471"/>
      <c r="DY23" s="471"/>
      <c r="DZ23" s="233">
        <v>10</v>
      </c>
      <c r="EA23" s="245" t="s">
        <v>252</v>
      </c>
      <c r="EB23" s="249">
        <f>FIT_G</f>
        <v>0.21</v>
      </c>
      <c r="EC23" s="488">
        <f>-EC21*$EB$23</f>
        <v>2993.8940277558377</v>
      </c>
      <c r="ED23" s="488">
        <f>-ED21*$EB$23</f>
        <v>164.12020819553175</v>
      </c>
      <c r="EE23" s="488">
        <f>-EE21*$EB$23</f>
        <v>-2829.7738195601578</v>
      </c>
      <c r="EF23" s="488">
        <f>-EF21*$EB$23</f>
        <v>-81850.624882837321</v>
      </c>
      <c r="EG23" s="488">
        <f>-EG21*$EB$23</f>
        <v>-82014.745091032804</v>
      </c>
      <c r="EH23" s="233"/>
      <c r="EK23" s="678"/>
      <c r="EL23" s="678"/>
      <c r="EM23" s="678"/>
      <c r="EN23" s="678"/>
      <c r="EO23" s="678"/>
      <c r="EP23" s="767">
        <f t="shared" si="18"/>
        <v>10</v>
      </c>
      <c r="EQ23" s="364" t="s">
        <v>330</v>
      </c>
      <c r="ER23" s="767"/>
      <c r="ES23" s="234">
        <f>ES21</f>
        <v>143075300.43646103</v>
      </c>
      <c r="ET23" s="234">
        <f>ET21</f>
        <v>155402272.09059581</v>
      </c>
      <c r="EU23" s="234">
        <f>EU21</f>
        <v>12326971.654134724</v>
      </c>
      <c r="EV23" s="234">
        <f>EV21</f>
        <v>155402272.09059581</v>
      </c>
      <c r="EW23" s="234">
        <f>EW21</f>
        <v>0</v>
      </c>
      <c r="EX23" s="314"/>
      <c r="EY23" s="230"/>
      <c r="EZ23" s="230"/>
      <c r="FA23" s="230"/>
      <c r="FB23" s="230"/>
      <c r="FC23" s="230"/>
      <c r="FD23" s="230"/>
      <c r="FE23" s="230"/>
      <c r="FH23" s="406"/>
      <c r="FI23" s="406"/>
      <c r="FJ23" s="406"/>
      <c r="FN23" s="233">
        <f t="shared" si="20"/>
        <v>10</v>
      </c>
      <c r="FO23" s="440" t="s">
        <v>327</v>
      </c>
      <c r="FP23" s="397"/>
      <c r="FQ23" s="244"/>
      <c r="FR23" s="244"/>
      <c r="FS23" s="244">
        <v>0</v>
      </c>
      <c r="FT23" s="244">
        <v>-879560.63116048009</v>
      </c>
      <c r="FU23" s="244">
        <f>+FT23-FS23</f>
        <v>-879560.63116048009</v>
      </c>
      <c r="FV23" s="367">
        <v>10</v>
      </c>
      <c r="FW23" s="351" t="s">
        <v>678</v>
      </c>
      <c r="FX23" s="419"/>
      <c r="FY23" s="1115"/>
      <c r="FZ23" s="1115"/>
      <c r="GA23" s="1115"/>
      <c r="GB23" s="1115"/>
      <c r="GC23" s="1115"/>
      <c r="GD23" s="377">
        <f t="shared" si="23"/>
        <v>10</v>
      </c>
      <c r="GE23" s="440" t="s">
        <v>328</v>
      </c>
      <c r="GF23" s="440"/>
      <c r="GG23" s="244">
        <v>0</v>
      </c>
      <c r="GH23" s="244">
        <v>0</v>
      </c>
      <c r="GI23" s="244">
        <v>0</v>
      </c>
      <c r="GJ23" s="244">
        <v>-1721603.539073874</v>
      </c>
      <c r="GK23" s="244">
        <f>+GJ23-GI23</f>
        <v>-1721603.539073874</v>
      </c>
      <c r="GN23" s="230"/>
      <c r="GO23" s="230"/>
      <c r="GP23" s="230"/>
      <c r="GQ23" s="230"/>
      <c r="GR23" s="230"/>
      <c r="GS23" s="230"/>
      <c r="GT23" s="233">
        <v>10</v>
      </c>
      <c r="GU23" s="247" t="s">
        <v>249</v>
      </c>
      <c r="GV23" s="247"/>
      <c r="GW23" s="1131">
        <f>-GW20</f>
        <v>0</v>
      </c>
      <c r="GX23" s="1131">
        <f>-GX20</f>
        <v>0</v>
      </c>
      <c r="GY23" s="1131">
        <f>-GY20</f>
        <v>0</v>
      </c>
      <c r="GZ23" s="1131">
        <f>-GZ20</f>
        <v>722630.37767299998</v>
      </c>
      <c r="HA23" s="1131">
        <f>-HA20</f>
        <v>722630.37767299998</v>
      </c>
      <c r="HB23" s="367">
        <v>10</v>
      </c>
      <c r="HC23" s="395"/>
      <c r="HD23" s="395"/>
      <c r="HE23" s="1127"/>
      <c r="HF23" s="1127"/>
      <c r="HG23" s="1127"/>
      <c r="HH23" s="1127"/>
      <c r="HI23" s="1128"/>
      <c r="HR23" s="767">
        <f t="shared" si="26"/>
        <v>10</v>
      </c>
      <c r="HS23" s="826" t="s">
        <v>297</v>
      </c>
      <c r="HU23" s="826"/>
      <c r="HV23" s="826"/>
      <c r="HW23" s="826"/>
      <c r="HX23" s="826"/>
      <c r="HY23" s="826"/>
    </row>
    <row r="24" spans="1:236" ht="15.6" customHeight="1" thickTop="1">
      <c r="A24" s="756">
        <f t="shared" si="7"/>
        <v>11</v>
      </c>
      <c r="B24" s="774" t="s">
        <v>677</v>
      </c>
      <c r="C24" s="466"/>
      <c r="D24" s="1293"/>
      <c r="E24" s="798"/>
      <c r="F24" s="348">
        <v>-6899336.8599999994</v>
      </c>
      <c r="G24" s="1297"/>
      <c r="H24" s="772">
        <v>0</v>
      </c>
      <c r="I24" s="314">
        <f t="shared" si="8"/>
        <v>11</v>
      </c>
      <c r="J24" s="247" t="s">
        <v>262</v>
      </c>
      <c r="K24" s="766">
        <f>'SEF-3G'!$M$12</f>
        <v>5.1240000000000001E-3</v>
      </c>
      <c r="L24" s="239">
        <f t="shared" ref="L24:M26" si="35">L$19*$K24</f>
        <v>22224.103005390611</v>
      </c>
      <c r="M24" s="239">
        <f t="shared" si="35"/>
        <v>22441.234195951929</v>
      </c>
      <c r="N24" s="239">
        <f>M24-L24</f>
        <v>217.13119056131836</v>
      </c>
      <c r="O24" s="239">
        <v>202406.61140712298</v>
      </c>
      <c r="P24" s="239">
        <f>O24-M24</f>
        <v>179965.37721117106</v>
      </c>
      <c r="Y24" s="233"/>
      <c r="Z24" s="804"/>
      <c r="AA24" s="803"/>
      <c r="AG24" s="756">
        <f t="shared" si="0"/>
        <v>12</v>
      </c>
      <c r="AH24" s="255" t="s">
        <v>676</v>
      </c>
      <c r="AI24" s="273"/>
      <c r="AJ24" s="348">
        <v>308145.35000000003</v>
      </c>
      <c r="AK24" s="354">
        <v>0</v>
      </c>
      <c r="AL24" s="348">
        <f t="shared" si="1"/>
        <v>-308145.35000000003</v>
      </c>
      <c r="AM24" s="354">
        <f t="shared" si="2"/>
        <v>0</v>
      </c>
      <c r="AN24" s="354">
        <f t="shared" si="3"/>
        <v>0</v>
      </c>
      <c r="AO24" s="302"/>
      <c r="AW24" s="779"/>
      <c r="AX24" s="779"/>
      <c r="AY24" s="779"/>
      <c r="AZ24" s="686"/>
      <c r="BA24" s="686"/>
      <c r="BB24" s="802"/>
      <c r="BC24" s="686"/>
      <c r="BD24" s="686"/>
      <c r="BE24" s="801"/>
      <c r="BF24" s="367">
        <f t="shared" si="11"/>
        <v>11</v>
      </c>
      <c r="BG24" s="436" t="s">
        <v>332</v>
      </c>
      <c r="BH24" s="436"/>
      <c r="BI24" s="475">
        <f>SUM(BI14:BI23)</f>
        <v>3814740.0498376964</v>
      </c>
      <c r="BJ24" s="475">
        <f>SUM(BJ14:BJ23)</f>
        <v>4032317.7230348806</v>
      </c>
      <c r="BK24" s="475">
        <f>SUM(BK14:BK23)</f>
        <v>217577.67319718417</v>
      </c>
      <c r="BL24" s="475">
        <f>SUM(BL14:BL23)</f>
        <v>4032317.7230348806</v>
      </c>
      <c r="BM24" s="475">
        <f>SUM(BM14:BM23)</f>
        <v>0</v>
      </c>
      <c r="BN24" s="302"/>
      <c r="BV24" s="302"/>
      <c r="BW24" s="247"/>
      <c r="CL24" s="367"/>
      <c r="CM24" s="247"/>
      <c r="CN24" s="247"/>
      <c r="DB24" s="302"/>
      <c r="DJ24" s="367">
        <f t="shared" si="13"/>
        <v>11</v>
      </c>
      <c r="DK24" s="410" t="s">
        <v>331</v>
      </c>
      <c r="DL24" s="397"/>
      <c r="DM24" s="441">
        <f>SUM(DM15:DM23)</f>
        <v>52372190.767207436</v>
      </c>
      <c r="DN24" s="441">
        <f>SUM(DN15:DN23)</f>
        <v>52811395.507625379</v>
      </c>
      <c r="DO24" s="441">
        <f>SUM(DO15:DO23)</f>
        <v>439204.7404179406</v>
      </c>
      <c r="DP24" s="441">
        <f>SUM(DP15:DP23)</f>
        <v>55131241.030921519</v>
      </c>
      <c r="DQ24" s="441">
        <f>SUM(DQ15:DQ23)</f>
        <v>2319845.5232961415</v>
      </c>
      <c r="DR24" s="367">
        <f t="shared" si="16"/>
        <v>11</v>
      </c>
      <c r="DS24" s="442" t="s">
        <v>675</v>
      </c>
      <c r="DT24" s="367"/>
      <c r="DU24" s="421">
        <f>+DU21+DU18+DU15</f>
        <v>6192243.8514</v>
      </c>
      <c r="DV24" s="421">
        <f>+DV21+DV18+DV15</f>
        <v>6202853.0333549995</v>
      </c>
      <c r="DW24" s="421">
        <f>+DW21+DW18+DW15</f>
        <v>10609.181954999978</v>
      </c>
      <c r="DX24" s="421">
        <f>+DX21+DX18+DX15</f>
        <v>6437938.9348508557</v>
      </c>
      <c r="DY24" s="421">
        <f>+DX24-DV24</f>
        <v>235085.90149585623</v>
      </c>
      <c r="DZ24" s="233">
        <v>11</v>
      </c>
      <c r="EA24" s="245"/>
      <c r="EC24" s="1099"/>
      <c r="ED24" s="1099"/>
      <c r="EE24" s="1099"/>
      <c r="EF24" s="1099"/>
      <c r="EG24" s="1099"/>
      <c r="EH24" s="233"/>
      <c r="EK24" s="678"/>
      <c r="EL24" s="678"/>
      <c r="EM24" s="678"/>
      <c r="EN24" s="678"/>
      <c r="EO24" s="678"/>
      <c r="EP24" s="767">
        <f t="shared" si="18"/>
        <v>11</v>
      </c>
      <c r="EQ24" s="364"/>
      <c r="ER24" s="767"/>
      <c r="ES24" s="234"/>
      <c r="ET24" s="234"/>
      <c r="EU24" s="234"/>
      <c r="EV24" s="234"/>
      <c r="EW24" s="234"/>
      <c r="EX24" s="314"/>
      <c r="EY24" s="230"/>
      <c r="EZ24" s="230"/>
      <c r="FA24" s="230"/>
      <c r="FB24" s="230"/>
      <c r="FC24" s="230"/>
      <c r="FD24" s="230"/>
      <c r="FE24" s="230"/>
      <c r="FN24" s="233">
        <f t="shared" si="20"/>
        <v>11</v>
      </c>
      <c r="FO24" s="440" t="s">
        <v>325</v>
      </c>
      <c r="FP24" s="397"/>
      <c r="FQ24" s="375">
        <f>SUM(FQ21:FQ23)</f>
        <v>0</v>
      </c>
      <c r="FR24" s="375">
        <f>SUM(FR21:FR23)</f>
        <v>0</v>
      </c>
      <c r="FS24" s="375">
        <f>SUM(FS21:FS23)</f>
        <v>0</v>
      </c>
      <c r="FT24" s="375">
        <f>SUM(FT21:FT23)</f>
        <v>3308823.3267465685</v>
      </c>
      <c r="FU24" s="375">
        <f>SUM(FU21:FU23)</f>
        <v>3308823.3267465685</v>
      </c>
      <c r="FV24" s="367">
        <v>11</v>
      </c>
      <c r="FW24" s="429" t="s">
        <v>674</v>
      </c>
      <c r="FX24" s="419"/>
      <c r="FY24" s="1115">
        <v>0</v>
      </c>
      <c r="FZ24" s="1115">
        <v>0</v>
      </c>
      <c r="GA24" s="1115">
        <f>FZ24-FY24</f>
        <v>0</v>
      </c>
      <c r="GB24" s="1115">
        <v>0</v>
      </c>
      <c r="GC24" s="1115">
        <f>GB24-FZ24</f>
        <v>0</v>
      </c>
      <c r="GD24" s="377">
        <f t="shared" si="23"/>
        <v>11</v>
      </c>
      <c r="GE24" s="440" t="s">
        <v>323</v>
      </c>
      <c r="GF24" s="440"/>
      <c r="GG24" s="244">
        <v>0</v>
      </c>
      <c r="GH24" s="244">
        <v>0</v>
      </c>
      <c r="GI24" s="244">
        <v>0</v>
      </c>
      <c r="GJ24" s="244">
        <v>-1807683.7160275693</v>
      </c>
      <c r="GK24" s="244">
        <f>+GJ24-GI24</f>
        <v>-1807683.7160275693</v>
      </c>
      <c r="GN24" s="230"/>
      <c r="GO24" s="230"/>
      <c r="GP24" s="230"/>
      <c r="GQ24" s="230"/>
      <c r="GR24" s="230"/>
      <c r="GS24" s="230"/>
      <c r="HB24" s="367">
        <v>11</v>
      </c>
      <c r="HC24" s="379" t="s">
        <v>275</v>
      </c>
      <c r="HD24" s="379"/>
      <c r="HE24" s="234">
        <f t="shared" ref="HE24:HH24" si="36">HE22</f>
        <v>0</v>
      </c>
      <c r="HF24" s="234">
        <f t="shared" si="36"/>
        <v>0</v>
      </c>
      <c r="HG24" s="234">
        <f t="shared" si="36"/>
        <v>0</v>
      </c>
      <c r="HH24" s="234">
        <f t="shared" si="36"/>
        <v>156400.22579821481</v>
      </c>
      <c r="HI24" s="234">
        <f>HI22</f>
        <v>156400.22579821481</v>
      </c>
      <c r="HR24" s="767">
        <f t="shared" si="26"/>
        <v>11</v>
      </c>
      <c r="HS24" s="826" t="s">
        <v>1365</v>
      </c>
      <c r="HU24" s="231">
        <v>0</v>
      </c>
      <c r="HV24" s="231">
        <v>0</v>
      </c>
      <c r="HW24" s="231">
        <v>0</v>
      </c>
      <c r="HX24" s="231">
        <v>348243.00000000006</v>
      </c>
      <c r="HY24" s="231">
        <v>348243.00000000006</v>
      </c>
    </row>
    <row r="25" spans="1:236" ht="14.4" thickBot="1">
      <c r="A25" s="756">
        <f t="shared" si="7"/>
        <v>12</v>
      </c>
      <c r="B25" s="774" t="s">
        <v>673</v>
      </c>
      <c r="C25" s="466"/>
      <c r="D25" s="1293"/>
      <c r="E25" s="798"/>
      <c r="F25" s="348">
        <v>0</v>
      </c>
      <c r="G25" s="1297"/>
      <c r="H25" s="772">
        <v>-6115339.9499999993</v>
      </c>
      <c r="I25" s="314">
        <f t="shared" si="8"/>
        <v>12</v>
      </c>
      <c r="J25" s="247" t="s">
        <v>260</v>
      </c>
      <c r="K25" s="766">
        <f>'SEF-3G'!$M$13</f>
        <v>2E-3</v>
      </c>
      <c r="L25" s="239">
        <f t="shared" si="35"/>
        <v>8674.5132729861871</v>
      </c>
      <c r="M25" s="239">
        <f t="shared" si="35"/>
        <v>8759.2639328461864</v>
      </c>
      <c r="N25" s="310">
        <f>M25-L25</f>
        <v>84.750659859999359</v>
      </c>
      <c r="O25" s="239">
        <v>79003.361204966044</v>
      </c>
      <c r="P25" s="310">
        <f>O25-M25</f>
        <v>70244.097272119863</v>
      </c>
      <c r="AG25" s="756">
        <f t="shared" si="0"/>
        <v>13</v>
      </c>
      <c r="AH25" s="760" t="s">
        <v>672</v>
      </c>
      <c r="AI25" s="366"/>
      <c r="AJ25" s="375">
        <f>SUM(AJ14:AJ24)</f>
        <v>62412272.779581435</v>
      </c>
      <c r="AK25" s="762">
        <f>SUM(AK14:AK24)</f>
        <v>0</v>
      </c>
      <c r="AL25" s="375">
        <f>SUM(AL14:AL24)</f>
        <v>-62412272.779581435</v>
      </c>
      <c r="AM25" s="762">
        <f>SUM(AM14:AM24)</f>
        <v>0</v>
      </c>
      <c r="AN25" s="762">
        <f>SUM(AN14:AN24)</f>
        <v>0</v>
      </c>
      <c r="AO25" s="302"/>
      <c r="AW25" s="779"/>
      <c r="AX25" s="779"/>
      <c r="AY25" s="779"/>
      <c r="AZ25" s="657"/>
      <c r="BA25" s="686"/>
      <c r="BB25" s="686"/>
      <c r="BC25" s="686"/>
      <c r="BD25" s="686"/>
      <c r="BF25" s="367">
        <f t="shared" si="11"/>
        <v>12</v>
      </c>
      <c r="BG25" s="452"/>
      <c r="BH25" s="452"/>
      <c r="BI25" s="475"/>
      <c r="BJ25" s="475"/>
      <c r="BK25" s="475"/>
      <c r="BL25" s="475"/>
      <c r="BM25" s="475"/>
      <c r="BN25" s="302"/>
      <c r="BV25" s="302"/>
      <c r="BW25" s="247"/>
      <c r="CL25" s="367"/>
      <c r="CM25" s="403"/>
      <c r="CN25" s="403"/>
      <c r="DB25" s="302"/>
      <c r="DJ25" s="367">
        <f t="shared" si="13"/>
        <v>12</v>
      </c>
      <c r="DK25" s="433"/>
      <c r="DL25" s="397"/>
      <c r="DM25" s="441"/>
      <c r="DN25" s="441"/>
      <c r="DO25" s="443"/>
      <c r="DP25" s="409"/>
      <c r="DQ25" s="409"/>
      <c r="DR25" s="367">
        <f t="shared" si="16"/>
        <v>12</v>
      </c>
      <c r="DS25" s="431"/>
      <c r="DT25" s="430"/>
      <c r="DU25" s="1099"/>
      <c r="DV25" s="1099"/>
      <c r="DW25" s="1099"/>
      <c r="DX25" s="1099"/>
      <c r="DY25" s="1099"/>
      <c r="DZ25" s="233">
        <v>12</v>
      </c>
      <c r="EA25" s="247" t="s">
        <v>249</v>
      </c>
      <c r="EC25" s="614">
        <f>-EC21-EC23</f>
        <v>11262.744199652914</v>
      </c>
      <c r="ED25" s="614">
        <f>-ED21-ED23</f>
        <v>617.40459273557178</v>
      </c>
      <c r="EE25" s="614">
        <f>-EE21-EE23</f>
        <v>-10645.339606916785</v>
      </c>
      <c r="EF25" s="614">
        <f>-EF21-EF23</f>
        <v>-307914.25551162614</v>
      </c>
      <c r="EG25" s="614">
        <f>-EG21-EG23</f>
        <v>-308531.66010436148</v>
      </c>
      <c r="EH25" s="233"/>
      <c r="EK25" s="678"/>
      <c r="EL25" s="678"/>
      <c r="EM25" s="678"/>
      <c r="EN25" s="678"/>
      <c r="EO25" s="678"/>
      <c r="EP25" s="767">
        <f t="shared" si="18"/>
        <v>12</v>
      </c>
      <c r="EQ25" s="364" t="s">
        <v>250</v>
      </c>
      <c r="ER25" s="249">
        <f>FIT_G</f>
        <v>0.21</v>
      </c>
      <c r="ES25" s="234">
        <f>-ES23*$ER$25</f>
        <v>-30045813.091656815</v>
      </c>
      <c r="ET25" s="234">
        <f>-ET23*$ER$25</f>
        <v>-32634477.139025118</v>
      </c>
      <c r="EU25" s="234">
        <f>-EU23*$ER$25</f>
        <v>-2588664.0473682922</v>
      </c>
      <c r="EV25" s="234">
        <f>-EV23*$ER$25</f>
        <v>-32634477.139025118</v>
      </c>
      <c r="EW25" s="234">
        <f>-EW23*$ER$25</f>
        <v>0</v>
      </c>
      <c r="EX25" s="314"/>
      <c r="EY25" s="230"/>
      <c r="EZ25" s="230"/>
      <c r="FA25" s="230"/>
      <c r="FB25" s="230"/>
      <c r="FC25" s="230"/>
      <c r="FD25" s="230"/>
      <c r="FE25" s="230"/>
      <c r="FN25" s="233">
        <f t="shared" si="20"/>
        <v>12</v>
      </c>
      <c r="FO25" s="440" t="s">
        <v>172</v>
      </c>
      <c r="FP25" s="397"/>
      <c r="FQ25" s="1126"/>
      <c r="FR25" s="1126"/>
      <c r="FS25" s="1126"/>
      <c r="FT25" s="1126"/>
      <c r="FU25" s="1126"/>
      <c r="FV25" s="367">
        <v>12</v>
      </c>
      <c r="FW25" s="429" t="s">
        <v>671</v>
      </c>
      <c r="FX25" s="419"/>
      <c r="FY25" s="1115">
        <v>0</v>
      </c>
      <c r="FZ25" s="1115">
        <v>0</v>
      </c>
      <c r="GA25" s="1115">
        <f>FZ25-FY25</f>
        <v>0</v>
      </c>
      <c r="GB25" s="1115">
        <v>0</v>
      </c>
      <c r="GC25" s="1115">
        <f>GB25-FZ25</f>
        <v>0</v>
      </c>
      <c r="GD25" s="377">
        <f t="shared" si="23"/>
        <v>12</v>
      </c>
      <c r="GE25" s="399" t="s">
        <v>316</v>
      </c>
      <c r="GF25" s="440"/>
      <c r="GG25" s="375">
        <f>SUM(GG22:GG24)</f>
        <v>0</v>
      </c>
      <c r="GH25" s="375">
        <f>SUM(GH22:GH24)</f>
        <v>0</v>
      </c>
      <c r="GI25" s="375">
        <f>SUM(GI22:GI24)</f>
        <v>0</v>
      </c>
      <c r="GJ25" s="375">
        <f>SUM(GJ22:GJ24)</f>
        <v>6800333.9793418013</v>
      </c>
      <c r="GK25" s="375">
        <f>SUM(GK22:GK24)</f>
        <v>6800333.9793418013</v>
      </c>
      <c r="GN25" s="230"/>
      <c r="GO25" s="230"/>
      <c r="GP25" s="230"/>
      <c r="GQ25" s="230"/>
      <c r="GR25" s="230"/>
      <c r="GS25" s="230"/>
      <c r="HB25" s="367">
        <v>12</v>
      </c>
      <c r="HC25" s="379"/>
      <c r="HD25" s="379"/>
      <c r="HE25" s="678"/>
      <c r="HF25" s="678"/>
      <c r="HG25" s="678"/>
      <c r="HH25" s="678"/>
      <c r="HI25" s="244"/>
      <c r="HR25" s="767">
        <f>HR24+1</f>
        <v>12</v>
      </c>
      <c r="HS25" s="826" t="s">
        <v>277</v>
      </c>
      <c r="HU25" s="450">
        <f>SUM(HU24:HU24)</f>
        <v>0</v>
      </c>
      <c r="HV25" s="450">
        <f>SUM(HV24:HV24)</f>
        <v>0</v>
      </c>
      <c r="HW25" s="450">
        <f>SUM(HW24:HW24)</f>
        <v>0</v>
      </c>
      <c r="HX25" s="450">
        <f>SUM(HX24:HX24)</f>
        <v>348243.00000000006</v>
      </c>
      <c r="HY25" s="450">
        <f>SUM(HY24:HY24)</f>
        <v>348243.00000000006</v>
      </c>
    </row>
    <row r="26" spans="1:236" ht="15" thickTop="1" thickBot="1">
      <c r="A26" s="756">
        <f t="shared" si="7"/>
        <v>13</v>
      </c>
      <c r="B26" s="788" t="s">
        <v>309</v>
      </c>
      <c r="C26" s="466"/>
      <c r="D26" s="1293"/>
      <c r="E26" s="798"/>
      <c r="F26" s="348">
        <v>10523931</v>
      </c>
      <c r="G26" s="1297"/>
      <c r="H26" s="772">
        <v>0</v>
      </c>
      <c r="I26" s="314">
        <f t="shared" si="8"/>
        <v>13</v>
      </c>
      <c r="J26" s="247" t="s">
        <v>343</v>
      </c>
      <c r="K26" s="766">
        <f>'SEF-3G'!$M$14</f>
        <v>3.8323000000000003E-2</v>
      </c>
      <c r="L26" s="239">
        <f t="shared" si="35"/>
        <v>166216.68608032484</v>
      </c>
      <c r="M26" s="239">
        <f t="shared" si="35"/>
        <v>167840.63584923223</v>
      </c>
      <c r="N26" s="310">
        <f>M26-L26</f>
        <v>1623.9497689073905</v>
      </c>
      <c r="O26" s="239">
        <v>1513822.9057289569</v>
      </c>
      <c r="P26" s="310">
        <f>O26-M26</f>
        <v>1345982.2698797246</v>
      </c>
      <c r="AE26" s="693"/>
      <c r="AG26" s="756">
        <f t="shared" si="0"/>
        <v>14</v>
      </c>
      <c r="AH26" s="760"/>
      <c r="AI26" s="366"/>
      <c r="AJ26" s="366"/>
      <c r="AK26" s="366"/>
      <c r="AL26" s="366"/>
      <c r="AM26" s="366"/>
      <c r="AN26" s="366"/>
      <c r="AO26" s="302"/>
      <c r="AW26" s="779"/>
      <c r="AX26" s="779"/>
      <c r="AY26" s="779"/>
      <c r="AZ26" s="799"/>
      <c r="BA26" s="686"/>
      <c r="BB26" s="686"/>
      <c r="BC26" s="686"/>
      <c r="BD26" s="686"/>
      <c r="BF26" s="367">
        <f t="shared" si="11"/>
        <v>13</v>
      </c>
      <c r="BG26" s="410" t="s">
        <v>319</v>
      </c>
      <c r="BH26" s="410"/>
      <c r="BI26" s="815">
        <v>337604.49441063614</v>
      </c>
      <c r="BJ26" s="815">
        <v>356860.11848858697</v>
      </c>
      <c r="BK26" s="815">
        <v>19255.624077950837</v>
      </c>
      <c r="BL26" s="815">
        <v>356860.11848858697</v>
      </c>
      <c r="BM26" s="815">
        <v>0</v>
      </c>
      <c r="BN26" s="302"/>
      <c r="CL26" s="367"/>
      <c r="CM26" s="403"/>
      <c r="CN26" s="403"/>
      <c r="DB26" s="302"/>
      <c r="DJ26" s="367">
        <f t="shared" si="13"/>
        <v>13</v>
      </c>
      <c r="DK26" s="466" t="s">
        <v>318</v>
      </c>
      <c r="DL26" s="397"/>
      <c r="DM26" s="447">
        <v>3609897.7715194593</v>
      </c>
      <c r="DN26" s="447">
        <f>+DM26+DO26</f>
        <v>3625628.9928652411</v>
      </c>
      <c r="DO26" s="446">
        <v>15731.221345781985</v>
      </c>
      <c r="DP26" s="447">
        <f>+DN26+DQ26</f>
        <v>3723477.2510908842</v>
      </c>
      <c r="DQ26" s="447">
        <v>97848.25822564293</v>
      </c>
      <c r="DR26" s="367">
        <f t="shared" si="16"/>
        <v>13</v>
      </c>
      <c r="DS26" s="442" t="s">
        <v>311</v>
      </c>
      <c r="DT26" s="405">
        <v>0.49997132880489842</v>
      </c>
      <c r="DU26" s="441">
        <f>+DU24*$DT$26</f>
        <v>3095944.3866684199</v>
      </c>
      <c r="DV26" s="441">
        <f>+DV24*$DT$26</f>
        <v>3101248.6734679942</v>
      </c>
      <c r="DW26" s="441">
        <f>+DW24*$DT$26</f>
        <v>5304.286799574289</v>
      </c>
      <c r="DX26" s="441">
        <f>+DX24*$DT$26</f>
        <v>3218784.8840221749</v>
      </c>
      <c r="DY26" s="409">
        <f>+DY24*$DT$26</f>
        <v>117536.2105541807</v>
      </c>
      <c r="EH26" s="233"/>
      <c r="EK26" s="678"/>
      <c r="EL26" s="678"/>
      <c r="EM26" s="678"/>
      <c r="EN26" s="678"/>
      <c r="EO26" s="678"/>
      <c r="EP26" s="767">
        <f t="shared" si="18"/>
        <v>13</v>
      </c>
      <c r="EQ26" s="364" t="s">
        <v>249</v>
      </c>
      <c r="ER26" s="767"/>
      <c r="ES26" s="357">
        <f>-ES23-ES25</f>
        <v>-113029487.34480421</v>
      </c>
      <c r="ET26" s="357">
        <f>-ET23-ET25</f>
        <v>-122767794.95157069</v>
      </c>
      <c r="EU26" s="357">
        <f>-EU23-EU25</f>
        <v>-9738307.6067664325</v>
      </c>
      <c r="EV26" s="357">
        <f>-EV23-EV25</f>
        <v>-122767794.95157069</v>
      </c>
      <c r="EW26" s="357">
        <f>-EW23-EW25</f>
        <v>0</v>
      </c>
      <c r="EX26" s="314"/>
      <c r="EY26" s="230"/>
      <c r="EZ26" s="230"/>
      <c r="FA26" s="230"/>
      <c r="FB26" s="230"/>
      <c r="FC26" s="230"/>
      <c r="FD26" s="230"/>
      <c r="FE26" s="230"/>
      <c r="FN26" s="233">
        <f t="shared" si="20"/>
        <v>13</v>
      </c>
      <c r="FO26" s="397" t="s">
        <v>306</v>
      </c>
      <c r="FP26" s="397"/>
      <c r="FQ26" s="428">
        <f>FQ19+FQ24</f>
        <v>0</v>
      </c>
      <c r="FR26" s="428">
        <f>FR19+FR24</f>
        <v>0</v>
      </c>
      <c r="FS26" s="428">
        <f>FS19+FS24</f>
        <v>0</v>
      </c>
      <c r="FT26" s="428">
        <f>FT19+FT24</f>
        <v>13882662.572720125</v>
      </c>
      <c r="FU26" s="428">
        <f>FU19+FU24</f>
        <v>13882662.572720125</v>
      </c>
      <c r="FV26" s="367">
        <v>13</v>
      </c>
      <c r="FW26" s="429" t="s">
        <v>670</v>
      </c>
      <c r="FX26" s="419"/>
      <c r="FY26" s="1115">
        <v>9085.8152269499988</v>
      </c>
      <c r="FZ26" s="1115">
        <v>9085.8152269499988</v>
      </c>
      <c r="GA26" s="1115">
        <f>FZ26-FY26</f>
        <v>0</v>
      </c>
      <c r="GB26" s="1115">
        <v>0</v>
      </c>
      <c r="GC26" s="1115">
        <f>GB26-FZ26</f>
        <v>-9085.8152269499988</v>
      </c>
      <c r="GD26" s="377">
        <f t="shared" si="23"/>
        <v>13</v>
      </c>
      <c r="GE26" s="440"/>
      <c r="GF26" s="440"/>
      <c r="GG26" s="375"/>
      <c r="GH26" s="375"/>
      <c r="GI26" s="375"/>
      <c r="GJ26" s="375"/>
      <c r="GK26" s="375"/>
      <c r="GN26" s="230"/>
      <c r="GO26" s="230"/>
      <c r="GP26" s="230"/>
      <c r="GQ26" s="230"/>
      <c r="GR26" s="230"/>
      <c r="GS26" s="230"/>
      <c r="HB26" s="367">
        <v>13</v>
      </c>
      <c r="HC26" s="379" t="s">
        <v>252</v>
      </c>
      <c r="HD26" s="385">
        <f>FIT_G</f>
        <v>0.21</v>
      </c>
      <c r="HE26" s="1134">
        <f t="shared" ref="HE26:HH26" si="37">-HE24*$HD$26</f>
        <v>0</v>
      </c>
      <c r="HF26" s="1134">
        <f t="shared" si="37"/>
        <v>0</v>
      </c>
      <c r="HG26" s="1134">
        <f t="shared" si="37"/>
        <v>0</v>
      </c>
      <c r="HH26" s="1134">
        <f t="shared" si="37"/>
        <v>-32844.047417625108</v>
      </c>
      <c r="HI26" s="1134">
        <f>-HI24*$HD$26</f>
        <v>-32844.047417625108</v>
      </c>
      <c r="HR26" s="767">
        <f t="shared" si="26"/>
        <v>13</v>
      </c>
      <c r="HS26" s="826"/>
      <c r="HT26" s="693"/>
      <c r="HU26" s="826"/>
      <c r="HV26" s="826"/>
      <c r="HW26" s="826"/>
      <c r="HX26" s="826"/>
      <c r="HY26" s="826"/>
    </row>
    <row r="27" spans="1:236" ht="16.8" thickTop="1" thickBot="1">
      <c r="A27" s="756">
        <f t="shared" si="7"/>
        <v>14</v>
      </c>
      <c r="B27" s="788" t="s">
        <v>669</v>
      </c>
      <c r="C27" s="787"/>
      <c r="D27" s="1293"/>
      <c r="E27" s="798"/>
      <c r="F27" s="348">
        <v>0</v>
      </c>
      <c r="G27" s="1297"/>
      <c r="H27" s="772">
        <v>-3747914.02</v>
      </c>
      <c r="I27" s="314">
        <f t="shared" si="8"/>
        <v>14</v>
      </c>
      <c r="J27" s="288" t="s">
        <v>330</v>
      </c>
      <c r="K27" s="826"/>
      <c r="L27" s="1110">
        <f>SUM(L24:L26)</f>
        <v>197115.30235870165</v>
      </c>
      <c r="M27" s="1110">
        <f>SUM(M24:M26)</f>
        <v>199041.13397803035</v>
      </c>
      <c r="N27" s="1110">
        <f>SUM(N24:N26)</f>
        <v>1925.8316193287083</v>
      </c>
      <c r="O27" s="1110">
        <f>SUM(O24:O26)</f>
        <v>1795232.8783410459</v>
      </c>
      <c r="P27" s="1110">
        <f>SUM(P24:P26)</f>
        <v>1596191.7443630155</v>
      </c>
      <c r="AE27" s="790"/>
      <c r="AG27" s="756">
        <f t="shared" si="0"/>
        <v>15</v>
      </c>
      <c r="AH27" s="797" t="s">
        <v>293</v>
      </c>
      <c r="AI27" s="796"/>
      <c r="AJ27" s="796"/>
      <c r="AK27" s="796"/>
      <c r="AL27" s="796"/>
      <c r="AM27" s="796"/>
      <c r="AN27" s="796"/>
      <c r="AW27" s="779"/>
      <c r="AX27" s="779"/>
      <c r="AY27" s="779"/>
      <c r="AZ27" s="795"/>
      <c r="BA27" s="794"/>
      <c r="BB27" s="793"/>
      <c r="BC27" s="792"/>
      <c r="BD27" s="792"/>
      <c r="BF27" s="367">
        <f t="shared" si="11"/>
        <v>14</v>
      </c>
      <c r="BG27" s="410" t="s">
        <v>313</v>
      </c>
      <c r="BH27" s="410"/>
      <c r="BI27" s="526">
        <f>SUM(BI24:BI26)</f>
        <v>4152344.5442483323</v>
      </c>
      <c r="BJ27" s="526">
        <f>SUM(BJ24:BJ26)</f>
        <v>4389177.8415234676</v>
      </c>
      <c r="BK27" s="526">
        <f>SUM(BK24:BK26)</f>
        <v>236833.297275135</v>
      </c>
      <c r="BL27" s="526">
        <f>SUM(BL24:BL26)</f>
        <v>4389177.8415234676</v>
      </c>
      <c r="BM27" s="526">
        <f>SUM(BM24:BM26)</f>
        <v>0</v>
      </c>
      <c r="BN27" s="302"/>
      <c r="CL27" s="367"/>
      <c r="CM27" s="403"/>
      <c r="CN27" s="403"/>
      <c r="DB27" s="302"/>
      <c r="DJ27" s="367">
        <f t="shared" si="13"/>
        <v>14</v>
      </c>
      <c r="DK27" s="410" t="s">
        <v>312</v>
      </c>
      <c r="DL27" s="351"/>
      <c r="DM27" s="441">
        <f>+DM26+DM24</f>
        <v>55982088.538726896</v>
      </c>
      <c r="DN27" s="441">
        <f>+DO26+DN24</f>
        <v>52827126.728971161</v>
      </c>
      <c r="DO27" s="443">
        <f>+DO26+DO24</f>
        <v>454935.96176372259</v>
      </c>
      <c r="DP27" s="441">
        <f>+DN27+DQ27</f>
        <v>55244820.510492943</v>
      </c>
      <c r="DQ27" s="443">
        <f>+DQ26+DQ24</f>
        <v>2417693.7815217846</v>
      </c>
      <c r="DR27" s="367">
        <f t="shared" si="16"/>
        <v>14</v>
      </c>
      <c r="DS27" s="431"/>
      <c r="DT27" s="430"/>
      <c r="DU27" s="1099"/>
      <c r="DV27" s="1099"/>
      <c r="DW27" s="1099"/>
      <c r="DX27" s="1099"/>
      <c r="DY27" s="1099"/>
      <c r="EH27" s="233"/>
      <c r="EP27" s="767">
        <f t="shared" si="18"/>
        <v>14</v>
      </c>
      <c r="EQ27" s="389"/>
      <c r="ER27" s="767"/>
      <c r="ES27" s="234"/>
      <c r="ET27" s="234"/>
      <c r="EU27" s="234"/>
      <c r="EV27" s="234"/>
      <c r="EW27" s="234"/>
      <c r="EX27" s="230"/>
      <c r="EY27" s="230"/>
      <c r="EZ27" s="230"/>
      <c r="FA27" s="230"/>
      <c r="FB27" s="230"/>
      <c r="FC27" s="230"/>
      <c r="FD27" s="230"/>
      <c r="FE27" s="230"/>
      <c r="FN27" s="233">
        <f t="shared" si="20"/>
        <v>14</v>
      </c>
      <c r="FO27" s="418" t="s">
        <v>172</v>
      </c>
      <c r="FP27" s="397"/>
      <c r="FQ27" s="244"/>
      <c r="FR27" s="244"/>
      <c r="FS27" s="244"/>
      <c r="FT27" s="244"/>
      <c r="FU27" s="244"/>
      <c r="FV27" s="367">
        <v>14</v>
      </c>
      <c r="FW27" s="429" t="s">
        <v>668</v>
      </c>
      <c r="FX27" s="419"/>
      <c r="FY27" s="1115">
        <v>19838.542231200001</v>
      </c>
      <c r="FZ27" s="1115">
        <v>19838.542231200001</v>
      </c>
      <c r="GA27" s="1115">
        <f>FZ27-FY27</f>
        <v>0</v>
      </c>
      <c r="GB27" s="1115">
        <v>0</v>
      </c>
      <c r="GC27" s="1115">
        <f>GB27-FZ27</f>
        <v>-19838.542231200001</v>
      </c>
      <c r="GD27" s="377">
        <f t="shared" si="23"/>
        <v>14</v>
      </c>
      <c r="GE27" s="397" t="s">
        <v>306</v>
      </c>
      <c r="GF27" s="397"/>
      <c r="GG27" s="428">
        <f>GG19+GG25</f>
        <v>0</v>
      </c>
      <c r="GH27" s="428">
        <f>GH19+GH25</f>
        <v>0</v>
      </c>
      <c r="GI27" s="428">
        <f>GI19+GI25</f>
        <v>0</v>
      </c>
      <c r="GJ27" s="428">
        <f>GJ19+GJ25</f>
        <v>13218338.784336466</v>
      </c>
      <c r="GK27" s="428">
        <f>GK19+GK25</f>
        <v>13218338.784336466</v>
      </c>
      <c r="HB27" s="367">
        <v>14</v>
      </c>
      <c r="HC27" s="379" t="s">
        <v>249</v>
      </c>
      <c r="HD27" s="379"/>
      <c r="HE27" s="353">
        <f t="shared" ref="HE27:HH27" si="38">-HE24-HE26</f>
        <v>0</v>
      </c>
      <c r="HF27" s="353">
        <f t="shared" si="38"/>
        <v>0</v>
      </c>
      <c r="HG27" s="353">
        <f t="shared" si="38"/>
        <v>0</v>
      </c>
      <c r="HH27" s="353">
        <f t="shared" si="38"/>
        <v>-123556.1783805897</v>
      </c>
      <c r="HI27" s="353">
        <f>-HI24-HI26</f>
        <v>-123556.1783805897</v>
      </c>
      <c r="HR27" s="767">
        <f t="shared" si="26"/>
        <v>14</v>
      </c>
      <c r="HS27" s="826" t="s">
        <v>275</v>
      </c>
      <c r="HT27" s="693"/>
      <c r="HU27" s="234">
        <v>0</v>
      </c>
      <c r="HV27" s="234">
        <v>0</v>
      </c>
      <c r="HW27" s="234">
        <v>0</v>
      </c>
      <c r="HX27" s="234">
        <v>348243.00000000006</v>
      </c>
      <c r="HY27" s="234">
        <v>348243.00000000006</v>
      </c>
    </row>
    <row r="28" spans="1:236" ht="15.6">
      <c r="A28" s="756">
        <f t="shared" si="7"/>
        <v>15</v>
      </c>
      <c r="B28" s="788" t="s">
        <v>667</v>
      </c>
      <c r="C28" s="787"/>
      <c r="D28" s="1294"/>
      <c r="E28" s="791"/>
      <c r="F28" s="348">
        <v>-981624</v>
      </c>
      <c r="G28" s="1294"/>
      <c r="H28" s="772">
        <v>0</v>
      </c>
      <c r="I28" s="314">
        <f t="shared" si="8"/>
        <v>15</v>
      </c>
      <c r="J28" s="288"/>
      <c r="K28" s="826"/>
      <c r="L28" s="826"/>
      <c r="M28" s="826"/>
      <c r="N28" s="826"/>
      <c r="O28" s="826"/>
      <c r="P28" s="826"/>
      <c r="AE28" s="790"/>
      <c r="AG28" s="756">
        <f t="shared" si="0"/>
        <v>16</v>
      </c>
      <c r="AH28" s="366" t="s">
        <v>262</v>
      </c>
      <c r="AI28" s="783">
        <f>+'SEF-3G'!M12</f>
        <v>5.1240000000000001E-3</v>
      </c>
      <c r="AJ28" s="355">
        <f>+$AI$28*AJ25</f>
        <v>319800.48572257528</v>
      </c>
      <c r="AK28" s="354">
        <f>+$AI$28*AK25</f>
        <v>0</v>
      </c>
      <c r="AL28" s="354">
        <f>+$AI$28*AL25</f>
        <v>-319800.48572257528</v>
      </c>
      <c r="AM28" s="354">
        <f>AK28</f>
        <v>0</v>
      </c>
      <c r="AN28" s="354">
        <f>+AM28-AK28</f>
        <v>0</v>
      </c>
      <c r="AW28" s="779"/>
      <c r="AX28" s="779"/>
      <c r="AY28" s="779"/>
      <c r="AZ28" s="789"/>
      <c r="BA28" s="686"/>
      <c r="BB28" s="686"/>
      <c r="BC28" s="686"/>
      <c r="BD28" s="686"/>
      <c r="BF28" s="367">
        <f t="shared" si="11"/>
        <v>15</v>
      </c>
      <c r="BG28" s="433"/>
      <c r="BH28" s="433"/>
      <c r="BI28" s="526"/>
      <c r="BJ28" s="526"/>
      <c r="BK28" s="526"/>
      <c r="BL28" s="526"/>
      <c r="BM28" s="526"/>
      <c r="BN28" s="302"/>
      <c r="DB28" s="302"/>
      <c r="DJ28" s="367">
        <f t="shared" si="13"/>
        <v>15</v>
      </c>
      <c r="DK28" s="410"/>
      <c r="DL28" s="351"/>
      <c r="DM28" s="351"/>
      <c r="DN28" s="351"/>
      <c r="DO28" s="351"/>
      <c r="DP28" s="351"/>
      <c r="DQ28" s="351"/>
      <c r="DR28" s="367">
        <f t="shared" si="16"/>
        <v>15</v>
      </c>
      <c r="DS28" s="400" t="s">
        <v>303</v>
      </c>
      <c r="DT28" s="397"/>
      <c r="DU28" s="420">
        <f>SUM(DU26:DU27)</f>
        <v>3095944.3866684199</v>
      </c>
      <c r="DV28" s="420">
        <f>SUM(DV26:DV27)</f>
        <v>3101248.6734679942</v>
      </c>
      <c r="DW28" s="421">
        <f>+DV28-DU28</f>
        <v>5304.2867995742708</v>
      </c>
      <c r="DX28" s="420">
        <f>SUM(DX26:DX27)</f>
        <v>3218784.8840221749</v>
      </c>
      <c r="DY28" s="409">
        <f>+DX28-DV28</f>
        <v>117536.21055418067</v>
      </c>
      <c r="EH28" s="233"/>
      <c r="EP28" s="767">
        <f t="shared" si="18"/>
        <v>15</v>
      </c>
      <c r="EQ28" s="364" t="s">
        <v>299</v>
      </c>
      <c r="ER28" s="767"/>
      <c r="ES28" s="234"/>
      <c r="ET28" s="234"/>
      <c r="EU28" s="234"/>
      <c r="EV28" s="234"/>
      <c r="EW28" s="234"/>
      <c r="EX28" s="230"/>
      <c r="EY28" s="230"/>
      <c r="EZ28" s="230"/>
      <c r="FA28" s="230"/>
      <c r="FB28" s="230"/>
      <c r="FC28" s="230"/>
      <c r="FD28" s="230"/>
      <c r="FE28" s="230"/>
      <c r="FN28" s="233">
        <f t="shared" si="20"/>
        <v>15</v>
      </c>
      <c r="FO28" s="413" t="s">
        <v>297</v>
      </c>
      <c r="FP28" s="418"/>
      <c r="FQ28" s="392"/>
      <c r="FR28" s="392"/>
      <c r="FS28" s="392"/>
      <c r="FT28" s="392"/>
      <c r="FU28" s="392"/>
      <c r="FV28" s="367">
        <v>15</v>
      </c>
      <c r="FW28" s="272" t="s">
        <v>666</v>
      </c>
      <c r="FX28" s="419"/>
      <c r="FY28" s="1115">
        <v>109085.93640000001</v>
      </c>
      <c r="FZ28" s="1115">
        <v>109085.93640000001</v>
      </c>
      <c r="GA28" s="1115">
        <f>FZ28-FY28</f>
        <v>0</v>
      </c>
      <c r="GB28" s="1115">
        <v>0</v>
      </c>
      <c r="GC28" s="1115">
        <f>GB28-FZ28</f>
        <v>-109085.93640000001</v>
      </c>
      <c r="GD28" s="377">
        <f t="shared" si="23"/>
        <v>15</v>
      </c>
      <c r="GE28" s="418"/>
      <c r="GF28" s="418"/>
      <c r="GG28" s="417"/>
      <c r="GH28" s="417"/>
      <c r="GI28" s="417"/>
      <c r="GJ28" s="417"/>
      <c r="GK28" s="373">
        <v>0</v>
      </c>
      <c r="HR28" s="767">
        <f t="shared" si="26"/>
        <v>15</v>
      </c>
      <c r="HS28" s="826"/>
      <c r="HU28" s="826"/>
      <c r="HV28" s="826"/>
      <c r="HW28" s="826"/>
      <c r="HX28" s="826"/>
      <c r="HY28" s="826"/>
    </row>
    <row r="29" spans="1:236">
      <c r="A29" s="756">
        <f t="shared" si="7"/>
        <v>16</v>
      </c>
      <c r="B29" s="788" t="s">
        <v>665</v>
      </c>
      <c r="C29" s="787"/>
      <c r="D29" s="770"/>
      <c r="E29" s="770"/>
      <c r="F29" s="770">
        <f>SUM(F23:F28)</f>
        <v>2691478.5600000005</v>
      </c>
      <c r="G29" s="770"/>
      <c r="H29" s="770">
        <f>SUM(H23:H28)</f>
        <v>-9854969.0099999998</v>
      </c>
      <c r="I29" s="314">
        <f t="shared" si="8"/>
        <v>16</v>
      </c>
      <c r="J29" s="247" t="s">
        <v>321</v>
      </c>
      <c r="K29" s="826"/>
      <c r="L29" s="310">
        <f>+L19-L21-L27</f>
        <v>4140141.3341343915</v>
      </c>
      <c r="M29" s="310">
        <f>+M19-M21-M27</f>
        <v>4180590.8324450632</v>
      </c>
      <c r="N29" s="310">
        <f>+N19-N21-N27</f>
        <v>40449.49831067129</v>
      </c>
      <c r="O29" s="310">
        <f>+O19-O21-O27</f>
        <v>21108505.860391933</v>
      </c>
      <c r="P29" s="310">
        <f>+P19-P21-P27</f>
        <v>16927915.027946867</v>
      </c>
      <c r="AG29" s="756">
        <f t="shared" si="0"/>
        <v>17</v>
      </c>
      <c r="AH29" s="492" t="s">
        <v>17</v>
      </c>
      <c r="AI29" s="783">
        <f>+'SEF-3G'!M13</f>
        <v>2E-3</v>
      </c>
      <c r="AJ29" s="355">
        <f>+$AI$29*AJ25</f>
        <v>124824.54555916287</v>
      </c>
      <c r="AK29" s="354">
        <f>+$AI$29*AK25</f>
        <v>0</v>
      </c>
      <c r="AL29" s="354">
        <f>+$AI$29*AL25</f>
        <v>-124824.54555916287</v>
      </c>
      <c r="AM29" s="354">
        <f>AK29</f>
        <v>0</v>
      </c>
      <c r="AN29" s="354">
        <f>+AM29-AK29</f>
        <v>0</v>
      </c>
      <c r="AW29" s="779"/>
      <c r="AX29" s="779"/>
      <c r="AY29" s="779"/>
      <c r="AZ29" s="786"/>
      <c r="BA29" s="686"/>
      <c r="BB29" s="686"/>
      <c r="BC29" s="686"/>
      <c r="BD29" s="686"/>
      <c r="BF29" s="367">
        <f t="shared" si="11"/>
        <v>16</v>
      </c>
      <c r="BG29" s="424" t="s">
        <v>252</v>
      </c>
      <c r="BH29" s="425">
        <v>0.21</v>
      </c>
      <c r="BI29" s="815">
        <f>-FIT_G*BI27</f>
        <v>-871992.35429214977</v>
      </c>
      <c r="BJ29" s="815">
        <f>-FIT_G*BJ27</f>
        <v>-921727.3467199282</v>
      </c>
      <c r="BK29" s="815">
        <f>+BJ29-BI29</f>
        <v>-49734.99242777843</v>
      </c>
      <c r="BL29" s="815">
        <f>+BJ29</f>
        <v>-921727.3467199282</v>
      </c>
      <c r="BM29" s="815">
        <f>-BM27*BH29</f>
        <v>0</v>
      </c>
      <c r="BN29" s="302"/>
      <c r="DB29" s="302"/>
      <c r="DJ29" s="367">
        <f t="shared" si="13"/>
        <v>16</v>
      </c>
      <c r="DK29" s="423" t="s">
        <v>304</v>
      </c>
      <c r="DL29" s="351"/>
      <c r="DM29" s="422">
        <f>+DM27</f>
        <v>55982088.538726896</v>
      </c>
      <c r="DN29" s="422">
        <f>+DN27</f>
        <v>52827126.728971161</v>
      </c>
      <c r="DO29" s="422">
        <f>+DO27</f>
        <v>454935.96176372259</v>
      </c>
      <c r="DP29" s="422">
        <f>+DP27</f>
        <v>55244820.510492943</v>
      </c>
      <c r="DQ29" s="422">
        <f>+DQ27</f>
        <v>2417693.7815217846</v>
      </c>
      <c r="DR29" s="367">
        <f t="shared" si="16"/>
        <v>16</v>
      </c>
      <c r="DS29" s="400"/>
      <c r="DT29" s="397"/>
      <c r="DU29" s="1099"/>
      <c r="DV29" s="1099"/>
      <c r="DW29" s="1099"/>
      <c r="DX29" s="1099"/>
      <c r="DY29" s="1099"/>
      <c r="EH29" s="233"/>
      <c r="EP29" s="767">
        <f t="shared" si="18"/>
        <v>16</v>
      </c>
      <c r="EQ29" s="364" t="s">
        <v>664</v>
      </c>
      <c r="ER29" s="767"/>
      <c r="ES29" s="231">
        <f t="shared" ref="ES29:ET29" si="39">-ES23</f>
        <v>-143075300.43646103</v>
      </c>
      <c r="ET29" s="231">
        <f t="shared" si="39"/>
        <v>-155402272.09059581</v>
      </c>
      <c r="EU29" s="231">
        <f>-EU23</f>
        <v>-12326971.654134724</v>
      </c>
      <c r="EV29" s="231">
        <f>-EV23</f>
        <v>-155402272.09059581</v>
      </c>
      <c r="EW29" s="231">
        <f>-EW23</f>
        <v>0</v>
      </c>
      <c r="EX29" s="230"/>
      <c r="EY29" s="230"/>
      <c r="EZ29" s="230"/>
      <c r="FA29" s="230"/>
      <c r="FB29" s="230"/>
      <c r="FC29" s="230"/>
      <c r="FD29" s="230"/>
      <c r="FE29" s="230"/>
      <c r="FN29" s="233">
        <f t="shared" si="20"/>
        <v>16</v>
      </c>
      <c r="FO29" s="399" t="s">
        <v>296</v>
      </c>
      <c r="FP29" s="399"/>
      <c r="FQ29" s="244">
        <v>0</v>
      </c>
      <c r="FR29" s="244">
        <v>0</v>
      </c>
      <c r="FS29" s="244">
        <v>0</v>
      </c>
      <c r="FT29" s="244">
        <v>654456.24772499979</v>
      </c>
      <c r="FU29" s="244">
        <f>+FT29-FS29</f>
        <v>654456.24772499979</v>
      </c>
      <c r="FV29" s="367">
        <v>16</v>
      </c>
      <c r="FW29" s="247" t="s">
        <v>298</v>
      </c>
      <c r="FX29" s="247"/>
      <c r="FY29" s="1129">
        <f>SUM(FY15:FY28)</f>
        <v>3437071.0975345504</v>
      </c>
      <c r="FZ29" s="1129">
        <f>SUM(FZ15:FZ28)</f>
        <v>2778097.2982822503</v>
      </c>
      <c r="GA29" s="1129">
        <f>SUM(GA15:GA28)</f>
        <v>-658973.79925230017</v>
      </c>
      <c r="GB29" s="1129">
        <f>SUM(GB15:GB28)</f>
        <v>2608272.4114566003</v>
      </c>
      <c r="GC29" s="1129">
        <f>SUM(GC15:GC28)</f>
        <v>-169824.88682564982</v>
      </c>
      <c r="GD29" s="377">
        <f t="shared" si="23"/>
        <v>16</v>
      </c>
      <c r="GE29" s="413" t="s">
        <v>297</v>
      </c>
      <c r="GF29" s="413"/>
      <c r="GG29" s="245"/>
      <c r="GH29" s="245"/>
      <c r="GI29" s="245"/>
      <c r="GJ29" s="245"/>
      <c r="GK29" s="245"/>
      <c r="HR29" s="767">
        <f t="shared" si="26"/>
        <v>16</v>
      </c>
      <c r="HS29" s="826" t="s">
        <v>252</v>
      </c>
      <c r="HT29" s="768">
        <f>FIT_G</f>
        <v>0.21</v>
      </c>
      <c r="HU29" s="234">
        <f t="shared" ref="HU29:HW29" si="40">-HU27*$HT$29</f>
        <v>0</v>
      </c>
      <c r="HV29" s="234">
        <f t="shared" si="40"/>
        <v>0</v>
      </c>
      <c r="HW29" s="234">
        <f t="shared" si="40"/>
        <v>0</v>
      </c>
      <c r="HX29" s="234">
        <f>-HX27*$HT$29</f>
        <v>-73131.030000000013</v>
      </c>
      <c r="HY29" s="234">
        <f>HX29-HW29</f>
        <v>-73131.030000000013</v>
      </c>
      <c r="IB29" s="678"/>
    </row>
    <row r="30" spans="1:236" ht="14.4" thickBot="1">
      <c r="A30" s="756">
        <f t="shared" si="7"/>
        <v>17</v>
      </c>
      <c r="B30" s="771"/>
      <c r="C30" s="464"/>
      <c r="D30" s="785"/>
      <c r="E30" s="375"/>
      <c r="F30" s="770"/>
      <c r="G30" s="770"/>
      <c r="H30" s="770"/>
      <c r="I30" s="314">
        <f t="shared" si="8"/>
        <v>17</v>
      </c>
      <c r="J30" s="247"/>
      <c r="K30" s="826"/>
      <c r="L30" s="826"/>
      <c r="M30" s="826"/>
      <c r="N30" s="826"/>
      <c r="O30" s="826"/>
      <c r="P30" s="826"/>
      <c r="AG30" s="756">
        <f t="shared" si="0"/>
        <v>18</v>
      </c>
      <c r="AH30" s="784" t="s">
        <v>258</v>
      </c>
      <c r="AI30" s="783">
        <f>+'SEF-3G'!M14</f>
        <v>3.8323000000000003E-2</v>
      </c>
      <c r="AJ30" s="355">
        <f>+$AI$30*AJ25</f>
        <v>2391825.5297318995</v>
      </c>
      <c r="AK30" s="354">
        <f>+$AI$30*AK25</f>
        <v>0</v>
      </c>
      <c r="AL30" s="354">
        <f>+$AI$30*AL25</f>
        <v>-2391825.5297318995</v>
      </c>
      <c r="AM30" s="354">
        <f>AK30</f>
        <v>0</v>
      </c>
      <c r="AN30" s="354">
        <f>+AM30-AK30</f>
        <v>0</v>
      </c>
      <c r="AW30" s="779"/>
      <c r="AX30" s="779"/>
      <c r="AY30" s="779"/>
      <c r="AZ30" s="508"/>
      <c r="BA30" s="694"/>
      <c r="BB30" s="694"/>
      <c r="BC30" s="694"/>
      <c r="BD30" s="694"/>
      <c r="BF30" s="367">
        <f t="shared" si="11"/>
        <v>17</v>
      </c>
      <c r="BG30" s="410" t="s">
        <v>249</v>
      </c>
      <c r="BH30" s="273"/>
      <c r="BI30" s="1117">
        <f>-BI27-BI29</f>
        <v>-3280352.1899561826</v>
      </c>
      <c r="BJ30" s="1117">
        <f>-BJ27-BJ29</f>
        <v>-3467450.4948035395</v>
      </c>
      <c r="BK30" s="1117">
        <f>-BK27-BK29</f>
        <v>-187098.30484735657</v>
      </c>
      <c r="BL30" s="1117">
        <f>-BL27-BL29</f>
        <v>-3467450.4948035395</v>
      </c>
      <c r="BM30" s="1117">
        <f>-BM27-BM29</f>
        <v>0</v>
      </c>
      <c r="DB30" s="302"/>
      <c r="DJ30" s="367">
        <f t="shared" si="13"/>
        <v>17</v>
      </c>
      <c r="DK30" s="410" t="s">
        <v>663</v>
      </c>
      <c r="DL30" s="405">
        <f>FIT_G</f>
        <v>0.21</v>
      </c>
      <c r="DM30" s="415">
        <f>-DM29*$DL$30</f>
        <v>-11756238.593132649</v>
      </c>
      <c r="DN30" s="415">
        <f>-DN29*$DL$30</f>
        <v>-11093696.613083944</v>
      </c>
      <c r="DO30" s="415">
        <f>-DO29*$DL$30</f>
        <v>-95536.551970381741</v>
      </c>
      <c r="DP30" s="415">
        <f>-DP29*$DL$30</f>
        <v>-11601412.307203518</v>
      </c>
      <c r="DQ30" s="415">
        <f>-DQ29*DL30</f>
        <v>-507715.69411957473</v>
      </c>
      <c r="DR30" s="367">
        <f t="shared" si="16"/>
        <v>17</v>
      </c>
      <c r="DS30" s="400" t="s">
        <v>378</v>
      </c>
      <c r="DT30" s="397"/>
      <c r="DU30" s="409">
        <f>+DU28</f>
        <v>3095944.3866684199</v>
      </c>
      <c r="DV30" s="409">
        <f>+DV28</f>
        <v>3101248.6734679942</v>
      </c>
      <c r="DW30" s="409">
        <f>+DW28</f>
        <v>5304.2867995742708</v>
      </c>
      <c r="DX30" s="409">
        <f>+DX28</f>
        <v>3218784.8840221749</v>
      </c>
      <c r="DY30" s="409">
        <f>+DY28</f>
        <v>117536.21055418067</v>
      </c>
      <c r="EH30" s="233"/>
      <c r="EP30" s="767">
        <f t="shared" si="18"/>
        <v>17</v>
      </c>
      <c r="EQ30" s="247" t="s">
        <v>287</v>
      </c>
      <c r="ER30" s="767"/>
      <c r="ES30" s="234">
        <f t="shared" ref="ES30:ET30" si="41">-ES25</f>
        <v>30045813.091656815</v>
      </c>
      <c r="ET30" s="234">
        <f t="shared" si="41"/>
        <v>32634477.139025118</v>
      </c>
      <c r="EU30" s="234">
        <f>-EU25</f>
        <v>2588664.0473682922</v>
      </c>
      <c r="EV30" s="234">
        <f>-EV25</f>
        <v>32634477.139025118</v>
      </c>
      <c r="EW30" s="234">
        <f>-EW25</f>
        <v>0</v>
      </c>
      <c r="EX30" s="230"/>
      <c r="FN30" s="233">
        <f t="shared" si="20"/>
        <v>17</v>
      </c>
      <c r="FO30" s="399" t="s">
        <v>1429</v>
      </c>
      <c r="FQ30" s="244">
        <v>0</v>
      </c>
      <c r="FR30" s="244">
        <v>0</v>
      </c>
      <c r="FS30" s="244">
        <v>0</v>
      </c>
      <c r="FT30" s="244">
        <v>-45793.413416894138</v>
      </c>
      <c r="FU30" s="244">
        <f>+FT30-FS30</f>
        <v>-45793.413416894138</v>
      </c>
      <c r="FV30" s="367">
        <v>17</v>
      </c>
      <c r="FW30" s="403"/>
      <c r="FX30" s="403"/>
      <c r="FY30" s="678"/>
      <c r="FZ30" s="678"/>
      <c r="GA30" s="678"/>
      <c r="GB30" s="678"/>
      <c r="GC30" s="678"/>
      <c r="GD30" s="377">
        <f t="shared" si="23"/>
        <v>17</v>
      </c>
      <c r="GE30" s="399" t="s">
        <v>662</v>
      </c>
      <c r="GF30" s="399"/>
      <c r="GG30" s="274">
        <v>0</v>
      </c>
      <c r="GH30" s="274">
        <v>0</v>
      </c>
      <c r="GI30" s="274">
        <v>0</v>
      </c>
      <c r="GJ30" s="274">
        <v>2681157.0054726158</v>
      </c>
      <c r="GK30" s="274">
        <f>+GJ30-GI30</f>
        <v>2681157.0054726158</v>
      </c>
      <c r="HR30" s="767">
        <f t="shared" si="26"/>
        <v>17</v>
      </c>
      <c r="HS30" s="826" t="s">
        <v>249</v>
      </c>
      <c r="HU30" s="357">
        <f>-HU27-HU29</f>
        <v>0</v>
      </c>
      <c r="HV30" s="357">
        <f>-HV27-HV29</f>
        <v>0</v>
      </c>
      <c r="HW30" s="357">
        <f>-HW27-HW29</f>
        <v>0</v>
      </c>
      <c r="HX30" s="357">
        <f>-HX27-HX29</f>
        <v>-275111.97000000003</v>
      </c>
      <c r="HY30" s="357">
        <f>-HY27-HY29</f>
        <v>-275111.97000000003</v>
      </c>
    </row>
    <row r="31" spans="1:236" ht="15" thickTop="1" thickBot="1">
      <c r="A31" s="756">
        <f t="shared" si="7"/>
        <v>18</v>
      </c>
      <c r="B31" s="771" t="s">
        <v>305</v>
      </c>
      <c r="C31" s="464"/>
      <c r="D31" s="548"/>
      <c r="E31" s="548"/>
      <c r="F31" s="548">
        <f>+F20+F29</f>
        <v>-44406847.206164941</v>
      </c>
      <c r="G31" s="548"/>
      <c r="H31" s="548">
        <f>+H20+H29</f>
        <v>-9803997.7300000004</v>
      </c>
      <c r="I31" s="314">
        <f t="shared" si="8"/>
        <v>18</v>
      </c>
      <c r="J31" s="247" t="s">
        <v>252</v>
      </c>
      <c r="K31" s="356">
        <f>FIT_G</f>
        <v>0.21</v>
      </c>
      <c r="L31" s="310">
        <f>L29*$K$31</f>
        <v>869429.68016822217</v>
      </c>
      <c r="M31" s="310">
        <f>M29*$K$31</f>
        <v>877924.07481346326</v>
      </c>
      <c r="N31" s="310">
        <f>N29*$K$31</f>
        <v>8494.3946452409709</v>
      </c>
      <c r="O31" s="310">
        <f>O29*$K$31</f>
        <v>4432786.230682306</v>
      </c>
      <c r="P31" s="310">
        <f>P29*$K$31</f>
        <v>3554862.1558688418</v>
      </c>
      <c r="AG31" s="756">
        <f t="shared" si="0"/>
        <v>19</v>
      </c>
      <c r="AH31" s="372" t="s">
        <v>661</v>
      </c>
      <c r="AI31" s="781"/>
      <c r="AJ31" s="375">
        <f>SUM(AJ28:AJ30)</f>
        <v>2836450.5610136376</v>
      </c>
      <c r="AK31" s="762">
        <f>SUM(AK28:AK30)</f>
        <v>0</v>
      </c>
      <c r="AL31" s="375">
        <f>SUM(AL28:AL30)</f>
        <v>-2836450.5610136376</v>
      </c>
      <c r="AM31" s="762">
        <f>SUM(AM28:AM30)</f>
        <v>0</v>
      </c>
      <c r="AN31" s="762">
        <f>SUM(AN28:AN30)</f>
        <v>0</v>
      </c>
      <c r="AW31" s="779"/>
      <c r="AX31" s="779"/>
      <c r="AY31" s="779"/>
      <c r="AZ31" s="508"/>
      <c r="BA31" s="694"/>
      <c r="BB31" s="694"/>
      <c r="BC31" s="694"/>
      <c r="BD31" s="694"/>
      <c r="BF31" s="367"/>
      <c r="DB31" s="302"/>
      <c r="DJ31" s="367">
        <f t="shared" si="13"/>
        <v>18</v>
      </c>
      <c r="DK31" s="410" t="s">
        <v>249</v>
      </c>
      <c r="DL31" s="351"/>
      <c r="DM31" s="396">
        <f>-DM29-DM30</f>
        <v>-44225849.945594251</v>
      </c>
      <c r="DN31" s="396">
        <f>-DN29-DN30</f>
        <v>-41733430.115887217</v>
      </c>
      <c r="DO31" s="396">
        <f>-DO29-DO30</f>
        <v>-359399.40979334083</v>
      </c>
      <c r="DP31" s="396">
        <f>-DP29-DP30</f>
        <v>-43643408.203289427</v>
      </c>
      <c r="DQ31" s="396">
        <f>-DQ29-DQ30</f>
        <v>-1909978.0874022099</v>
      </c>
      <c r="DR31" s="367">
        <f t="shared" si="16"/>
        <v>18</v>
      </c>
      <c r="DS31" s="400"/>
      <c r="DT31" s="397"/>
      <c r="DU31" s="351"/>
      <c r="DV31" s="351"/>
      <c r="DW31" s="351"/>
      <c r="DX31" s="351"/>
      <c r="DY31" s="351"/>
      <c r="EH31" s="233"/>
      <c r="EP31" s="767">
        <f t="shared" si="18"/>
        <v>18</v>
      </c>
      <c r="EQ31" s="364" t="s">
        <v>282</v>
      </c>
      <c r="ER31" s="767"/>
      <c r="ES31" s="357">
        <f t="shared" ref="ES31:ET31" si="42">SUM(ES29:ES30)</f>
        <v>-113029487.34480421</v>
      </c>
      <c r="ET31" s="357">
        <f t="shared" si="42"/>
        <v>-122767794.95157069</v>
      </c>
      <c r="EU31" s="357">
        <f>SUM(EU29:EU30)</f>
        <v>-9738307.6067664325</v>
      </c>
      <c r="EV31" s="357">
        <f>SUM(EV29:EV30)</f>
        <v>-122767794.95157069</v>
      </c>
      <c r="EW31" s="357">
        <f>SUM(EW29:EW30)</f>
        <v>0</v>
      </c>
      <c r="EX31" s="230"/>
      <c r="FN31" s="233">
        <f t="shared" si="20"/>
        <v>18</v>
      </c>
      <c r="FO31" s="399" t="s">
        <v>284</v>
      </c>
      <c r="FP31" s="399"/>
      <c r="FQ31" s="244">
        <v>0</v>
      </c>
      <c r="FR31" s="244">
        <v>0</v>
      </c>
      <c r="FS31" s="244">
        <v>0</v>
      </c>
      <c r="FT31" s="244">
        <v>390538.48325363314</v>
      </c>
      <c r="FU31" s="244">
        <f>+FT31-FS31</f>
        <v>390538.48325363314</v>
      </c>
      <c r="FV31" s="367">
        <v>18</v>
      </c>
      <c r="FW31" s="403" t="s">
        <v>286</v>
      </c>
      <c r="FX31" s="385">
        <f>FIT_G</f>
        <v>0.21</v>
      </c>
      <c r="FY31" s="678">
        <f>-FY29*$FX$31</f>
        <v>-721784.93048225553</v>
      </c>
      <c r="FZ31" s="678">
        <f>-FZ29*$FX$31</f>
        <v>-583400.43263927253</v>
      </c>
      <c r="GA31" s="678">
        <f>-GA29*$FX$31</f>
        <v>138384.49784298302</v>
      </c>
      <c r="GB31" s="678">
        <f>-GB29*$FX$31</f>
        <v>-547737.2064058861</v>
      </c>
      <c r="GC31" s="678">
        <f>-GC29*$FX$31</f>
        <v>35663.226233386464</v>
      </c>
      <c r="GD31" s="377">
        <f t="shared" si="23"/>
        <v>18</v>
      </c>
      <c r="GE31" s="399" t="s">
        <v>285</v>
      </c>
      <c r="GF31" s="399"/>
      <c r="GG31" s="244">
        <v>0</v>
      </c>
      <c r="GH31" s="244">
        <v>0</v>
      </c>
      <c r="GI31" s="244">
        <v>0</v>
      </c>
      <c r="GJ31" s="244">
        <v>3443207.0781477471</v>
      </c>
      <c r="GK31" s="244">
        <f>+GJ31-GI31</f>
        <v>3443207.0781477471</v>
      </c>
      <c r="HR31" s="767"/>
    </row>
    <row r="32" spans="1:236" ht="15" thickTop="1" thickBot="1">
      <c r="A32" s="756">
        <f t="shared" si="7"/>
        <v>19</v>
      </c>
      <c r="B32" s="771"/>
      <c r="C32" s="464"/>
      <c r="D32" s="548"/>
      <c r="E32" s="548"/>
      <c r="F32" s="548"/>
      <c r="G32" s="548"/>
      <c r="H32" s="548"/>
      <c r="I32" s="314">
        <f t="shared" si="8"/>
        <v>19</v>
      </c>
      <c r="J32" s="247" t="s">
        <v>249</v>
      </c>
      <c r="K32" s="298"/>
      <c r="L32" s="1110">
        <f>L29-L31</f>
        <v>3270711.6539661693</v>
      </c>
      <c r="M32" s="1110">
        <f>M29-M31</f>
        <v>3302666.7576315999</v>
      </c>
      <c r="N32" s="1110">
        <f>N29-N31</f>
        <v>31955.103665430317</v>
      </c>
      <c r="O32" s="1110">
        <f>O29-O31</f>
        <v>16675719.629709627</v>
      </c>
      <c r="P32" s="1110">
        <f>P29-P31</f>
        <v>13373052.872078026</v>
      </c>
      <c r="AG32" s="756">
        <f t="shared" si="0"/>
        <v>20</v>
      </c>
      <c r="AH32" s="273"/>
      <c r="AI32" s="273"/>
      <c r="AJ32" s="273"/>
      <c r="AK32" s="273"/>
      <c r="AL32" s="273"/>
      <c r="AM32" s="273"/>
      <c r="AN32" s="273"/>
      <c r="AW32" s="779"/>
      <c r="AX32" s="779"/>
      <c r="AY32" s="779"/>
      <c r="AZ32" s="508"/>
      <c r="BA32" s="694"/>
      <c r="BB32" s="694"/>
      <c r="BC32" s="694"/>
      <c r="BD32" s="694"/>
      <c r="DB32" s="302"/>
      <c r="DR32" s="367">
        <f t="shared" si="16"/>
        <v>19</v>
      </c>
      <c r="DS32" s="400" t="s">
        <v>252</v>
      </c>
      <c r="DT32" s="405">
        <f>+FIT_G</f>
        <v>0.21</v>
      </c>
      <c r="DU32" s="404">
        <f>-DU30*$DT$32</f>
        <v>-650148.32120036811</v>
      </c>
      <c r="DV32" s="404">
        <f>-DV30*$DT$32</f>
        <v>-651262.22142827872</v>
      </c>
      <c r="DW32" s="404">
        <f>-DW30*$DT$32</f>
        <v>-1113.9002279105969</v>
      </c>
      <c r="DX32" s="404">
        <f>-DX30*$DT$32</f>
        <v>-675944.82564465667</v>
      </c>
      <c r="DY32" s="404">
        <f>-DY30*$DT$32</f>
        <v>-24682.604216377938</v>
      </c>
      <c r="EH32" s="233"/>
      <c r="EP32" s="767"/>
      <c r="ER32" s="767"/>
      <c r="ES32" s="234"/>
      <c r="ET32" s="234"/>
      <c r="EU32" s="234"/>
      <c r="EV32" s="234"/>
      <c r="EW32" s="234"/>
      <c r="EX32" s="230"/>
      <c r="FN32" s="233">
        <f t="shared" si="20"/>
        <v>19</v>
      </c>
      <c r="FO32" s="399" t="s">
        <v>279</v>
      </c>
      <c r="FP32" s="399"/>
      <c r="FQ32" s="244">
        <v>0</v>
      </c>
      <c r="FR32" s="244">
        <v>0</v>
      </c>
      <c r="FS32" s="244">
        <v>0</v>
      </c>
      <c r="FT32" s="244">
        <v>1675353.5831628193</v>
      </c>
      <c r="FU32" s="244">
        <f>+FT32-FS32</f>
        <v>1675353.5831628193</v>
      </c>
      <c r="FV32" s="367">
        <v>19</v>
      </c>
      <c r="FW32" s="403" t="s">
        <v>281</v>
      </c>
      <c r="FX32" s="403"/>
      <c r="FY32" s="1130">
        <f>-FY29-FY31</f>
        <v>-2715286.1670522951</v>
      </c>
      <c r="FZ32" s="1130">
        <f>-FZ29-FZ31</f>
        <v>-2194696.8656429779</v>
      </c>
      <c r="GA32" s="1130">
        <f>-GA29-GA31</f>
        <v>520589.30140931718</v>
      </c>
      <c r="GB32" s="1130">
        <f>-GB29-GB31</f>
        <v>-2060535.2050507143</v>
      </c>
      <c r="GC32" s="1130">
        <f>-GC29-GC31</f>
        <v>134161.66059226336</v>
      </c>
      <c r="GD32" s="377">
        <f t="shared" si="23"/>
        <v>19</v>
      </c>
      <c r="GE32" s="399" t="s">
        <v>280</v>
      </c>
      <c r="GF32" s="399"/>
      <c r="GG32" s="244">
        <v>0</v>
      </c>
      <c r="GH32" s="244">
        <v>0</v>
      </c>
      <c r="GI32" s="244">
        <v>0</v>
      </c>
      <c r="GJ32" s="244">
        <v>100694.67691519663</v>
      </c>
      <c r="GK32" s="244">
        <f>+GJ32-GI32</f>
        <v>100694.67691519663</v>
      </c>
      <c r="HR32" s="767"/>
    </row>
    <row r="33" spans="1:226" ht="14.4" thickBot="1">
      <c r="A33" s="756">
        <f t="shared" si="7"/>
        <v>20</v>
      </c>
      <c r="B33" s="778" t="s">
        <v>660</v>
      </c>
      <c r="C33" s="590"/>
      <c r="D33" s="1298" t="s">
        <v>272</v>
      </c>
      <c r="E33" s="548"/>
      <c r="F33" s="548"/>
      <c r="G33" s="1290" t="s">
        <v>272</v>
      </c>
      <c r="H33" s="548"/>
      <c r="I33" s="767"/>
      <c r="J33" s="230"/>
      <c r="AG33" s="756">
        <f t="shared" si="0"/>
        <v>21</v>
      </c>
      <c r="AH33" s="777" t="s">
        <v>274</v>
      </c>
      <c r="AI33" s="760"/>
      <c r="AJ33" s="760"/>
      <c r="AK33" s="760"/>
      <c r="AL33" s="760"/>
      <c r="AM33" s="760"/>
      <c r="AN33" s="760"/>
      <c r="AW33" s="527"/>
      <c r="AX33" s="527"/>
      <c r="AY33" s="527"/>
      <c r="AZ33" s="776"/>
      <c r="BA33" s="776"/>
      <c r="BB33" s="776"/>
      <c r="BC33" s="776"/>
      <c r="BD33" s="776"/>
      <c r="DO33" s="698"/>
      <c r="DP33" s="276"/>
      <c r="DQ33" s="698"/>
      <c r="DR33" s="367">
        <f t="shared" si="16"/>
        <v>20</v>
      </c>
      <c r="DS33" s="400"/>
      <c r="DT33" s="397"/>
      <c r="DU33" s="1099"/>
      <c r="DV33" s="1099"/>
      <c r="DW33" s="1099"/>
      <c r="DX33" s="1099"/>
      <c r="DY33" s="1099"/>
      <c r="ES33" s="234"/>
      <c r="ET33" s="234"/>
      <c r="EU33" s="234"/>
      <c r="EV33" s="234"/>
      <c r="EW33" s="234"/>
      <c r="EX33" s="230"/>
      <c r="FN33" s="233">
        <f t="shared" si="20"/>
        <v>20</v>
      </c>
      <c r="FO33" s="399" t="s">
        <v>277</v>
      </c>
      <c r="FP33" s="399"/>
      <c r="FQ33" s="1126">
        <f>SUM(FQ29:FQ32)</f>
        <v>0</v>
      </c>
      <c r="FR33" s="1126">
        <f>SUM(FR29:FR32)</f>
        <v>0</v>
      </c>
      <c r="FS33" s="1126">
        <f>SUM(FS29:FS32)</f>
        <v>0</v>
      </c>
      <c r="FT33" s="1126">
        <f>SUM(FT29:FT32)</f>
        <v>2674554.9007245582</v>
      </c>
      <c r="FU33" s="1126">
        <f>SUM(FU29:FU32)</f>
        <v>2674554.9007245582</v>
      </c>
      <c r="GD33" s="377">
        <f t="shared" si="23"/>
        <v>20</v>
      </c>
      <c r="GE33" s="399" t="s">
        <v>277</v>
      </c>
      <c r="GF33" s="399"/>
      <c r="GG33" s="353">
        <f>SUM(GG30:GG32)</f>
        <v>0</v>
      </c>
      <c r="GH33" s="353">
        <f>SUM(GH30:GH32)</f>
        <v>0</v>
      </c>
      <c r="GI33" s="353">
        <f>SUM(GI30:GI32)</f>
        <v>0</v>
      </c>
      <c r="GJ33" s="353">
        <f>SUM(GJ30:GJ32)</f>
        <v>6225058.7605355596</v>
      </c>
      <c r="GK33" s="353">
        <f>SUM(GK30:GK32)</f>
        <v>6225058.7605355596</v>
      </c>
      <c r="HR33" s="767"/>
    </row>
    <row r="34" spans="1:226" ht="16.8" thickTop="1" thickBot="1">
      <c r="A34" s="756">
        <f t="shared" si="7"/>
        <v>21</v>
      </c>
      <c r="B34" s="774" t="s">
        <v>344</v>
      </c>
      <c r="C34" s="590"/>
      <c r="D34" s="1298"/>
      <c r="E34" s="775"/>
      <c r="F34" s="548">
        <v>-5257549.66233325</v>
      </c>
      <c r="G34" s="1290"/>
      <c r="H34" s="772">
        <v>0</v>
      </c>
      <c r="I34" s="767"/>
      <c r="AG34" s="756">
        <f t="shared" si="0"/>
        <v>22</v>
      </c>
      <c r="AH34" s="366" t="s">
        <v>266</v>
      </c>
      <c r="AI34" s="765"/>
      <c r="AJ34" s="348">
        <v>4799234.8600000003</v>
      </c>
      <c r="AK34" s="354">
        <v>0</v>
      </c>
      <c r="AL34" s="760">
        <f t="shared" ref="AL34:AL40" si="43">AK34-AJ34</f>
        <v>-4799234.8600000003</v>
      </c>
      <c r="AM34" s="354">
        <f t="shared" ref="AM34:AM40" si="44">AK34</f>
        <v>0</v>
      </c>
      <c r="AN34" s="354">
        <f t="shared" ref="AN34:AN40" si="45">+AM34-AK34</f>
        <v>0</v>
      </c>
      <c r="AW34" s="527"/>
      <c r="AX34" s="527"/>
      <c r="AY34" s="527"/>
      <c r="AZ34" s="527"/>
      <c r="BA34" s="527"/>
      <c r="BB34" s="527"/>
      <c r="BC34" s="527"/>
      <c r="BD34" s="527"/>
      <c r="DO34" s="698"/>
      <c r="DP34" s="276"/>
      <c r="DQ34" s="698"/>
      <c r="DR34" s="367">
        <f t="shared" si="16"/>
        <v>21</v>
      </c>
      <c r="DS34" s="397" t="s">
        <v>249</v>
      </c>
      <c r="DT34" s="397"/>
      <c r="DU34" s="614">
        <f>-DU30-DU32</f>
        <v>-2445796.0654680519</v>
      </c>
      <c r="DV34" s="614">
        <f>-DV30-DV32</f>
        <v>-2449986.4520397154</v>
      </c>
      <c r="DW34" s="614">
        <f>-DW30-DW32</f>
        <v>-4190.3865716636737</v>
      </c>
      <c r="DX34" s="614">
        <f>-DX30-DX32</f>
        <v>-2542840.0583775183</v>
      </c>
      <c r="DY34" s="614">
        <f>-DY30-DY32</f>
        <v>-92853.606337802732</v>
      </c>
      <c r="EX34" s="230"/>
      <c r="FN34" s="233">
        <f t="shared" si="20"/>
        <v>21</v>
      </c>
      <c r="FO34" s="395" t="s">
        <v>172</v>
      </c>
      <c r="FP34" s="395"/>
      <c r="FQ34" s="1128"/>
      <c r="FR34" s="1128"/>
      <c r="FS34" s="1128"/>
      <c r="FT34" s="1128"/>
      <c r="FU34" s="1128"/>
      <c r="GD34" s="377">
        <f t="shared" si="23"/>
        <v>21</v>
      </c>
      <c r="GE34" s="399" t="s">
        <v>276</v>
      </c>
      <c r="GF34" s="393">
        <v>0.66190000000000004</v>
      </c>
      <c r="GG34" s="392"/>
      <c r="GH34" s="392"/>
      <c r="GI34" s="392"/>
      <c r="GJ34" s="392"/>
      <c r="GK34" s="392"/>
      <c r="HR34" s="767"/>
    </row>
    <row r="35" spans="1:226" ht="16.5" customHeight="1" thickTop="1">
      <c r="A35" s="756">
        <f t="shared" si="7"/>
        <v>22</v>
      </c>
      <c r="B35" s="774" t="s">
        <v>659</v>
      </c>
      <c r="C35" s="466"/>
      <c r="D35" s="1299"/>
      <c r="E35" s="773"/>
      <c r="F35" s="244">
        <v>-38339579.111994386</v>
      </c>
      <c r="G35" s="1291"/>
      <c r="H35" s="772">
        <v>0</v>
      </c>
      <c r="AG35" s="756">
        <f t="shared" si="0"/>
        <v>23</v>
      </c>
      <c r="AH35" s="366" t="s">
        <v>658</v>
      </c>
      <c r="AI35" s="765"/>
      <c r="AJ35" s="348">
        <v>14625833.34</v>
      </c>
      <c r="AK35" s="354">
        <v>0</v>
      </c>
      <c r="AL35" s="760">
        <f t="shared" si="43"/>
        <v>-14625833.34</v>
      </c>
      <c r="AM35" s="354">
        <f t="shared" si="44"/>
        <v>0</v>
      </c>
      <c r="AN35" s="354">
        <f t="shared" si="45"/>
        <v>0</v>
      </c>
      <c r="AW35" s="527"/>
      <c r="AX35" s="527"/>
      <c r="AY35" s="527"/>
      <c r="AZ35" s="527"/>
      <c r="BA35" s="527"/>
      <c r="BB35" s="527"/>
      <c r="BC35" s="527"/>
      <c r="BD35" s="527"/>
      <c r="DO35" s="698"/>
      <c r="DP35" s="276"/>
      <c r="DQ35" s="698"/>
      <c r="EX35" s="230"/>
      <c r="FN35" s="233">
        <f t="shared" si="20"/>
        <v>22</v>
      </c>
      <c r="FO35" s="379" t="s">
        <v>275</v>
      </c>
      <c r="FP35" s="379"/>
      <c r="FQ35" s="244">
        <v>0</v>
      </c>
      <c r="FR35" s="244">
        <v>0</v>
      </c>
      <c r="FS35" s="244">
        <v>0</v>
      </c>
      <c r="FT35" s="244">
        <f>+FT33</f>
        <v>2674554.9007245582</v>
      </c>
      <c r="FU35" s="244">
        <f>FU33</f>
        <v>2674554.9007245582</v>
      </c>
      <c r="GD35" s="377">
        <f t="shared" si="23"/>
        <v>22</v>
      </c>
      <c r="GE35" s="379" t="s">
        <v>275</v>
      </c>
      <c r="GF35" s="379"/>
      <c r="GG35" s="244">
        <v>0</v>
      </c>
      <c r="GH35" s="244">
        <v>0</v>
      </c>
      <c r="GI35" s="244">
        <v>0</v>
      </c>
      <c r="GJ35" s="244">
        <f>GJ33</f>
        <v>6225058.7605355596</v>
      </c>
      <c r="GK35" s="274">
        <f>+GJ35-GI35</f>
        <v>6225058.7605355596</v>
      </c>
      <c r="HR35" s="767"/>
    </row>
    <row r="36" spans="1:226">
      <c r="A36" s="756">
        <f t="shared" si="7"/>
        <v>23</v>
      </c>
      <c r="B36" s="771" t="s">
        <v>657</v>
      </c>
      <c r="C36" s="464"/>
      <c r="D36" s="770"/>
      <c r="E36" s="770"/>
      <c r="F36" s="770">
        <f>SUM(F34:F35)</f>
        <v>-43597128.774327636</v>
      </c>
      <c r="G36" s="770"/>
      <c r="H36" s="770">
        <f>SUM(H34:H35)</f>
        <v>0</v>
      </c>
      <c r="AG36" s="756">
        <f t="shared" si="0"/>
        <v>24</v>
      </c>
      <c r="AH36" s="366" t="s">
        <v>269</v>
      </c>
      <c r="AI36" s="765"/>
      <c r="AJ36" s="348">
        <v>21844083.23184</v>
      </c>
      <c r="AK36" s="354">
        <v>0</v>
      </c>
      <c r="AL36" s="760">
        <f t="shared" si="43"/>
        <v>-21844083.23184</v>
      </c>
      <c r="AM36" s="354">
        <f t="shared" si="44"/>
        <v>0</v>
      </c>
      <c r="AN36" s="354">
        <f t="shared" si="45"/>
        <v>0</v>
      </c>
      <c r="AW36" s="527"/>
      <c r="AX36" s="527"/>
      <c r="AY36" s="527"/>
      <c r="AZ36" s="527"/>
      <c r="BA36" s="527"/>
      <c r="BB36" s="527"/>
      <c r="BC36" s="527"/>
      <c r="BD36" s="527"/>
      <c r="DO36" s="698"/>
      <c r="DP36" s="276"/>
      <c r="DQ36" s="698"/>
      <c r="EX36" s="230"/>
      <c r="FN36" s="233">
        <f t="shared" si="20"/>
        <v>23</v>
      </c>
      <c r="FO36" s="379" t="s">
        <v>172</v>
      </c>
      <c r="FP36" s="379"/>
      <c r="FQ36" s="244"/>
      <c r="FR36" s="244"/>
      <c r="FS36" s="244"/>
      <c r="FT36" s="244"/>
      <c r="FU36" s="244"/>
      <c r="GD36" s="377">
        <f t="shared" si="23"/>
        <v>23</v>
      </c>
      <c r="GE36" s="379"/>
      <c r="GF36" s="379"/>
      <c r="GG36" s="244"/>
      <c r="GH36" s="244"/>
      <c r="GI36" s="244"/>
      <c r="GJ36" s="244"/>
      <c r="GK36" s="244"/>
      <c r="HR36" s="767"/>
    </row>
    <row r="37" spans="1:226">
      <c r="A37" s="756">
        <f t="shared" si="7"/>
        <v>24</v>
      </c>
      <c r="B37" s="759"/>
      <c r="C37" s="759"/>
      <c r="D37" s="759"/>
      <c r="E37" s="769"/>
      <c r="F37" s="769"/>
      <c r="G37" s="769"/>
      <c r="H37" s="348">
        <f>+'SEF-6G'!$AI$21</f>
        <v>0</v>
      </c>
      <c r="AG37" s="756">
        <f t="shared" si="0"/>
        <v>25</v>
      </c>
      <c r="AH37" s="366" t="s">
        <v>656</v>
      </c>
      <c r="AI37" s="765"/>
      <c r="AJ37" s="348">
        <v>-23502295.960000001</v>
      </c>
      <c r="AK37" s="354">
        <v>0</v>
      </c>
      <c r="AL37" s="760">
        <f t="shared" si="43"/>
        <v>23502295.960000001</v>
      </c>
      <c r="AM37" s="354">
        <f t="shared" si="44"/>
        <v>0</v>
      </c>
      <c r="AN37" s="354">
        <f t="shared" si="45"/>
        <v>0</v>
      </c>
      <c r="AW37" s="527"/>
      <c r="AX37" s="527"/>
      <c r="AY37" s="527"/>
      <c r="AZ37" s="527"/>
      <c r="BA37" s="527"/>
      <c r="BB37" s="527"/>
      <c r="BC37" s="527"/>
      <c r="BD37" s="527"/>
      <c r="DO37" s="698"/>
      <c r="DP37" s="276"/>
      <c r="DQ37" s="698"/>
      <c r="FN37" s="233">
        <f t="shared" si="20"/>
        <v>24</v>
      </c>
      <c r="FO37" s="379" t="s">
        <v>252</v>
      </c>
      <c r="FP37" s="385">
        <f>FIT_G</f>
        <v>0.21</v>
      </c>
      <c r="FQ37" s="384">
        <f t="shared" ref="FQ37:FS37" si="46">-FQ35*$FP$37</f>
        <v>0</v>
      </c>
      <c r="FR37" s="384">
        <f t="shared" si="46"/>
        <v>0</v>
      </c>
      <c r="FS37" s="384">
        <f t="shared" si="46"/>
        <v>0</v>
      </c>
      <c r="FT37" s="384">
        <f>-FT35*$FP$37</f>
        <v>-561656.52915215725</v>
      </c>
      <c r="FU37" s="384">
        <f>-FU35*$FP$37</f>
        <v>-561656.52915215725</v>
      </c>
      <c r="GD37" s="377">
        <f t="shared" si="23"/>
        <v>24</v>
      </c>
      <c r="GE37" s="379" t="s">
        <v>252</v>
      </c>
      <c r="GF37" s="385">
        <f>FIT_G</f>
        <v>0.21</v>
      </c>
      <c r="GG37" s="384">
        <f>-GG35*GC36</f>
        <v>0</v>
      </c>
      <c r="GH37" s="384">
        <f>-GH35*GD37</f>
        <v>0</v>
      </c>
      <c r="GI37" s="384">
        <v>0</v>
      </c>
      <c r="GJ37" s="384">
        <f>-GJ35*GF37</f>
        <v>-1307262.3397124675</v>
      </c>
      <c r="GK37" s="384">
        <f>+GJ37-GI37</f>
        <v>-1307262.3397124675</v>
      </c>
      <c r="HR37" s="767"/>
    </row>
    <row r="38" spans="1:226" ht="14.4" thickBot="1">
      <c r="A38" s="756">
        <f t="shared" si="7"/>
        <v>25</v>
      </c>
      <c r="B38" s="410" t="s">
        <v>262</v>
      </c>
      <c r="C38" s="766">
        <f>'SEF-3G'!$M$12</f>
        <v>5.1240000000000001E-3</v>
      </c>
      <c r="D38" s="759"/>
      <c r="E38" s="349"/>
      <c r="F38" s="348">
        <f>+$C38*F$31</f>
        <v>-227540.68508438917</v>
      </c>
      <c r="G38" s="349"/>
      <c r="H38" s="348">
        <f>+$C38*H$31</f>
        <v>-50235.68436852</v>
      </c>
      <c r="AG38" s="756">
        <f t="shared" si="0"/>
        <v>26</v>
      </c>
      <c r="AH38" s="366" t="s">
        <v>655</v>
      </c>
      <c r="AI38" s="765"/>
      <c r="AJ38" s="348">
        <v>12000</v>
      </c>
      <c r="AK38" s="354">
        <v>0</v>
      </c>
      <c r="AL38" s="760">
        <f t="shared" si="43"/>
        <v>-12000</v>
      </c>
      <c r="AM38" s="354">
        <f t="shared" si="44"/>
        <v>0</v>
      </c>
      <c r="AN38" s="354">
        <f t="shared" si="45"/>
        <v>0</v>
      </c>
      <c r="AW38" s="527"/>
      <c r="AX38" s="527"/>
      <c r="AY38" s="527"/>
      <c r="AZ38" s="527"/>
      <c r="BA38" s="527"/>
      <c r="BB38" s="527"/>
      <c r="BC38" s="527"/>
      <c r="BD38" s="527"/>
      <c r="DO38" s="698"/>
      <c r="DP38" s="276"/>
      <c r="DQ38" s="698"/>
      <c r="FN38" s="233">
        <f t="shared" si="20"/>
        <v>25</v>
      </c>
      <c r="FO38" s="379" t="s">
        <v>249</v>
      </c>
      <c r="FP38" s="379"/>
      <c r="FQ38" s="353">
        <f t="shared" ref="FQ38:FS38" si="47">-FQ35-FQ37</f>
        <v>0</v>
      </c>
      <c r="FR38" s="353">
        <f t="shared" si="47"/>
        <v>0</v>
      </c>
      <c r="FS38" s="353">
        <f t="shared" si="47"/>
        <v>0</v>
      </c>
      <c r="FT38" s="353">
        <f>-FT35-FT37</f>
        <v>-2112898.3715724009</v>
      </c>
      <c r="FU38" s="353">
        <f>-FU35-FU37</f>
        <v>-2112898.3715724009</v>
      </c>
      <c r="GD38" s="377">
        <f t="shared" si="23"/>
        <v>25</v>
      </c>
      <c r="GE38" s="379" t="s">
        <v>249</v>
      </c>
      <c r="GF38" s="379"/>
      <c r="GG38" s="378">
        <f>-GG35-GG37</f>
        <v>0</v>
      </c>
      <c r="GH38" s="378">
        <f>-GH35-GH37</f>
        <v>0</v>
      </c>
      <c r="GI38" s="378">
        <f>-GI35-GI37</f>
        <v>0</v>
      </c>
      <c r="GJ38" s="378">
        <f>-GJ35-GJ37</f>
        <v>-4917796.4208230916</v>
      </c>
      <c r="GK38" s="378">
        <f>-GK35-GK37</f>
        <v>-4917796.4208230916</v>
      </c>
      <c r="HR38" s="767"/>
    </row>
    <row r="39" spans="1:226" ht="14.4" thickTop="1">
      <c r="A39" s="756">
        <f t="shared" si="7"/>
        <v>26</v>
      </c>
      <c r="B39" s="410" t="s">
        <v>260</v>
      </c>
      <c r="C39" s="766">
        <f>'SEF-3G'!$M$13</f>
        <v>2E-3</v>
      </c>
      <c r="D39" s="759"/>
      <c r="E39" s="349"/>
      <c r="F39" s="348">
        <f>+$C39*F$31</f>
        <v>-88813.694412329889</v>
      </c>
      <c r="G39" s="349"/>
      <c r="H39" s="348">
        <f>+$C39*H$31</f>
        <v>-19607.995460000002</v>
      </c>
      <c r="AG39" s="756">
        <f t="shared" si="0"/>
        <v>27</v>
      </c>
      <c r="AH39" s="366" t="s">
        <v>654</v>
      </c>
      <c r="AI39" s="765"/>
      <c r="AJ39" s="348">
        <v>15721.66</v>
      </c>
      <c r="AK39" s="354">
        <v>0</v>
      </c>
      <c r="AL39" s="760">
        <f t="shared" si="43"/>
        <v>-15721.66</v>
      </c>
      <c r="AM39" s="354">
        <f t="shared" si="44"/>
        <v>0</v>
      </c>
      <c r="AN39" s="354">
        <f t="shared" si="45"/>
        <v>0</v>
      </c>
      <c r="AW39" s="527"/>
      <c r="AX39" s="527"/>
      <c r="AY39" s="527"/>
      <c r="AZ39" s="527"/>
      <c r="BA39" s="527"/>
      <c r="BB39" s="527"/>
      <c r="BC39" s="527"/>
      <c r="BD39" s="527"/>
      <c r="DO39" s="698"/>
      <c r="DP39" s="276"/>
      <c r="DQ39" s="698"/>
      <c r="FN39" s="233">
        <f t="shared" si="20"/>
        <v>26</v>
      </c>
      <c r="FO39" s="272" t="s">
        <v>172</v>
      </c>
      <c r="FP39" s="245"/>
      <c r="FQ39" s="245"/>
      <c r="FR39" s="245"/>
      <c r="FS39" s="245"/>
      <c r="FT39" s="245"/>
      <c r="FU39" s="245"/>
    </row>
    <row r="40" spans="1:226" ht="14.4">
      <c r="A40" s="756">
        <f t="shared" si="7"/>
        <v>27</v>
      </c>
      <c r="B40" s="410" t="s">
        <v>343</v>
      </c>
      <c r="C40" s="766">
        <f>'SEF-3G'!$M$14</f>
        <v>3.8323000000000003E-2</v>
      </c>
      <c r="D40" s="759"/>
      <c r="E40" s="349"/>
      <c r="F40" s="348">
        <f>+$C40*F$31</f>
        <v>-1701803.6054818591</v>
      </c>
      <c r="G40" s="349"/>
      <c r="H40" s="348">
        <f>+$C40*H$31</f>
        <v>-375718.60500679002</v>
      </c>
      <c r="AG40" s="756">
        <f>AG38+1</f>
        <v>27</v>
      </c>
      <c r="AH40" s="366" t="s">
        <v>653</v>
      </c>
      <c r="AI40" s="765"/>
      <c r="AJ40" s="348">
        <v>39993753.130000003</v>
      </c>
      <c r="AK40" s="354">
        <v>0</v>
      </c>
      <c r="AL40" s="764">
        <f t="shared" si="43"/>
        <v>-39993753.130000003</v>
      </c>
      <c r="AM40" s="354">
        <f t="shared" si="44"/>
        <v>0</v>
      </c>
      <c r="AN40" s="354">
        <f t="shared" si="45"/>
        <v>0</v>
      </c>
      <c r="AW40" s="527"/>
      <c r="AX40" s="527"/>
      <c r="AY40" s="527"/>
      <c r="AZ40" s="527"/>
      <c r="BA40" s="527"/>
      <c r="BB40" s="527"/>
      <c r="BC40" s="527"/>
      <c r="BD40" s="527"/>
      <c r="DO40" s="698"/>
      <c r="DP40" s="276"/>
      <c r="DQ40" s="698"/>
      <c r="FN40" s="233">
        <f t="shared" si="20"/>
        <v>27</v>
      </c>
      <c r="FO40" s="370" t="s">
        <v>265</v>
      </c>
      <c r="FP40" s="763"/>
      <c r="FQ40" s="763"/>
      <c r="FR40" s="763"/>
      <c r="FS40" s="245"/>
      <c r="FT40" s="245"/>
      <c r="FU40" s="245"/>
    </row>
    <row r="41" spans="1:226">
      <c r="A41" s="756">
        <f t="shared" si="7"/>
        <v>28</v>
      </c>
      <c r="B41" s="491" t="s">
        <v>652</v>
      </c>
      <c r="C41" s="491"/>
      <c r="D41" s="761"/>
      <c r="E41" s="375"/>
      <c r="F41" s="375">
        <f>SUM(F38:F40)</f>
        <v>-2018157.9849785781</v>
      </c>
      <c r="G41" s="375"/>
      <c r="H41" s="375">
        <f>SUM(H38:H40)</f>
        <v>-445562.28483531001</v>
      </c>
      <c r="AG41" s="756">
        <f>AG40+1</f>
        <v>28</v>
      </c>
      <c r="AH41" s="760" t="s">
        <v>298</v>
      </c>
      <c r="AI41" s="760"/>
      <c r="AJ41" s="375">
        <f>SUM(AJ34:AJ40)</f>
        <v>57788330.261840001</v>
      </c>
      <c r="AK41" s="762">
        <f>SUM(AK34:AK40)</f>
        <v>0</v>
      </c>
      <c r="AL41" s="760">
        <f>SUM(AL34:AL40)</f>
        <v>-57788330.261840001</v>
      </c>
      <c r="AM41" s="762">
        <f>SUM(AM34:AM40)</f>
        <v>0</v>
      </c>
      <c r="AN41" s="762">
        <f>SUM(AN34:AN40)</f>
        <v>0</v>
      </c>
      <c r="AO41" s="678"/>
      <c r="AW41" s="527"/>
      <c r="AX41" s="527"/>
      <c r="AY41" s="527"/>
      <c r="AZ41" s="527"/>
      <c r="BA41" s="527"/>
      <c r="BB41" s="527"/>
      <c r="BC41" s="527"/>
      <c r="BD41" s="527"/>
      <c r="DO41" s="698"/>
      <c r="DP41" s="276"/>
      <c r="DQ41" s="698"/>
      <c r="FN41" s="233">
        <f t="shared" si="20"/>
        <v>28</v>
      </c>
      <c r="FO41" s="370" t="s">
        <v>263</v>
      </c>
    </row>
    <row r="42" spans="1:226">
      <c r="A42" s="756">
        <f t="shared" si="7"/>
        <v>29</v>
      </c>
      <c r="B42" s="410"/>
      <c r="C42" s="410"/>
      <c r="D42" s="761"/>
      <c r="E42" s="371"/>
      <c r="F42" s="371"/>
      <c r="G42" s="371"/>
      <c r="H42" s="371"/>
      <c r="AG42" s="756">
        <f>AG41+1</f>
        <v>29</v>
      </c>
      <c r="AI42" s="273"/>
      <c r="AJ42" s="273"/>
      <c r="AK42" s="273"/>
      <c r="AL42" s="273"/>
      <c r="AM42" s="273"/>
      <c r="AN42" s="273"/>
      <c r="AW42" s="527"/>
      <c r="AX42" s="527"/>
      <c r="AY42" s="527"/>
      <c r="AZ42" s="527"/>
      <c r="BA42" s="527"/>
      <c r="BB42" s="527"/>
      <c r="BC42" s="527"/>
      <c r="BD42" s="527"/>
      <c r="DO42" s="698"/>
      <c r="DP42" s="276"/>
      <c r="DQ42" s="698"/>
      <c r="FN42" s="233">
        <f t="shared" si="20"/>
        <v>29</v>
      </c>
      <c r="FO42" s="370" t="s">
        <v>1431</v>
      </c>
    </row>
    <row r="43" spans="1:226">
      <c r="A43" s="756">
        <f t="shared" si="7"/>
        <v>30</v>
      </c>
      <c r="B43" s="410" t="s">
        <v>651</v>
      </c>
      <c r="C43" s="410"/>
      <c r="D43" s="464"/>
      <c r="E43" s="244"/>
      <c r="F43" s="244">
        <f>+F31-F36-F41</f>
        <v>1208439.5531412726</v>
      </c>
      <c r="G43" s="244"/>
      <c r="H43" s="244">
        <f>+H31-H36-H41</f>
        <v>-9358435.4451646898</v>
      </c>
      <c r="AG43" s="756">
        <f>AG42+1</f>
        <v>30</v>
      </c>
      <c r="AH43" s="255" t="s">
        <v>251</v>
      </c>
      <c r="AI43" s="255"/>
      <c r="AJ43" s="760">
        <f>+AJ25-AJ31-AJ41</f>
        <v>1787491.9567277953</v>
      </c>
      <c r="AK43" s="354">
        <f>+AK25-AK31-AK41</f>
        <v>0</v>
      </c>
      <c r="AL43" s="760">
        <f>+AL25-AL31-AL41</f>
        <v>-1787491.9567277953</v>
      </c>
      <c r="AM43" s="354">
        <f>AK43</f>
        <v>0</v>
      </c>
      <c r="AN43" s="354">
        <f>+AM43-AK43</f>
        <v>0</v>
      </c>
      <c r="AW43" s="527"/>
      <c r="AX43" s="527"/>
      <c r="AY43" s="527"/>
      <c r="AZ43" s="527"/>
      <c r="BA43" s="527"/>
      <c r="BB43" s="527"/>
      <c r="BC43" s="527"/>
      <c r="BD43" s="527"/>
      <c r="DO43" s="698"/>
      <c r="DP43" s="276"/>
      <c r="DQ43" s="698"/>
    </row>
    <row r="44" spans="1:226">
      <c r="A44" s="756">
        <f t="shared" si="7"/>
        <v>31</v>
      </c>
      <c r="B44" s="410" t="s">
        <v>252</v>
      </c>
      <c r="C44" s="361">
        <f>FIT_G</f>
        <v>0.21</v>
      </c>
      <c r="D44" s="759"/>
      <c r="E44" s="484"/>
      <c r="F44" s="484">
        <f>+$C$44*F43</f>
        <v>253772.30615966723</v>
      </c>
      <c r="G44" s="484"/>
      <c r="H44" s="484">
        <f>+$C$44*H43</f>
        <v>-1965271.4434845848</v>
      </c>
      <c r="AG44" s="756">
        <f>AG43+1</f>
        <v>31</v>
      </c>
      <c r="AH44" s="255" t="s">
        <v>650</v>
      </c>
      <c r="AI44" s="385">
        <f>FIT_G</f>
        <v>0.21</v>
      </c>
      <c r="AJ44" s="526">
        <f>AJ43*$AI$44</f>
        <v>375373.31091283698</v>
      </c>
      <c r="AK44" s="354">
        <f>AK43*$AI$44</f>
        <v>0</v>
      </c>
      <c r="AL44" s="526">
        <f>AL43*$AI$44</f>
        <v>-375373.31091283698</v>
      </c>
      <c r="AM44" s="354">
        <f>AK44</f>
        <v>0</v>
      </c>
      <c r="AN44" s="354">
        <f>+AM44-AK44</f>
        <v>0</v>
      </c>
      <c r="AW44" s="527"/>
      <c r="AX44" s="527"/>
      <c r="AY44" s="527"/>
      <c r="AZ44" s="527"/>
      <c r="BA44" s="527"/>
      <c r="BB44" s="527"/>
      <c r="BC44" s="527"/>
      <c r="BD44" s="527"/>
      <c r="DO44" s="698"/>
      <c r="DP44" s="276"/>
      <c r="DQ44" s="698"/>
    </row>
    <row r="45" spans="1:226" ht="14.4" thickBot="1">
      <c r="A45" s="756">
        <f t="shared" si="7"/>
        <v>32</v>
      </c>
      <c r="B45" s="410" t="s">
        <v>249</v>
      </c>
      <c r="C45" s="410"/>
      <c r="D45" s="464"/>
      <c r="E45" s="353"/>
      <c r="F45" s="353">
        <f>F43-F44</f>
        <v>954667.24698160542</v>
      </c>
      <c r="G45" s="353"/>
      <c r="H45" s="353">
        <f>H43-H44</f>
        <v>-7393164.001680105</v>
      </c>
      <c r="AG45" s="756">
        <f>AG44+1</f>
        <v>32</v>
      </c>
      <c r="AH45" s="255" t="s">
        <v>249</v>
      </c>
      <c r="AI45" s="255"/>
      <c r="AJ45" s="396">
        <f>AJ43-AJ44</f>
        <v>1412118.6458149583</v>
      </c>
      <c r="AK45" s="396">
        <f>AK43-AK44</f>
        <v>0</v>
      </c>
      <c r="AL45" s="396">
        <f>AL43-AL44</f>
        <v>-1412118.6458149583</v>
      </c>
      <c r="AM45" s="396">
        <f>AM43-AM44</f>
        <v>0</v>
      </c>
      <c r="AN45" s="396">
        <f>AN43-AN44</f>
        <v>0</v>
      </c>
      <c r="AW45" s="527"/>
      <c r="AX45" s="527"/>
      <c r="AY45" s="527"/>
      <c r="AZ45" s="527"/>
      <c r="BA45" s="527"/>
      <c r="BB45" s="527"/>
      <c r="BC45" s="527"/>
      <c r="BD45" s="527"/>
      <c r="DO45" s="698"/>
      <c r="DP45" s="276"/>
      <c r="DQ45" s="698"/>
    </row>
    <row r="46" spans="1:226" ht="14.4" thickTop="1">
      <c r="A46" s="756">
        <f t="shared" si="7"/>
        <v>33</v>
      </c>
      <c r="B46" s="410"/>
      <c r="C46" s="464"/>
      <c r="D46" s="464"/>
      <c r="E46" s="464"/>
      <c r="F46" s="464"/>
      <c r="G46" s="364"/>
      <c r="AG46" s="756"/>
      <c r="AW46" s="527"/>
      <c r="AX46" s="527"/>
      <c r="AY46" s="527"/>
      <c r="AZ46" s="527"/>
      <c r="BA46" s="527"/>
      <c r="BB46" s="527"/>
      <c r="BC46" s="527"/>
      <c r="BD46" s="527"/>
      <c r="DO46" s="698"/>
      <c r="DP46" s="276"/>
      <c r="DQ46" s="698"/>
    </row>
    <row r="47" spans="1:226">
      <c r="A47" s="756">
        <f t="shared" si="7"/>
        <v>34</v>
      </c>
      <c r="B47" s="230" t="s">
        <v>1358</v>
      </c>
      <c r="C47" s="436"/>
      <c r="D47" s="436"/>
      <c r="E47" s="436"/>
      <c r="F47" s="436"/>
      <c r="G47" s="274"/>
      <c r="H47" s="758"/>
      <c r="AW47" s="527"/>
      <c r="AX47" s="527"/>
      <c r="AY47" s="527"/>
      <c r="AZ47" s="527"/>
      <c r="BA47" s="527"/>
      <c r="BB47" s="527"/>
      <c r="BC47" s="527"/>
      <c r="BD47" s="527"/>
      <c r="DO47" s="698"/>
      <c r="DP47" s="276"/>
      <c r="DQ47" s="698"/>
    </row>
    <row r="48" spans="1:226">
      <c r="A48" s="756">
        <f t="shared" si="7"/>
        <v>35</v>
      </c>
      <c r="B48" s="230" t="s">
        <v>1359</v>
      </c>
      <c r="C48" s="464"/>
      <c r="D48" s="464"/>
      <c r="E48" s="464"/>
      <c r="F48" s="464"/>
      <c r="G48" s="464"/>
      <c r="H48" s="757"/>
      <c r="AW48" s="527"/>
      <c r="AX48" s="527"/>
      <c r="AY48" s="527"/>
      <c r="AZ48" s="527"/>
      <c r="BA48" s="527"/>
      <c r="BB48" s="527"/>
      <c r="BC48" s="527"/>
      <c r="BD48" s="527"/>
      <c r="DO48" s="698"/>
      <c r="DP48" s="276"/>
      <c r="DQ48" s="698"/>
    </row>
    <row r="49" spans="1:121">
      <c r="A49" s="756"/>
      <c r="B49" s="245"/>
      <c r="C49" s="753"/>
      <c r="D49" s="753"/>
      <c r="E49" s="753"/>
      <c r="F49" s="753"/>
      <c r="G49" s="753"/>
      <c r="H49" s="753"/>
      <c r="AW49" s="527"/>
      <c r="AX49" s="527"/>
      <c r="AY49" s="527"/>
      <c r="AZ49" s="527"/>
      <c r="BA49" s="527"/>
      <c r="BB49" s="527"/>
      <c r="BC49" s="527"/>
      <c r="BD49" s="527"/>
      <c r="DO49" s="698"/>
      <c r="DP49" s="276"/>
      <c r="DQ49" s="698"/>
    </row>
    <row r="50" spans="1:121">
      <c r="AW50" s="527"/>
      <c r="AX50" s="527"/>
      <c r="AY50" s="527"/>
      <c r="AZ50" s="527"/>
      <c r="BA50" s="527"/>
      <c r="BB50" s="527"/>
      <c r="BC50" s="527"/>
      <c r="BD50" s="527"/>
    </row>
    <row r="51" spans="1:121">
      <c r="I51" s="756"/>
      <c r="J51" s="245"/>
      <c r="K51" s="753"/>
      <c r="L51" s="753"/>
      <c r="M51" s="753"/>
      <c r="N51" s="753"/>
      <c r="O51" s="753"/>
      <c r="P51" s="753"/>
      <c r="AW51" s="527"/>
      <c r="AX51" s="527"/>
      <c r="AY51" s="527"/>
      <c r="AZ51" s="527"/>
      <c r="BA51" s="527"/>
      <c r="BB51" s="527"/>
      <c r="BC51" s="527"/>
      <c r="BD51" s="527"/>
    </row>
    <row r="52" spans="1:121">
      <c r="I52" s="756"/>
      <c r="J52" s="245"/>
      <c r="K52" s="245"/>
      <c r="L52" s="245"/>
      <c r="M52" s="245"/>
      <c r="N52" s="245"/>
      <c r="O52" s="245"/>
      <c r="P52" s="245"/>
      <c r="AW52" s="527"/>
      <c r="AX52" s="527"/>
      <c r="AY52" s="527"/>
      <c r="AZ52" s="527"/>
      <c r="BA52" s="527"/>
      <c r="BB52" s="527"/>
      <c r="BC52" s="527"/>
      <c r="BD52" s="527"/>
    </row>
    <row r="53" spans="1:121">
      <c r="I53" s="756"/>
      <c r="J53" s="245"/>
      <c r="K53" s="753"/>
      <c r="L53" s="753"/>
      <c r="M53" s="753"/>
      <c r="N53" s="753"/>
      <c r="O53" s="753"/>
      <c r="P53" s="753"/>
      <c r="AW53" s="527"/>
      <c r="AX53" s="527"/>
      <c r="AY53" s="527"/>
      <c r="AZ53" s="527"/>
      <c r="BA53" s="527"/>
      <c r="BB53" s="527"/>
      <c r="BC53" s="527"/>
      <c r="BD53" s="527"/>
    </row>
    <row r="54" spans="1:121">
      <c r="I54" s="756"/>
      <c r="J54" s="245"/>
      <c r="K54" s="245"/>
      <c r="L54" s="245"/>
      <c r="M54" s="245"/>
      <c r="N54" s="245"/>
      <c r="O54" s="245"/>
      <c r="P54" s="245"/>
      <c r="AW54" s="527"/>
      <c r="AX54" s="527"/>
      <c r="AY54" s="527"/>
      <c r="AZ54" s="527"/>
      <c r="BA54" s="527"/>
      <c r="BB54" s="527"/>
      <c r="BC54" s="527"/>
      <c r="BD54" s="527"/>
    </row>
    <row r="55" spans="1:121">
      <c r="I55" s="756"/>
      <c r="J55" s="753"/>
      <c r="K55" s="753"/>
      <c r="L55" s="753"/>
      <c r="M55" s="753"/>
      <c r="N55" s="753"/>
      <c r="O55" s="753"/>
      <c r="P55" s="753"/>
      <c r="AW55" s="527"/>
      <c r="AX55" s="527"/>
      <c r="AY55" s="527"/>
      <c r="AZ55" s="527"/>
      <c r="BA55" s="527"/>
      <c r="BB55" s="527"/>
      <c r="BC55" s="527"/>
      <c r="BD55" s="527"/>
    </row>
    <row r="56" spans="1:121">
      <c r="I56" s="756"/>
      <c r="J56" s="753"/>
      <c r="K56" s="753"/>
      <c r="L56" s="753"/>
      <c r="M56" s="753"/>
      <c r="N56" s="753"/>
      <c r="O56" s="753"/>
      <c r="P56" s="753"/>
      <c r="AW56" s="527"/>
      <c r="AX56" s="527"/>
      <c r="AY56" s="527"/>
      <c r="AZ56" s="527"/>
      <c r="BA56" s="527"/>
      <c r="BB56" s="527"/>
      <c r="BC56" s="527"/>
      <c r="BD56" s="527"/>
    </row>
    <row r="57" spans="1:121">
      <c r="I57" s="756"/>
      <c r="J57" s="245"/>
      <c r="K57" s="245"/>
      <c r="L57" s="245"/>
      <c r="M57" s="245"/>
      <c r="N57" s="245"/>
      <c r="O57" s="245"/>
      <c r="P57" s="245"/>
      <c r="AW57" s="527"/>
      <c r="AX57" s="527"/>
      <c r="AY57" s="527"/>
      <c r="AZ57" s="527"/>
      <c r="BA57" s="527"/>
      <c r="BB57" s="527"/>
      <c r="BC57" s="527"/>
      <c r="BD57" s="527"/>
    </row>
    <row r="58" spans="1:121">
      <c r="I58" s="756"/>
      <c r="J58" s="753"/>
      <c r="K58" s="753"/>
      <c r="L58" s="753"/>
      <c r="M58" s="753"/>
      <c r="N58" s="753"/>
      <c r="O58" s="753"/>
      <c r="P58" s="753"/>
      <c r="AW58" s="527"/>
      <c r="AX58" s="527"/>
      <c r="AY58" s="527"/>
      <c r="AZ58" s="527"/>
      <c r="BA58" s="527"/>
      <c r="BB58" s="527"/>
      <c r="BC58" s="527"/>
      <c r="BD58" s="527"/>
    </row>
    <row r="59" spans="1:121">
      <c r="I59" s="756"/>
      <c r="J59" s="753"/>
      <c r="K59" s="753"/>
      <c r="L59" s="753"/>
      <c r="M59" s="753"/>
      <c r="N59" s="753"/>
      <c r="O59" s="753"/>
      <c r="P59" s="753"/>
      <c r="AW59" s="527"/>
      <c r="AX59" s="527"/>
      <c r="AY59" s="527"/>
      <c r="AZ59" s="527"/>
      <c r="BA59" s="527"/>
      <c r="BB59" s="527"/>
      <c r="BC59" s="527"/>
      <c r="BD59" s="527"/>
    </row>
    <row r="60" spans="1:121">
      <c r="I60" s="756"/>
      <c r="J60" s="245"/>
      <c r="K60" s="245"/>
      <c r="L60" s="245"/>
      <c r="M60" s="245"/>
      <c r="N60" s="245"/>
      <c r="O60" s="245"/>
      <c r="P60" s="245"/>
      <c r="AW60" s="527"/>
      <c r="AX60" s="527"/>
      <c r="AY60" s="527"/>
      <c r="AZ60" s="527"/>
      <c r="BA60" s="527"/>
      <c r="BB60" s="527"/>
      <c r="BC60" s="527"/>
      <c r="BD60" s="527"/>
    </row>
    <row r="61" spans="1:121">
      <c r="I61" s="755"/>
      <c r="J61" s="245"/>
      <c r="K61" s="245"/>
      <c r="L61" s="245"/>
      <c r="M61" s="245"/>
      <c r="N61" s="245"/>
      <c r="O61" s="245"/>
      <c r="P61" s="245"/>
      <c r="AW61" s="527"/>
      <c r="AX61" s="527"/>
      <c r="AY61" s="527"/>
      <c r="AZ61" s="527"/>
      <c r="BA61" s="527"/>
      <c r="BB61" s="527"/>
      <c r="BC61" s="527"/>
      <c r="BD61" s="527"/>
    </row>
    <row r="62" spans="1:121">
      <c r="I62" s="755"/>
      <c r="J62" s="753"/>
      <c r="K62" s="753"/>
      <c r="L62" s="753"/>
      <c r="M62" s="753"/>
      <c r="N62" s="753"/>
      <c r="O62" s="753"/>
      <c r="P62" s="753"/>
      <c r="AW62" s="527"/>
      <c r="AX62" s="527"/>
      <c r="AY62" s="527"/>
      <c r="AZ62" s="527"/>
      <c r="BA62" s="527"/>
      <c r="BB62" s="527"/>
      <c r="BC62" s="527"/>
      <c r="BD62" s="527"/>
    </row>
    <row r="63" spans="1:121">
      <c r="I63" s="754"/>
      <c r="J63" s="245"/>
      <c r="K63" s="245"/>
      <c r="L63" s="245"/>
      <c r="M63" s="245"/>
      <c r="N63" s="245"/>
      <c r="O63" s="245"/>
      <c r="P63" s="245"/>
      <c r="AW63" s="527"/>
      <c r="AX63" s="527"/>
      <c r="AY63" s="527"/>
      <c r="AZ63" s="527"/>
      <c r="BA63" s="527"/>
      <c r="BB63" s="527"/>
      <c r="BC63" s="527"/>
      <c r="BD63" s="527"/>
    </row>
    <row r="64" spans="1:121">
      <c r="I64" s="754"/>
      <c r="J64" s="753"/>
      <c r="K64" s="753"/>
      <c r="L64" s="753"/>
      <c r="M64" s="753"/>
      <c r="N64" s="753"/>
      <c r="O64" s="753"/>
      <c r="P64" s="753"/>
    </row>
    <row r="65" spans="9:16">
      <c r="I65" s="754"/>
      <c r="J65" s="245"/>
      <c r="K65" s="245"/>
      <c r="L65" s="245"/>
      <c r="M65" s="245"/>
      <c r="N65" s="245"/>
      <c r="O65" s="245"/>
      <c r="P65" s="245"/>
    </row>
    <row r="66" spans="9:16">
      <c r="I66" s="754"/>
      <c r="J66" s="753"/>
      <c r="K66" s="753"/>
      <c r="L66" s="753"/>
      <c r="M66" s="753"/>
      <c r="N66" s="753"/>
      <c r="O66" s="753"/>
      <c r="P66" s="753"/>
    </row>
    <row r="67" spans="9:16">
      <c r="I67" s="754"/>
      <c r="J67" s="753"/>
      <c r="K67" s="753"/>
      <c r="L67" s="753"/>
      <c r="M67" s="753"/>
      <c r="N67" s="753"/>
      <c r="O67" s="753"/>
      <c r="P67" s="753"/>
    </row>
    <row r="68" spans="9:16">
      <c r="I68" s="754"/>
      <c r="J68" s="753"/>
      <c r="K68" s="753"/>
      <c r="L68" s="753"/>
      <c r="M68" s="753"/>
      <c r="N68" s="753"/>
      <c r="O68" s="753"/>
      <c r="P68" s="753"/>
    </row>
    <row r="69" spans="9:16">
      <c r="I69" s="754"/>
      <c r="J69" s="753"/>
      <c r="K69" s="753"/>
      <c r="L69" s="753"/>
      <c r="M69" s="753"/>
      <c r="N69" s="753"/>
      <c r="O69" s="753"/>
      <c r="P69" s="753"/>
    </row>
    <row r="70" spans="9:16">
      <c r="I70" s="754"/>
      <c r="J70" s="753"/>
      <c r="K70" s="753"/>
      <c r="L70" s="753"/>
      <c r="M70" s="753"/>
      <c r="N70" s="753"/>
      <c r="O70" s="753"/>
      <c r="P70" s="753"/>
    </row>
    <row r="71" spans="9:16">
      <c r="I71" s="754"/>
      <c r="J71" s="753"/>
      <c r="K71" s="753"/>
      <c r="L71" s="753"/>
      <c r="M71" s="753"/>
      <c r="N71" s="753"/>
      <c r="O71" s="753"/>
      <c r="P71" s="753"/>
    </row>
    <row r="72" spans="9:16">
      <c r="I72" s="754"/>
      <c r="J72" s="753"/>
      <c r="K72" s="753"/>
      <c r="L72" s="753"/>
      <c r="M72" s="753"/>
      <c r="N72" s="753"/>
      <c r="O72" s="753"/>
      <c r="P72" s="753"/>
    </row>
    <row r="73" spans="9:16">
      <c r="I73" s="754"/>
      <c r="J73" s="753"/>
      <c r="K73" s="753"/>
      <c r="L73" s="753"/>
      <c r="M73" s="753"/>
      <c r="N73" s="753"/>
      <c r="O73" s="753"/>
      <c r="P73" s="753"/>
    </row>
    <row r="74" spans="9:16">
      <c r="I74" s="754"/>
      <c r="J74" s="753"/>
      <c r="K74" s="753"/>
      <c r="L74" s="753"/>
      <c r="M74" s="753"/>
      <c r="N74" s="753"/>
      <c r="O74" s="753"/>
      <c r="P74" s="753"/>
    </row>
    <row r="75" spans="9:16">
      <c r="I75" s="754"/>
      <c r="J75" s="753"/>
      <c r="K75" s="753"/>
      <c r="L75" s="753"/>
      <c r="M75" s="753"/>
      <c r="N75" s="753"/>
      <c r="O75" s="753"/>
      <c r="P75" s="753"/>
    </row>
    <row r="76" spans="9:16">
      <c r="I76" s="754"/>
      <c r="J76" s="753"/>
      <c r="K76" s="753"/>
      <c r="L76" s="753"/>
      <c r="M76" s="753"/>
      <c r="N76" s="753"/>
      <c r="O76" s="753"/>
      <c r="P76" s="753"/>
    </row>
    <row r="77" spans="9:16">
      <c r="I77" s="754"/>
      <c r="J77" s="753"/>
      <c r="K77" s="753"/>
      <c r="L77" s="753"/>
      <c r="M77" s="753"/>
      <c r="N77" s="753"/>
      <c r="O77" s="753"/>
      <c r="P77" s="753"/>
    </row>
  </sheetData>
  <mergeCells count="32">
    <mergeCell ref="D15:D19"/>
    <mergeCell ref="D23:D28"/>
    <mergeCell ref="G15:G19"/>
    <mergeCell ref="G23:G28"/>
    <mergeCell ref="G33:G35"/>
    <mergeCell ref="D33:D35"/>
    <mergeCell ref="HZ5:IG5"/>
    <mergeCell ref="HZ6:IG6"/>
    <mergeCell ref="HZ7:IG7"/>
    <mergeCell ref="HZ8:IG8"/>
    <mergeCell ref="FN5:FU5"/>
    <mergeCell ref="FN6:FU6"/>
    <mergeCell ref="FN7:FU7"/>
    <mergeCell ref="GL6:GS6"/>
    <mergeCell ref="GL7:GS7"/>
    <mergeCell ref="GL8:GS8"/>
    <mergeCell ref="GD5:GK5"/>
    <mergeCell ref="GD7:GK7"/>
    <mergeCell ref="GD8:GK8"/>
    <mergeCell ref="HB5:HI5"/>
    <mergeCell ref="HB6:HI6"/>
    <mergeCell ref="HB7:HI7"/>
    <mergeCell ref="HJ5:HQ5"/>
    <mergeCell ref="HJ6:HQ6"/>
    <mergeCell ref="HJ7:HQ7"/>
    <mergeCell ref="HJ8:HQ8"/>
    <mergeCell ref="EP5:EW5"/>
    <mergeCell ref="EP7:EW7"/>
    <mergeCell ref="EP8:EW8"/>
    <mergeCell ref="HB8:HI8"/>
    <mergeCell ref="FN8:FU8"/>
    <mergeCell ref="GL5:GS5"/>
  </mergeCells>
  <printOptions horizontalCentered="1"/>
  <pageMargins left="0.45" right="0.45" top="0.5" bottom="0.5" header="0.3" footer="0.3"/>
  <pageSetup scale="10" orientation="landscape" r:id="rId1"/>
  <customProperties>
    <customPr name="_pios_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  <pageSetUpPr fitToPage="1"/>
  </sheetPr>
  <dimension ref="A1:CL70"/>
  <sheetViews>
    <sheetView zoomScale="85" zoomScaleNormal="85" workbookViewId="0">
      <pane xSplit="1" ySplit="13" topLeftCell="B14" activePane="bottomRight" state="frozen"/>
      <selection activeCell="C4" sqref="C4"/>
      <selection pane="topRight" activeCell="C4" sqref="C4"/>
      <selection pane="bottomLeft" activeCell="C4" sqref="C4"/>
      <selection pane="bottomRight" activeCell="CX13" sqref="CX13"/>
    </sheetView>
  </sheetViews>
  <sheetFormatPr defaultColWidth="9.109375" defaultRowHeight="14.4" outlineLevelCol="1"/>
  <cols>
    <col min="1" max="1" width="5.33203125" style="230" bestFit="1" customWidth="1"/>
    <col min="2" max="2" width="56" style="230" bestFit="1" customWidth="1"/>
    <col min="3" max="3" width="8.6640625" style="250" bestFit="1" customWidth="1"/>
    <col min="4" max="6" width="15" style="250" customWidth="1"/>
    <col min="7" max="7" width="18.33203125" style="250" customWidth="1"/>
    <col min="8" max="8" width="17.6640625" style="230" customWidth="1"/>
    <col min="9" max="9" width="5.33203125" style="230" bestFit="1" customWidth="1"/>
    <col min="10" max="10" width="55.44140625" style="230" bestFit="1" customWidth="1"/>
    <col min="11" max="11" width="6.5546875" style="230" customWidth="1"/>
    <col min="12" max="13" width="12.88671875" style="230" bestFit="1" customWidth="1"/>
    <col min="14" max="15" width="11.44140625" style="230" customWidth="1"/>
    <col min="16" max="16" width="12.6640625" style="230" customWidth="1"/>
    <col min="17" max="17" width="6.44140625" style="230" customWidth="1"/>
    <col min="18" max="18" width="40.6640625" style="230" bestFit="1" customWidth="1"/>
    <col min="19" max="19" width="4.5546875" style="230" bestFit="1" customWidth="1"/>
    <col min="20" max="20" width="11.6640625" style="230" bestFit="1" customWidth="1"/>
    <col min="21" max="21" width="11.33203125" style="230" bestFit="1" customWidth="1"/>
    <col min="22" max="22" width="14.5546875" style="230" bestFit="1" customWidth="1"/>
    <col min="23" max="23" width="12.6640625" style="230" bestFit="1" customWidth="1"/>
    <col min="24" max="24" width="14.5546875" style="230" bestFit="1" customWidth="1"/>
    <col min="25" max="25" width="5.33203125" style="230" bestFit="1" customWidth="1"/>
    <col min="26" max="26" width="36.44140625" style="230" customWidth="1"/>
    <col min="27" max="27" width="7.44140625" style="230" customWidth="1"/>
    <col min="28" max="28" width="15" style="230" bestFit="1" customWidth="1"/>
    <col min="29" max="29" width="11.44140625" style="230" bestFit="1" customWidth="1"/>
    <col min="30" max="30" width="13.5546875" style="230" bestFit="1" customWidth="1"/>
    <col min="31" max="32" width="12.6640625" style="230" customWidth="1"/>
    <col min="33" max="33" width="5.44140625" style="230" bestFit="1" customWidth="1"/>
    <col min="34" max="34" width="48.109375" style="230" customWidth="1"/>
    <col min="35" max="35" width="4.5546875" style="230" bestFit="1" customWidth="1"/>
    <col min="36" max="37" width="13.44140625" style="230" customWidth="1"/>
    <col min="38" max="38" width="16" style="230" customWidth="1"/>
    <col min="39" max="39" width="13.44140625" style="230" customWidth="1"/>
    <col min="40" max="40" width="13.5546875" style="230" customWidth="1"/>
    <col min="41" max="41" width="9.109375" style="250"/>
    <col min="42" max="42" width="67.33203125" style="250" bestFit="1" customWidth="1"/>
    <col min="43" max="43" width="9" style="250" customWidth="1"/>
    <col min="44" max="48" width="14.5546875" style="250" customWidth="1"/>
    <col min="49" max="49" width="5" style="230" bestFit="1" customWidth="1"/>
    <col min="50" max="50" width="72.44140625" style="230" bestFit="1" customWidth="1"/>
    <col min="51" max="51" width="6" style="230" bestFit="1" customWidth="1"/>
    <col min="52" max="56" width="14.5546875" style="230" customWidth="1"/>
    <col min="57" max="57" width="5.44140625" style="230" bestFit="1" customWidth="1"/>
    <col min="58" max="58" width="37" style="230" bestFit="1" customWidth="1"/>
    <col min="59" max="59" width="4.5546875" style="230" bestFit="1" customWidth="1"/>
    <col min="60" max="64" width="14.5546875" style="230" customWidth="1"/>
    <col min="65" max="65" width="5.44140625" style="230" bestFit="1" customWidth="1"/>
    <col min="66" max="66" width="41.44140625" style="230" bestFit="1" customWidth="1"/>
    <col min="67" max="67" width="4.5546875" style="230" bestFit="1" customWidth="1"/>
    <col min="68" max="70" width="14.6640625" style="230" customWidth="1"/>
    <col min="71" max="72" width="14.5546875" style="230" customWidth="1"/>
    <col min="73" max="73" width="5.44140625" style="230" bestFit="1" customWidth="1"/>
    <col min="74" max="74" width="43.88671875" style="230" customWidth="1"/>
    <col min="75" max="75" width="7.44140625" style="230" customWidth="1"/>
    <col min="76" max="80" width="14.5546875" style="230" customWidth="1"/>
    <col min="81" max="81" width="5.44140625" style="230" hidden="1" customWidth="1" outlineLevel="1"/>
    <col min="82" max="82" width="52.6640625" style="230" hidden="1" customWidth="1" outlineLevel="1"/>
    <col min="83" max="83" width="8.6640625" style="230" hidden="1" customWidth="1" outlineLevel="1"/>
    <col min="84" max="85" width="11.5546875" style="230" hidden="1" customWidth="1" outlineLevel="1"/>
    <col min="86" max="86" width="14.109375" style="230" hidden="1" customWidth="1" outlineLevel="1"/>
    <col min="87" max="87" width="12" style="230" hidden="1" customWidth="1" outlineLevel="1"/>
    <col min="88" max="88" width="14.109375" style="230" hidden="1" customWidth="1" outlineLevel="1"/>
    <col min="89" max="89" width="9.109375" collapsed="1"/>
    <col min="91" max="16384" width="9.109375" style="230"/>
  </cols>
  <sheetData>
    <row r="1" spans="1:90" s="250" customFormat="1" ht="15" thickBot="1">
      <c r="A1" s="318"/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18"/>
      <c r="AQ1" s="318"/>
      <c r="AR1" s="318"/>
      <c r="AS1" s="318"/>
      <c r="AT1" s="318"/>
      <c r="AU1" s="318"/>
      <c r="AV1" s="318"/>
      <c r="AW1" s="318"/>
      <c r="AX1" s="318"/>
      <c r="AY1" s="318"/>
      <c r="AZ1" s="318"/>
      <c r="BA1" s="318"/>
      <c r="BB1" s="318"/>
      <c r="BC1" s="318"/>
      <c r="BD1" s="318"/>
      <c r="BE1" s="318"/>
      <c r="BF1" s="318"/>
      <c r="BG1" s="318"/>
      <c r="BH1" s="318"/>
      <c r="BI1" s="318"/>
      <c r="BJ1" s="318"/>
      <c r="BK1" s="318"/>
      <c r="BL1" s="318"/>
      <c r="BM1" s="318"/>
      <c r="BN1" s="318"/>
      <c r="BO1" s="318"/>
      <c r="BP1" s="318"/>
      <c r="BQ1" s="318"/>
      <c r="BR1" s="318"/>
      <c r="BS1" s="318"/>
      <c r="BT1" s="318"/>
      <c r="BU1" s="318"/>
      <c r="BV1" s="318"/>
      <c r="BW1" s="318"/>
      <c r="BX1" s="318"/>
      <c r="BY1" s="318"/>
      <c r="BZ1" s="318"/>
      <c r="CA1" s="318"/>
      <c r="CB1" s="318"/>
      <c r="CC1" s="318"/>
      <c r="CD1" s="318"/>
      <c r="CE1" s="318"/>
      <c r="CF1" s="318"/>
      <c r="CG1" s="318"/>
      <c r="CH1" s="318"/>
      <c r="CI1" s="318"/>
      <c r="CJ1" s="318"/>
      <c r="CK1" s="946"/>
      <c r="CL1" s="946"/>
    </row>
    <row r="2" spans="1:90">
      <c r="G2" s="611"/>
      <c r="H2" s="610" t="str">
        <f>DOCKETNUMBER_E</f>
        <v>UE-__________</v>
      </c>
      <c r="O2" s="611"/>
      <c r="P2" s="610" t="str">
        <f>DOCKETNUMBER_E</f>
        <v>UE-__________</v>
      </c>
      <c r="W2" s="611"/>
      <c r="X2" s="610" t="str">
        <f>DOCKETNUMBER_E</f>
        <v>UE-__________</v>
      </c>
      <c r="Y2" s="250"/>
      <c r="Z2" s="250"/>
      <c r="AA2" s="250"/>
      <c r="AB2" s="250"/>
      <c r="AE2" s="672"/>
      <c r="AF2" s="610" t="str">
        <f>DOCKETNUMBER_E</f>
        <v>UE-__________</v>
      </c>
      <c r="AM2" s="611"/>
      <c r="AN2" s="610" t="str">
        <f>DOCKETNUMBER_E</f>
        <v>UE-__________</v>
      </c>
      <c r="AU2" s="672"/>
      <c r="AV2" s="610" t="str">
        <f>DOCKETNUMBER_E</f>
        <v>UE-__________</v>
      </c>
      <c r="BC2" s="611"/>
      <c r="BD2" s="610" t="str">
        <f>DOCKETNUMBER_E</f>
        <v>UE-__________</v>
      </c>
      <c r="BK2" s="611"/>
      <c r="BL2" s="610" t="str">
        <f>DOCKETNUMBER_E</f>
        <v>UE-__________</v>
      </c>
      <c r="BS2" s="611"/>
      <c r="BT2" s="610" t="str">
        <f>DOCKETNUMBER_E</f>
        <v>UE-__________</v>
      </c>
      <c r="CA2" s="611"/>
      <c r="CB2" s="610" t="str">
        <f>DOCKETNUMBER_E</f>
        <v>UE-__________</v>
      </c>
      <c r="CI2" s="611"/>
      <c r="CJ2" s="610" t="str">
        <f>DOCKETNUMBER_E</f>
        <v>UE-__________</v>
      </c>
    </row>
    <row r="3" spans="1:90" ht="15" thickBot="1">
      <c r="G3" s="609"/>
      <c r="H3" s="608" t="s">
        <v>1465</v>
      </c>
      <c r="O3" s="609"/>
      <c r="P3" s="608" t="s">
        <v>1466</v>
      </c>
      <c r="W3" s="609"/>
      <c r="X3" s="608" t="s">
        <v>1467</v>
      </c>
      <c r="Y3" s="250"/>
      <c r="Z3" s="250"/>
      <c r="AA3" s="250"/>
      <c r="AB3" s="250"/>
      <c r="AE3" s="671"/>
      <c r="AF3" s="608" t="s">
        <v>1468</v>
      </c>
      <c r="AM3" s="609"/>
      <c r="AN3" s="608" t="s">
        <v>1469</v>
      </c>
      <c r="AU3" s="671"/>
      <c r="AV3" s="608" t="s">
        <v>1470</v>
      </c>
      <c r="BC3" s="609"/>
      <c r="BD3" s="608" t="s">
        <v>1471</v>
      </c>
      <c r="BE3" s="606"/>
      <c r="BF3" s="606"/>
      <c r="BG3" s="606"/>
      <c r="BH3" s="606"/>
      <c r="BI3" s="606"/>
      <c r="BJ3" s="606"/>
      <c r="BK3" s="609"/>
      <c r="BL3" s="608" t="s">
        <v>1472</v>
      </c>
      <c r="BS3" s="609"/>
      <c r="BT3" s="608" t="s">
        <v>1473</v>
      </c>
      <c r="CA3" s="609"/>
      <c r="CB3" s="608" t="s">
        <v>1490</v>
      </c>
      <c r="CI3" s="609"/>
      <c r="CJ3" s="608"/>
    </row>
    <row r="4" spans="1:90">
      <c r="Y4" s="250"/>
      <c r="Z4" s="250"/>
      <c r="AA4" s="250"/>
      <c r="AB4" s="250"/>
      <c r="AC4" s="250"/>
      <c r="AD4" s="250"/>
      <c r="AE4" s="250"/>
      <c r="AF4" s="250"/>
    </row>
    <row r="5" spans="1:90">
      <c r="A5" s="599"/>
      <c r="Y5" s="250"/>
      <c r="Z5" s="250"/>
      <c r="AA5" s="250"/>
      <c r="AB5" s="250"/>
      <c r="AC5" s="250"/>
      <c r="AD5" s="250"/>
      <c r="AE5" s="250"/>
      <c r="AF5" s="250"/>
      <c r="CC5" s="266" t="s">
        <v>32</v>
      </c>
      <c r="CD5" s="266"/>
      <c r="CE5" s="266"/>
      <c r="CF5" s="266"/>
      <c r="CG5" s="266"/>
      <c r="CH5" s="266"/>
      <c r="CI5" s="266"/>
      <c r="CJ5" s="266"/>
    </row>
    <row r="6" spans="1:90">
      <c r="B6" s="599" t="s">
        <v>596</v>
      </c>
      <c r="C6" s="667"/>
      <c r="D6" s="667"/>
      <c r="E6" s="667"/>
      <c r="F6" s="667"/>
      <c r="G6" s="667"/>
      <c r="H6" s="264"/>
      <c r="J6" s="599" t="s">
        <v>596</v>
      </c>
      <c r="K6" s="264"/>
      <c r="L6" s="264"/>
      <c r="M6" s="264"/>
      <c r="N6" s="264"/>
      <c r="O6" s="264"/>
      <c r="P6" s="264"/>
      <c r="R6" s="599" t="s">
        <v>596</v>
      </c>
      <c r="S6" s="264"/>
      <c r="T6" s="264"/>
      <c r="U6" s="264"/>
      <c r="V6" s="264"/>
      <c r="W6" s="264"/>
      <c r="X6" s="264"/>
      <c r="Y6" s="250"/>
      <c r="Z6" s="599" t="s">
        <v>596</v>
      </c>
      <c r="AA6" s="599"/>
      <c r="AB6" s="667"/>
      <c r="AC6" s="667"/>
      <c r="AD6" s="667"/>
      <c r="AE6" s="667"/>
      <c r="AF6" s="667"/>
      <c r="AG6" s="599" t="s">
        <v>596</v>
      </c>
      <c r="AH6" s="599"/>
      <c r="AI6" s="264"/>
      <c r="AJ6" s="264"/>
      <c r="AK6" s="264"/>
      <c r="AL6" s="264"/>
      <c r="AM6" s="264"/>
      <c r="AN6" s="264"/>
      <c r="AO6" s="599" t="s">
        <v>596</v>
      </c>
      <c r="AP6" s="667"/>
      <c r="AQ6" s="667"/>
      <c r="AR6" s="599"/>
      <c r="AS6" s="599"/>
      <c r="AT6" s="599"/>
      <c r="AU6" s="599"/>
      <c r="AV6" s="599"/>
      <c r="AW6" s="599" t="s">
        <v>596</v>
      </c>
      <c r="AX6" s="264"/>
      <c r="AY6" s="264"/>
      <c r="AZ6" s="264"/>
      <c r="BA6" s="264"/>
      <c r="BB6" s="264"/>
      <c r="BC6" s="264"/>
      <c r="BD6" s="264"/>
      <c r="BE6" s="599" t="s">
        <v>596</v>
      </c>
      <c r="BF6" s="264"/>
      <c r="BG6" s="264"/>
      <c r="BH6" s="264"/>
      <c r="BI6" s="264"/>
      <c r="BJ6" s="264"/>
      <c r="BK6" s="264"/>
      <c r="BL6" s="264"/>
      <c r="BM6" s="599" t="s">
        <v>596</v>
      </c>
      <c r="BN6" s="599"/>
      <c r="BO6" s="264"/>
      <c r="BP6" s="264"/>
      <c r="BQ6" s="264"/>
      <c r="BR6" s="264"/>
      <c r="BS6" s="264"/>
      <c r="BT6" s="264"/>
      <c r="BU6" s="599" t="s">
        <v>596</v>
      </c>
      <c r="BV6" s="599"/>
      <c r="BW6" s="264"/>
      <c r="BX6" s="264"/>
      <c r="BY6" s="264"/>
      <c r="BZ6" s="264"/>
      <c r="CA6" s="264"/>
      <c r="CB6" s="264"/>
      <c r="CC6" s="602" t="s">
        <v>158</v>
      </c>
      <c r="CD6" s="603"/>
      <c r="CE6" s="603"/>
      <c r="CF6" s="603"/>
      <c r="CG6" s="603"/>
      <c r="CH6" s="603"/>
      <c r="CI6" s="602"/>
      <c r="CJ6" s="603"/>
    </row>
    <row r="7" spans="1:90" s="340" customFormat="1">
      <c r="B7" s="602" t="s">
        <v>595</v>
      </c>
      <c r="C7" s="669"/>
      <c r="D7" s="669"/>
      <c r="E7" s="669"/>
      <c r="F7" s="669"/>
      <c r="G7" s="669"/>
      <c r="H7" s="668"/>
      <c r="J7" s="602" t="s">
        <v>594</v>
      </c>
      <c r="K7" s="668"/>
      <c r="L7" s="668"/>
      <c r="M7" s="668"/>
      <c r="N7" s="668"/>
      <c r="O7" s="668"/>
      <c r="P7" s="668"/>
      <c r="R7" s="602" t="s">
        <v>593</v>
      </c>
      <c r="S7" s="668"/>
      <c r="T7" s="668"/>
      <c r="U7" s="668"/>
      <c r="V7" s="668"/>
      <c r="W7" s="668"/>
      <c r="X7" s="668"/>
      <c r="Y7" s="670"/>
      <c r="Z7" s="602" t="s">
        <v>592</v>
      </c>
      <c r="AA7" s="602"/>
      <c r="AB7" s="669"/>
      <c r="AC7" s="669"/>
      <c r="AD7" s="669"/>
      <c r="AE7" s="669"/>
      <c r="AF7" s="669"/>
      <c r="AG7" s="604" t="s">
        <v>591</v>
      </c>
      <c r="AH7" s="604"/>
      <c r="AI7" s="668"/>
      <c r="AJ7" s="668"/>
      <c r="AK7" s="668"/>
      <c r="AL7" s="668"/>
      <c r="AM7" s="668"/>
      <c r="AN7" s="668"/>
      <c r="AO7" s="604" t="s">
        <v>590</v>
      </c>
      <c r="AP7" s="667"/>
      <c r="AQ7" s="667"/>
      <c r="AR7" s="599"/>
      <c r="AS7" s="599"/>
      <c r="AT7" s="599"/>
      <c r="AU7" s="599"/>
      <c r="AV7" s="599"/>
      <c r="AW7" s="604" t="s">
        <v>589</v>
      </c>
      <c r="AX7" s="668"/>
      <c r="AY7" s="668"/>
      <c r="AZ7" s="668"/>
      <c r="BA7" s="668"/>
      <c r="BB7" s="668"/>
      <c r="BC7" s="668"/>
      <c r="BD7" s="668"/>
      <c r="BE7" s="602" t="s">
        <v>588</v>
      </c>
      <c r="BF7" s="668"/>
      <c r="BG7" s="668"/>
      <c r="BH7" s="668"/>
      <c r="BI7" s="668"/>
      <c r="BJ7" s="668"/>
      <c r="BK7" s="668"/>
      <c r="BL7" s="668"/>
      <c r="BM7" s="602" t="s">
        <v>587</v>
      </c>
      <c r="BN7" s="602"/>
      <c r="BO7" s="668"/>
      <c r="BP7" s="668"/>
      <c r="BQ7" s="668"/>
      <c r="BR7" s="668"/>
      <c r="BS7" s="668"/>
      <c r="BT7" s="668"/>
      <c r="BU7" s="602" t="s">
        <v>586</v>
      </c>
      <c r="BV7" s="602"/>
      <c r="BW7" s="668"/>
      <c r="BX7" s="668"/>
      <c r="BY7" s="668"/>
      <c r="BZ7" s="668"/>
      <c r="CA7" s="668"/>
      <c r="CB7" s="668"/>
      <c r="CC7" s="266" t="s">
        <v>457</v>
      </c>
      <c r="CD7" s="266"/>
      <c r="CE7" s="266"/>
      <c r="CF7" s="266"/>
      <c r="CG7" s="266"/>
      <c r="CH7" s="266"/>
      <c r="CI7" s="266"/>
      <c r="CJ7" s="266"/>
      <c r="CK7"/>
      <c r="CL7"/>
    </row>
    <row r="8" spans="1:90">
      <c r="B8" s="599" t="str">
        <f>TESTYEAR_E</f>
        <v>12 MONTHS ENDED DECEMBER 31, 2018</v>
      </c>
      <c r="C8" s="667"/>
      <c r="D8" s="667"/>
      <c r="E8" s="667"/>
      <c r="F8" s="667"/>
      <c r="G8" s="667"/>
      <c r="H8" s="264"/>
      <c r="J8" s="599" t="str">
        <f>TESTYEAR_E</f>
        <v>12 MONTHS ENDED DECEMBER 31, 2018</v>
      </c>
      <c r="K8" s="264"/>
      <c r="L8" s="264"/>
      <c r="M8" s="264"/>
      <c r="N8" s="264"/>
      <c r="O8" s="264"/>
      <c r="P8" s="264"/>
      <c r="R8" s="599" t="str">
        <f>TESTYEAR_E</f>
        <v>12 MONTHS ENDED DECEMBER 31, 2018</v>
      </c>
      <c r="S8" s="264"/>
      <c r="T8" s="264"/>
      <c r="U8" s="264"/>
      <c r="V8" s="264"/>
      <c r="W8" s="264"/>
      <c r="X8" s="264"/>
      <c r="Y8" s="250"/>
      <c r="Z8" s="599" t="str">
        <f>TESTYEAR_E</f>
        <v>12 MONTHS ENDED DECEMBER 31, 2018</v>
      </c>
      <c r="AA8" s="599"/>
      <c r="AB8" s="667"/>
      <c r="AC8" s="667"/>
      <c r="AD8" s="667"/>
      <c r="AE8" s="667"/>
      <c r="AF8" s="667"/>
      <c r="AG8" s="599" t="str">
        <f>TESTYEAR_E</f>
        <v>12 MONTHS ENDED DECEMBER 31, 2018</v>
      </c>
      <c r="AH8" s="599"/>
      <c r="AI8" s="264"/>
      <c r="AJ8" s="264"/>
      <c r="AK8" s="264"/>
      <c r="AL8" s="264"/>
      <c r="AM8" s="264"/>
      <c r="AN8" s="264"/>
      <c r="AO8" s="599" t="str">
        <f>TESTYEAR_E</f>
        <v>12 MONTHS ENDED DECEMBER 31, 2018</v>
      </c>
      <c r="AP8" s="667"/>
      <c r="AQ8" s="667"/>
      <c r="AR8" s="599"/>
      <c r="AS8" s="599"/>
      <c r="AT8" s="599"/>
      <c r="AU8" s="599"/>
      <c r="AV8" s="599"/>
      <c r="AW8" s="599" t="str">
        <f>TESTYEAR_E</f>
        <v>12 MONTHS ENDED DECEMBER 31, 2018</v>
      </c>
      <c r="AX8" s="264"/>
      <c r="AY8" s="264"/>
      <c r="AZ8" s="264"/>
      <c r="BA8" s="264"/>
      <c r="BB8" s="264"/>
      <c r="BC8" s="264"/>
      <c r="BD8" s="264"/>
      <c r="BE8" s="599" t="str">
        <f>TESTYEAR_E</f>
        <v>12 MONTHS ENDED DECEMBER 31, 2018</v>
      </c>
      <c r="BF8" s="264"/>
      <c r="BG8" s="264"/>
      <c r="BH8" s="264"/>
      <c r="BI8" s="264"/>
      <c r="BJ8" s="264"/>
      <c r="BK8" s="264"/>
      <c r="BL8" s="264"/>
      <c r="BM8" s="599" t="str">
        <f>TESTYEAR_E</f>
        <v>12 MONTHS ENDED DECEMBER 31, 2018</v>
      </c>
      <c r="BN8" s="599"/>
      <c r="BO8" s="264"/>
      <c r="BP8" s="264"/>
      <c r="BQ8" s="264"/>
      <c r="BR8" s="264"/>
      <c r="BS8" s="264"/>
      <c r="BT8" s="264"/>
      <c r="BU8" s="599" t="str">
        <f>TESTYEAR_E</f>
        <v>12 MONTHS ENDED DECEMBER 31, 2018</v>
      </c>
      <c r="BV8" s="599"/>
      <c r="BW8" s="264"/>
      <c r="BX8" s="264"/>
      <c r="BY8" s="264"/>
      <c r="BZ8" s="264"/>
      <c r="CA8" s="264"/>
      <c r="CB8" s="264"/>
      <c r="CC8" s="266" t="s">
        <v>456</v>
      </c>
      <c r="CD8" s="266"/>
      <c r="CE8" s="266"/>
      <c r="CF8" s="266"/>
      <c r="CG8" s="266"/>
      <c r="CH8" s="266"/>
      <c r="CI8" s="266"/>
      <c r="CJ8" s="266"/>
    </row>
    <row r="9" spans="1:90" ht="15" thickBot="1">
      <c r="B9" s="599" t="str">
        <f>CASE_E</f>
        <v>2019 GENERAL RATE CASE</v>
      </c>
      <c r="C9" s="667"/>
      <c r="D9" s="667"/>
      <c r="E9" s="667"/>
      <c r="F9" s="667"/>
      <c r="G9" s="667"/>
      <c r="H9" s="264"/>
      <c r="J9" s="599" t="str">
        <f>CASE_E</f>
        <v>2019 GENERAL RATE CASE</v>
      </c>
      <c r="K9" s="264"/>
      <c r="L9" s="264"/>
      <c r="M9" s="264"/>
      <c r="N9" s="264"/>
      <c r="O9" s="264"/>
      <c r="P9" s="264"/>
      <c r="R9" s="599" t="str">
        <f>CASE_E</f>
        <v>2019 GENERAL RATE CASE</v>
      </c>
      <c r="S9" s="264"/>
      <c r="T9" s="264"/>
      <c r="U9" s="264"/>
      <c r="V9" s="264"/>
      <c r="W9" s="264"/>
      <c r="X9" s="264"/>
      <c r="Y9" s="250"/>
      <c r="Z9" s="599" t="str">
        <f>CASE_E</f>
        <v>2019 GENERAL RATE CASE</v>
      </c>
      <c r="AA9" s="599"/>
      <c r="AB9" s="667"/>
      <c r="AC9" s="667"/>
      <c r="AD9" s="667"/>
      <c r="AE9" s="667"/>
      <c r="AF9" s="667"/>
      <c r="AG9" s="599" t="str">
        <f>CASE_E</f>
        <v>2019 GENERAL RATE CASE</v>
      </c>
      <c r="AH9" s="599"/>
      <c r="AI9" s="264"/>
      <c r="AJ9" s="264"/>
      <c r="AK9" s="264"/>
      <c r="AL9" s="264"/>
      <c r="AM9" s="264"/>
      <c r="AN9" s="264"/>
      <c r="AO9" s="599" t="str">
        <f>CASE_E</f>
        <v>2019 GENERAL RATE CASE</v>
      </c>
      <c r="AP9" s="667"/>
      <c r="AQ9" s="667"/>
      <c r="AR9" s="599"/>
      <c r="AS9" s="599"/>
      <c r="AT9" s="599"/>
      <c r="AU9" s="599"/>
      <c r="AV9" s="599"/>
      <c r="AW9" s="599" t="str">
        <f>CASE_E</f>
        <v>2019 GENERAL RATE CASE</v>
      </c>
      <c r="AX9" s="264"/>
      <c r="AY9" s="264"/>
      <c r="AZ9" s="264"/>
      <c r="BA9" s="264"/>
      <c r="BB9" s="264"/>
      <c r="BC9" s="264"/>
      <c r="BD9" s="264"/>
      <c r="BE9" s="599" t="str">
        <f>CASE_E</f>
        <v>2019 GENERAL RATE CASE</v>
      </c>
      <c r="BF9" s="264"/>
      <c r="BG9" s="264"/>
      <c r="BH9" s="264"/>
      <c r="BI9" s="264"/>
      <c r="BJ9" s="264"/>
      <c r="BK9" s="264"/>
      <c r="BL9" s="264"/>
      <c r="BM9" s="599" t="str">
        <f>CASE_E</f>
        <v>2019 GENERAL RATE CASE</v>
      </c>
      <c r="BN9" s="599"/>
      <c r="BO9" s="264"/>
      <c r="BP9" s="264"/>
      <c r="BQ9" s="264"/>
      <c r="BR9" s="264"/>
      <c r="BS9" s="264"/>
      <c r="BT9" s="264"/>
      <c r="BU9" s="599" t="str">
        <f>CASE_E</f>
        <v>2019 GENERAL RATE CASE</v>
      </c>
      <c r="BV9" s="599"/>
      <c r="BW9" s="264"/>
      <c r="BX9" s="264"/>
      <c r="BY9" s="264"/>
      <c r="BZ9" s="264"/>
      <c r="CA9" s="264"/>
      <c r="CB9" s="264"/>
      <c r="CC9" s="314"/>
      <c r="CD9" s="264"/>
      <c r="CE9" s="264"/>
      <c r="CF9" s="264"/>
      <c r="CG9" s="264"/>
      <c r="CH9" s="264"/>
      <c r="CI9" s="264"/>
      <c r="CJ9" s="264"/>
    </row>
    <row r="10" spans="1:90" ht="15" thickBot="1">
      <c r="B10" s="599"/>
      <c r="C10" s="667"/>
      <c r="D10" s="667"/>
      <c r="E10" s="667"/>
      <c r="F10" s="601" t="s">
        <v>1479</v>
      </c>
      <c r="G10" s="230"/>
      <c r="H10" s="601" t="s">
        <v>1480</v>
      </c>
      <c r="J10" s="599"/>
      <c r="K10" s="264"/>
      <c r="L10" s="264"/>
      <c r="M10" s="264"/>
      <c r="N10" s="601">
        <f>'SEF-4E p 2-7'!Y9</f>
        <v>7.02</v>
      </c>
      <c r="P10" s="600">
        <f>'SEF-4E p 2-7'!BB9</f>
        <v>7.02</v>
      </c>
      <c r="R10" s="599"/>
      <c r="S10" s="264"/>
      <c r="T10" s="264"/>
      <c r="U10" s="264"/>
      <c r="V10" s="601">
        <f>'SEF-4E p 2-7'!Z9</f>
        <v>7.0299999999999994</v>
      </c>
      <c r="X10" s="600" t="s">
        <v>336</v>
      </c>
      <c r="Y10" s="250"/>
      <c r="Z10" s="599"/>
      <c r="AA10" s="599"/>
      <c r="AB10" s="667"/>
      <c r="AC10" s="667"/>
      <c r="AD10" s="601">
        <f>'SEF-4E p 2-7'!AA9</f>
        <v>7.0399999999999991</v>
      </c>
      <c r="AE10" s="666"/>
      <c r="AF10" s="600" t="s">
        <v>336</v>
      </c>
      <c r="AG10" s="665"/>
      <c r="AH10" s="665"/>
      <c r="AI10" s="665"/>
      <c r="AJ10" s="665"/>
      <c r="AK10" s="665"/>
      <c r="AL10" s="601">
        <f>'SEF-4E p 2-7'!AB9</f>
        <v>7.0499999999999989</v>
      </c>
      <c r="AN10" s="600">
        <f>'SEF-4E p 2-7'!BC9</f>
        <v>7.0499999999999989</v>
      </c>
      <c r="AO10" s="665"/>
      <c r="AP10" s="665"/>
      <c r="AQ10" s="665"/>
      <c r="AR10" s="665"/>
      <c r="AS10" s="665"/>
      <c r="AT10" s="601" t="s">
        <v>336</v>
      </c>
      <c r="AV10" s="600">
        <f>'SEF-4E p 2-7'!BD9</f>
        <v>7.0599999999999987</v>
      </c>
      <c r="AX10" s="599"/>
      <c r="AY10" s="264"/>
      <c r="AZ10" s="264"/>
      <c r="BA10" s="264"/>
      <c r="BB10" s="601">
        <f>'SEF-4E p 2-7'!AC9</f>
        <v>7.0699999999999985</v>
      </c>
      <c r="BD10" s="601" t="s">
        <v>336</v>
      </c>
      <c r="BF10" s="599"/>
      <c r="BG10" s="264"/>
      <c r="BH10" s="264"/>
      <c r="BI10" s="264"/>
      <c r="BJ10" s="601" t="s">
        <v>336</v>
      </c>
      <c r="BL10" s="600">
        <f>'SEF-4E p 2-7'!BE9</f>
        <v>7.08</v>
      </c>
      <c r="BN10" s="599"/>
      <c r="BO10" s="264"/>
      <c r="BP10" s="264"/>
      <c r="BQ10" s="264"/>
      <c r="BR10" s="601" t="s">
        <v>336</v>
      </c>
      <c r="BT10" s="600">
        <f>'SEF-4E p 2-7'!BF9</f>
        <v>7.09</v>
      </c>
      <c r="BV10" s="599"/>
      <c r="BW10" s="264"/>
      <c r="BX10" s="264"/>
      <c r="BY10" s="264"/>
      <c r="BZ10" s="601" t="s">
        <v>336</v>
      </c>
      <c r="CB10" s="600">
        <f>'SEF-4E p 2-7'!BG9</f>
        <v>7.1</v>
      </c>
      <c r="CE10" s="596"/>
      <c r="CF10" s="295" t="s">
        <v>455</v>
      </c>
      <c r="CG10" s="595"/>
      <c r="CH10" s="586" t="s">
        <v>96</v>
      </c>
      <c r="CI10" s="595"/>
      <c r="CJ10" s="586" t="s">
        <v>91</v>
      </c>
    </row>
    <row r="11" spans="1:90">
      <c r="C11" s="598"/>
      <c r="D11" s="295" t="s">
        <v>455</v>
      </c>
      <c r="E11" s="595"/>
      <c r="F11" s="586" t="s">
        <v>96</v>
      </c>
      <c r="G11" s="595"/>
      <c r="H11" s="586" t="s">
        <v>91</v>
      </c>
      <c r="J11" s="598"/>
      <c r="L11" s="295" t="s">
        <v>455</v>
      </c>
      <c r="M11" s="595"/>
      <c r="N11" s="586" t="s">
        <v>96</v>
      </c>
      <c r="O11" s="595"/>
      <c r="P11" s="586" t="s">
        <v>91</v>
      </c>
      <c r="S11" s="598"/>
      <c r="T11" s="295" t="s">
        <v>455</v>
      </c>
      <c r="U11" s="595"/>
      <c r="V11" s="586" t="s">
        <v>96</v>
      </c>
      <c r="W11" s="595"/>
      <c r="X11" s="586" t="s">
        <v>91</v>
      </c>
      <c r="AA11" s="598"/>
      <c r="AB11" s="295" t="s">
        <v>455</v>
      </c>
      <c r="AC11" s="595"/>
      <c r="AD11" s="586" t="s">
        <v>96</v>
      </c>
      <c r="AE11" s="595"/>
      <c r="AF11" s="586" t="s">
        <v>91</v>
      </c>
      <c r="AG11" s="662"/>
      <c r="AH11" s="664"/>
      <c r="AI11" s="596"/>
      <c r="AJ11" s="295" t="s">
        <v>455</v>
      </c>
      <c r="AK11" s="595"/>
      <c r="AL11" s="586" t="s">
        <v>96</v>
      </c>
      <c r="AM11" s="595"/>
      <c r="AN11" s="586" t="s">
        <v>91</v>
      </c>
      <c r="AO11" s="662"/>
      <c r="AP11" s="664"/>
      <c r="AQ11" s="596"/>
      <c r="AR11" s="295" t="s">
        <v>455</v>
      </c>
      <c r="AS11" s="595"/>
      <c r="AT11" s="586" t="s">
        <v>96</v>
      </c>
      <c r="AU11" s="595"/>
      <c r="AV11" s="586" t="s">
        <v>91</v>
      </c>
      <c r="AY11" s="598"/>
      <c r="AZ11" s="586" t="s">
        <v>585</v>
      </c>
      <c r="BA11" s="586" t="s">
        <v>584</v>
      </c>
      <c r="BB11" s="586" t="s">
        <v>96</v>
      </c>
      <c r="BC11" s="595"/>
      <c r="BD11" s="586" t="s">
        <v>91</v>
      </c>
      <c r="BG11" s="598"/>
      <c r="BH11" s="295" t="s">
        <v>455</v>
      </c>
      <c r="BI11" s="595"/>
      <c r="BJ11" s="586" t="s">
        <v>96</v>
      </c>
      <c r="BK11" s="595"/>
      <c r="BL11" s="586" t="s">
        <v>91</v>
      </c>
      <c r="BO11" s="598"/>
      <c r="BP11" s="295" t="s">
        <v>455</v>
      </c>
      <c r="BQ11" s="595"/>
      <c r="BR11" s="586" t="s">
        <v>96</v>
      </c>
      <c r="BS11" s="595"/>
      <c r="BT11" s="586" t="s">
        <v>91</v>
      </c>
      <c r="BW11" s="598"/>
      <c r="BX11" s="295" t="s">
        <v>455</v>
      </c>
      <c r="BY11" s="595"/>
      <c r="BZ11" s="586" t="s">
        <v>96</v>
      </c>
      <c r="CA11" s="595"/>
      <c r="CB11" s="586" t="s">
        <v>91</v>
      </c>
      <c r="CC11" s="334" t="s">
        <v>26</v>
      </c>
      <c r="CD11" s="588"/>
      <c r="CE11" s="587"/>
      <c r="CF11" s="586" t="s">
        <v>97</v>
      </c>
      <c r="CG11" s="586" t="s">
        <v>96</v>
      </c>
      <c r="CH11" s="586" t="s">
        <v>454</v>
      </c>
      <c r="CI11" s="586" t="s">
        <v>91</v>
      </c>
      <c r="CJ11" s="586" t="s">
        <v>454</v>
      </c>
    </row>
    <row r="12" spans="1:90">
      <c r="A12" s="592" t="s">
        <v>26</v>
      </c>
      <c r="B12" s="592"/>
      <c r="C12" s="588"/>
      <c r="D12" s="586" t="s">
        <v>97</v>
      </c>
      <c r="E12" s="586" t="s">
        <v>96</v>
      </c>
      <c r="F12" s="586" t="s">
        <v>454</v>
      </c>
      <c r="G12" s="586" t="s">
        <v>91</v>
      </c>
      <c r="H12" s="586" t="s">
        <v>454</v>
      </c>
      <c r="I12" s="262" t="s">
        <v>26</v>
      </c>
      <c r="J12" s="588"/>
      <c r="L12" s="586" t="s">
        <v>97</v>
      </c>
      <c r="M12" s="586" t="s">
        <v>96</v>
      </c>
      <c r="N12" s="586" t="s">
        <v>454</v>
      </c>
      <c r="O12" s="586" t="s">
        <v>91</v>
      </c>
      <c r="P12" s="586" t="s">
        <v>454</v>
      </c>
      <c r="Q12" s="592" t="s">
        <v>26</v>
      </c>
      <c r="R12" s="592"/>
      <c r="S12" s="588"/>
      <c r="T12" s="586" t="s">
        <v>97</v>
      </c>
      <c r="U12" s="586" t="s">
        <v>96</v>
      </c>
      <c r="V12" s="586" t="s">
        <v>454</v>
      </c>
      <c r="W12" s="586" t="s">
        <v>91</v>
      </c>
      <c r="X12" s="586" t="s">
        <v>454</v>
      </c>
      <c r="Y12" s="592" t="s">
        <v>26</v>
      </c>
      <c r="Z12" s="592"/>
      <c r="AA12" s="588"/>
      <c r="AB12" s="586" t="s">
        <v>97</v>
      </c>
      <c r="AC12" s="586" t="s">
        <v>96</v>
      </c>
      <c r="AD12" s="586" t="s">
        <v>454</v>
      </c>
      <c r="AE12" s="586" t="s">
        <v>91</v>
      </c>
      <c r="AF12" s="586" t="s">
        <v>454</v>
      </c>
      <c r="AG12" s="663" t="s">
        <v>26</v>
      </c>
      <c r="AH12" s="662"/>
      <c r="AI12" s="587"/>
      <c r="AJ12" s="586" t="s">
        <v>97</v>
      </c>
      <c r="AK12" s="586" t="s">
        <v>96</v>
      </c>
      <c r="AL12" s="586" t="s">
        <v>454</v>
      </c>
      <c r="AM12" s="586" t="s">
        <v>91</v>
      </c>
      <c r="AN12" s="586" t="s">
        <v>454</v>
      </c>
      <c r="AO12" s="663" t="s">
        <v>26</v>
      </c>
      <c r="AP12" s="662"/>
      <c r="AQ12" s="587"/>
      <c r="AR12" s="586" t="s">
        <v>97</v>
      </c>
      <c r="AS12" s="586" t="s">
        <v>96</v>
      </c>
      <c r="AT12" s="586" t="s">
        <v>454</v>
      </c>
      <c r="AU12" s="586" t="s">
        <v>91</v>
      </c>
      <c r="AV12" s="586" t="s">
        <v>454</v>
      </c>
      <c r="AW12" s="592" t="s">
        <v>26</v>
      </c>
      <c r="AX12" s="592"/>
      <c r="AY12" s="588"/>
      <c r="AZ12" s="586" t="s">
        <v>583</v>
      </c>
      <c r="BA12" s="586" t="s">
        <v>96</v>
      </c>
      <c r="BB12" s="586" t="s">
        <v>454</v>
      </c>
      <c r="BC12" s="586" t="s">
        <v>91</v>
      </c>
      <c r="BD12" s="586" t="s">
        <v>454</v>
      </c>
      <c r="BE12" s="592" t="s">
        <v>26</v>
      </c>
      <c r="BF12" s="592"/>
      <c r="BG12" s="588"/>
      <c r="BH12" s="586" t="s">
        <v>97</v>
      </c>
      <c r="BI12" s="586" t="s">
        <v>96</v>
      </c>
      <c r="BJ12" s="586" t="s">
        <v>454</v>
      </c>
      <c r="BK12" s="586" t="s">
        <v>91</v>
      </c>
      <c r="BL12" s="586" t="s">
        <v>454</v>
      </c>
      <c r="BM12" s="592" t="s">
        <v>26</v>
      </c>
      <c r="BN12" s="592"/>
      <c r="BO12" s="588"/>
      <c r="BP12" s="586" t="s">
        <v>97</v>
      </c>
      <c r="BQ12" s="586" t="s">
        <v>96</v>
      </c>
      <c r="BR12" s="586" t="s">
        <v>454</v>
      </c>
      <c r="BS12" s="586" t="s">
        <v>91</v>
      </c>
      <c r="BT12" s="586" t="s">
        <v>454</v>
      </c>
      <c r="BU12" s="592" t="s">
        <v>26</v>
      </c>
      <c r="BV12" s="592"/>
      <c r="BW12" s="588"/>
      <c r="BX12" s="586" t="s">
        <v>97</v>
      </c>
      <c r="BY12" s="586" t="s">
        <v>96</v>
      </c>
      <c r="BZ12" s="586" t="s">
        <v>454</v>
      </c>
      <c r="CA12" s="586" t="s">
        <v>91</v>
      </c>
      <c r="CB12" s="586" t="s">
        <v>454</v>
      </c>
      <c r="CC12" s="260" t="s">
        <v>23</v>
      </c>
      <c r="CD12" s="577" t="s">
        <v>22</v>
      </c>
      <c r="CE12" s="576" t="s">
        <v>453</v>
      </c>
      <c r="CF12" s="261" t="s">
        <v>452</v>
      </c>
      <c r="CG12" s="575" t="s">
        <v>451</v>
      </c>
      <c r="CH12" s="261" t="s">
        <v>450</v>
      </c>
      <c r="CI12" s="575" t="s">
        <v>449</v>
      </c>
      <c r="CJ12" s="261" t="s">
        <v>448</v>
      </c>
    </row>
    <row r="13" spans="1:90">
      <c r="A13" s="578" t="s">
        <v>23</v>
      </c>
      <c r="B13" s="260" t="s">
        <v>22</v>
      </c>
      <c r="C13" s="583" t="s">
        <v>453</v>
      </c>
      <c r="D13" s="261" t="s">
        <v>452</v>
      </c>
      <c r="E13" s="575" t="s">
        <v>451</v>
      </c>
      <c r="F13" s="261" t="s">
        <v>450</v>
      </c>
      <c r="G13" s="575" t="s">
        <v>449</v>
      </c>
      <c r="H13" s="261" t="s">
        <v>448</v>
      </c>
      <c r="I13" s="260" t="s">
        <v>23</v>
      </c>
      <c r="J13" s="260" t="s">
        <v>22</v>
      </c>
      <c r="K13" s="583" t="s">
        <v>453</v>
      </c>
      <c r="L13" s="261" t="s">
        <v>452</v>
      </c>
      <c r="M13" s="575" t="s">
        <v>451</v>
      </c>
      <c r="N13" s="261" t="s">
        <v>450</v>
      </c>
      <c r="O13" s="575" t="s">
        <v>449</v>
      </c>
      <c r="P13" s="261" t="s">
        <v>448</v>
      </c>
      <c r="Q13" s="578" t="s">
        <v>23</v>
      </c>
      <c r="R13" s="260" t="s">
        <v>22</v>
      </c>
      <c r="S13" s="583" t="s">
        <v>453</v>
      </c>
      <c r="T13" s="261" t="s">
        <v>452</v>
      </c>
      <c r="U13" s="575" t="s">
        <v>451</v>
      </c>
      <c r="V13" s="261" t="s">
        <v>450</v>
      </c>
      <c r="W13" s="575" t="s">
        <v>449</v>
      </c>
      <c r="X13" s="261" t="s">
        <v>448</v>
      </c>
      <c r="Y13" s="578" t="s">
        <v>23</v>
      </c>
      <c r="Z13" s="260" t="s">
        <v>22</v>
      </c>
      <c r="AA13" s="583" t="s">
        <v>453</v>
      </c>
      <c r="AB13" s="261" t="s">
        <v>452</v>
      </c>
      <c r="AC13" s="575" t="s">
        <v>451</v>
      </c>
      <c r="AD13" s="261" t="s">
        <v>450</v>
      </c>
      <c r="AE13" s="575" t="s">
        <v>449</v>
      </c>
      <c r="AF13" s="261" t="s">
        <v>448</v>
      </c>
      <c r="AG13" s="661" t="s">
        <v>23</v>
      </c>
      <c r="AH13" s="660" t="s">
        <v>22</v>
      </c>
      <c r="AI13" s="576" t="s">
        <v>453</v>
      </c>
      <c r="AJ13" s="261" t="s">
        <v>452</v>
      </c>
      <c r="AK13" s="575" t="s">
        <v>451</v>
      </c>
      <c r="AL13" s="261" t="s">
        <v>450</v>
      </c>
      <c r="AM13" s="575" t="s">
        <v>449</v>
      </c>
      <c r="AN13" s="261" t="s">
        <v>448</v>
      </c>
      <c r="AO13" s="661" t="s">
        <v>23</v>
      </c>
      <c r="AP13" s="660" t="s">
        <v>22</v>
      </c>
      <c r="AQ13" s="576" t="s">
        <v>453</v>
      </c>
      <c r="AR13" s="659" t="s">
        <v>452</v>
      </c>
      <c r="AS13" s="575" t="s">
        <v>451</v>
      </c>
      <c r="AT13" s="659" t="s">
        <v>450</v>
      </c>
      <c r="AU13" s="575" t="s">
        <v>449</v>
      </c>
      <c r="AV13" s="659" t="s">
        <v>448</v>
      </c>
      <c r="AW13" s="578" t="s">
        <v>23</v>
      </c>
      <c r="AX13" s="260" t="s">
        <v>22</v>
      </c>
      <c r="AY13" s="583" t="s">
        <v>453</v>
      </c>
      <c r="AZ13" s="261" t="s">
        <v>452</v>
      </c>
      <c r="BA13" s="575" t="s">
        <v>451</v>
      </c>
      <c r="BB13" s="261" t="s">
        <v>450</v>
      </c>
      <c r="BC13" s="575" t="s">
        <v>449</v>
      </c>
      <c r="BD13" s="261" t="s">
        <v>448</v>
      </c>
      <c r="BE13" s="578" t="s">
        <v>23</v>
      </c>
      <c r="BF13" s="260" t="s">
        <v>22</v>
      </c>
      <c r="BG13" s="583" t="s">
        <v>453</v>
      </c>
      <c r="BH13" s="261" t="s">
        <v>452</v>
      </c>
      <c r="BI13" s="575" t="s">
        <v>451</v>
      </c>
      <c r="BJ13" s="261" t="s">
        <v>450</v>
      </c>
      <c r="BK13" s="575" t="s">
        <v>449</v>
      </c>
      <c r="BL13" s="261" t="s">
        <v>448</v>
      </c>
      <c r="BM13" s="578" t="s">
        <v>23</v>
      </c>
      <c r="BN13" s="260" t="s">
        <v>22</v>
      </c>
      <c r="BO13" s="583" t="s">
        <v>453</v>
      </c>
      <c r="BP13" s="261" t="s">
        <v>452</v>
      </c>
      <c r="BQ13" s="575" t="s">
        <v>451</v>
      </c>
      <c r="BR13" s="261" t="s">
        <v>450</v>
      </c>
      <c r="BS13" s="575" t="s">
        <v>449</v>
      </c>
      <c r="BT13" s="261" t="s">
        <v>448</v>
      </c>
      <c r="BU13" s="578" t="s">
        <v>23</v>
      </c>
      <c r="BV13" s="260" t="s">
        <v>22</v>
      </c>
      <c r="BW13" s="583" t="s">
        <v>453</v>
      </c>
      <c r="BX13" s="261" t="s">
        <v>452</v>
      </c>
      <c r="BY13" s="575" t="s">
        <v>451</v>
      </c>
      <c r="BZ13" s="261" t="s">
        <v>450</v>
      </c>
      <c r="CA13" s="575" t="s">
        <v>449</v>
      </c>
      <c r="CB13" s="261" t="s">
        <v>448</v>
      </c>
      <c r="CC13" s="464"/>
      <c r="CD13" s="464"/>
      <c r="CE13" s="464"/>
      <c r="CF13" s="572" t="s">
        <v>582</v>
      </c>
      <c r="CG13" s="572" t="s">
        <v>581</v>
      </c>
      <c r="CH13" s="572" t="s">
        <v>580</v>
      </c>
      <c r="CI13" s="572" t="s">
        <v>579</v>
      </c>
      <c r="CJ13" s="572" t="s">
        <v>578</v>
      </c>
    </row>
    <row r="14" spans="1:90">
      <c r="Q14" s="572"/>
      <c r="R14" s="642"/>
      <c r="S14" s="642"/>
      <c r="T14" s="572"/>
      <c r="U14" s="572"/>
      <c r="V14" s="572"/>
      <c r="W14" s="572"/>
      <c r="X14" s="572"/>
      <c r="Y14" s="250"/>
      <c r="Z14" s="250"/>
      <c r="AA14" s="250"/>
      <c r="AB14" s="250"/>
      <c r="AC14" s="250"/>
      <c r="AD14" s="250"/>
      <c r="AE14" s="250"/>
      <c r="AF14" s="250"/>
      <c r="CC14" s="377">
        <v>1</v>
      </c>
      <c r="CD14" s="390"/>
      <c r="CE14" s="571"/>
      <c r="CF14" s="571"/>
      <c r="CG14" s="571"/>
      <c r="CH14" s="571"/>
      <c r="CI14" s="571"/>
      <c r="CJ14" s="571"/>
    </row>
    <row r="15" spans="1:90">
      <c r="A15" s="302">
        <v>1</v>
      </c>
      <c r="B15" s="638" t="s">
        <v>577</v>
      </c>
      <c r="C15" s="638"/>
      <c r="D15" s="561"/>
      <c r="E15" s="657"/>
      <c r="F15" s="657"/>
      <c r="G15" s="658"/>
      <c r="H15" s="657"/>
      <c r="I15" s="367">
        <v>1</v>
      </c>
      <c r="J15" s="390" t="s">
        <v>432</v>
      </c>
      <c r="K15" s="390"/>
      <c r="L15" s="561"/>
      <c r="M15" s="560"/>
      <c r="N15" s="560"/>
      <c r="O15" s="560"/>
      <c r="P15" s="560"/>
      <c r="Q15" s="233">
        <v>1</v>
      </c>
      <c r="R15" s="642" t="s">
        <v>576</v>
      </c>
      <c r="S15" s="642"/>
      <c r="T15" s="561"/>
      <c r="U15" s="451"/>
      <c r="V15" s="451"/>
      <c r="W15" s="451"/>
      <c r="X15" s="451"/>
      <c r="Y15" s="233">
        <v>1</v>
      </c>
      <c r="Z15" s="656" t="s">
        <v>575</v>
      </c>
      <c r="AA15" s="656"/>
      <c r="AB15" s="300">
        <f>+'SEF-4E p 2-7'!C40</f>
        <v>-41661500.859999999</v>
      </c>
      <c r="AC15" s="300"/>
      <c r="AD15" s="300">
        <f>AC15-AB15</f>
        <v>41661500.859999999</v>
      </c>
      <c r="AE15" s="300"/>
      <c r="AF15" s="300">
        <f>+AE15-AC15</f>
        <v>0</v>
      </c>
      <c r="AG15" s="367">
        <v>1</v>
      </c>
      <c r="AH15" s="436" t="s">
        <v>574</v>
      </c>
      <c r="AI15" s="298"/>
      <c r="AJ15" s="655">
        <v>9705041.1899999995</v>
      </c>
      <c r="AK15" s="655">
        <v>9826310.9900000002</v>
      </c>
      <c r="AL15" s="655">
        <f>+AK15-AJ15</f>
        <v>121269.80000000075</v>
      </c>
      <c r="AM15" s="655">
        <f>+AK15</f>
        <v>9826310.9900000002</v>
      </c>
      <c r="AN15" s="655">
        <f>+AM15-AK15</f>
        <v>0</v>
      </c>
      <c r="AO15" s="233">
        <v>1</v>
      </c>
      <c r="AP15" s="470" t="s">
        <v>573</v>
      </c>
      <c r="AQ15" s="470"/>
      <c r="AR15" s="523"/>
      <c r="AS15" s="523"/>
      <c r="AT15" s="523"/>
      <c r="AU15" s="523"/>
      <c r="AV15" s="523"/>
      <c r="AW15" s="233">
        <v>1</v>
      </c>
      <c r="AX15" s="573" t="s">
        <v>572</v>
      </c>
      <c r="AY15" s="573"/>
      <c r="AZ15" s="573"/>
      <c r="BA15" s="573"/>
      <c r="BB15" s="651"/>
      <c r="BC15" s="651"/>
      <c r="BD15" s="586"/>
      <c r="BE15" s="230">
        <v>1</v>
      </c>
      <c r="BF15" s="642" t="s">
        <v>161</v>
      </c>
      <c r="BM15" s="367">
        <v>1</v>
      </c>
      <c r="BN15" s="559"/>
      <c r="BO15" s="654"/>
      <c r="BP15" s="433"/>
      <c r="BQ15" s="433"/>
      <c r="BR15" s="433"/>
      <c r="BS15" s="433"/>
      <c r="BT15" s="433"/>
      <c r="BU15" s="233">
        <v>1</v>
      </c>
      <c r="BV15" s="470" t="s">
        <v>428</v>
      </c>
      <c r="CC15" s="377">
        <f t="shared" ref="CC15:CC32" si="0">+CC14+1</f>
        <v>2</v>
      </c>
      <c r="CD15" s="410"/>
      <c r="CE15" s="571"/>
      <c r="CF15" s="407"/>
      <c r="CG15" s="407"/>
      <c r="CH15" s="407"/>
      <c r="CI15" s="407"/>
      <c r="CJ15" s="407"/>
    </row>
    <row r="16" spans="1:90">
      <c r="A16" s="302">
        <f t="shared" ref="A16:A37" si="1">+A15+1</f>
        <v>2</v>
      </c>
      <c r="B16" s="640" t="s">
        <v>571</v>
      </c>
      <c r="C16" s="640"/>
      <c r="D16" s="653">
        <v>79334191.840000004</v>
      </c>
      <c r="E16" s="653">
        <v>79334191.840000004</v>
      </c>
      <c r="F16" s="653">
        <f t="shared" ref="F16:F23" si="2">+E16-D16</f>
        <v>0</v>
      </c>
      <c r="G16" s="653">
        <f>'SEF-7E p 2'!J13</f>
        <v>37464673.568808615</v>
      </c>
      <c r="H16" s="652">
        <f t="shared" ref="H16:H23" si="3">+G16-E16</f>
        <v>-41869518.271191388</v>
      </c>
      <c r="I16" s="367">
        <f t="shared" ref="I16:I22" si="4">+I15+1</f>
        <v>2</v>
      </c>
      <c r="J16" s="247" t="s">
        <v>570</v>
      </c>
      <c r="K16" s="522"/>
      <c r="L16" s="652">
        <v>1346484.56</v>
      </c>
      <c r="M16" s="652">
        <v>1433345.375</v>
      </c>
      <c r="N16" s="652">
        <f>+M16-L16</f>
        <v>86860.814999999944</v>
      </c>
      <c r="O16" s="652">
        <v>814873.05028724996</v>
      </c>
      <c r="P16" s="652">
        <f>+O16-M16</f>
        <v>-618472.32471275004</v>
      </c>
      <c r="Q16" s="233">
        <f t="shared" ref="Q16:Q27" si="5">+Q15+1</f>
        <v>2</v>
      </c>
      <c r="R16" s="535" t="s">
        <v>411</v>
      </c>
      <c r="S16" s="535"/>
      <c r="T16" s="652">
        <v>4539000</v>
      </c>
      <c r="U16" s="652">
        <v>0</v>
      </c>
      <c r="V16" s="652">
        <f>U16-T16</f>
        <v>-4539000</v>
      </c>
      <c r="W16" s="652">
        <f>U16</f>
        <v>0</v>
      </c>
      <c r="X16" s="652">
        <f>W16-U16</f>
        <v>0</v>
      </c>
      <c r="Y16" s="233">
        <f t="shared" ref="Y16:Y23" si="6">Y15+1</f>
        <v>2</v>
      </c>
      <c r="Z16" s="379"/>
      <c r="AA16" s="379"/>
      <c r="AB16" s="1137"/>
      <c r="AC16" s="1137"/>
      <c r="AD16" s="1137"/>
      <c r="AE16" s="1137"/>
      <c r="AF16" s="1137"/>
      <c r="AG16" s="367">
        <v>2</v>
      </c>
      <c r="AH16" s="572"/>
      <c r="AI16" s="572"/>
      <c r="AJ16" s="572"/>
      <c r="AK16" s="572"/>
      <c r="AL16" s="572"/>
      <c r="AM16" s="572"/>
      <c r="AN16" s="572"/>
      <c r="AO16" s="233">
        <f t="shared" ref="AO16:AO47" si="7">AO15+1</f>
        <v>2</v>
      </c>
      <c r="AP16" s="410" t="s">
        <v>531</v>
      </c>
      <c r="AQ16" s="410"/>
      <c r="AR16" s="451">
        <v>45753.08</v>
      </c>
      <c r="AS16" s="451">
        <f t="shared" ref="AS16:AS30" si="8">+AR16</f>
        <v>45753.08</v>
      </c>
      <c r="AT16" s="451">
        <f t="shared" ref="AT16:AT30" si="9">+AS16-AR16</f>
        <v>0</v>
      </c>
      <c r="AU16" s="451">
        <v>45753.145111108061</v>
      </c>
      <c r="AV16" s="451">
        <f t="shared" ref="AV16:AV30" si="10">+AU16-AS16</f>
        <v>6.5111108058772516E-2</v>
      </c>
      <c r="AW16" s="233">
        <f t="shared" ref="AW16:AW35" si="11">AW15+1</f>
        <v>2</v>
      </c>
      <c r="AX16" s="573"/>
      <c r="AY16" s="573"/>
      <c r="AZ16" s="573"/>
      <c r="BA16" s="573"/>
      <c r="BB16" s="651"/>
      <c r="BC16" s="651"/>
      <c r="BD16" s="586"/>
      <c r="BE16" s="230">
        <f t="shared" ref="BE16:BE28" si="12">+BE15+1</f>
        <v>2</v>
      </c>
      <c r="BF16" s="642" t="s">
        <v>429</v>
      </c>
      <c r="BM16" s="367">
        <v>2</v>
      </c>
      <c r="BN16" s="559" t="s">
        <v>429</v>
      </c>
      <c r="BO16" s="643"/>
      <c r="BP16" s="643"/>
      <c r="BQ16" s="643"/>
      <c r="BR16" s="643"/>
      <c r="BS16" s="451"/>
      <c r="BT16" s="643"/>
      <c r="BU16" s="233">
        <f t="shared" ref="BU16:BU29" si="13">BU15+1</f>
        <v>2</v>
      </c>
      <c r="BV16" s="470" t="s">
        <v>414</v>
      </c>
      <c r="CC16" s="377">
        <f t="shared" si="0"/>
        <v>3</v>
      </c>
      <c r="CD16" s="247"/>
      <c r="CE16" s="571"/>
      <c r="CF16" s="414"/>
      <c r="CG16" s="414"/>
      <c r="CH16" s="414"/>
      <c r="CI16" s="414"/>
      <c r="CJ16" s="414"/>
    </row>
    <row r="17" spans="1:88">
      <c r="A17" s="302">
        <f t="shared" si="1"/>
        <v>3</v>
      </c>
      <c r="B17" s="640" t="s">
        <v>569</v>
      </c>
      <c r="D17" s="631">
        <v>124839938.45000002</v>
      </c>
      <c r="E17" s="631">
        <v>125903300.81000002</v>
      </c>
      <c r="F17" s="631">
        <f t="shared" si="2"/>
        <v>1063362.3599999994</v>
      </c>
      <c r="G17" s="631">
        <f>'SEF-7E p 2'!J14</f>
        <v>143207932.26523876</v>
      </c>
      <c r="H17" s="627">
        <f t="shared" si="3"/>
        <v>17304631.455238745</v>
      </c>
      <c r="I17" s="367">
        <f t="shared" si="4"/>
        <v>3</v>
      </c>
      <c r="J17" s="247" t="s">
        <v>298</v>
      </c>
      <c r="K17" s="247"/>
      <c r="L17" s="496">
        <f>+L16</f>
        <v>1346484.56</v>
      </c>
      <c r="M17" s="496">
        <f>+M16</f>
        <v>1433345.375</v>
      </c>
      <c r="N17" s="496">
        <f>+N16</f>
        <v>86860.814999999944</v>
      </c>
      <c r="O17" s="496">
        <f>+O16</f>
        <v>814873.05028724996</v>
      </c>
      <c r="P17" s="496">
        <f>+P16</f>
        <v>-618472.32471275004</v>
      </c>
      <c r="Q17" s="233">
        <f t="shared" si="5"/>
        <v>3</v>
      </c>
      <c r="R17" s="535" t="s">
        <v>394</v>
      </c>
      <c r="S17" s="535"/>
      <c r="T17" s="1136">
        <v>-2120000</v>
      </c>
      <c r="U17" s="1136">
        <v>0</v>
      </c>
      <c r="V17" s="1136">
        <f>U17-T17</f>
        <v>2120000</v>
      </c>
      <c r="W17" s="1136">
        <f>U17</f>
        <v>0</v>
      </c>
      <c r="X17" s="1136">
        <f>W17-U17</f>
        <v>0</v>
      </c>
      <c r="Y17" s="233">
        <f t="shared" si="6"/>
        <v>3</v>
      </c>
      <c r="Z17" s="288" t="s">
        <v>303</v>
      </c>
      <c r="AA17" s="288"/>
      <c r="AB17" s="317">
        <f>SUM(AB15:AB16)</f>
        <v>-41661500.859999999</v>
      </c>
      <c r="AC17" s="317">
        <f>SUM(AC15:AC16)</f>
        <v>0</v>
      </c>
      <c r="AD17" s="317">
        <f>SUM(AD15:AD16)</f>
        <v>41661500.859999999</v>
      </c>
      <c r="AE17" s="317">
        <f>SUM(AE15:AE16)</f>
        <v>0</v>
      </c>
      <c r="AF17" s="317">
        <f>SUM(AF15:AF16)</f>
        <v>0</v>
      </c>
      <c r="AG17" s="367">
        <v>3</v>
      </c>
      <c r="AH17" s="650" t="s">
        <v>568</v>
      </c>
      <c r="AI17" s="650"/>
      <c r="AJ17" s="649">
        <v>588691.1</v>
      </c>
      <c r="AK17" s="649">
        <v>481346.42333333328</v>
      </c>
      <c r="AL17" s="649">
        <f>+AK17-AJ17</f>
        <v>-107344.6766666667</v>
      </c>
      <c r="AM17" s="649">
        <f>+AK17</f>
        <v>481346.42333333328</v>
      </c>
      <c r="AN17" s="303">
        <f>+AM17-AK17</f>
        <v>0</v>
      </c>
      <c r="AO17" s="233">
        <f t="shared" si="7"/>
        <v>3</v>
      </c>
      <c r="AP17" s="410" t="s">
        <v>529</v>
      </c>
      <c r="AQ17" s="410"/>
      <c r="AR17" s="467">
        <v>62723.02</v>
      </c>
      <c r="AS17" s="239">
        <f t="shared" si="8"/>
        <v>62723.02</v>
      </c>
      <c r="AT17" s="239">
        <f t="shared" si="9"/>
        <v>0</v>
      </c>
      <c r="AU17" s="467">
        <v>62723.058252429</v>
      </c>
      <c r="AV17" s="467">
        <f t="shared" si="10"/>
        <v>3.8252429003478028E-2</v>
      </c>
      <c r="AW17" s="233">
        <f t="shared" si="11"/>
        <v>3</v>
      </c>
      <c r="AX17" s="628" t="s">
        <v>47</v>
      </c>
      <c r="AY17" s="451"/>
      <c r="BE17" s="230">
        <f t="shared" si="12"/>
        <v>3</v>
      </c>
      <c r="BF17" s="535" t="s">
        <v>411</v>
      </c>
      <c r="BG17" s="535"/>
      <c r="BH17" s="387">
        <v>16990239.199999999</v>
      </c>
      <c r="BI17" s="387">
        <f>+BH17</f>
        <v>16990239.199999999</v>
      </c>
      <c r="BJ17" s="387">
        <f>BI17-BH17</f>
        <v>0</v>
      </c>
      <c r="BK17" s="387">
        <v>0</v>
      </c>
      <c r="BL17" s="387">
        <f>BK17-BI17</f>
        <v>-16990239.199999999</v>
      </c>
      <c r="BM17" s="367">
        <v>4</v>
      </c>
      <c r="BN17" s="535" t="s">
        <v>411</v>
      </c>
      <c r="BO17" s="643"/>
      <c r="BP17" s="387">
        <v>0</v>
      </c>
      <c r="BQ17" s="387">
        <f>+BP17</f>
        <v>0</v>
      </c>
      <c r="BR17" s="387">
        <f>BQ17-BP17</f>
        <v>0</v>
      </c>
      <c r="BS17" s="387">
        <v>12619474.160000008</v>
      </c>
      <c r="BT17" s="387">
        <f>BS17-BR17</f>
        <v>12619474.160000008</v>
      </c>
      <c r="BU17" s="233">
        <f t="shared" si="13"/>
        <v>3</v>
      </c>
      <c r="BV17" s="505" t="s">
        <v>1436</v>
      </c>
      <c r="BX17" s="387">
        <v>0</v>
      </c>
      <c r="BY17" s="387">
        <v>0</v>
      </c>
      <c r="BZ17" s="387">
        <v>0</v>
      </c>
      <c r="CA17" s="387">
        <v>9659116.8499999996</v>
      </c>
      <c r="CB17" s="387">
        <f>CA17-BY17</f>
        <v>9659116.8499999996</v>
      </c>
      <c r="CC17" s="377">
        <f t="shared" si="0"/>
        <v>4</v>
      </c>
      <c r="CD17" s="403"/>
      <c r="CE17" s="403"/>
      <c r="CF17" s="643"/>
      <c r="CG17" s="643"/>
      <c r="CH17" s="643"/>
      <c r="CI17" s="643"/>
      <c r="CJ17" s="643"/>
    </row>
    <row r="18" spans="1:88">
      <c r="A18" s="302">
        <f t="shared" si="1"/>
        <v>4</v>
      </c>
      <c r="B18" s="640" t="s">
        <v>567</v>
      </c>
      <c r="C18" s="640"/>
      <c r="D18" s="631">
        <v>574163746.96999896</v>
      </c>
      <c r="E18" s="631">
        <v>583907969.91446161</v>
      </c>
      <c r="F18" s="631">
        <f t="shared" si="2"/>
        <v>9744222.944462657</v>
      </c>
      <c r="G18" s="631">
        <f>'SEF-7E p 2'!J15</f>
        <v>433447888.18948001</v>
      </c>
      <c r="H18" s="627">
        <f t="shared" si="3"/>
        <v>-150460081.72498161</v>
      </c>
      <c r="I18" s="367">
        <f t="shared" si="4"/>
        <v>4</v>
      </c>
      <c r="J18" s="247" t="s">
        <v>566</v>
      </c>
      <c r="K18" s="648">
        <v>0.95430283896288137</v>
      </c>
      <c r="L18" s="800">
        <v>0</v>
      </c>
      <c r="M18" s="800">
        <v>0</v>
      </c>
      <c r="N18" s="800">
        <f>+M18-L18</f>
        <v>0</v>
      </c>
      <c r="O18" s="800">
        <f>-(1-K18)*O17</f>
        <v>-37237.385003784526</v>
      </c>
      <c r="P18" s="800">
        <f>+O18-M18</f>
        <v>-37237.385003784526</v>
      </c>
      <c r="Q18" s="233">
        <f t="shared" si="5"/>
        <v>4</v>
      </c>
      <c r="R18" s="535" t="s">
        <v>371</v>
      </c>
      <c r="S18" s="535"/>
      <c r="T18" s="1136">
        <v>-803628.57</v>
      </c>
      <c r="U18" s="1136">
        <v>0</v>
      </c>
      <c r="V18" s="1136">
        <f>U18-T18</f>
        <v>803628.57</v>
      </c>
      <c r="W18" s="1136">
        <f>U18</f>
        <v>0</v>
      </c>
      <c r="X18" s="1136">
        <f>W18-U18</f>
        <v>0</v>
      </c>
      <c r="Y18" s="233">
        <f t="shared" si="6"/>
        <v>4</v>
      </c>
      <c r="Z18" s="247"/>
      <c r="AA18" s="247"/>
      <c r="AB18" s="1138"/>
      <c r="AC18" s="1138"/>
      <c r="AD18" s="1138"/>
      <c r="AE18" s="1138"/>
      <c r="AF18" s="1138"/>
      <c r="AG18" s="367">
        <v>4</v>
      </c>
      <c r="AH18" s="646"/>
      <c r="AI18" s="245"/>
      <c r="AJ18" s="375"/>
      <c r="AK18" s="375"/>
      <c r="AL18" s="375"/>
      <c r="AM18" s="375"/>
      <c r="AN18" s="647"/>
      <c r="AO18" s="233">
        <f t="shared" si="7"/>
        <v>4</v>
      </c>
      <c r="AP18" s="410" t="s">
        <v>1438</v>
      </c>
      <c r="AQ18" s="410"/>
      <c r="AR18" s="467">
        <v>11208560.349999998</v>
      </c>
      <c r="AS18" s="239">
        <f t="shared" si="8"/>
        <v>11208560.349999998</v>
      </c>
      <c r="AT18" s="239">
        <f t="shared" si="9"/>
        <v>0</v>
      </c>
      <c r="AU18" s="467">
        <v>7052483.424195189</v>
      </c>
      <c r="AV18" s="467">
        <f t="shared" si="10"/>
        <v>-4156076.9258048087</v>
      </c>
      <c r="AW18" s="233">
        <f t="shared" si="11"/>
        <v>4</v>
      </c>
      <c r="AX18" s="624" t="s">
        <v>565</v>
      </c>
      <c r="AY18" s="451"/>
      <c r="AZ18" s="451">
        <v>18794237.945987001</v>
      </c>
      <c r="BA18" s="634">
        <v>0</v>
      </c>
      <c r="BB18" s="387">
        <f>BA18-AZ18</f>
        <v>-18794237.945987001</v>
      </c>
      <c r="BC18" s="634">
        <v>0</v>
      </c>
      <c r="BD18" s="633">
        <f>BC18-BA18</f>
        <v>0</v>
      </c>
      <c r="BE18" s="230">
        <f t="shared" si="12"/>
        <v>4</v>
      </c>
      <c r="BF18" s="535" t="s">
        <v>394</v>
      </c>
      <c r="BG18" s="535"/>
      <c r="BH18" s="1136">
        <v>-12688074.934416663</v>
      </c>
      <c r="BI18" s="1136">
        <f>+BH18</f>
        <v>-12688074.934416663</v>
      </c>
      <c r="BJ18" s="1136">
        <f>BI18-BH18</f>
        <v>0</v>
      </c>
      <c r="BK18" s="1136">
        <v>0</v>
      </c>
      <c r="BL18" s="1136">
        <f>BK18-BI18</f>
        <v>12688074.934416663</v>
      </c>
      <c r="BM18" s="367">
        <v>5</v>
      </c>
      <c r="BN18" s="535" t="s">
        <v>394</v>
      </c>
      <c r="BO18" s="643"/>
      <c r="BP18" s="526">
        <v>0</v>
      </c>
      <c r="BQ18" s="526">
        <f>+BP18</f>
        <v>0</v>
      </c>
      <c r="BR18" s="526">
        <f>BQ18-BP18</f>
        <v>0</v>
      </c>
      <c r="BS18" s="526">
        <v>-631650.07127077854</v>
      </c>
      <c r="BT18" s="475">
        <f>BS18-BR18</f>
        <v>-631650.07127077854</v>
      </c>
      <c r="BU18" s="233">
        <f t="shared" si="13"/>
        <v>4</v>
      </c>
      <c r="BV18" s="440" t="s">
        <v>1363</v>
      </c>
      <c r="BX18" s="526">
        <v>0</v>
      </c>
      <c r="BY18" s="526">
        <v>0</v>
      </c>
      <c r="BZ18" s="526">
        <v>0</v>
      </c>
      <c r="CA18" s="526">
        <v>-5277574.0231666667</v>
      </c>
      <c r="CB18" s="475">
        <f>CA18-BY18</f>
        <v>-5277574.0231666667</v>
      </c>
      <c r="CC18" s="377">
        <f t="shared" si="0"/>
        <v>5</v>
      </c>
      <c r="CD18" s="403"/>
      <c r="CE18" s="403"/>
      <c r="CF18" s="407"/>
      <c r="CG18" s="407"/>
      <c r="CH18" s="407"/>
      <c r="CI18" s="407"/>
      <c r="CJ18" s="407"/>
    </row>
    <row r="19" spans="1:88">
      <c r="A19" s="302">
        <f t="shared" si="1"/>
        <v>5</v>
      </c>
      <c r="B19" s="640" t="s">
        <v>564</v>
      </c>
      <c r="C19" s="640"/>
      <c r="D19" s="631">
        <v>17232385.379999902</v>
      </c>
      <c r="E19" s="631">
        <v>11072849.4899999</v>
      </c>
      <c r="F19" s="631">
        <f t="shared" si="2"/>
        <v>-6159535.8900000025</v>
      </c>
      <c r="G19" s="631">
        <f>'SEF-7E p 2'!J16</f>
        <v>7832796.3799999999</v>
      </c>
      <c r="H19" s="627">
        <f t="shared" si="3"/>
        <v>-3240053.1099998998</v>
      </c>
      <c r="I19" s="367">
        <f t="shared" si="4"/>
        <v>5</v>
      </c>
      <c r="J19" s="403" t="s">
        <v>1434</v>
      </c>
      <c r="K19"/>
      <c r="L19" s="496">
        <f>SUM(L17:L18)</f>
        <v>1346484.56</v>
      </c>
      <c r="M19" s="496">
        <f>SUM(M17:M18)</f>
        <v>1433345.375</v>
      </c>
      <c r="N19" s="496">
        <f>SUM(N17:N18)</f>
        <v>86860.814999999944</v>
      </c>
      <c r="O19" s="496">
        <f>SUM(O17:O18)</f>
        <v>777635.66528346541</v>
      </c>
      <c r="P19" s="496">
        <f>SUM(P17:P18)</f>
        <v>-655709.70971653459</v>
      </c>
      <c r="Q19" s="233">
        <f t="shared" si="5"/>
        <v>5</v>
      </c>
      <c r="R19" s="366" t="s">
        <v>558</v>
      </c>
      <c r="S19" s="366"/>
      <c r="T19" s="1135">
        <f>SUM(T16:T18)</f>
        <v>1615371.4300000002</v>
      </c>
      <c r="U19" s="1135">
        <f>SUM(U16:U18)</f>
        <v>0</v>
      </c>
      <c r="V19" s="1135">
        <f>SUM(V16:V18)</f>
        <v>-1615371.4300000002</v>
      </c>
      <c r="W19" s="1135">
        <f>SUM(W16:W18)</f>
        <v>0</v>
      </c>
      <c r="X19" s="1135">
        <f>SUM(X16:X18)</f>
        <v>0</v>
      </c>
      <c r="Y19" s="233">
        <f t="shared" si="6"/>
        <v>5</v>
      </c>
      <c r="Z19" s="247" t="s">
        <v>563</v>
      </c>
      <c r="AA19" s="247"/>
      <c r="AB19" s="317">
        <f>-AB17</f>
        <v>41661500.859999999</v>
      </c>
      <c r="AC19" s="317">
        <f>-AC17</f>
        <v>0</v>
      </c>
      <c r="AD19" s="317">
        <f>-AD17</f>
        <v>-41661500.859999999</v>
      </c>
      <c r="AE19" s="317">
        <f>-AE17</f>
        <v>0</v>
      </c>
      <c r="AF19" s="317">
        <f>-AF17</f>
        <v>0</v>
      </c>
      <c r="AG19" s="367">
        <v>5</v>
      </c>
      <c r="AH19" s="646" t="s">
        <v>562</v>
      </c>
      <c r="AI19" s="245"/>
      <c r="AJ19" s="348">
        <f>SUM(AJ15:AJ17)</f>
        <v>10293732.289999999</v>
      </c>
      <c r="AK19" s="348">
        <f>SUM(AK15:AK17)</f>
        <v>10307657.413333334</v>
      </c>
      <c r="AL19" s="348">
        <f>SUM(AL15:AL17)</f>
        <v>13925.12333333405</v>
      </c>
      <c r="AM19" s="348">
        <f>SUM(AM15:AM17)</f>
        <v>10307657.413333334</v>
      </c>
      <c r="AN19" s="645">
        <f>SUM(AN15:AN17)</f>
        <v>0</v>
      </c>
      <c r="AO19" s="233">
        <f t="shared" si="7"/>
        <v>5</v>
      </c>
      <c r="AP19" s="410" t="s">
        <v>526</v>
      </c>
      <c r="AQ19" s="410"/>
      <c r="AR19" s="467">
        <v>78745060.849999994</v>
      </c>
      <c r="AS19" s="239">
        <f t="shared" si="8"/>
        <v>78745060.849999994</v>
      </c>
      <c r="AT19" s="239">
        <f t="shared" si="9"/>
        <v>0</v>
      </c>
      <c r="AU19" s="467">
        <v>67042925.304987572</v>
      </c>
      <c r="AV19" s="467">
        <f t="shared" si="10"/>
        <v>-11702135.545012422</v>
      </c>
      <c r="AW19" s="233">
        <f t="shared" si="11"/>
        <v>5</v>
      </c>
      <c r="AX19" s="399" t="s">
        <v>561</v>
      </c>
      <c r="AY19" s="632">
        <v>0.21</v>
      </c>
      <c r="AZ19" s="533">
        <f>-AZ18*$AY19</f>
        <v>-3946789.9686572701</v>
      </c>
      <c r="BA19" s="533">
        <f>-BA18*$AY19</f>
        <v>0</v>
      </c>
      <c r="BB19" s="533">
        <f>+BA19-AZ19</f>
        <v>3946789.9686572701</v>
      </c>
      <c r="BC19" s="533">
        <f>BA19</f>
        <v>0</v>
      </c>
      <c r="BD19" s="533">
        <f>-(BD26+BD18)*$AY$18</f>
        <v>0</v>
      </c>
      <c r="BE19" s="230">
        <f t="shared" si="12"/>
        <v>5</v>
      </c>
      <c r="BF19" s="535" t="s">
        <v>371</v>
      </c>
      <c r="BG19" s="535"/>
      <c r="BH19" s="1136">
        <v>-980694.34861275041</v>
      </c>
      <c r="BI19" s="1136">
        <f>+BH19</f>
        <v>-980694.34861275041</v>
      </c>
      <c r="BJ19" s="1136">
        <f>BI19-BH19</f>
        <v>0</v>
      </c>
      <c r="BK19" s="1136">
        <v>0</v>
      </c>
      <c r="BL19" s="1136">
        <f>BK19-BI19</f>
        <v>980694.34861275041</v>
      </c>
      <c r="BM19" s="367">
        <v>6</v>
      </c>
      <c r="BN19" s="376" t="s">
        <v>384</v>
      </c>
      <c r="BO19" s="643"/>
      <c r="BP19" s="526">
        <v>0</v>
      </c>
      <c r="BQ19" s="526">
        <f>+BP19</f>
        <v>0</v>
      </c>
      <c r="BR19" s="526">
        <f>BQ19-BP19</f>
        <v>0</v>
      </c>
      <c r="BS19" s="526">
        <v>-88064.535992719757</v>
      </c>
      <c r="BT19" s="475">
        <f>BS19-BR19</f>
        <v>-88064.535992719757</v>
      </c>
      <c r="BU19" s="233">
        <f t="shared" si="13"/>
        <v>5</v>
      </c>
      <c r="BV19" s="440" t="s">
        <v>1364</v>
      </c>
      <c r="BX19" s="526">
        <v>0</v>
      </c>
      <c r="BY19" s="526">
        <v>0</v>
      </c>
      <c r="BZ19" s="526">
        <v>0</v>
      </c>
      <c r="CA19" s="526">
        <v>263117.82048999966</v>
      </c>
      <c r="CB19" s="475">
        <f>CA19-BY19</f>
        <v>263117.82048999966</v>
      </c>
      <c r="CC19" s="377">
        <f t="shared" si="0"/>
        <v>6</v>
      </c>
      <c r="CD19" s="403"/>
      <c r="CE19" s="403"/>
      <c r="CF19" s="414"/>
      <c r="CG19" s="414"/>
      <c r="CH19" s="414"/>
      <c r="CI19" s="414"/>
      <c r="CJ19" s="414"/>
    </row>
    <row r="20" spans="1:88" ht="15" thickBot="1">
      <c r="A20" s="302">
        <f t="shared" si="1"/>
        <v>6</v>
      </c>
      <c r="B20" s="230" t="s">
        <v>1437</v>
      </c>
      <c r="D20" s="631">
        <v>446665.22</v>
      </c>
      <c r="E20" s="631">
        <v>446665.22</v>
      </c>
      <c r="F20" s="631">
        <f t="shared" si="2"/>
        <v>0</v>
      </c>
      <c r="G20" s="631">
        <f>'SEF-7E p 2'!J17</f>
        <v>426253.88751197996</v>
      </c>
      <c r="H20" s="627">
        <f t="shared" si="3"/>
        <v>-20411.332488020009</v>
      </c>
      <c r="I20" s="367">
        <f t="shared" si="4"/>
        <v>6</v>
      </c>
      <c r="J20" s="403"/>
      <c r="K20" s="403"/>
      <c r="L20" s="826"/>
      <c r="M20" s="826"/>
      <c r="N20" s="826"/>
      <c r="O20" s="826"/>
      <c r="P20" s="826"/>
      <c r="Q20" s="233">
        <f t="shared" si="5"/>
        <v>6</v>
      </c>
      <c r="R20" s="366"/>
      <c r="S20" s="366"/>
      <c r="T20" s="401"/>
      <c r="U20" s="401"/>
      <c r="V20" s="644"/>
      <c r="W20" s="401"/>
      <c r="X20" s="401"/>
      <c r="Y20" s="233">
        <f t="shared" si="6"/>
        <v>6</v>
      </c>
      <c r="Z20" s="247"/>
      <c r="AA20" s="247"/>
      <c r="AB20" s="317"/>
      <c r="AC20" s="317"/>
      <c r="AD20" s="317"/>
      <c r="AE20" s="317"/>
      <c r="AF20" s="317"/>
      <c r="AG20" s="367">
        <v>12</v>
      </c>
      <c r="AH20" s="464"/>
      <c r="AI20" s="245"/>
      <c r="AJ20" s="348"/>
      <c r="AK20" s="348"/>
      <c r="AL20" s="348"/>
      <c r="AM20" s="348"/>
      <c r="AN20" s="244"/>
      <c r="AO20" s="233">
        <f t="shared" si="7"/>
        <v>6</v>
      </c>
      <c r="AP20" s="410" t="s">
        <v>560</v>
      </c>
      <c r="AQ20" s="410"/>
      <c r="AR20" s="467">
        <v>18500000</v>
      </c>
      <c r="AS20" s="239">
        <f t="shared" si="8"/>
        <v>18500000</v>
      </c>
      <c r="AT20" s="239">
        <f t="shared" si="9"/>
        <v>0</v>
      </c>
      <c r="AU20" s="467">
        <v>18500000</v>
      </c>
      <c r="AV20" s="467">
        <f t="shared" si="10"/>
        <v>0</v>
      </c>
      <c r="AW20" s="233">
        <f t="shared" si="11"/>
        <v>6</v>
      </c>
      <c r="AX20" s="624" t="s">
        <v>559</v>
      </c>
      <c r="AY20" s="451"/>
      <c r="AZ20" s="533">
        <v>-2160614.81</v>
      </c>
      <c r="BA20" s="533">
        <v>0</v>
      </c>
      <c r="BB20" s="533">
        <f>+BA20-AZ20</f>
        <v>2160614.81</v>
      </c>
      <c r="BC20" s="533">
        <f>BA20</f>
        <v>0</v>
      </c>
      <c r="BD20" s="533">
        <f>+BC20-BA20</f>
        <v>0</v>
      </c>
      <c r="BE20" s="230">
        <f t="shared" si="12"/>
        <v>6</v>
      </c>
      <c r="BF20" s="366" t="s">
        <v>1435</v>
      </c>
      <c r="BG20" s="366"/>
      <c r="BH20" s="1140">
        <f>SUM(BH17:BH19)</f>
        <v>3321469.9169705859</v>
      </c>
      <c r="BI20" s="1140">
        <f>SUM(BI17:BI19)</f>
        <v>3321469.9169705859</v>
      </c>
      <c r="BJ20" s="1140">
        <f>SUM(BJ17:BJ19)</f>
        <v>0</v>
      </c>
      <c r="BK20" s="1140">
        <f>SUM(BK17:BK19)</f>
        <v>0</v>
      </c>
      <c r="BL20" s="1140">
        <f>SUM(BL17:BL19)</f>
        <v>-3321469.9169705859</v>
      </c>
      <c r="BM20" s="367">
        <v>7</v>
      </c>
      <c r="BN20" s="366" t="s">
        <v>369</v>
      </c>
      <c r="BO20" s="643"/>
      <c r="BP20" s="519">
        <f>SUM(BP17:BP19)</f>
        <v>0</v>
      </c>
      <c r="BQ20" s="519">
        <f>SUM(BQ17:BQ19)</f>
        <v>0</v>
      </c>
      <c r="BR20" s="519">
        <f>+BP20</f>
        <v>0</v>
      </c>
      <c r="BS20" s="518">
        <f>SUM(BS17:BS19)</f>
        <v>11899759.55273651</v>
      </c>
      <c r="BT20" s="518">
        <f>SUM(BT17:BT19)</f>
        <v>11899759.55273651</v>
      </c>
      <c r="BU20" s="233">
        <f t="shared" si="13"/>
        <v>6</v>
      </c>
      <c r="BV20" s="397" t="s">
        <v>557</v>
      </c>
      <c r="BX20" s="519">
        <f>SUM(BX17:BX19)</f>
        <v>0</v>
      </c>
      <c r="BY20" s="519">
        <f>SUM(BY17:BY19)</f>
        <v>0</v>
      </c>
      <c r="BZ20" s="519">
        <f>SUM(BZ17:BZ19)</f>
        <v>0</v>
      </c>
      <c r="CA20" s="518">
        <f>SUM(CA17:CA19)</f>
        <v>4644660.6473233327</v>
      </c>
      <c r="CB20" s="518">
        <f>CA20-BY20</f>
        <v>4644660.6473233327</v>
      </c>
      <c r="CC20" s="377">
        <f t="shared" si="0"/>
        <v>7</v>
      </c>
      <c r="CD20" s="403"/>
      <c r="CE20" s="403"/>
      <c r="CF20" s="407"/>
      <c r="CG20" s="407"/>
      <c r="CH20" s="407"/>
      <c r="CI20" s="407"/>
      <c r="CJ20" s="407"/>
    </row>
    <row r="21" spans="1:88" ht="15.6" thickTop="1" thickBot="1">
      <c r="A21" s="302">
        <f t="shared" si="1"/>
        <v>7</v>
      </c>
      <c r="B21" s="640" t="s">
        <v>556</v>
      </c>
      <c r="C21" s="640"/>
      <c r="D21" s="631">
        <v>115807777.5999999</v>
      </c>
      <c r="E21" s="631">
        <v>115807777.5999999</v>
      </c>
      <c r="F21" s="631">
        <f t="shared" si="2"/>
        <v>0</v>
      </c>
      <c r="G21" s="631">
        <f>'SEF-7E p 2'!J18</f>
        <v>112334321.32462588</v>
      </c>
      <c r="H21" s="627">
        <f t="shared" si="3"/>
        <v>-3473456.2753740251</v>
      </c>
      <c r="I21" s="367">
        <f t="shared" si="4"/>
        <v>7</v>
      </c>
      <c r="J21" s="403" t="s">
        <v>286</v>
      </c>
      <c r="K21" s="430">
        <v>0.21</v>
      </c>
      <c r="L21" s="310">
        <f>-L19*$K$21</f>
        <v>-282761.75760000001</v>
      </c>
      <c r="M21" s="310">
        <f>-M19*$K$21</f>
        <v>-301002.52875</v>
      </c>
      <c r="N21" s="310">
        <f>-N19*$K$21</f>
        <v>-18240.771149999986</v>
      </c>
      <c r="O21" s="310">
        <f>-O19*$K$21</f>
        <v>-163303.48970952773</v>
      </c>
      <c r="P21" s="310">
        <f>-P19*$K$21</f>
        <v>137699.03904047227</v>
      </c>
      <c r="Q21" s="233">
        <f t="shared" si="5"/>
        <v>7</v>
      </c>
      <c r="R21" s="642" t="s">
        <v>555</v>
      </c>
      <c r="S21" s="642"/>
      <c r="T21" s="826"/>
      <c r="U21" s="826"/>
      <c r="V21" s="826"/>
      <c r="W21" s="826"/>
      <c r="X21" s="826"/>
      <c r="Y21" s="233">
        <f t="shared" si="6"/>
        <v>7</v>
      </c>
      <c r="Z21" s="247" t="s">
        <v>300</v>
      </c>
      <c r="AA21" s="249">
        <f>+FIT_E</f>
        <v>0.21</v>
      </c>
      <c r="AB21" s="317">
        <f>+AB19*$AA21</f>
        <v>8748915.1805999987</v>
      </c>
      <c r="AC21" s="317">
        <f>+AC19*$AA21</f>
        <v>0</v>
      </c>
      <c r="AD21" s="317">
        <f>+AD19*$AA21</f>
        <v>-8748915.1805999987</v>
      </c>
      <c r="AE21" s="317">
        <f>+AE19*$AA21</f>
        <v>0</v>
      </c>
      <c r="AF21" s="317">
        <f>+AF19*$AA21</f>
        <v>0</v>
      </c>
      <c r="AG21" s="367">
        <v>13</v>
      </c>
      <c r="AH21" s="464" t="s">
        <v>554</v>
      </c>
      <c r="AI21" s="245"/>
      <c r="AJ21" s="348">
        <v>25322916</v>
      </c>
      <c r="AK21" s="348">
        <f>+AJ21</f>
        <v>25322916</v>
      </c>
      <c r="AL21" s="348">
        <f>+AK21-AJ21</f>
        <v>0</v>
      </c>
      <c r="AM21" s="348">
        <v>38844187.800000004</v>
      </c>
      <c r="AN21" s="244">
        <f>+AM21-AK21</f>
        <v>13521271.800000004</v>
      </c>
      <c r="AO21" s="233">
        <f t="shared" si="7"/>
        <v>7</v>
      </c>
      <c r="AP21" s="410" t="s">
        <v>525</v>
      </c>
      <c r="AQ21" s="410"/>
      <c r="AR21" s="467">
        <v>499999.67</v>
      </c>
      <c r="AS21" s="239">
        <f t="shared" si="8"/>
        <v>499999.67</v>
      </c>
      <c r="AT21" s="239">
        <f t="shared" si="9"/>
        <v>0</v>
      </c>
      <c r="AU21" s="467">
        <v>0</v>
      </c>
      <c r="AV21" s="467">
        <f t="shared" si="10"/>
        <v>-499999.67</v>
      </c>
      <c r="AW21" s="233">
        <f t="shared" si="11"/>
        <v>7</v>
      </c>
      <c r="AX21" s="624" t="s">
        <v>249</v>
      </c>
      <c r="AY21" s="534"/>
      <c r="AZ21" s="353">
        <f>-SUM(AZ17:AZ20)</f>
        <v>-12686833.16732973</v>
      </c>
      <c r="BA21" s="353">
        <f>-SUM(BA17:BA20)</f>
        <v>0</v>
      </c>
      <c r="BB21" s="353">
        <f>-SUM(BB17:BB20)</f>
        <v>12686833.16732973</v>
      </c>
      <c r="BC21" s="353">
        <f>-SUM(BC17:BC20)</f>
        <v>0</v>
      </c>
      <c r="BD21" s="353">
        <f>-SUM(BD17:BD20)</f>
        <v>0</v>
      </c>
      <c r="BE21" s="230">
        <f t="shared" si="12"/>
        <v>7</v>
      </c>
      <c r="BF21" s="366"/>
      <c r="BG21" s="366"/>
      <c r="BH21" s="1141"/>
      <c r="BI21" s="1141"/>
      <c r="BJ21" s="1142"/>
      <c r="BK21" s="1141"/>
      <c r="BL21" s="1141"/>
      <c r="BM21" s="367">
        <v>8</v>
      </c>
      <c r="BN21"/>
      <c r="BO21"/>
      <c r="BP21" s="1147"/>
      <c r="BQ21" s="1147"/>
      <c r="BR21" s="1147"/>
      <c r="BS21" s="1147"/>
      <c r="BT21" s="1147"/>
      <c r="BU21" s="233">
        <f t="shared" si="13"/>
        <v>7</v>
      </c>
      <c r="BX21" s="1147"/>
      <c r="BY21" s="1147"/>
      <c r="BZ21" s="1147"/>
      <c r="CA21" s="1147"/>
      <c r="CB21" s="1147"/>
      <c r="CC21" s="377">
        <f t="shared" si="0"/>
        <v>8</v>
      </c>
      <c r="CD21" s="403"/>
      <c r="CE21" s="430"/>
      <c r="CF21" s="407"/>
      <c r="CG21" s="407"/>
      <c r="CH21" s="407"/>
      <c r="CI21" s="407"/>
      <c r="CJ21" s="407"/>
    </row>
    <row r="22" spans="1:88" ht="15.6" thickTop="1" thickBot="1">
      <c r="A22" s="302">
        <f t="shared" si="1"/>
        <v>8</v>
      </c>
      <c r="B22" s="640" t="s">
        <v>553</v>
      </c>
      <c r="C22" s="640"/>
      <c r="D22" s="631">
        <v>-155333122.24000001</v>
      </c>
      <c r="E22" s="631">
        <v>-155333122.24000001</v>
      </c>
      <c r="F22" s="631">
        <f t="shared" si="2"/>
        <v>0</v>
      </c>
      <c r="G22" s="631">
        <f>'SEF-7E p 2'!J19</f>
        <v>-5469488.0226492053</v>
      </c>
      <c r="H22" s="627">
        <f t="shared" si="3"/>
        <v>149863634.21735081</v>
      </c>
      <c r="I22" s="367">
        <f t="shared" si="4"/>
        <v>8</v>
      </c>
      <c r="J22" s="403" t="s">
        <v>281</v>
      </c>
      <c r="K22" s="403"/>
      <c r="L22" s="402">
        <f>-L19-L21</f>
        <v>-1063722.8023999999</v>
      </c>
      <c r="M22" s="402">
        <f>-M19-M21</f>
        <v>-1132342.8462499999</v>
      </c>
      <c r="N22" s="402">
        <f>-N19-N21</f>
        <v>-68620.043849999958</v>
      </c>
      <c r="O22" s="402">
        <f>-O19-O21</f>
        <v>-614332.17557393771</v>
      </c>
      <c r="P22" s="402">
        <f>-P19-P21</f>
        <v>518010.67067606235</v>
      </c>
      <c r="Q22" s="233">
        <f t="shared" si="5"/>
        <v>8</v>
      </c>
      <c r="R22" s="639" t="s">
        <v>346</v>
      </c>
      <c r="S22" s="639"/>
      <c r="T22" s="1136">
        <v>212064</v>
      </c>
      <c r="U22" s="1136">
        <v>0</v>
      </c>
      <c r="V22" s="1136">
        <f>U22-T22</f>
        <v>-212064</v>
      </c>
      <c r="W22" s="1136">
        <f>U22</f>
        <v>0</v>
      </c>
      <c r="X22" s="1136">
        <f>W22-U22</f>
        <v>0</v>
      </c>
      <c r="Y22" s="233">
        <f t="shared" si="6"/>
        <v>8</v>
      </c>
      <c r="Z22" s="245"/>
      <c r="AA22" s="245"/>
      <c r="AB22" s="1138"/>
      <c r="AC22" s="1138"/>
      <c r="AD22" s="1138"/>
      <c r="AE22" s="1138"/>
      <c r="AF22" s="1138"/>
      <c r="AG22" s="367">
        <v>14</v>
      </c>
      <c r="AH22" s="464"/>
      <c r="AI22" s="245"/>
      <c r="AJ22" s="375"/>
      <c r="AK22" s="375"/>
      <c r="AL22" s="375"/>
      <c r="AM22" s="375"/>
      <c r="AN22" s="375"/>
      <c r="AO22" s="233">
        <f t="shared" si="7"/>
        <v>8</v>
      </c>
      <c r="AP22" s="410" t="s">
        <v>524</v>
      </c>
      <c r="AQ22" s="410"/>
      <c r="AR22" s="467">
        <v>59411377.369999997</v>
      </c>
      <c r="AS22" s="239">
        <f t="shared" si="8"/>
        <v>59411377.369999997</v>
      </c>
      <c r="AT22" s="239">
        <f t="shared" si="9"/>
        <v>0</v>
      </c>
      <c r="AU22" s="467">
        <v>52182863.023084156</v>
      </c>
      <c r="AV22" s="467">
        <f t="shared" si="10"/>
        <v>-7228514.3469158411</v>
      </c>
      <c r="AW22" s="233">
        <f t="shared" si="11"/>
        <v>8</v>
      </c>
      <c r="AX22" s="624"/>
      <c r="AY22" s="534"/>
      <c r="AZ22" s="274"/>
      <c r="BA22" s="274"/>
      <c r="BB22" s="274"/>
      <c r="BC22" s="274"/>
      <c r="BD22" s="274"/>
      <c r="BE22" s="230">
        <f t="shared" si="12"/>
        <v>8</v>
      </c>
      <c r="BF22" s="642" t="s">
        <v>552</v>
      </c>
      <c r="BG22" s="642"/>
      <c r="BH22" s="1143"/>
      <c r="BI22" s="1143"/>
      <c r="BJ22" s="1143"/>
      <c r="BK22" s="1143"/>
      <c r="BL22" s="1143"/>
      <c r="BM22" s="367">
        <v>9</v>
      </c>
      <c r="BN22" s="413" t="s">
        <v>297</v>
      </c>
      <c r="BO22" s="413"/>
      <c r="BP22" s="1147"/>
      <c r="BQ22" s="1147"/>
      <c r="BR22" s="1147"/>
      <c r="BS22" s="1147"/>
      <c r="BT22" s="1147"/>
      <c r="BU22" s="233">
        <f t="shared" si="13"/>
        <v>8</v>
      </c>
      <c r="BV22" s="413" t="s">
        <v>297</v>
      </c>
      <c r="BX22" s="1147"/>
      <c r="BY22" s="1147"/>
      <c r="BZ22" s="1147"/>
      <c r="CA22" s="1147"/>
      <c r="CB22" s="1147"/>
      <c r="CC22" s="377">
        <f t="shared" si="0"/>
        <v>9</v>
      </c>
      <c r="CD22" s="403"/>
      <c r="CE22" s="403"/>
      <c r="CF22" s="641"/>
      <c r="CG22" s="641"/>
      <c r="CH22" s="641"/>
      <c r="CI22" s="641"/>
      <c r="CJ22" s="641"/>
    </row>
    <row r="23" spans="1:88" ht="15.6" thickTop="1" thickBot="1">
      <c r="A23" s="302">
        <f t="shared" si="1"/>
        <v>9</v>
      </c>
      <c r="B23" s="640" t="s">
        <v>551</v>
      </c>
      <c r="C23" s="640"/>
      <c r="D23" s="631">
        <v>-69470811.980000019</v>
      </c>
      <c r="E23" s="631">
        <v>-69470811.980000019</v>
      </c>
      <c r="F23" s="631">
        <f t="shared" si="2"/>
        <v>0</v>
      </c>
      <c r="G23" s="631">
        <f>'SEF-7E p 2'!J20</f>
        <v>-21415123.754653782</v>
      </c>
      <c r="H23" s="627">
        <f t="shared" si="3"/>
        <v>48055688.225346237</v>
      </c>
      <c r="L23" s="826"/>
      <c r="M23" s="826"/>
      <c r="N23" s="826"/>
      <c r="O23" s="826"/>
      <c r="P23" s="826"/>
      <c r="Q23" s="233">
        <f t="shared" si="5"/>
        <v>9</v>
      </c>
      <c r="R23" s="639"/>
      <c r="S23" s="639"/>
      <c r="T23" s="234"/>
      <c r="U23" s="234"/>
      <c r="V23" s="234"/>
      <c r="W23" s="234"/>
      <c r="X23" s="234"/>
      <c r="Y23" s="233">
        <f t="shared" si="6"/>
        <v>9</v>
      </c>
      <c r="Z23" s="247" t="s">
        <v>249</v>
      </c>
      <c r="AA23" s="247"/>
      <c r="AB23" s="1139">
        <f>+AB19-AB21</f>
        <v>32912585.679400001</v>
      </c>
      <c r="AC23" s="1139">
        <f>+AC19-AC21</f>
        <v>0</v>
      </c>
      <c r="AD23" s="1139">
        <f>+AD19-AD21</f>
        <v>-32912585.679400001</v>
      </c>
      <c r="AE23" s="1139">
        <f>+AE19-AE21</f>
        <v>0</v>
      </c>
      <c r="AF23" s="1139">
        <f>+AF19-AF21</f>
        <v>0</v>
      </c>
      <c r="AG23" s="367">
        <v>15</v>
      </c>
      <c r="AH23" s="464" t="s">
        <v>303</v>
      </c>
      <c r="AI23" s="245"/>
      <c r="AJ23" s="348">
        <f>SUM(AJ19:AJ22)</f>
        <v>35616648.289999999</v>
      </c>
      <c r="AK23" s="348">
        <f>SUM(AK19:AK22)</f>
        <v>35630573.413333334</v>
      </c>
      <c r="AL23" s="348">
        <f>SUM(AL19:AL22)</f>
        <v>13925.12333333405</v>
      </c>
      <c r="AM23" s="348">
        <f>SUM(AM19:AM22)</f>
        <v>49151845.213333338</v>
      </c>
      <c r="AN23" s="348">
        <f>SUM(AN19:AN22)</f>
        <v>13521271.800000004</v>
      </c>
      <c r="AO23" s="233">
        <f t="shared" si="7"/>
        <v>9</v>
      </c>
      <c r="AP23" s="410" t="s">
        <v>522</v>
      </c>
      <c r="AQ23" s="410"/>
      <c r="AR23" s="467">
        <v>8147050.7999999998</v>
      </c>
      <c r="AS23" s="239">
        <f t="shared" si="8"/>
        <v>8147050.7999999998</v>
      </c>
      <c r="AT23" s="239">
        <f t="shared" si="9"/>
        <v>0</v>
      </c>
      <c r="AU23" s="467">
        <v>7424114.27447436</v>
      </c>
      <c r="AV23" s="467">
        <f t="shared" si="10"/>
        <v>-722936.52552563976</v>
      </c>
      <c r="AW23" s="233">
        <f t="shared" si="11"/>
        <v>9</v>
      </c>
      <c r="AX23" s="573" t="s">
        <v>550</v>
      </c>
      <c r="BE23" s="230">
        <f t="shared" si="12"/>
        <v>9</v>
      </c>
      <c r="BF23" s="639" t="s">
        <v>346</v>
      </c>
      <c r="BG23" s="639"/>
      <c r="BH23" s="1136">
        <v>5669283.3340000007</v>
      </c>
      <c r="BI23" s="1136">
        <f>+BH23</f>
        <v>5669283.3340000007</v>
      </c>
      <c r="BJ23" s="1136">
        <f>BI23-BH23</f>
        <v>0</v>
      </c>
      <c r="BK23" s="1136">
        <v>0</v>
      </c>
      <c r="BL23" s="1136">
        <f>BK23-BI23</f>
        <v>-5669283.3340000007</v>
      </c>
      <c r="BM23" s="367">
        <v>10</v>
      </c>
      <c r="BN23" s="399" t="s">
        <v>346</v>
      </c>
      <c r="BO23" s="399"/>
      <c r="BP23" s="231">
        <v>0</v>
      </c>
      <c r="BQ23" s="231">
        <v>0</v>
      </c>
      <c r="BR23" s="231">
        <f>BQ23-BP23</f>
        <v>0</v>
      </c>
      <c r="BS23" s="444">
        <v>370592.44987679686</v>
      </c>
      <c r="BT23" s="444">
        <f>BS23-BR23</f>
        <v>370592.44987679686</v>
      </c>
      <c r="BU23" s="233">
        <f t="shared" si="13"/>
        <v>9</v>
      </c>
      <c r="BV23" s="399" t="s">
        <v>1365</v>
      </c>
      <c r="BX23" s="231">
        <v>0</v>
      </c>
      <c r="BY23" s="231">
        <v>0</v>
      </c>
      <c r="BZ23" s="231">
        <v>0</v>
      </c>
      <c r="CA23" s="444">
        <v>3090056.355</v>
      </c>
      <c r="CB23" s="444">
        <f>CA23-BY23</f>
        <v>3090056.355</v>
      </c>
      <c r="CC23" s="377">
        <f t="shared" si="0"/>
        <v>10</v>
      </c>
      <c r="CD23" s="250"/>
      <c r="CE23" s="250"/>
      <c r="CF23" s="250"/>
      <c r="CG23" s="250"/>
      <c r="CH23" s="250"/>
      <c r="CI23" s="250"/>
      <c r="CJ23" s="250"/>
    </row>
    <row r="24" spans="1:88" ht="15" thickTop="1">
      <c r="A24" s="302">
        <f t="shared" si="1"/>
        <v>10</v>
      </c>
      <c r="B24" s="436" t="s">
        <v>539</v>
      </c>
      <c r="C24" s="379"/>
      <c r="D24" s="630">
        <f>SUM(D16:D23)</f>
        <v>687020771.23999882</v>
      </c>
      <c r="E24" s="630">
        <f>SUM(E16:E23)</f>
        <v>691668820.6544615</v>
      </c>
      <c r="F24" s="630">
        <f>SUM(F16:F23)</f>
        <v>4648049.4144626539</v>
      </c>
      <c r="G24" s="630">
        <f>SUM(G16:G23)</f>
        <v>707829253.83836222</v>
      </c>
      <c r="H24" s="630">
        <f>SUM(H16:H23)</f>
        <v>16160433.183900833</v>
      </c>
      <c r="Q24" s="233">
        <f t="shared" si="5"/>
        <v>10</v>
      </c>
      <c r="R24" s="436" t="s">
        <v>275</v>
      </c>
      <c r="S24" s="436"/>
      <c r="T24" s="1135">
        <f>SUM(T22:T23)</f>
        <v>212064</v>
      </c>
      <c r="U24" s="1135">
        <f>SUM(U22:U23)</f>
        <v>0</v>
      </c>
      <c r="V24" s="1135">
        <f>SUM(V22:V23)</f>
        <v>-212064</v>
      </c>
      <c r="W24" s="1135">
        <f>SUM(W22:W23)</f>
        <v>0</v>
      </c>
      <c r="X24" s="1135">
        <f>SUM(X22:X23)</f>
        <v>0</v>
      </c>
      <c r="Y24" s="233"/>
      <c r="Z24" s="250"/>
      <c r="AA24" s="250"/>
      <c r="AB24" s="250"/>
      <c r="AC24" s="250"/>
      <c r="AD24" s="250"/>
      <c r="AE24" s="250"/>
      <c r="AF24" s="250"/>
      <c r="AG24" s="367">
        <v>16</v>
      </c>
      <c r="AH24" s="464"/>
      <c r="AI24" s="245"/>
      <c r="AJ24" s="348"/>
      <c r="AK24" s="348"/>
      <c r="AL24" s="348"/>
      <c r="AM24" s="348"/>
      <c r="AN24" s="244"/>
      <c r="AO24" s="233">
        <f t="shared" si="7"/>
        <v>10</v>
      </c>
      <c r="AP24" s="410" t="s">
        <v>521</v>
      </c>
      <c r="AQ24" s="410"/>
      <c r="AR24" s="467">
        <v>-78555.81</v>
      </c>
      <c r="AS24" s="239">
        <f t="shared" si="8"/>
        <v>-78555.81</v>
      </c>
      <c r="AT24" s="239">
        <f t="shared" si="9"/>
        <v>0</v>
      </c>
      <c r="AU24" s="467">
        <v>-78558.319307994898</v>
      </c>
      <c r="AV24" s="467">
        <f t="shared" si="10"/>
        <v>-2.5093079949001549</v>
      </c>
      <c r="AW24" s="233">
        <f t="shared" si="11"/>
        <v>10</v>
      </c>
      <c r="AX24" s="573"/>
      <c r="AY24" s="250"/>
      <c r="BE24" s="230">
        <f t="shared" si="12"/>
        <v>10</v>
      </c>
      <c r="BF24" s="639"/>
      <c r="BG24" s="639"/>
      <c r="BH24" s="1144"/>
      <c r="BI24" s="1144"/>
      <c r="BJ24" s="1144"/>
      <c r="BK24" s="1144"/>
      <c r="BL24" s="1144"/>
      <c r="BM24" s="367">
        <v>11</v>
      </c>
      <c r="BN24" s="399" t="s">
        <v>277</v>
      </c>
      <c r="BO24" s="399"/>
      <c r="BP24" s="1126">
        <f>SUM(BP23)</f>
        <v>0</v>
      </c>
      <c r="BQ24" s="1126">
        <f>SUM(BQ23)</f>
        <v>0</v>
      </c>
      <c r="BR24" s="1126">
        <f>SUM(BR23)</f>
        <v>0</v>
      </c>
      <c r="BS24" s="1126">
        <f>SUM(BS23)</f>
        <v>370592.44987679686</v>
      </c>
      <c r="BT24" s="1126">
        <f>SUM(BT23)</f>
        <v>370592.44987679686</v>
      </c>
      <c r="BU24" s="233">
        <f t="shared" si="13"/>
        <v>10</v>
      </c>
      <c r="BV24" s="399" t="s">
        <v>277</v>
      </c>
      <c r="BX24" s="1126">
        <f>+BX23</f>
        <v>0</v>
      </c>
      <c r="BY24" s="1126">
        <f>+BY23</f>
        <v>0</v>
      </c>
      <c r="BZ24" s="1126">
        <f>+BZ23</f>
        <v>0</v>
      </c>
      <c r="CA24" s="1126">
        <f>+CA23</f>
        <v>3090056.355</v>
      </c>
      <c r="CB24" s="1126">
        <f>+CB23</f>
        <v>3090056.355</v>
      </c>
      <c r="CC24" s="377">
        <f t="shared" si="0"/>
        <v>11</v>
      </c>
      <c r="CD24" s="250"/>
      <c r="CE24" s="250"/>
      <c r="CF24" s="250"/>
      <c r="CG24" s="250"/>
      <c r="CH24" s="250"/>
      <c r="CI24" s="250"/>
      <c r="CJ24" s="250"/>
    </row>
    <row r="25" spans="1:88" ht="15.6">
      <c r="A25" s="302">
        <f t="shared" si="1"/>
        <v>11</v>
      </c>
      <c r="B25" s="379" t="s">
        <v>172</v>
      </c>
      <c r="C25" s="379"/>
      <c r="D25" s="637"/>
      <c r="E25" s="637"/>
      <c r="F25" s="637"/>
      <c r="G25" s="637"/>
      <c r="H25" s="637"/>
      <c r="Q25" s="233">
        <f t="shared" si="5"/>
        <v>11</v>
      </c>
      <c r="R25" s="436"/>
      <c r="S25" s="436"/>
      <c r="T25" s="826"/>
      <c r="U25" s="826"/>
      <c r="V25" s="826"/>
      <c r="W25" s="826"/>
      <c r="X25" s="826"/>
      <c r="Y25" s="233"/>
      <c r="Z25" s="250"/>
      <c r="AA25" s="250"/>
      <c r="AB25" s="250"/>
      <c r="AC25" s="250"/>
      <c r="AD25" s="250"/>
      <c r="AE25" s="250"/>
      <c r="AF25" s="250"/>
      <c r="AG25" s="367">
        <v>19</v>
      </c>
      <c r="AH25" s="464" t="s">
        <v>252</v>
      </c>
      <c r="AI25" s="249">
        <f>+FIT_E</f>
        <v>0.21</v>
      </c>
      <c r="AJ25" s="348">
        <f>-AJ23*$AI25</f>
        <v>-7479496.1409</v>
      </c>
      <c r="AK25" s="348">
        <f>-AK23*$AI25</f>
        <v>-7482420.4167999998</v>
      </c>
      <c r="AL25" s="348">
        <f>-AL23*$AI25</f>
        <v>-2924.2759000001502</v>
      </c>
      <c r="AM25" s="348">
        <f>-AM23*$AI25</f>
        <v>-10321887.494800001</v>
      </c>
      <c r="AN25" s="348">
        <f>-AN23*$AI25</f>
        <v>-2839467.0780000007</v>
      </c>
      <c r="AO25" s="233">
        <f t="shared" si="7"/>
        <v>11</v>
      </c>
      <c r="AP25" s="410" t="s">
        <v>520</v>
      </c>
      <c r="AQ25" s="410"/>
      <c r="AR25" s="467">
        <v>-308479.03999999998</v>
      </c>
      <c r="AS25" s="239">
        <f t="shared" si="8"/>
        <v>-308479.03999999998</v>
      </c>
      <c r="AT25" s="239">
        <f t="shared" si="9"/>
        <v>0</v>
      </c>
      <c r="AU25" s="467">
        <v>-308483.94047545741</v>
      </c>
      <c r="AV25" s="467">
        <f t="shared" si="10"/>
        <v>-4.9004754574270919</v>
      </c>
      <c r="AW25" s="233">
        <f t="shared" si="11"/>
        <v>11</v>
      </c>
      <c r="AX25" s="628" t="s">
        <v>47</v>
      </c>
      <c r="AY25" s="250"/>
      <c r="BE25" s="230">
        <f t="shared" si="12"/>
        <v>11</v>
      </c>
      <c r="BF25" s="436" t="s">
        <v>275</v>
      </c>
      <c r="BG25" s="436"/>
      <c r="BH25" s="1136">
        <f>SUM(BH23:BH24)</f>
        <v>5669283.3340000007</v>
      </c>
      <c r="BI25" s="1136">
        <f>SUM(BI23:BI24)</f>
        <v>5669283.3340000007</v>
      </c>
      <c r="BJ25" s="1136">
        <f>SUM(BJ23:BJ24)</f>
        <v>0</v>
      </c>
      <c r="BK25" s="1136">
        <f>SUM(BK23:BK24)</f>
        <v>0</v>
      </c>
      <c r="BL25" s="1136">
        <f>SUM(BL23:BL24)</f>
        <v>-5669283.3340000007</v>
      </c>
      <c r="BM25" s="367">
        <v>12</v>
      </c>
      <c r="BN25" s="395"/>
      <c r="BO25" s="395"/>
      <c r="BP25" s="1148"/>
      <c r="BQ25" s="1148"/>
      <c r="BR25" s="1128"/>
      <c r="BS25" s="1148"/>
      <c r="BT25" s="1128"/>
      <c r="BU25" s="233">
        <f t="shared" si="13"/>
        <v>11</v>
      </c>
      <c r="BX25" s="1148"/>
      <c r="BY25" s="1148"/>
      <c r="BZ25" s="1128"/>
      <c r="CA25" s="1148"/>
      <c r="CB25" s="1128"/>
      <c r="CC25" s="377">
        <f t="shared" si="0"/>
        <v>12</v>
      </c>
      <c r="CD25" s="250"/>
      <c r="CE25" s="250"/>
      <c r="CF25" s="250"/>
      <c r="CG25" s="250"/>
      <c r="CH25" s="250"/>
      <c r="CI25" s="250"/>
      <c r="CJ25" s="250"/>
    </row>
    <row r="26" spans="1:88">
      <c r="A26" s="302">
        <f t="shared" si="1"/>
        <v>12</v>
      </c>
      <c r="B26" s="638" t="s">
        <v>549</v>
      </c>
      <c r="C26" s="379"/>
      <c r="D26" s="637"/>
      <c r="E26" s="637"/>
      <c r="F26" s="637"/>
      <c r="G26" s="637"/>
      <c r="H26" s="637"/>
      <c r="Q26" s="233">
        <f t="shared" si="5"/>
        <v>12</v>
      </c>
      <c r="R26" s="245" t="s">
        <v>252</v>
      </c>
      <c r="S26" s="636">
        <v>0.21</v>
      </c>
      <c r="T26" s="1136">
        <v>-44533.439999999995</v>
      </c>
      <c r="U26" s="1136">
        <v>0</v>
      </c>
      <c r="V26" s="1136">
        <f>U26-T26</f>
        <v>44533.439999999995</v>
      </c>
      <c r="W26" s="1136">
        <f>U26</f>
        <v>0</v>
      </c>
      <c r="X26" s="1136">
        <f>W26-U26</f>
        <v>0</v>
      </c>
      <c r="Y26" s="613"/>
      <c r="Z26" s="612"/>
      <c r="AA26" s="612"/>
      <c r="AB26" s="612"/>
      <c r="AC26" s="612"/>
      <c r="AD26" s="612"/>
      <c r="AE26" s="612"/>
      <c r="AF26" s="612"/>
      <c r="AG26" s="367">
        <v>20</v>
      </c>
      <c r="AH26" s="464"/>
      <c r="AI26" s="245"/>
      <c r="AJ26" s="635"/>
      <c r="AK26" s="635"/>
      <c r="AL26" s="635"/>
      <c r="AM26" s="635"/>
      <c r="AN26" s="635"/>
      <c r="AO26" s="233">
        <f t="shared" si="7"/>
        <v>12</v>
      </c>
      <c r="AP26" s="410" t="s">
        <v>519</v>
      </c>
      <c r="AQ26" s="410"/>
      <c r="AR26" s="467">
        <v>1815699.5799999998</v>
      </c>
      <c r="AS26" s="239">
        <f t="shared" si="8"/>
        <v>1815699.5799999998</v>
      </c>
      <c r="AT26" s="239">
        <f t="shared" si="9"/>
        <v>0</v>
      </c>
      <c r="AU26" s="467">
        <v>-1160240.5572003927</v>
      </c>
      <c r="AV26" s="467">
        <f t="shared" si="10"/>
        <v>-2975940.1372003928</v>
      </c>
      <c r="AW26" s="233">
        <f t="shared" si="11"/>
        <v>12</v>
      </c>
      <c r="AX26" s="624" t="s">
        <v>548</v>
      </c>
      <c r="AZ26" s="451">
        <v>23551517.436357476</v>
      </c>
      <c r="BA26" s="634">
        <v>39996900.554010905</v>
      </c>
      <c r="BB26" s="387">
        <f>BA26-AZ26</f>
        <v>16445383.11765343</v>
      </c>
      <c r="BC26" s="634">
        <v>39996900.554010905</v>
      </c>
      <c r="BD26" s="633">
        <f>BC26-BA26</f>
        <v>0</v>
      </c>
      <c r="BE26" s="230">
        <f t="shared" si="12"/>
        <v>12</v>
      </c>
      <c r="BF26" s="436"/>
      <c r="BG26" s="436"/>
      <c r="BH26" s="1145"/>
      <c r="BI26" s="1145"/>
      <c r="BJ26" s="1146"/>
      <c r="BK26" s="1145"/>
      <c r="BL26" s="1145"/>
      <c r="BM26" s="367">
        <v>13</v>
      </c>
      <c r="BN26" s="379" t="s">
        <v>275</v>
      </c>
      <c r="BO26" s="379"/>
      <c r="BP26" s="244">
        <f t="shared" ref="BP26:BS26" si="14">BP24</f>
        <v>0</v>
      </c>
      <c r="BQ26" s="244">
        <f t="shared" si="14"/>
        <v>0</v>
      </c>
      <c r="BR26" s="244">
        <f t="shared" si="14"/>
        <v>0</v>
      </c>
      <c r="BS26" s="244">
        <f t="shared" si="14"/>
        <v>370592.44987679686</v>
      </c>
      <c r="BT26" s="244">
        <f>BT24</f>
        <v>370592.44987679686</v>
      </c>
      <c r="BU26" s="233">
        <f t="shared" si="13"/>
        <v>12</v>
      </c>
      <c r="BV26" s="379" t="s">
        <v>275</v>
      </c>
      <c r="BX26" s="244">
        <f t="shared" ref="BX26:CA26" si="15">+BX24</f>
        <v>0</v>
      </c>
      <c r="BY26" s="244">
        <f t="shared" si="15"/>
        <v>0</v>
      </c>
      <c r="BZ26" s="244">
        <f t="shared" si="15"/>
        <v>0</v>
      </c>
      <c r="CA26" s="244">
        <f t="shared" si="15"/>
        <v>3090056.355</v>
      </c>
      <c r="CB26" s="244">
        <f>+CB24</f>
        <v>3090056.355</v>
      </c>
      <c r="CC26" s="377">
        <f t="shared" si="0"/>
        <v>13</v>
      </c>
      <c r="CD26" s="250"/>
      <c r="CE26" s="250"/>
      <c r="CF26" s="250"/>
      <c r="CG26" s="250"/>
      <c r="CH26" s="250"/>
      <c r="CI26" s="250"/>
      <c r="CJ26" s="250"/>
    </row>
    <row r="27" spans="1:88" ht="15" thickBot="1">
      <c r="A27" s="302">
        <f t="shared" si="1"/>
        <v>13</v>
      </c>
      <c r="B27" s="445" t="s">
        <v>547</v>
      </c>
      <c r="C27" s="379"/>
      <c r="D27" s="631">
        <v>127167992.89</v>
      </c>
      <c r="E27" s="631">
        <v>127167992.89</v>
      </c>
      <c r="F27" s="631">
        <f>+E27-D27</f>
        <v>0</v>
      </c>
      <c r="G27" s="631">
        <f>'SEF-7E p 2'!J24</f>
        <v>108520132.47835678</v>
      </c>
      <c r="H27" s="627">
        <f>+G27-E27</f>
        <v>-18647860.411643222</v>
      </c>
      <c r="I27" s="233"/>
      <c r="Q27" s="233">
        <f t="shared" si="5"/>
        <v>13</v>
      </c>
      <c r="R27" s="247" t="s">
        <v>249</v>
      </c>
      <c r="S27" s="247"/>
      <c r="T27" s="1131">
        <f>-T24-T26</f>
        <v>-167530.56</v>
      </c>
      <c r="U27" s="1131">
        <f>-U24-U26</f>
        <v>0</v>
      </c>
      <c r="V27" s="1131">
        <f>-V24-V26</f>
        <v>167530.56</v>
      </c>
      <c r="W27" s="1131">
        <f>-W24-W26</f>
        <v>0</v>
      </c>
      <c r="X27" s="1131">
        <f>-X24-X26</f>
        <v>0</v>
      </c>
      <c r="Y27" s="233"/>
      <c r="Z27" s="250"/>
      <c r="AA27" s="250"/>
      <c r="AB27" s="250"/>
      <c r="AC27" s="250"/>
      <c r="AD27" s="250"/>
      <c r="AE27" s="250"/>
      <c r="AF27" s="250"/>
      <c r="AG27" s="367">
        <v>21</v>
      </c>
      <c r="AH27" s="464" t="s">
        <v>249</v>
      </c>
      <c r="AI27" s="245"/>
      <c r="AJ27" s="235">
        <f>-SUM(AJ23:AJ26)</f>
        <v>-28137152.149099998</v>
      </c>
      <c r="AK27" s="235">
        <f>-SUM(AK23:AK26)</f>
        <v>-28148152.996533334</v>
      </c>
      <c r="AL27" s="235">
        <f>-SUM(AL23:AL26)</f>
        <v>-11000.8474333339</v>
      </c>
      <c r="AM27" s="235">
        <f>-SUM(AM23:AM26)</f>
        <v>-38829957.718533337</v>
      </c>
      <c r="AN27" s="235">
        <f>-SUM(AN23:AN26)</f>
        <v>-10681804.722000003</v>
      </c>
      <c r="AO27" s="233">
        <f t="shared" si="7"/>
        <v>13</v>
      </c>
      <c r="AP27" s="410" t="s">
        <v>518</v>
      </c>
      <c r="AQ27" s="410"/>
      <c r="AR27" s="467">
        <v>56004.06</v>
      </c>
      <c r="AS27" s="239">
        <f t="shared" si="8"/>
        <v>56004.06</v>
      </c>
      <c r="AT27" s="239">
        <f t="shared" si="9"/>
        <v>0</v>
      </c>
      <c r="AU27" s="467">
        <v>56004.31279906194</v>
      </c>
      <c r="AV27" s="467">
        <f t="shared" si="10"/>
        <v>0.25279906194191426</v>
      </c>
      <c r="AW27" s="233">
        <f t="shared" si="11"/>
        <v>13</v>
      </c>
      <c r="AX27" s="624" t="s">
        <v>546</v>
      </c>
      <c r="AY27" s="632">
        <v>0.21</v>
      </c>
      <c r="AZ27" s="533">
        <f>-AZ26*$AY27</f>
        <v>-4945818.6616350701</v>
      </c>
      <c r="BA27" s="533">
        <f>-BA26*$AY27</f>
        <v>-8399349.1163422894</v>
      </c>
      <c r="BB27" s="533">
        <f>+BA27-AZ27</f>
        <v>-3453530.4547072193</v>
      </c>
      <c r="BC27" s="533">
        <f>BA27</f>
        <v>-8399349.1163422894</v>
      </c>
      <c r="BD27" s="533">
        <f>+BC27-BA27</f>
        <v>0</v>
      </c>
      <c r="BE27" s="230">
        <f t="shared" si="12"/>
        <v>13</v>
      </c>
      <c r="BF27" s="245" t="s">
        <v>337</v>
      </c>
      <c r="BG27" s="463">
        <f>+FIT_E</f>
        <v>0.21</v>
      </c>
      <c r="BH27" s="1136">
        <f>+$BG$27*BH25</f>
        <v>1190549.5001400001</v>
      </c>
      <c r="BI27" s="1136">
        <f>+$BG$27*BI25</f>
        <v>1190549.5001400001</v>
      </c>
      <c r="BJ27" s="1136">
        <f>+$BG$27*BJ25</f>
        <v>0</v>
      </c>
      <c r="BK27" s="1136">
        <f>+$BG$27*BK25</f>
        <v>0</v>
      </c>
      <c r="BL27" s="1136">
        <f>+$BG$27*BL25</f>
        <v>-1190549.5001400001</v>
      </c>
      <c r="BM27" s="367">
        <v>14</v>
      </c>
      <c r="BN27" s="379"/>
      <c r="BO27" s="379"/>
      <c r="BP27" s="244"/>
      <c r="BQ27" s="244"/>
      <c r="BR27" s="244"/>
      <c r="BS27" s="244"/>
      <c r="BT27" s="244"/>
      <c r="BU27" s="233">
        <f t="shared" si="13"/>
        <v>13</v>
      </c>
      <c r="BV27" s="379"/>
      <c r="BX27" s="244"/>
      <c r="BY27" s="244"/>
      <c r="BZ27" s="244"/>
      <c r="CA27" s="244"/>
      <c r="CB27" s="244"/>
      <c r="CC27" s="377">
        <f t="shared" si="0"/>
        <v>14</v>
      </c>
      <c r="CD27" s="250"/>
      <c r="CE27" s="250"/>
      <c r="CF27" s="250"/>
      <c r="CG27" s="250"/>
      <c r="CH27" s="250"/>
      <c r="CI27" s="250"/>
      <c r="CJ27" s="250"/>
    </row>
    <row r="28" spans="1:88" ht="15.6" thickTop="1" thickBot="1">
      <c r="A28" s="302">
        <f t="shared" si="1"/>
        <v>14</v>
      </c>
      <c r="B28" s="436" t="s">
        <v>545</v>
      </c>
      <c r="C28" s="379"/>
      <c r="D28" s="631">
        <v>876514.03</v>
      </c>
      <c r="E28" s="631">
        <v>876514.03</v>
      </c>
      <c r="F28" s="631">
        <f>+E28-D28</f>
        <v>0</v>
      </c>
      <c r="G28" s="631">
        <f>'SEF-7E p 2'!J25</f>
        <v>876514.03</v>
      </c>
      <c r="H28" s="627">
        <f>+G28-E28</f>
        <v>0</v>
      </c>
      <c r="I28" s="233"/>
      <c r="Y28" s="250"/>
      <c r="Z28" s="250"/>
      <c r="AA28" s="250"/>
      <c r="AB28" s="250"/>
      <c r="AC28" s="250"/>
      <c r="AD28" s="250"/>
      <c r="AE28" s="250"/>
      <c r="AF28" s="250"/>
      <c r="AG28" s="233"/>
      <c r="AO28" s="233">
        <f t="shared" si="7"/>
        <v>14</v>
      </c>
      <c r="AP28" s="410" t="s">
        <v>517</v>
      </c>
      <c r="AQ28" s="410"/>
      <c r="AR28" s="467">
        <v>193459.84</v>
      </c>
      <c r="AS28" s="239">
        <f t="shared" si="8"/>
        <v>193459.84</v>
      </c>
      <c r="AT28" s="239">
        <f t="shared" si="9"/>
        <v>0</v>
      </c>
      <c r="AU28" s="467">
        <v>193459.2403868956</v>
      </c>
      <c r="AV28" s="467">
        <f t="shared" si="10"/>
        <v>-0.59961310439393856</v>
      </c>
      <c r="AW28" s="233">
        <f t="shared" si="11"/>
        <v>14</v>
      </c>
      <c r="AX28" s="624" t="s">
        <v>544</v>
      </c>
      <c r="AY28" s="632">
        <v>0.12000000000000002</v>
      </c>
      <c r="AZ28" s="533">
        <f>-AZ26*$AY28</f>
        <v>-2826182.0923628975</v>
      </c>
      <c r="BA28" s="533">
        <f>-BA26*$AY28</f>
        <v>-4799628.0664813099</v>
      </c>
      <c r="BB28" s="533">
        <f>+BA28-AZ28</f>
        <v>-1973445.9741184125</v>
      </c>
      <c r="BC28" s="533">
        <f>-BC26*$AY28</f>
        <v>-4799628.0664813099</v>
      </c>
      <c r="BD28" s="533">
        <f>+BC28-BA28</f>
        <v>0</v>
      </c>
      <c r="BE28" s="230">
        <f t="shared" si="12"/>
        <v>14</v>
      </c>
      <c r="BF28" s="247" t="s">
        <v>249</v>
      </c>
      <c r="BG28" s="247"/>
      <c r="BH28" s="1131">
        <f>-BH25--BH27</f>
        <v>-4478733.8338600006</v>
      </c>
      <c r="BI28" s="1131">
        <f>-BI25--BI27</f>
        <v>-4478733.8338600006</v>
      </c>
      <c r="BJ28" s="1131">
        <f>-BJ25--BJ27</f>
        <v>0</v>
      </c>
      <c r="BK28" s="1131">
        <f>-BK25--BK27</f>
        <v>0</v>
      </c>
      <c r="BL28" s="1131">
        <f>-BL25--BL27</f>
        <v>4478733.8338600006</v>
      </c>
      <c r="BM28" s="367">
        <v>15</v>
      </c>
      <c r="BN28" s="379" t="s">
        <v>252</v>
      </c>
      <c r="BO28" s="385">
        <f>FIT_E</f>
        <v>0.21</v>
      </c>
      <c r="BP28" s="384">
        <f t="shared" ref="BP28:BS28" si="16">-BP26*$BO$28</f>
        <v>0</v>
      </c>
      <c r="BQ28" s="384">
        <f t="shared" si="16"/>
        <v>0</v>
      </c>
      <c r="BR28" s="384">
        <f t="shared" si="16"/>
        <v>0</v>
      </c>
      <c r="BS28" s="384">
        <f t="shared" si="16"/>
        <v>-77824.414474127334</v>
      </c>
      <c r="BT28" s="384">
        <f>-BT26*$BO$28</f>
        <v>-77824.414474127334</v>
      </c>
      <c r="BU28" s="233">
        <f t="shared" si="13"/>
        <v>14</v>
      </c>
      <c r="BV28" s="379" t="s">
        <v>252</v>
      </c>
      <c r="BW28" s="463">
        <f>+FIT_E</f>
        <v>0.21</v>
      </c>
      <c r="BX28" s="384">
        <f t="shared" ref="BX28:CA28" si="17">-BX26*$BW$28</f>
        <v>0</v>
      </c>
      <c r="BY28" s="384">
        <f t="shared" si="17"/>
        <v>0</v>
      </c>
      <c r="BZ28" s="384">
        <f t="shared" si="17"/>
        <v>0</v>
      </c>
      <c r="CA28" s="384">
        <f t="shared" si="17"/>
        <v>-648911.83455000003</v>
      </c>
      <c r="CB28" s="384">
        <f>-CB26*$BW$28</f>
        <v>-648911.83455000003</v>
      </c>
      <c r="CC28" s="377">
        <f t="shared" si="0"/>
        <v>15</v>
      </c>
      <c r="CD28" s="250"/>
      <c r="CE28" s="250"/>
      <c r="CF28" s="250"/>
      <c r="CG28" s="250"/>
      <c r="CH28" s="250"/>
      <c r="CI28" s="250"/>
      <c r="CJ28" s="250"/>
    </row>
    <row r="29" spans="1:88" ht="15.6" thickTop="1" thickBot="1">
      <c r="A29" s="302">
        <f t="shared" si="1"/>
        <v>15</v>
      </c>
      <c r="B29" s="436" t="s">
        <v>543</v>
      </c>
      <c r="C29" s="379"/>
      <c r="D29" s="631">
        <v>-7201724.9500000002</v>
      </c>
      <c r="E29" s="631">
        <v>-7201724.9500000002</v>
      </c>
      <c r="F29" s="631">
        <f>+E29-D29</f>
        <v>0</v>
      </c>
      <c r="G29" s="631">
        <f>'SEF-7E p 2'!J26</f>
        <v>-8666881.7085096519</v>
      </c>
      <c r="H29" s="627">
        <f>+G29-E29</f>
        <v>-1465156.7585096518</v>
      </c>
      <c r="I29" s="233"/>
      <c r="AG29" s="233"/>
      <c r="AO29" s="233">
        <f t="shared" si="7"/>
        <v>15</v>
      </c>
      <c r="AP29" s="410" t="s">
        <v>542</v>
      </c>
      <c r="AQ29" s="410"/>
      <c r="AR29" s="467">
        <v>-530083.09</v>
      </c>
      <c r="AS29" s="239">
        <f t="shared" si="8"/>
        <v>-530083.09</v>
      </c>
      <c r="AT29" s="239">
        <f t="shared" si="9"/>
        <v>0</v>
      </c>
      <c r="AU29" s="467">
        <v>-530083.1594999989</v>
      </c>
      <c r="AV29" s="467">
        <f t="shared" si="10"/>
        <v>-6.9499998935498297E-2</v>
      </c>
      <c r="AW29" s="233">
        <f t="shared" si="11"/>
        <v>15</v>
      </c>
      <c r="AX29" s="624" t="s">
        <v>249</v>
      </c>
      <c r="AY29" s="451"/>
      <c r="AZ29" s="519">
        <f>-AZ26-AZ27-AZ28</f>
        <v>-15779516.682359507</v>
      </c>
      <c r="BA29" s="519">
        <f>-BA26-BA27-BA28</f>
        <v>-26797923.371187303</v>
      </c>
      <c r="BB29" s="519">
        <f>-BB26-BB27-BB28</f>
        <v>-11018406.688827798</v>
      </c>
      <c r="BC29" s="519">
        <f>-BC26-BC27-BC28</f>
        <v>-26797923.371187303</v>
      </c>
      <c r="BD29" s="519">
        <f>-BD26-BD27-BD28</f>
        <v>0</v>
      </c>
      <c r="BM29" s="367">
        <v>16</v>
      </c>
      <c r="BN29" s="379" t="s">
        <v>249</v>
      </c>
      <c r="BO29" s="379"/>
      <c r="BP29" s="353">
        <f t="shared" ref="BP29:BS29" si="18">-BP26-BP28</f>
        <v>0</v>
      </c>
      <c r="BQ29" s="353">
        <f t="shared" si="18"/>
        <v>0</v>
      </c>
      <c r="BR29" s="353">
        <f t="shared" si="18"/>
        <v>0</v>
      </c>
      <c r="BS29" s="353">
        <f t="shared" si="18"/>
        <v>-292768.03540266951</v>
      </c>
      <c r="BT29" s="353">
        <f>-BT26-BT28</f>
        <v>-292768.03540266951</v>
      </c>
      <c r="BU29" s="233">
        <f t="shared" si="13"/>
        <v>15</v>
      </c>
      <c r="BV29" s="379" t="s">
        <v>249</v>
      </c>
      <c r="BX29" s="353">
        <f t="shared" ref="BX29:CA29" si="19">-BX26-BX28</f>
        <v>0</v>
      </c>
      <c r="BY29" s="353">
        <f t="shared" si="19"/>
        <v>0</v>
      </c>
      <c r="BZ29" s="353">
        <f t="shared" si="19"/>
        <v>0</v>
      </c>
      <c r="CA29" s="353">
        <f t="shared" si="19"/>
        <v>-2441144.5204499997</v>
      </c>
      <c r="CB29" s="353">
        <f>-CB26-CB28</f>
        <v>-2441144.5204499997</v>
      </c>
      <c r="CC29" s="377">
        <f t="shared" si="0"/>
        <v>16</v>
      </c>
      <c r="CD29" s="250"/>
      <c r="CE29" s="250"/>
      <c r="CF29" s="250"/>
      <c r="CG29" s="250"/>
      <c r="CH29" s="250"/>
      <c r="CI29" s="250"/>
      <c r="CJ29" s="250"/>
    </row>
    <row r="30" spans="1:88" ht="15" thickTop="1">
      <c r="A30" s="302">
        <f t="shared" si="1"/>
        <v>16</v>
      </c>
      <c r="B30" s="436" t="s">
        <v>541</v>
      </c>
      <c r="C30" s="379"/>
      <c r="D30" s="631">
        <v>0</v>
      </c>
      <c r="E30" s="631">
        <v>4958988.8</v>
      </c>
      <c r="F30" s="631">
        <f>+E30-D30</f>
        <v>4958988.8</v>
      </c>
      <c r="G30" s="631">
        <f>'SEF-7E p 2'!J27</f>
        <v>4733258.1026060628</v>
      </c>
      <c r="H30" s="627">
        <f>+G30-E30</f>
        <v>-225730.69739393704</v>
      </c>
      <c r="I30" s="233"/>
      <c r="AG30" s="233"/>
      <c r="AO30" s="233">
        <f t="shared" si="7"/>
        <v>16</v>
      </c>
      <c r="AP30" s="410" t="s">
        <v>540</v>
      </c>
      <c r="AQ30" s="410"/>
      <c r="AR30" s="448">
        <v>-5453015.8817438316</v>
      </c>
      <c r="AS30" s="239">
        <f t="shared" si="8"/>
        <v>-5453015.8817438316</v>
      </c>
      <c r="AT30" s="239">
        <f t="shared" si="9"/>
        <v>0</v>
      </c>
      <c r="AU30" s="467">
        <v>-1559296.9123478986</v>
      </c>
      <c r="AV30" s="467">
        <f t="shared" si="10"/>
        <v>3893718.9693959327</v>
      </c>
      <c r="AW30" s="233">
        <f t="shared" si="11"/>
        <v>16</v>
      </c>
      <c r="AX30" s="364"/>
      <c r="BM30" s="467"/>
      <c r="BU30" s="233"/>
      <c r="CC30" s="377">
        <f t="shared" si="0"/>
        <v>17</v>
      </c>
      <c r="CD30" s="250"/>
      <c r="CE30" s="250"/>
      <c r="CF30" s="250"/>
      <c r="CG30" s="250"/>
      <c r="CH30" s="250"/>
      <c r="CI30" s="250"/>
      <c r="CJ30" s="250"/>
    </row>
    <row r="31" spans="1:88">
      <c r="A31" s="302">
        <f t="shared" si="1"/>
        <v>17</v>
      </c>
      <c r="B31" s="436" t="s">
        <v>539</v>
      </c>
      <c r="C31" s="379"/>
      <c r="D31" s="630">
        <f>SUM(D24:D30)</f>
        <v>807863553.20999873</v>
      </c>
      <c r="E31" s="630">
        <f>SUM(E24:E30)</f>
        <v>817470591.42446136</v>
      </c>
      <c r="F31" s="630">
        <f>SUM(F24:F30)</f>
        <v>9607038.2144626528</v>
      </c>
      <c r="G31" s="630">
        <f>SUM(G24:G30)</f>
        <v>813292276.7408154</v>
      </c>
      <c r="H31" s="630">
        <f>SUM(H24:H30)</f>
        <v>-4178314.6836459776</v>
      </c>
      <c r="I31" s="233"/>
      <c r="AG31" s="233"/>
      <c r="AO31" s="233">
        <f t="shared" si="7"/>
        <v>17</v>
      </c>
      <c r="AP31" s="410" t="s">
        <v>538</v>
      </c>
      <c r="AQ31" s="410"/>
      <c r="AR31" s="523">
        <f>SUM(AR16:AR30)</f>
        <v>172315554.79825622</v>
      </c>
      <c r="AS31" s="629">
        <f>SUM(AS16:AS30)</f>
        <v>172315554.79825622</v>
      </c>
      <c r="AT31" s="629">
        <f>SUM(AT16:AT30)</f>
        <v>0</v>
      </c>
      <c r="AU31" s="629">
        <f>SUM(AU16:AU30)</f>
        <v>148923662.89445901</v>
      </c>
      <c r="AV31" s="629">
        <f>SUM(AV16:AV30)</f>
        <v>-23391891.903797135</v>
      </c>
      <c r="AW31" s="233">
        <f t="shared" si="11"/>
        <v>17</v>
      </c>
      <c r="AX31" s="628" t="s">
        <v>21</v>
      </c>
      <c r="BF31" s="523"/>
      <c r="BG31" s="523"/>
      <c r="BH31" s="523"/>
      <c r="BI31" s="523"/>
      <c r="BJ31" s="523"/>
      <c r="BK31" s="523"/>
      <c r="BL31" s="523"/>
      <c r="BM31" s="523"/>
      <c r="BN31" s="523"/>
      <c r="BO31" s="523"/>
      <c r="BP31" s="523"/>
      <c r="BQ31" s="523"/>
      <c r="BR31" s="523"/>
      <c r="BS31" s="523"/>
      <c r="BT31" s="523"/>
      <c r="BU31" s="233"/>
      <c r="BV31" s="523"/>
      <c r="BW31" s="523"/>
      <c r="BX31" s="523"/>
      <c r="BY31" s="523"/>
      <c r="BZ31" s="523"/>
      <c r="CA31" s="523"/>
      <c r="CB31" s="523"/>
      <c r="CC31" s="377">
        <f t="shared" si="0"/>
        <v>18</v>
      </c>
      <c r="CD31" s="250"/>
      <c r="CE31" s="250"/>
      <c r="CF31" s="250"/>
      <c r="CG31" s="250"/>
      <c r="CH31" s="250"/>
      <c r="CI31" s="250"/>
      <c r="CJ31" s="250"/>
    </row>
    <row r="32" spans="1:88">
      <c r="A32" s="302">
        <f t="shared" si="1"/>
        <v>18</v>
      </c>
      <c r="B32" s="301" t="s">
        <v>172</v>
      </c>
      <c r="C32" s="301"/>
      <c r="D32" s="301"/>
      <c r="E32" s="301"/>
      <c r="F32" s="301"/>
      <c r="G32" s="301"/>
      <c r="H32" s="627">
        <f>+G32-E32</f>
        <v>0</v>
      </c>
      <c r="I32" s="233"/>
      <c r="AG32" s="233"/>
      <c r="AO32" s="233">
        <f t="shared" si="7"/>
        <v>18</v>
      </c>
      <c r="AP32" s="243"/>
      <c r="AQ32" s="243"/>
      <c r="AR32" s="243"/>
      <c r="AS32" s="239">
        <f>+AR32</f>
        <v>0</v>
      </c>
      <c r="AU32" s="243"/>
      <c r="AV32" s="243"/>
      <c r="AW32" s="233">
        <f t="shared" si="11"/>
        <v>18</v>
      </c>
      <c r="AX32" s="624" t="s">
        <v>537</v>
      </c>
      <c r="AY32" s="523"/>
      <c r="AZ32" s="533">
        <f t="shared" ref="AZ32:BA34" si="20">-AZ26</f>
        <v>-23551517.436357476</v>
      </c>
      <c r="BA32" s="533">
        <f t="shared" si="20"/>
        <v>-39996900.554010905</v>
      </c>
      <c r="BB32" s="387">
        <f>BA32-AZ32</f>
        <v>-16445383.11765343</v>
      </c>
      <c r="BC32" s="533">
        <f>-BC26</f>
        <v>-39996900.554010905</v>
      </c>
      <c r="BD32" s="533">
        <f>-BD26</f>
        <v>0</v>
      </c>
      <c r="BF32" s="241"/>
      <c r="BG32" s="241"/>
      <c r="BH32" s="241"/>
      <c r="BI32" s="241"/>
      <c r="BJ32" s="241"/>
      <c r="BK32" s="241"/>
      <c r="BL32" s="241"/>
      <c r="BM32" s="241"/>
      <c r="BN32" s="241"/>
      <c r="BO32" s="241"/>
      <c r="BP32" s="241"/>
      <c r="BQ32" s="241"/>
      <c r="BR32" s="241"/>
      <c r="BS32" s="241"/>
      <c r="BT32" s="241"/>
      <c r="BU32" s="241"/>
      <c r="BV32" s="241"/>
      <c r="BW32" s="241"/>
      <c r="BX32" s="241"/>
      <c r="BY32" s="241"/>
      <c r="BZ32" s="241"/>
      <c r="CA32" s="241"/>
      <c r="CB32" s="241"/>
      <c r="CC32" s="377">
        <f t="shared" si="0"/>
        <v>19</v>
      </c>
      <c r="CD32" s="250"/>
      <c r="CE32" s="250"/>
      <c r="CF32" s="250"/>
      <c r="CG32" s="250"/>
      <c r="CH32" s="250"/>
      <c r="CI32" s="250"/>
      <c r="CJ32" s="250"/>
    </row>
    <row r="33" spans="1:88">
      <c r="A33" s="302">
        <f t="shared" si="1"/>
        <v>19</v>
      </c>
      <c r="B33" s="363" t="s">
        <v>536</v>
      </c>
      <c r="C33" s="301">
        <f>+'SEF-3E'!$L$14</f>
        <v>3.8733999999999998E-2</v>
      </c>
      <c r="D33" s="435">
        <f>-$C$33*D29</f>
        <v>278951.6142133</v>
      </c>
      <c r="E33" s="435">
        <f>-$C$33*E29</f>
        <v>278951.6142133</v>
      </c>
      <c r="F33" s="435">
        <f>-$C$33*F29</f>
        <v>0</v>
      </c>
      <c r="G33" s="435">
        <f>-$C$33*G29</f>
        <v>335702.99609741283</v>
      </c>
      <c r="H33" s="435">
        <f>-$C$33*H29</f>
        <v>56751.381884112845</v>
      </c>
      <c r="I33" s="233"/>
      <c r="AG33" s="233"/>
      <c r="AO33" s="233">
        <f t="shared" si="7"/>
        <v>19</v>
      </c>
      <c r="AP33" s="243"/>
      <c r="AQ33" s="243"/>
      <c r="AR33" s="243"/>
      <c r="AS33" s="239">
        <f>+AR33</f>
        <v>0</v>
      </c>
      <c r="AU33" s="243"/>
      <c r="AV33" s="243"/>
      <c r="AW33" s="233">
        <f t="shared" si="11"/>
        <v>19</v>
      </c>
      <c r="AX33" s="406" t="s">
        <v>535</v>
      </c>
      <c r="AY33" s="241"/>
      <c r="AZ33" s="317">
        <f t="shared" si="20"/>
        <v>4945818.6616350701</v>
      </c>
      <c r="BA33" s="317">
        <f t="shared" si="20"/>
        <v>8399349.1163422894</v>
      </c>
      <c r="BB33" s="317">
        <f>+BA33-AZ33</f>
        <v>3453530.4547072193</v>
      </c>
      <c r="BC33" s="317">
        <f>BA33</f>
        <v>8399349.1163422894</v>
      </c>
      <c r="BD33" s="317">
        <f>+BC33-BA33</f>
        <v>0</v>
      </c>
      <c r="BF33" s="241"/>
      <c r="BG33" s="241"/>
      <c r="BH33" s="241"/>
      <c r="BI33" s="241"/>
      <c r="BJ33" s="241"/>
      <c r="BK33" s="241"/>
      <c r="BL33" s="241"/>
      <c r="BM33" s="241"/>
      <c r="BN33" s="241"/>
      <c r="BO33" s="241"/>
      <c r="BP33" s="241"/>
      <c r="BQ33" s="241"/>
      <c r="BR33" s="241"/>
      <c r="BS33" s="241"/>
      <c r="BT33" s="241"/>
      <c r="BU33" s="241"/>
      <c r="BV33" s="241"/>
      <c r="BW33" s="241"/>
      <c r="BX33" s="241"/>
      <c r="BY33" s="241"/>
      <c r="BZ33" s="241"/>
      <c r="CA33" s="241"/>
      <c r="CB33" s="241"/>
      <c r="CC33" s="377">
        <f>+CC30+1</f>
        <v>18</v>
      </c>
      <c r="CD33" s="250"/>
      <c r="CE33" s="250"/>
      <c r="CF33" s="250"/>
      <c r="CG33" s="250"/>
      <c r="CH33" s="250"/>
      <c r="CI33" s="250"/>
      <c r="CJ33" s="250"/>
    </row>
    <row r="34" spans="1:88">
      <c r="A34" s="302">
        <f t="shared" si="1"/>
        <v>20</v>
      </c>
      <c r="B34" s="436" t="s">
        <v>534</v>
      </c>
      <c r="C34" s="301"/>
      <c r="D34" s="626">
        <f>SUM(D31:D33)</f>
        <v>808142504.82421207</v>
      </c>
      <c r="E34" s="626">
        <f>SUM(E31:E33)</f>
        <v>817749543.03867471</v>
      </c>
      <c r="F34" s="626">
        <f>SUM(F31:F33)</f>
        <v>9607038.2144626528</v>
      </c>
      <c r="G34" s="626">
        <f>SUM(G31:G33)</f>
        <v>813627979.73691285</v>
      </c>
      <c r="H34" s="626">
        <f>SUM(H31:H33)</f>
        <v>-4121563.3017618647</v>
      </c>
      <c r="I34" s="233"/>
      <c r="AG34" s="233"/>
      <c r="AO34" s="233">
        <f t="shared" si="7"/>
        <v>20</v>
      </c>
      <c r="AP34" s="625" t="s">
        <v>533</v>
      </c>
      <c r="AQ34" s="625"/>
      <c r="AR34" s="467"/>
      <c r="AS34" s="239">
        <f>+AR34</f>
        <v>0</v>
      </c>
      <c r="AU34" s="467"/>
      <c r="AV34" s="467"/>
      <c r="AW34" s="233">
        <f t="shared" si="11"/>
        <v>20</v>
      </c>
      <c r="AX34" s="406" t="s">
        <v>532</v>
      </c>
      <c r="AY34" s="250"/>
      <c r="AZ34" s="317">
        <f t="shared" si="20"/>
        <v>2826182.0923628975</v>
      </c>
      <c r="BA34" s="317">
        <f t="shared" si="20"/>
        <v>4799628.0664813099</v>
      </c>
      <c r="BB34" s="317">
        <f>+BA34-AZ34</f>
        <v>1973445.9741184125</v>
      </c>
      <c r="BC34" s="317">
        <f>BA34</f>
        <v>4799628.0664813099</v>
      </c>
      <c r="BD34" s="317">
        <f>+BC34-BA34</f>
        <v>0</v>
      </c>
      <c r="BF34" s="467"/>
      <c r="BG34" s="467"/>
      <c r="BH34" s="467"/>
      <c r="BI34" s="467"/>
      <c r="BJ34" s="467"/>
      <c r="BK34" s="467"/>
      <c r="BL34" s="467"/>
      <c r="BM34" s="467"/>
      <c r="BN34" s="467"/>
      <c r="BO34" s="467"/>
      <c r="BP34" s="467"/>
      <c r="BQ34" s="467"/>
      <c r="BR34" s="467"/>
      <c r="BS34" s="467"/>
      <c r="BT34" s="467"/>
      <c r="BU34" s="467"/>
      <c r="BV34" s="467"/>
      <c r="BW34" s="467"/>
      <c r="BX34" s="467"/>
      <c r="BY34" s="467"/>
      <c r="BZ34" s="467"/>
      <c r="CA34" s="467"/>
      <c r="CB34" s="467"/>
      <c r="CC34" s="377">
        <f>+CC33+1</f>
        <v>19</v>
      </c>
      <c r="CD34" s="250"/>
      <c r="CE34" s="250"/>
      <c r="CF34" s="250"/>
      <c r="CG34" s="250"/>
      <c r="CH34" s="250"/>
      <c r="CI34" s="250"/>
      <c r="CJ34" s="250"/>
    </row>
    <row r="35" spans="1:88" ht="15" thickBot="1">
      <c r="A35" s="302">
        <f t="shared" si="1"/>
        <v>21</v>
      </c>
      <c r="B35" s="363" t="s">
        <v>172</v>
      </c>
      <c r="C35" s="301"/>
      <c r="D35" s="484"/>
      <c r="E35" s="484"/>
      <c r="F35" s="484"/>
      <c r="G35" s="484"/>
      <c r="H35" s="484"/>
      <c r="I35" s="233"/>
      <c r="AG35" s="233"/>
      <c r="AO35" s="233">
        <f t="shared" si="7"/>
        <v>21</v>
      </c>
      <c r="AP35" s="410" t="s">
        <v>531</v>
      </c>
      <c r="AQ35" s="410"/>
      <c r="AR35" s="622" t="s">
        <v>523</v>
      </c>
      <c r="AS35" s="239"/>
      <c r="AT35" s="239"/>
      <c r="AU35" s="623"/>
      <c r="AV35" s="621"/>
      <c r="AW35" s="233">
        <f t="shared" si="11"/>
        <v>21</v>
      </c>
      <c r="AX35" s="624" t="s">
        <v>282</v>
      </c>
      <c r="AZ35" s="357">
        <f>SUM(AZ32:AZ34)</f>
        <v>-15779516.682359507</v>
      </c>
      <c r="BA35" s="357">
        <f>SUM(BA32:BA34)</f>
        <v>-26797923.371187303</v>
      </c>
      <c r="BB35" s="357">
        <f>SUM(BB32:BB34)</f>
        <v>-11018406.688827798</v>
      </c>
      <c r="BC35" s="357">
        <f>SUM(BC32:BC34)</f>
        <v>-26797923.371187303</v>
      </c>
      <c r="BD35" s="357">
        <f>SUM(BD32:BD34)</f>
        <v>0</v>
      </c>
      <c r="BF35" s="621"/>
      <c r="BG35" s="621"/>
      <c r="BH35" s="621"/>
      <c r="BI35" s="621"/>
      <c r="BJ35" s="621"/>
      <c r="BK35" s="621"/>
      <c r="BL35" s="621"/>
      <c r="BM35" s="621"/>
      <c r="BN35" s="621"/>
      <c r="BO35" s="621"/>
      <c r="BP35" s="621"/>
      <c r="BQ35" s="621"/>
      <c r="BR35" s="621"/>
      <c r="BS35" s="621"/>
      <c r="BT35" s="621"/>
      <c r="BU35" s="621"/>
      <c r="BV35" s="621"/>
      <c r="BW35" s="621"/>
      <c r="BX35" s="621"/>
      <c r="BY35" s="621"/>
      <c r="BZ35" s="621"/>
      <c r="CA35" s="621"/>
      <c r="CB35" s="621"/>
      <c r="CC35" s="250"/>
      <c r="CD35" s="250"/>
      <c r="CE35" s="250"/>
      <c r="CF35" s="250"/>
      <c r="CG35" s="250"/>
      <c r="CH35" s="250"/>
      <c r="CI35" s="250"/>
      <c r="CJ35" s="250"/>
    </row>
    <row r="36" spans="1:88" ht="15" thickTop="1">
      <c r="A36" s="302">
        <f t="shared" si="1"/>
        <v>22</v>
      </c>
      <c r="B36" s="301" t="s">
        <v>530</v>
      </c>
      <c r="C36" s="512">
        <v>0.21</v>
      </c>
      <c r="D36" s="484">
        <f>-D34*$C$36</f>
        <v>-169709926.01308453</v>
      </c>
      <c r="E36" s="484">
        <f>-E34*$C$36</f>
        <v>-171727404.03812167</v>
      </c>
      <c r="F36" s="484">
        <f>-F34*$C$36</f>
        <v>-2017478.0250371571</v>
      </c>
      <c r="G36" s="484">
        <f>-G34*$C$36</f>
        <v>-170861875.74475169</v>
      </c>
      <c r="H36" s="484">
        <f>-H34*$C$36</f>
        <v>865528.29336999159</v>
      </c>
      <c r="I36" s="233"/>
      <c r="AG36" s="233"/>
      <c r="AO36" s="233">
        <f t="shared" si="7"/>
        <v>22</v>
      </c>
      <c r="AP36" s="410" t="s">
        <v>529</v>
      </c>
      <c r="AQ36" s="410"/>
      <c r="AR36" s="622" t="s">
        <v>523</v>
      </c>
      <c r="AS36" s="239"/>
      <c r="AT36" s="239"/>
      <c r="AU36" s="623"/>
      <c r="AV36" s="621"/>
      <c r="AW36" s="233"/>
      <c r="AX36" s="467"/>
      <c r="AY36" s="467"/>
      <c r="BF36" s="621"/>
      <c r="BG36" s="621"/>
      <c r="BH36" s="621"/>
      <c r="BI36" s="621"/>
      <c r="BJ36" s="621"/>
      <c r="BK36" s="621"/>
      <c r="BL36" s="621"/>
      <c r="BM36" s="621"/>
      <c r="BN36" s="621"/>
      <c r="BO36" s="621"/>
      <c r="BP36" s="621"/>
      <c r="BQ36" s="621"/>
      <c r="BR36" s="621"/>
      <c r="BS36" s="621"/>
      <c r="BT36" s="621"/>
      <c r="BU36" s="621"/>
      <c r="BV36" s="621"/>
      <c r="BW36" s="621"/>
      <c r="BX36" s="621"/>
      <c r="BY36" s="621"/>
      <c r="BZ36" s="621"/>
      <c r="CA36" s="621"/>
      <c r="CB36" s="621"/>
      <c r="CC36" s="250"/>
      <c r="CD36" s="250"/>
      <c r="CE36" s="250"/>
      <c r="CF36" s="250"/>
      <c r="CG36" s="250"/>
      <c r="CH36" s="250"/>
      <c r="CI36" s="250"/>
      <c r="CJ36" s="250"/>
    </row>
    <row r="37" spans="1:88" ht="15" thickBot="1">
      <c r="A37" s="302">
        <f t="shared" si="1"/>
        <v>23</v>
      </c>
      <c r="B37" s="301" t="s">
        <v>528</v>
      </c>
      <c r="C37" s="301"/>
      <c r="D37" s="511">
        <f>-D34-D36</f>
        <v>-638432578.81112754</v>
      </c>
      <c r="E37" s="511">
        <f>-E34-E36</f>
        <v>-646022139.00055301</v>
      </c>
      <c r="F37" s="511">
        <f>-F34-F36</f>
        <v>-7589560.1894254955</v>
      </c>
      <c r="G37" s="511">
        <f>-G34-G36</f>
        <v>-642766103.99216115</v>
      </c>
      <c r="H37" s="511">
        <f>-H34-H36</f>
        <v>3256035.008391873</v>
      </c>
      <c r="I37" s="233"/>
      <c r="AG37" s="233"/>
      <c r="AO37" s="233">
        <f t="shared" si="7"/>
        <v>23</v>
      </c>
      <c r="AP37" s="410" t="s">
        <v>527</v>
      </c>
      <c r="AQ37" s="410"/>
      <c r="AR37" s="467">
        <v>2885052</v>
      </c>
      <c r="AS37" s="239">
        <f>+AR37</f>
        <v>2885052</v>
      </c>
      <c r="AT37" s="239">
        <f>+AS37-AR37</f>
        <v>0</v>
      </c>
      <c r="AU37" s="467">
        <v>2885052</v>
      </c>
      <c r="AV37" s="467">
        <f>+AU37-AS37</f>
        <v>0</v>
      </c>
      <c r="AW37" s="233"/>
      <c r="AX37" s="621"/>
      <c r="AY37" s="621"/>
      <c r="AZ37" s="621"/>
      <c r="BA37" s="621"/>
      <c r="BB37" s="621"/>
      <c r="BC37" s="621"/>
      <c r="BD37" s="621"/>
      <c r="BF37" s="467"/>
      <c r="BG37" s="467"/>
      <c r="BH37" s="467"/>
      <c r="BI37" s="467"/>
      <c r="BJ37" s="467"/>
      <c r="BK37" s="467"/>
      <c r="BL37" s="467"/>
      <c r="BM37" s="467"/>
      <c r="BN37" s="467"/>
      <c r="BO37" s="467"/>
      <c r="BP37" s="467"/>
      <c r="BQ37" s="467"/>
      <c r="BR37" s="467"/>
      <c r="BS37" s="467"/>
      <c r="BT37" s="467"/>
      <c r="BU37" s="467"/>
      <c r="BV37" s="467"/>
      <c r="BW37" s="467"/>
      <c r="BX37" s="467"/>
      <c r="BY37" s="467"/>
      <c r="BZ37" s="467"/>
      <c r="CA37" s="467"/>
      <c r="CB37" s="467"/>
      <c r="CC37" s="250"/>
      <c r="CD37" s="250"/>
      <c r="CE37" s="250"/>
      <c r="CF37" s="250"/>
      <c r="CG37" s="250"/>
      <c r="CH37" s="250"/>
      <c r="CI37" s="250"/>
      <c r="CJ37" s="250"/>
    </row>
    <row r="38" spans="1:88" ht="15" thickTop="1">
      <c r="A38" s="233"/>
      <c r="I38" s="233"/>
      <c r="AG38" s="233"/>
      <c r="AO38" s="233">
        <f t="shared" si="7"/>
        <v>24</v>
      </c>
      <c r="AP38" s="410" t="s">
        <v>526</v>
      </c>
      <c r="AQ38" s="410"/>
      <c r="AR38" s="622" t="s">
        <v>523</v>
      </c>
      <c r="AS38" s="239"/>
      <c r="AT38" s="239"/>
      <c r="AU38" s="621"/>
      <c r="AV38" s="621"/>
      <c r="AW38" s="233"/>
      <c r="AX38" s="621"/>
      <c r="AY38" s="621"/>
      <c r="AZ38" s="621"/>
      <c r="BA38" s="621"/>
      <c r="BB38" s="621"/>
      <c r="BC38" s="621"/>
      <c r="BD38" s="621"/>
      <c r="BF38" s="621"/>
      <c r="BG38" s="621"/>
      <c r="BH38" s="621"/>
      <c r="BI38" s="621"/>
      <c r="BJ38" s="621"/>
      <c r="BK38" s="621"/>
      <c r="BL38" s="621"/>
      <c r="BM38" s="621"/>
      <c r="BN38" s="621"/>
      <c r="BO38" s="621"/>
      <c r="BP38" s="621"/>
      <c r="BQ38" s="621"/>
      <c r="BR38" s="621"/>
      <c r="BS38" s="621"/>
      <c r="BT38" s="621"/>
      <c r="BU38" s="621"/>
      <c r="BV38" s="621"/>
      <c r="BW38" s="621"/>
      <c r="BX38" s="621"/>
      <c r="BY38" s="621"/>
      <c r="BZ38" s="621"/>
      <c r="CA38" s="621"/>
      <c r="CB38" s="621"/>
      <c r="CC38" s="250"/>
      <c r="CD38" s="250"/>
      <c r="CE38" s="250"/>
      <c r="CF38" s="250"/>
      <c r="CG38" s="250"/>
      <c r="CH38" s="250"/>
      <c r="CI38" s="250"/>
      <c r="CJ38" s="250"/>
    </row>
    <row r="39" spans="1:88">
      <c r="A39" s="233"/>
      <c r="C39" s="230"/>
      <c r="D39" s="230"/>
      <c r="E39" s="230"/>
      <c r="F39" s="230"/>
      <c r="G39" s="230"/>
      <c r="I39" s="233"/>
      <c r="AG39" s="233"/>
      <c r="AO39" s="233">
        <f t="shared" si="7"/>
        <v>25</v>
      </c>
      <c r="AP39" s="410" t="s">
        <v>525</v>
      </c>
      <c r="AQ39" s="410"/>
      <c r="AR39" s="622" t="s">
        <v>523</v>
      </c>
      <c r="AS39" s="239"/>
      <c r="AT39" s="239"/>
      <c r="AU39" s="621"/>
      <c r="AV39" s="621"/>
      <c r="AW39" s="233"/>
      <c r="AX39" s="467"/>
      <c r="AY39" s="467"/>
      <c r="AZ39" s="467"/>
      <c r="BA39" s="467"/>
      <c r="BB39" s="467"/>
      <c r="BC39" s="467"/>
      <c r="BD39" s="467"/>
      <c r="BF39" s="621"/>
      <c r="BG39" s="621"/>
      <c r="BH39" s="621"/>
      <c r="BI39" s="621"/>
      <c r="BJ39" s="621"/>
      <c r="BK39" s="621"/>
      <c r="BL39" s="621"/>
      <c r="BM39" s="621"/>
      <c r="BN39" s="621"/>
      <c r="BO39" s="621"/>
      <c r="BP39" s="621"/>
      <c r="BQ39" s="621"/>
      <c r="BR39" s="621"/>
      <c r="BS39" s="621"/>
      <c r="BT39" s="621"/>
      <c r="BU39" s="621"/>
      <c r="BV39" s="621"/>
      <c r="BW39" s="621"/>
      <c r="BX39" s="621"/>
      <c r="BY39" s="621"/>
      <c r="BZ39" s="621"/>
      <c r="CA39" s="621"/>
      <c r="CB39" s="621"/>
      <c r="CC39" s="250"/>
      <c r="CD39" s="250"/>
      <c r="CE39" s="250"/>
      <c r="CF39" s="250"/>
      <c r="CG39" s="250"/>
      <c r="CH39" s="250"/>
      <c r="CI39" s="250"/>
      <c r="CJ39" s="250"/>
    </row>
    <row r="40" spans="1:88">
      <c r="A40" s="233"/>
      <c r="C40" s="230"/>
      <c r="D40" s="230"/>
      <c r="E40" s="310"/>
      <c r="F40" s="230"/>
      <c r="G40" s="310"/>
      <c r="I40" s="233"/>
      <c r="AG40" s="233"/>
      <c r="AO40" s="233">
        <f t="shared" si="7"/>
        <v>26</v>
      </c>
      <c r="AP40" s="410" t="s">
        <v>524</v>
      </c>
      <c r="AQ40" s="410"/>
      <c r="AR40" s="622" t="s">
        <v>523</v>
      </c>
      <c r="AS40" s="239"/>
      <c r="AT40" s="239"/>
      <c r="AU40" s="621"/>
      <c r="AV40" s="621"/>
      <c r="AW40" s="233"/>
      <c r="AX40" s="621"/>
      <c r="AY40" s="621"/>
      <c r="AZ40" s="621"/>
      <c r="BA40" s="621"/>
      <c r="BB40" s="621"/>
      <c r="BC40" s="621"/>
      <c r="BD40" s="621"/>
      <c r="BF40" s="621"/>
      <c r="BG40" s="621"/>
      <c r="BH40" s="621"/>
      <c r="BI40" s="621"/>
      <c r="BJ40" s="621"/>
      <c r="BK40" s="621"/>
      <c r="BL40" s="621"/>
      <c r="BM40" s="621"/>
      <c r="BN40" s="621"/>
      <c r="BO40" s="621"/>
      <c r="BP40" s="621"/>
      <c r="BQ40" s="621"/>
      <c r="BR40" s="621"/>
      <c r="BS40" s="621"/>
      <c r="BT40" s="621"/>
      <c r="BU40" s="621"/>
      <c r="BV40" s="621"/>
      <c r="BW40" s="621"/>
      <c r="BX40" s="621"/>
      <c r="BY40" s="621"/>
      <c r="BZ40" s="621"/>
      <c r="CA40" s="621"/>
      <c r="CB40" s="621"/>
    </row>
    <row r="41" spans="1:88">
      <c r="A41" s="233"/>
      <c r="C41" s="230"/>
      <c r="D41" s="230"/>
      <c r="E41" s="230"/>
      <c r="F41" s="230"/>
      <c r="G41" s="230"/>
      <c r="I41" s="233"/>
      <c r="AG41" s="233"/>
      <c r="AO41" s="233">
        <f t="shared" si="7"/>
        <v>27</v>
      </c>
      <c r="AP41" s="410" t="s">
        <v>522</v>
      </c>
      <c r="AQ41" s="410"/>
      <c r="AR41" s="467">
        <v>687420</v>
      </c>
      <c r="AS41" s="239">
        <f t="shared" ref="AS41:AS48" si="21">+AR41</f>
        <v>687420</v>
      </c>
      <c r="AT41" s="239">
        <f t="shared" ref="AT41:AT48" si="22">+AS41-AR41</f>
        <v>0</v>
      </c>
      <c r="AU41" s="467">
        <v>687420</v>
      </c>
      <c r="AV41" s="467">
        <f t="shared" ref="AV41:AV48" si="23">+AU41-AS41</f>
        <v>0</v>
      </c>
      <c r="AW41" s="233"/>
      <c r="AX41" s="621"/>
      <c r="AY41" s="621"/>
      <c r="AZ41" s="621"/>
      <c r="BA41" s="621"/>
      <c r="BB41" s="621"/>
      <c r="BC41" s="621"/>
      <c r="BD41" s="621"/>
      <c r="BF41" s="467"/>
      <c r="BG41" s="467"/>
      <c r="BH41" s="467"/>
      <c r="BI41" s="467"/>
      <c r="BJ41" s="467"/>
      <c r="BK41" s="467"/>
      <c r="BL41" s="467"/>
      <c r="BM41" s="467"/>
      <c r="BN41" s="467"/>
      <c r="BO41" s="467"/>
      <c r="BP41" s="467"/>
      <c r="BQ41" s="467"/>
      <c r="BR41" s="467"/>
      <c r="BS41" s="467"/>
      <c r="BT41" s="467"/>
      <c r="BU41" s="467"/>
      <c r="BV41" s="467"/>
      <c r="BW41" s="467"/>
      <c r="BX41" s="467"/>
      <c r="BY41" s="467"/>
      <c r="BZ41" s="467"/>
      <c r="CA41" s="467"/>
      <c r="CB41" s="467"/>
    </row>
    <row r="42" spans="1:88">
      <c r="A42" s="233"/>
      <c r="I42" s="233"/>
      <c r="AG42" s="233"/>
      <c r="AO42" s="233">
        <f t="shared" si="7"/>
        <v>28</v>
      </c>
      <c r="AP42" s="410" t="s">
        <v>521</v>
      </c>
      <c r="AQ42" s="410"/>
      <c r="AR42" s="467">
        <v>561126.34087998548</v>
      </c>
      <c r="AS42" s="239">
        <f t="shared" si="21"/>
        <v>561126.34087998548</v>
      </c>
      <c r="AT42" s="239">
        <f t="shared" si="22"/>
        <v>0</v>
      </c>
      <c r="AU42" s="467">
        <v>0</v>
      </c>
      <c r="AV42" s="467">
        <f t="shared" si="23"/>
        <v>-561126.34087998548</v>
      </c>
      <c r="AW42" s="233"/>
      <c r="AX42" s="621"/>
      <c r="AY42" s="621"/>
      <c r="AZ42" s="621"/>
      <c r="BA42" s="621"/>
      <c r="BB42" s="621"/>
      <c r="BC42" s="621"/>
      <c r="BD42" s="621"/>
      <c r="BF42" s="467"/>
      <c r="BG42" s="467"/>
      <c r="BH42" s="467"/>
      <c r="BI42" s="467"/>
      <c r="BJ42" s="467"/>
      <c r="BK42" s="467"/>
      <c r="BL42" s="467"/>
      <c r="BM42" s="467"/>
      <c r="BN42" s="467"/>
      <c r="BO42" s="467"/>
      <c r="BP42" s="467"/>
      <c r="BQ42" s="467"/>
      <c r="BR42" s="467"/>
      <c r="BS42" s="467"/>
      <c r="BT42" s="467"/>
      <c r="BU42" s="467"/>
      <c r="BV42" s="467"/>
      <c r="BW42" s="467"/>
      <c r="BX42" s="467"/>
      <c r="BY42" s="467"/>
      <c r="BZ42" s="467"/>
      <c r="CA42" s="467"/>
      <c r="CB42" s="467"/>
    </row>
    <row r="43" spans="1:88">
      <c r="AG43" s="233"/>
      <c r="AO43" s="233">
        <f t="shared" si="7"/>
        <v>29</v>
      </c>
      <c r="AP43" s="410" t="s">
        <v>520</v>
      </c>
      <c r="AQ43" s="410"/>
      <c r="AR43" s="467">
        <v>2203436.1529896799</v>
      </c>
      <c r="AS43" s="239">
        <f t="shared" si="21"/>
        <v>2203436.1529896799</v>
      </c>
      <c r="AT43" s="239">
        <f t="shared" si="22"/>
        <v>0</v>
      </c>
      <c r="AU43" s="467">
        <v>0</v>
      </c>
      <c r="AV43" s="467">
        <f t="shared" si="23"/>
        <v>-2203436.1529896799</v>
      </c>
      <c r="AW43" s="233"/>
      <c r="AX43" s="467"/>
      <c r="AY43" s="467"/>
      <c r="AZ43" s="467"/>
      <c r="BA43" s="467"/>
      <c r="BB43" s="467"/>
      <c r="BC43" s="467"/>
      <c r="BD43" s="467"/>
      <c r="BF43" s="467"/>
      <c r="BG43" s="467"/>
      <c r="BH43" s="467"/>
      <c r="BI43" s="467"/>
      <c r="BJ43" s="467"/>
      <c r="BK43" s="467"/>
      <c r="BL43" s="467"/>
      <c r="BM43" s="467"/>
      <c r="BN43" s="467"/>
      <c r="BO43" s="467"/>
      <c r="BP43" s="467"/>
      <c r="BQ43" s="467"/>
      <c r="BR43" s="467"/>
      <c r="BS43" s="467"/>
      <c r="BT43" s="467"/>
      <c r="BU43" s="467"/>
      <c r="BV43" s="467"/>
      <c r="BW43" s="467"/>
      <c r="BX43" s="467"/>
      <c r="BY43" s="467"/>
      <c r="BZ43" s="467"/>
      <c r="CA43" s="467"/>
      <c r="CB43" s="467"/>
    </row>
    <row r="44" spans="1:88">
      <c r="AG44" s="233"/>
      <c r="AO44" s="233">
        <f t="shared" si="7"/>
        <v>30</v>
      </c>
      <c r="AP44" s="410" t="s">
        <v>519</v>
      </c>
      <c r="AQ44" s="410"/>
      <c r="AR44" s="467">
        <v>4520422.508572978</v>
      </c>
      <c r="AS44" s="239">
        <f t="shared" si="21"/>
        <v>4520422.508572978</v>
      </c>
      <c r="AT44" s="239">
        <f t="shared" si="22"/>
        <v>0</v>
      </c>
      <c r="AU44" s="467">
        <v>0</v>
      </c>
      <c r="AV44" s="467">
        <f t="shared" si="23"/>
        <v>-4520422.508572978</v>
      </c>
      <c r="AW44" s="233"/>
      <c r="AX44" s="467"/>
      <c r="AY44" s="467"/>
      <c r="AZ44" s="467"/>
      <c r="BA44" s="467"/>
      <c r="BB44" s="467"/>
      <c r="BC44" s="467"/>
      <c r="BD44" s="467"/>
      <c r="BF44" s="467"/>
      <c r="BG44" s="467"/>
      <c r="BH44" s="467"/>
      <c r="BI44" s="467"/>
      <c r="BJ44" s="467"/>
      <c r="BK44" s="467"/>
      <c r="BL44" s="467"/>
      <c r="BM44" s="467"/>
      <c r="BN44" s="467"/>
      <c r="BO44" s="467"/>
      <c r="BP44" s="467"/>
      <c r="BQ44" s="467"/>
      <c r="BR44" s="467"/>
      <c r="BS44" s="467"/>
      <c r="BT44" s="467"/>
      <c r="BU44" s="467"/>
      <c r="BV44" s="467"/>
      <c r="BW44" s="467"/>
      <c r="BX44" s="467"/>
      <c r="BY44" s="467"/>
      <c r="BZ44" s="467"/>
      <c r="CA44" s="467"/>
      <c r="CB44" s="467"/>
    </row>
    <row r="45" spans="1:88">
      <c r="AG45" s="233"/>
      <c r="AO45" s="233">
        <f t="shared" si="7"/>
        <v>31</v>
      </c>
      <c r="AP45" s="410" t="s">
        <v>518</v>
      </c>
      <c r="AQ45" s="410"/>
      <c r="AR45" s="467">
        <v>-400029</v>
      </c>
      <c r="AS45" s="239">
        <f t="shared" si="21"/>
        <v>-400029</v>
      </c>
      <c r="AT45" s="239">
        <f t="shared" si="22"/>
        <v>0</v>
      </c>
      <c r="AU45" s="467">
        <v>0</v>
      </c>
      <c r="AV45" s="467">
        <f t="shared" si="23"/>
        <v>400029</v>
      </c>
      <c r="AW45" s="233"/>
      <c r="AX45" s="467"/>
      <c r="AY45" s="467"/>
      <c r="AZ45" s="467"/>
      <c r="BA45" s="467"/>
      <c r="BB45" s="467"/>
      <c r="BC45" s="467"/>
      <c r="BD45" s="467"/>
      <c r="BF45" s="467"/>
      <c r="BG45" s="467"/>
      <c r="BH45" s="467"/>
      <c r="BI45" s="467"/>
      <c r="BJ45" s="467"/>
      <c r="BK45" s="467"/>
      <c r="BL45" s="467"/>
      <c r="BM45" s="467"/>
      <c r="BN45" s="467"/>
      <c r="BO45" s="467"/>
      <c r="BP45" s="467"/>
      <c r="BQ45" s="467"/>
      <c r="BR45" s="467"/>
      <c r="BS45" s="467"/>
      <c r="BT45" s="467"/>
      <c r="BU45" s="467"/>
      <c r="BV45" s="467"/>
      <c r="BW45" s="467"/>
      <c r="BX45" s="467"/>
      <c r="BY45" s="467"/>
      <c r="BZ45" s="467"/>
      <c r="CA45" s="467"/>
      <c r="CB45" s="467"/>
    </row>
    <row r="46" spans="1:88">
      <c r="AG46" s="233"/>
      <c r="AO46" s="233">
        <f t="shared" si="7"/>
        <v>32</v>
      </c>
      <c r="AP46" s="410" t="s">
        <v>517</v>
      </c>
      <c r="AQ46" s="410"/>
      <c r="AR46" s="467">
        <v>-1381856</v>
      </c>
      <c r="AS46" s="239">
        <f t="shared" si="21"/>
        <v>-1381856</v>
      </c>
      <c r="AT46" s="239">
        <f t="shared" si="22"/>
        <v>0</v>
      </c>
      <c r="AU46" s="467">
        <v>0</v>
      </c>
      <c r="AV46" s="467">
        <f t="shared" si="23"/>
        <v>1381856</v>
      </c>
      <c r="AW46" s="233"/>
      <c r="AX46" s="467"/>
      <c r="AY46" s="467"/>
      <c r="AZ46" s="467"/>
      <c r="BA46" s="467"/>
      <c r="BB46" s="467"/>
      <c r="BC46" s="467"/>
      <c r="BD46" s="467"/>
      <c r="BF46" s="467"/>
      <c r="BG46" s="467"/>
      <c r="BH46" s="467"/>
      <c r="BI46" s="467"/>
      <c r="BJ46" s="467"/>
      <c r="BK46" s="467"/>
      <c r="BL46" s="467"/>
      <c r="BM46" s="467"/>
      <c r="BN46" s="467"/>
      <c r="BO46" s="467"/>
      <c r="BP46" s="467"/>
      <c r="BQ46" s="467"/>
      <c r="BR46" s="467"/>
      <c r="BS46" s="467"/>
      <c r="BT46" s="467"/>
      <c r="BU46" s="467"/>
      <c r="BV46" s="467"/>
      <c r="BW46" s="467"/>
      <c r="BX46" s="467"/>
      <c r="BY46" s="467"/>
      <c r="BZ46" s="467"/>
      <c r="CA46" s="467"/>
      <c r="CB46" s="467"/>
    </row>
    <row r="47" spans="1:88">
      <c r="AG47" s="233"/>
      <c r="AO47" s="233">
        <f t="shared" si="7"/>
        <v>33</v>
      </c>
      <c r="AP47" s="410" t="s">
        <v>516</v>
      </c>
      <c r="AQ47" s="410"/>
      <c r="AR47" s="467">
        <v>6689176.5497812955</v>
      </c>
      <c r="AS47" s="239">
        <f t="shared" si="21"/>
        <v>6689176.5497812955</v>
      </c>
      <c r="AT47" s="239">
        <f t="shared" si="22"/>
        <v>0</v>
      </c>
      <c r="AU47" s="467">
        <v>4459451.03318753</v>
      </c>
      <c r="AV47" s="467">
        <f t="shared" si="23"/>
        <v>-2229725.5165937655</v>
      </c>
      <c r="AW47" s="233"/>
      <c r="AX47" s="467"/>
      <c r="AY47" s="467"/>
      <c r="AZ47" s="467"/>
      <c r="BA47" s="467"/>
      <c r="BB47" s="467"/>
      <c r="BC47" s="467"/>
      <c r="BD47" s="467"/>
      <c r="BF47" s="467"/>
      <c r="BG47" s="467"/>
      <c r="BH47" s="467"/>
      <c r="BI47" s="467"/>
      <c r="BJ47" s="467"/>
      <c r="BK47" s="467"/>
      <c r="BL47" s="467"/>
      <c r="BM47" s="467"/>
      <c r="BN47" s="467"/>
      <c r="BO47" s="467"/>
      <c r="BP47" s="467"/>
      <c r="BQ47" s="467"/>
      <c r="BR47" s="467"/>
      <c r="BS47" s="467"/>
      <c r="BT47" s="467"/>
      <c r="BU47" s="467"/>
      <c r="BV47" s="467"/>
      <c r="BW47" s="467"/>
      <c r="BX47" s="467"/>
      <c r="BY47" s="467"/>
      <c r="BZ47" s="467"/>
      <c r="CA47" s="467"/>
      <c r="CB47" s="467"/>
    </row>
    <row r="48" spans="1:88">
      <c r="AG48" s="233"/>
      <c r="AO48" s="233">
        <f t="shared" ref="AO48:AO63" si="24">AO47+1</f>
        <v>34</v>
      </c>
      <c r="AP48" s="410" t="s">
        <v>515</v>
      </c>
      <c r="AQ48" s="410"/>
      <c r="AR48" s="467">
        <v>3786308</v>
      </c>
      <c r="AS48" s="239">
        <f t="shared" si="21"/>
        <v>3786308</v>
      </c>
      <c r="AT48" s="239">
        <f t="shared" si="22"/>
        <v>0</v>
      </c>
      <c r="AU48" s="467">
        <v>0</v>
      </c>
      <c r="AV48" s="467">
        <f t="shared" si="23"/>
        <v>-3786308</v>
      </c>
      <c r="AW48" s="233"/>
      <c r="AX48" s="467"/>
      <c r="AY48" s="467"/>
      <c r="AZ48" s="467"/>
      <c r="BA48" s="467"/>
      <c r="BB48" s="467"/>
      <c r="BC48" s="467"/>
      <c r="BD48" s="467"/>
      <c r="BF48" s="619"/>
      <c r="BG48" s="619"/>
      <c r="BH48" s="619"/>
      <c r="BI48" s="619"/>
      <c r="BJ48" s="619"/>
      <c r="BK48" s="619"/>
      <c r="BL48" s="619"/>
      <c r="BM48" s="619"/>
      <c r="BN48" s="619"/>
      <c r="BO48" s="619"/>
      <c r="BP48" s="619"/>
      <c r="BQ48" s="619"/>
      <c r="BR48" s="619"/>
      <c r="BS48" s="619"/>
      <c r="BT48" s="619"/>
      <c r="BU48" s="619"/>
      <c r="BV48" s="619"/>
      <c r="BW48" s="619"/>
      <c r="BX48" s="619"/>
      <c r="BY48" s="619"/>
      <c r="BZ48" s="619"/>
      <c r="CA48" s="619"/>
      <c r="CB48" s="619"/>
    </row>
    <row r="49" spans="2:80">
      <c r="AG49" s="233"/>
      <c r="AO49" s="233">
        <f t="shared" si="24"/>
        <v>35</v>
      </c>
      <c r="AP49" s="245" t="s">
        <v>514</v>
      </c>
      <c r="AQ49" s="245"/>
      <c r="AR49" s="620">
        <f>SUM(AR35:AR48)</f>
        <v>19551056.552223939</v>
      </c>
      <c r="AS49" s="620">
        <f>SUM(AS35:AS48)</f>
        <v>19551056.552223939</v>
      </c>
      <c r="AT49" s="620">
        <f>SUM(AT35:AT48)</f>
        <v>0</v>
      </c>
      <c r="AU49" s="620">
        <f>SUM(AU35:AU48)</f>
        <v>8031923.03318753</v>
      </c>
      <c r="AV49" s="620">
        <f>SUM(AV35:AV48)</f>
        <v>-11519133.519036409</v>
      </c>
      <c r="AW49" s="233"/>
      <c r="AX49" s="467"/>
      <c r="AY49" s="467"/>
      <c r="AZ49" s="467"/>
      <c r="BA49" s="467"/>
      <c r="BB49" s="467"/>
      <c r="BC49" s="467"/>
      <c r="BD49" s="467"/>
      <c r="BF49" s="243"/>
      <c r="BG49" s="243"/>
      <c r="BH49" s="243"/>
      <c r="BI49" s="243"/>
      <c r="BJ49" s="243"/>
      <c r="BK49" s="243"/>
      <c r="BL49" s="243"/>
      <c r="BM49" s="243"/>
      <c r="BN49" s="243"/>
      <c r="BO49" s="243"/>
      <c r="BP49" s="243"/>
      <c r="BQ49" s="243"/>
      <c r="BR49" s="243"/>
      <c r="BS49" s="243"/>
      <c r="BT49" s="243"/>
      <c r="BU49" s="243"/>
      <c r="BV49" s="243"/>
      <c r="BW49" s="243"/>
      <c r="BX49" s="243"/>
      <c r="BY49" s="243"/>
      <c r="BZ49" s="243"/>
      <c r="CA49" s="243"/>
      <c r="CB49" s="243"/>
    </row>
    <row r="50" spans="2:80">
      <c r="AG50" s="233"/>
      <c r="AO50" s="233">
        <f t="shared" si="24"/>
        <v>36</v>
      </c>
      <c r="AP50" s="243"/>
      <c r="AQ50" s="243"/>
      <c r="AR50" s="243"/>
      <c r="AU50" s="243"/>
      <c r="AV50" s="243"/>
      <c r="AW50" s="233"/>
      <c r="AX50" s="619"/>
      <c r="AY50" s="619"/>
      <c r="AZ50" s="619"/>
      <c r="BA50" s="619"/>
      <c r="BB50" s="619"/>
      <c r="BC50" s="619"/>
      <c r="BD50" s="619"/>
      <c r="BF50" s="475"/>
      <c r="BG50" s="475"/>
      <c r="BH50" s="475"/>
      <c r="BI50" s="475"/>
      <c r="BJ50" s="475"/>
      <c r="BK50" s="475"/>
      <c r="BL50" s="475"/>
      <c r="BM50" s="475"/>
      <c r="BN50" s="475"/>
      <c r="BO50" s="475"/>
      <c r="BP50" s="475"/>
      <c r="BQ50" s="475"/>
      <c r="BR50" s="475"/>
      <c r="BS50" s="475"/>
      <c r="BT50" s="475"/>
      <c r="BU50" s="475"/>
      <c r="BV50" s="475"/>
      <c r="BW50" s="475"/>
      <c r="BX50" s="475"/>
      <c r="BY50" s="475"/>
      <c r="BZ50" s="475"/>
      <c r="CA50" s="475"/>
      <c r="CB50" s="475"/>
    </row>
    <row r="51" spans="2:80">
      <c r="AG51" s="233"/>
      <c r="AO51" s="233">
        <f t="shared" si="24"/>
        <v>37</v>
      </c>
      <c r="AP51" s="245" t="s">
        <v>513</v>
      </c>
      <c r="AQ51" s="245"/>
      <c r="AR51" s="243"/>
      <c r="AU51" s="618"/>
      <c r="AV51" s="475">
        <f>AV49</f>
        <v>-11519133.519036409</v>
      </c>
      <c r="AW51" s="233"/>
      <c r="AX51" s="243"/>
      <c r="AY51" s="243"/>
      <c r="AZ51" s="243"/>
      <c r="BA51" s="243"/>
      <c r="BB51" s="243"/>
      <c r="BC51" s="243"/>
      <c r="BD51" s="243"/>
      <c r="BF51" s="616"/>
      <c r="BG51" s="616"/>
      <c r="BH51" s="616"/>
      <c r="BI51" s="616"/>
      <c r="BJ51" s="616"/>
      <c r="BK51" s="616"/>
      <c r="BL51" s="616"/>
      <c r="BM51" s="616"/>
      <c r="BN51" s="616"/>
      <c r="BO51" s="616"/>
      <c r="BP51" s="616"/>
      <c r="BQ51" s="616"/>
      <c r="BR51" s="616"/>
      <c r="BS51" s="616"/>
      <c r="BT51" s="616"/>
      <c r="BU51" s="616"/>
      <c r="BV51" s="616"/>
      <c r="BW51" s="616"/>
      <c r="BX51" s="616"/>
      <c r="BY51" s="616"/>
      <c r="BZ51" s="616"/>
      <c r="CA51" s="616"/>
      <c r="CB51" s="616"/>
    </row>
    <row r="52" spans="2:80">
      <c r="AG52" s="233"/>
      <c r="AO52" s="233">
        <f t="shared" si="24"/>
        <v>38</v>
      </c>
      <c r="AP52" s="245"/>
      <c r="AQ52" s="245"/>
      <c r="AR52" s="243"/>
      <c r="AU52" s="618"/>
      <c r="AV52" s="616"/>
      <c r="AW52" s="233"/>
      <c r="AX52" s="475"/>
      <c r="AY52" s="475"/>
      <c r="AZ52" s="475"/>
      <c r="BA52" s="475"/>
      <c r="BB52" s="475"/>
      <c r="BC52" s="475"/>
      <c r="BD52" s="475"/>
      <c r="BF52" s="615"/>
      <c r="BG52" s="615"/>
      <c r="BH52" s="615"/>
      <c r="BI52" s="615"/>
      <c r="BJ52" s="615"/>
      <c r="BK52" s="615"/>
      <c r="BL52" s="615"/>
      <c r="BM52" s="615"/>
      <c r="BN52" s="615"/>
      <c r="BO52" s="615"/>
      <c r="BP52" s="615"/>
      <c r="BQ52" s="615"/>
      <c r="BR52" s="615"/>
      <c r="BS52" s="615"/>
      <c r="BT52" s="615"/>
      <c r="BU52" s="615"/>
      <c r="BV52" s="615"/>
      <c r="BW52" s="615"/>
      <c r="BX52" s="615"/>
      <c r="BY52" s="615"/>
      <c r="BZ52" s="615"/>
      <c r="CA52" s="615"/>
      <c r="CB52" s="615"/>
    </row>
    <row r="53" spans="2:80">
      <c r="AG53" s="233"/>
      <c r="AO53" s="233">
        <f t="shared" si="24"/>
        <v>39</v>
      </c>
      <c r="AP53" s="245" t="s">
        <v>337</v>
      </c>
      <c r="AQ53" s="430">
        <v>0.21</v>
      </c>
      <c r="AR53" s="243"/>
      <c r="AV53" s="617">
        <f>-AV51*AQ53</f>
        <v>2419018.0389976455</v>
      </c>
      <c r="AW53" s="233"/>
      <c r="AX53" s="616"/>
      <c r="AY53" s="616"/>
      <c r="AZ53" s="616"/>
      <c r="BA53" s="616"/>
      <c r="BB53" s="616"/>
      <c r="BC53" s="616"/>
      <c r="BD53" s="616"/>
      <c r="BF53" s="245"/>
      <c r="BG53" s="245"/>
      <c r="BH53" s="245"/>
      <c r="BI53" s="245"/>
      <c r="BJ53" s="245"/>
      <c r="BK53" s="245"/>
      <c r="BL53" s="245"/>
      <c r="BM53" s="245"/>
      <c r="BN53" s="245"/>
      <c r="BO53" s="245"/>
      <c r="BP53" s="245"/>
      <c r="BQ53" s="245"/>
      <c r="BR53" s="245"/>
      <c r="BS53" s="245"/>
      <c r="BT53" s="245"/>
      <c r="BU53" s="245"/>
      <c r="BV53" s="245"/>
      <c r="BW53" s="245"/>
      <c r="BX53" s="245"/>
      <c r="BY53" s="245"/>
      <c r="BZ53" s="245"/>
      <c r="CA53" s="245"/>
      <c r="CB53" s="245"/>
    </row>
    <row r="54" spans="2:80">
      <c r="AG54" s="233"/>
      <c r="AO54" s="233">
        <f t="shared" si="24"/>
        <v>40</v>
      </c>
      <c r="AP54" s="245"/>
      <c r="AQ54" s="245"/>
      <c r="AR54" s="243"/>
      <c r="AS54" s="245"/>
      <c r="AU54" s="245"/>
      <c r="AV54" s="245"/>
      <c r="AW54" s="233"/>
      <c r="AX54" s="615"/>
      <c r="AY54" s="615"/>
      <c r="AZ54" s="615"/>
      <c r="BA54" s="615"/>
      <c r="BB54" s="615"/>
      <c r="BC54" s="615"/>
      <c r="BD54" s="615"/>
      <c r="BF54" s="523"/>
      <c r="BG54" s="523"/>
      <c r="BH54" s="523"/>
      <c r="BI54" s="523"/>
      <c r="BJ54" s="523"/>
      <c r="BK54" s="523"/>
      <c r="BL54" s="523"/>
      <c r="BM54" s="523"/>
      <c r="BN54" s="523"/>
      <c r="BO54" s="523"/>
      <c r="BP54" s="523"/>
      <c r="BQ54" s="523"/>
      <c r="BR54" s="523"/>
      <c r="BS54" s="523"/>
      <c r="BT54" s="523"/>
      <c r="BU54" s="523"/>
      <c r="BV54" s="523"/>
      <c r="BW54" s="523"/>
      <c r="BX54" s="523"/>
      <c r="BY54" s="523"/>
      <c r="BZ54" s="523"/>
      <c r="CA54" s="523"/>
      <c r="CB54" s="523"/>
    </row>
    <row r="55" spans="2:80" ht="15" thickBot="1">
      <c r="AO55" s="233">
        <f t="shared" si="24"/>
        <v>41</v>
      </c>
      <c r="AP55" s="245" t="s">
        <v>249</v>
      </c>
      <c r="AQ55" s="245"/>
      <c r="AR55" s="243"/>
      <c r="AS55" s="245"/>
      <c r="AU55" s="523"/>
      <c r="AV55" s="614">
        <f>-AV51-AV53</f>
        <v>9100115.4800387621</v>
      </c>
      <c r="AW55" s="233"/>
      <c r="AX55" s="245"/>
      <c r="AY55" s="245"/>
      <c r="AZ55" s="245"/>
      <c r="BA55" s="245"/>
      <c r="BB55" s="245"/>
      <c r="BC55" s="245"/>
      <c r="BD55" s="245"/>
    </row>
    <row r="56" spans="2:80" ht="15" thickTop="1">
      <c r="AO56" s="233">
        <f t="shared" si="24"/>
        <v>42</v>
      </c>
      <c r="AW56" s="233"/>
      <c r="AX56" s="523"/>
      <c r="AY56" s="523"/>
      <c r="AZ56" s="523"/>
      <c r="BA56" s="523"/>
      <c r="BB56" s="523"/>
      <c r="BC56" s="523"/>
      <c r="BD56" s="523"/>
    </row>
    <row r="57" spans="2:80">
      <c r="AO57" s="233">
        <f t="shared" si="24"/>
        <v>43</v>
      </c>
      <c r="AP57" s="406" t="s">
        <v>1366</v>
      </c>
      <c r="AQ57" s="406"/>
      <c r="AW57" s="233"/>
    </row>
    <row r="58" spans="2:80">
      <c r="AO58" s="233">
        <f t="shared" si="24"/>
        <v>44</v>
      </c>
      <c r="AP58" s="406" t="s">
        <v>1367</v>
      </c>
      <c r="AQ58" s="406"/>
      <c r="AW58" s="233"/>
    </row>
    <row r="59" spans="2:80">
      <c r="AO59" s="233">
        <f t="shared" si="24"/>
        <v>45</v>
      </c>
      <c r="AP59" s="406"/>
      <c r="AQ59" s="406"/>
      <c r="AW59" s="233"/>
    </row>
    <row r="60" spans="2:80">
      <c r="AO60" s="233">
        <f t="shared" si="24"/>
        <v>46</v>
      </c>
      <c r="AP60" s="406" t="s">
        <v>1368</v>
      </c>
      <c r="AW60" s="233"/>
    </row>
    <row r="61" spans="2:80">
      <c r="AO61" s="233">
        <f t="shared" si="24"/>
        <v>47</v>
      </c>
      <c r="AP61" s="406" t="s">
        <v>1369</v>
      </c>
      <c r="AQ61" s="406"/>
      <c r="AR61" s="467">
        <v>-31039847.298310034</v>
      </c>
      <c r="AW61" s="233"/>
    </row>
    <row r="62" spans="2:80">
      <c r="AO62" s="233">
        <f t="shared" si="24"/>
        <v>48</v>
      </c>
      <c r="AP62" s="406" t="s">
        <v>751</v>
      </c>
      <c r="AQ62" s="406"/>
      <c r="AR62" s="467">
        <v>7647955.3945128955</v>
      </c>
      <c r="AW62" s="233"/>
    </row>
    <row r="63" spans="2:80" ht="15" thickBot="1">
      <c r="AO63" s="233">
        <f t="shared" si="24"/>
        <v>49</v>
      </c>
      <c r="AP63" s="406" t="s">
        <v>1370</v>
      </c>
      <c r="AQ63" s="406"/>
      <c r="AR63" s="396">
        <f>SUM(AR61:AR62)</f>
        <v>-23391891.903797138</v>
      </c>
      <c r="AW63" s="233"/>
    </row>
    <row r="64" spans="2:80" ht="15" thickTop="1">
      <c r="B64" s="230" t="str">
        <f>UPPER(B38)</f>
        <v/>
      </c>
      <c r="AO64" s="233"/>
      <c r="AQ64" s="406"/>
      <c r="AW64" s="233"/>
    </row>
    <row r="65" spans="2:48">
      <c r="B65" s="230" t="str">
        <f>UPPER(B39)</f>
        <v/>
      </c>
    </row>
    <row r="66" spans="2:48">
      <c r="B66" s="230" t="str">
        <f>UPPER(B40)</f>
        <v/>
      </c>
    </row>
    <row r="68" spans="2:48">
      <c r="AO68" s="613"/>
      <c r="AQ68" s="612"/>
      <c r="AR68" s="612"/>
      <c r="AS68" s="612"/>
      <c r="AT68" s="612"/>
      <c r="AU68" s="612"/>
      <c r="AV68" s="612"/>
    </row>
    <row r="70" spans="2:48">
      <c r="AP70" s="250" t="str">
        <f t="shared" ref="AP70" si="25">UPPER(AP64)</f>
        <v/>
      </c>
    </row>
  </sheetData>
  <printOptions horizontalCentered="1"/>
  <pageMargins left="0.45" right="0.45" top="0.5" bottom="0.5" header="0.3" footer="0.3"/>
  <pageSetup scale="1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BT70"/>
  <sheetViews>
    <sheetView workbookViewId="0">
      <pane xSplit="4" ySplit="10" topLeftCell="E11" activePane="bottomRight" state="frozen"/>
      <selection activeCell="P52" sqref="P52"/>
      <selection pane="topRight" activeCell="P52" sqref="P52"/>
      <selection pane="bottomLeft" activeCell="P52" sqref="P52"/>
      <selection pane="bottomRight" activeCell="G31" sqref="G31"/>
    </sheetView>
  </sheetViews>
  <sheetFormatPr defaultColWidth="9.109375" defaultRowHeight="13.2"/>
  <cols>
    <col min="1" max="1" width="4.5546875" style="1261" customWidth="1"/>
    <col min="2" max="2" width="6.6640625" style="1262" bestFit="1" customWidth="1"/>
    <col min="3" max="3" width="3.6640625" style="1262" bestFit="1" customWidth="1"/>
    <col min="4" max="4" width="56.33203125" style="1261" bestFit="1" customWidth="1"/>
    <col min="5" max="5" width="14.109375" style="1261" bestFit="1" customWidth="1"/>
    <col min="6" max="6" width="15.5546875" style="1261" bestFit="1" customWidth="1"/>
    <col min="7" max="8" width="13.6640625" style="1261" customWidth="1"/>
    <col min="9" max="9" width="12.44140625" style="1261" bestFit="1" customWidth="1"/>
    <col min="10" max="10" width="13.109375" style="1261" bestFit="1" customWidth="1"/>
    <col min="11" max="11" width="12.33203125" style="1261" bestFit="1" customWidth="1"/>
    <col min="12" max="16384" width="9.109375" style="1261"/>
  </cols>
  <sheetData>
    <row r="1" spans="1:72" ht="13.8" thickBot="1"/>
    <row r="2" spans="1:72" ht="18.600000000000001" thickBot="1">
      <c r="A2" s="1263" t="s">
        <v>886</v>
      </c>
      <c r="I2" s="1264" t="s">
        <v>1474</v>
      </c>
      <c r="J2" s="1265"/>
    </row>
    <row r="3" spans="1:72" ht="18">
      <c r="A3" s="1263" t="s">
        <v>1439</v>
      </c>
    </row>
    <row r="4" spans="1:72" ht="18.600000000000001" thickBot="1">
      <c r="A4" s="1263" t="s">
        <v>1440</v>
      </c>
      <c r="I4" s="1266" t="s">
        <v>1441</v>
      </c>
      <c r="J4" s="1266" t="s">
        <v>1442</v>
      </c>
    </row>
    <row r="5" spans="1:72" ht="18">
      <c r="A5" s="1263" t="s">
        <v>1443</v>
      </c>
      <c r="I5" s="1267" t="s">
        <v>1444</v>
      </c>
      <c r="J5" s="1267" t="s">
        <v>1444</v>
      </c>
    </row>
    <row r="6" spans="1:72" ht="14.4" thickBot="1">
      <c r="I6" s="1268">
        <v>0</v>
      </c>
      <c r="J6" s="1268">
        <f>1-I6</f>
        <v>1</v>
      </c>
    </row>
    <row r="7" spans="1:72" ht="13.8">
      <c r="I7" s="1267" t="s">
        <v>1445</v>
      </c>
      <c r="J7" s="1267" t="s">
        <v>1445</v>
      </c>
    </row>
    <row r="8" spans="1:72" ht="14.4" thickBot="1">
      <c r="I8" s="1269">
        <f>1-J8</f>
        <v>4.5697161037118628E-2</v>
      </c>
      <c r="J8" s="1270">
        <v>0.95430283896288137</v>
      </c>
    </row>
    <row r="9" spans="1:72">
      <c r="E9" s="1262" t="s">
        <v>1446</v>
      </c>
      <c r="F9" s="1262" t="s">
        <v>1447</v>
      </c>
      <c r="G9" s="1262" t="s">
        <v>1448</v>
      </c>
      <c r="H9" s="1262" t="s">
        <v>1448</v>
      </c>
      <c r="I9" s="1262" t="s">
        <v>1449</v>
      </c>
    </row>
    <row r="10" spans="1:72" ht="13.8" thickBot="1">
      <c r="A10" s="1261" t="s">
        <v>1450</v>
      </c>
      <c r="B10" s="1262" t="s">
        <v>1451</v>
      </c>
      <c r="C10" s="1262" t="s">
        <v>1398</v>
      </c>
      <c r="D10" s="1261" t="s">
        <v>774</v>
      </c>
      <c r="E10" s="1262" t="s">
        <v>1452</v>
      </c>
      <c r="F10" s="1262" t="s">
        <v>1453</v>
      </c>
      <c r="G10" s="1262" t="s">
        <v>1454</v>
      </c>
      <c r="H10" s="1262" t="s">
        <v>1455</v>
      </c>
      <c r="I10" s="1262" t="s">
        <v>1456</v>
      </c>
    </row>
    <row r="11" spans="1:72" ht="13.8" thickBot="1">
      <c r="A11" s="1262">
        <v>1</v>
      </c>
      <c r="E11" s="1283" t="s">
        <v>1477</v>
      </c>
      <c r="F11" s="1271"/>
      <c r="G11" s="1271"/>
      <c r="H11" s="1271"/>
      <c r="I11" s="1271"/>
      <c r="J11" s="1283" t="s">
        <v>1478</v>
      </c>
      <c r="K11" s="1271"/>
      <c r="L11" s="1271"/>
      <c r="M11" s="1271"/>
      <c r="N11" s="1271"/>
      <c r="O11" s="1271"/>
      <c r="P11" s="1271"/>
      <c r="Q11" s="1271"/>
      <c r="R11" s="1271"/>
      <c r="S11" s="1271"/>
      <c r="T11" s="1271"/>
      <c r="U11" s="1271"/>
      <c r="V11" s="1271"/>
      <c r="W11" s="1271"/>
      <c r="X11" s="1271"/>
      <c r="Y11" s="1271"/>
      <c r="Z11" s="1271"/>
      <c r="AA11" s="1271"/>
      <c r="AB11" s="1271"/>
      <c r="AC11" s="1271"/>
      <c r="AD11" s="1271"/>
      <c r="AE11" s="1271"/>
      <c r="AF11" s="1271"/>
      <c r="AG11" s="1271"/>
      <c r="AH11" s="1271"/>
      <c r="AI11" s="1271"/>
      <c r="AJ11" s="1271"/>
      <c r="AK11" s="1271"/>
      <c r="AL11" s="1271"/>
      <c r="AM11" s="1271"/>
      <c r="AN11" s="1271"/>
      <c r="AO11" s="1271"/>
      <c r="AP11" s="1271"/>
      <c r="AQ11" s="1271"/>
      <c r="AR11" s="1271"/>
      <c r="AS11" s="1271"/>
      <c r="AT11" s="1271"/>
      <c r="AU11" s="1271"/>
      <c r="AV11" s="1271"/>
      <c r="AW11" s="1271"/>
      <c r="AX11" s="1271"/>
      <c r="AY11" s="1271"/>
      <c r="AZ11" s="1271"/>
      <c r="BA11" s="1271"/>
      <c r="BB11" s="1271"/>
      <c r="BC11" s="1271"/>
      <c r="BD11" s="1271"/>
      <c r="BE11" s="1271"/>
      <c r="BF11" s="1271"/>
      <c r="BG11" s="1271"/>
      <c r="BH11" s="1271"/>
      <c r="BI11" s="1271"/>
      <c r="BJ11" s="1271"/>
      <c r="BK11" s="1271"/>
      <c r="BL11" s="1271"/>
      <c r="BM11" s="1271"/>
      <c r="BN11" s="1271"/>
      <c r="BO11" s="1271"/>
      <c r="BP11" s="1271"/>
      <c r="BQ11" s="1271"/>
      <c r="BR11" s="1271"/>
      <c r="BS11" s="1271"/>
      <c r="BT11" s="1271"/>
    </row>
    <row r="12" spans="1:72">
      <c r="A12" s="1262">
        <f>+A11+1</f>
        <v>2</v>
      </c>
      <c r="D12" s="1272" t="s">
        <v>1457</v>
      </c>
      <c r="E12" s="1271"/>
      <c r="F12" s="1271"/>
      <c r="G12" s="1271"/>
      <c r="H12" s="1271"/>
      <c r="I12" s="1271"/>
      <c r="J12" s="1271"/>
      <c r="K12" s="1273"/>
      <c r="L12" s="1271"/>
      <c r="M12" s="1271"/>
      <c r="N12" s="1271"/>
      <c r="O12" s="1271"/>
      <c r="P12" s="1271"/>
      <c r="Q12" s="1271"/>
      <c r="R12" s="1271"/>
      <c r="S12" s="1271"/>
      <c r="T12" s="1271"/>
      <c r="U12" s="1271"/>
      <c r="V12" s="1271"/>
      <c r="W12" s="1271"/>
      <c r="X12" s="1271"/>
      <c r="Y12" s="1271"/>
      <c r="Z12" s="1271"/>
      <c r="AA12" s="1271"/>
      <c r="AB12" s="1271"/>
      <c r="AC12" s="1271"/>
      <c r="AD12" s="1271"/>
      <c r="AE12" s="1271"/>
      <c r="AF12" s="1271"/>
      <c r="AG12" s="1271"/>
      <c r="AH12" s="1271"/>
      <c r="AI12" s="1271"/>
      <c r="AJ12" s="1271"/>
      <c r="AK12" s="1271"/>
      <c r="AL12" s="1271"/>
      <c r="AM12" s="1271"/>
      <c r="AN12" s="1271"/>
      <c r="AO12" s="1271"/>
      <c r="AP12" s="1271"/>
      <c r="AQ12" s="1271"/>
      <c r="AR12" s="1271"/>
      <c r="AS12" s="1271"/>
      <c r="AT12" s="1271"/>
      <c r="AU12" s="1271"/>
      <c r="AV12" s="1271"/>
      <c r="AW12" s="1271"/>
      <c r="AX12" s="1271"/>
      <c r="AY12" s="1271"/>
      <c r="AZ12" s="1271"/>
      <c r="BA12" s="1271"/>
      <c r="BB12" s="1271"/>
      <c r="BC12" s="1271"/>
      <c r="BD12" s="1271"/>
      <c r="BE12" s="1271"/>
      <c r="BF12" s="1271"/>
      <c r="BG12" s="1271"/>
      <c r="BH12" s="1271"/>
      <c r="BI12" s="1271"/>
      <c r="BJ12" s="1271"/>
      <c r="BK12" s="1271"/>
      <c r="BL12" s="1271"/>
      <c r="BM12" s="1271"/>
      <c r="BN12" s="1271"/>
      <c r="BO12" s="1271"/>
      <c r="BP12" s="1271"/>
      <c r="BQ12" s="1271"/>
      <c r="BR12" s="1271"/>
      <c r="BS12" s="1271"/>
      <c r="BT12" s="1271"/>
    </row>
    <row r="13" spans="1:72">
      <c r="A13" s="1262">
        <f t="shared" ref="A13:A28" si="0">+A12+1</f>
        <v>3</v>
      </c>
      <c r="B13" s="1274">
        <v>501</v>
      </c>
      <c r="C13" s="1274" t="s">
        <v>1093</v>
      </c>
      <c r="D13" s="1261" t="s">
        <v>571</v>
      </c>
      <c r="E13" s="1271">
        <v>79334191.840000004</v>
      </c>
      <c r="F13" s="1271">
        <v>39258683.972400762</v>
      </c>
      <c r="G13" s="1271"/>
      <c r="H13" s="1271"/>
      <c r="I13" s="1271">
        <f t="shared" ref="I13:I20" si="1">SUM(F13:H13)</f>
        <v>39258683.972400762</v>
      </c>
      <c r="J13" s="1271">
        <f t="shared" ref="J13:J20" si="2">IF(C13="v",I13*$J$8,I13*$J$6)</f>
        <v>37464673.568808615</v>
      </c>
      <c r="K13" s="1273"/>
      <c r="L13" s="1271"/>
      <c r="M13" s="1271"/>
      <c r="N13" s="1271"/>
      <c r="O13" s="1271"/>
      <c r="P13" s="1271"/>
      <c r="Q13" s="1271"/>
      <c r="R13" s="1271"/>
      <c r="S13" s="1271"/>
      <c r="T13" s="1271"/>
      <c r="U13" s="1271"/>
      <c r="V13" s="1271"/>
      <c r="W13" s="1271"/>
      <c r="X13" s="1271"/>
      <c r="Y13" s="1271"/>
      <c r="Z13" s="1271"/>
      <c r="AA13" s="1271"/>
      <c r="AB13" s="1271"/>
      <c r="AC13" s="1271"/>
      <c r="AD13" s="1271"/>
      <c r="AE13" s="1271"/>
      <c r="AF13" s="1271"/>
      <c r="AG13" s="1271"/>
      <c r="AH13" s="1271"/>
      <c r="AI13" s="1271"/>
      <c r="AJ13" s="1271"/>
      <c r="AK13" s="1271"/>
      <c r="AL13" s="1271"/>
      <c r="AM13" s="1271"/>
      <c r="AN13" s="1271"/>
      <c r="AO13" s="1271"/>
      <c r="AP13" s="1271"/>
      <c r="AQ13" s="1271"/>
      <c r="AR13" s="1271"/>
      <c r="AS13" s="1271"/>
      <c r="AT13" s="1271"/>
      <c r="AU13" s="1271"/>
      <c r="AV13" s="1271"/>
      <c r="AW13" s="1271"/>
      <c r="AX13" s="1271"/>
      <c r="AY13" s="1271"/>
      <c r="AZ13" s="1271"/>
      <c r="BA13" s="1271"/>
      <c r="BB13" s="1271"/>
      <c r="BC13" s="1271"/>
      <c r="BD13" s="1271"/>
      <c r="BE13" s="1271"/>
      <c r="BF13" s="1271"/>
      <c r="BG13" s="1271"/>
      <c r="BH13" s="1271"/>
      <c r="BI13" s="1271"/>
      <c r="BJ13" s="1271"/>
      <c r="BK13" s="1271"/>
      <c r="BL13" s="1271"/>
      <c r="BM13" s="1271"/>
      <c r="BN13" s="1271"/>
      <c r="BO13" s="1271"/>
      <c r="BP13" s="1271"/>
      <c r="BQ13" s="1271"/>
      <c r="BR13" s="1271"/>
      <c r="BS13" s="1271"/>
      <c r="BT13" s="1271"/>
    </row>
    <row r="14" spans="1:72">
      <c r="A14" s="1262">
        <f>+A13+1</f>
        <v>4</v>
      </c>
      <c r="B14" s="1274">
        <v>547</v>
      </c>
      <c r="C14" s="1274" t="s">
        <v>1093</v>
      </c>
      <c r="D14" s="1261" t="s">
        <v>569</v>
      </c>
      <c r="E14" s="1271">
        <v>125903300.81000002</v>
      </c>
      <c r="F14" s="1271">
        <v>150065499.56497508</v>
      </c>
      <c r="G14" s="1271"/>
      <c r="H14" s="1271"/>
      <c r="I14" s="1271">
        <f t="shared" si="1"/>
        <v>150065499.56497508</v>
      </c>
      <c r="J14" s="1271">
        <f t="shared" si="2"/>
        <v>143207932.26523876</v>
      </c>
      <c r="K14" s="1273"/>
      <c r="L14" s="1271"/>
      <c r="M14" s="1271"/>
      <c r="N14" s="1271"/>
      <c r="O14" s="1271"/>
      <c r="P14" s="1271"/>
      <c r="Q14" s="1271"/>
      <c r="R14" s="1271"/>
      <c r="S14" s="1271"/>
      <c r="T14" s="1271"/>
      <c r="U14" s="1271"/>
      <c r="V14" s="1271"/>
      <c r="W14" s="1271"/>
      <c r="X14" s="1271"/>
      <c r="Y14" s="1271"/>
      <c r="Z14" s="1271"/>
      <c r="AA14" s="1271"/>
      <c r="AB14" s="1271"/>
      <c r="AC14" s="1271"/>
      <c r="AD14" s="1271"/>
      <c r="AE14" s="1271"/>
      <c r="AF14" s="1271"/>
      <c r="AG14" s="1271"/>
      <c r="AH14" s="1271"/>
      <c r="AI14" s="1271"/>
      <c r="AJ14" s="1271"/>
      <c r="AK14" s="1271"/>
      <c r="AL14" s="1271"/>
      <c r="AM14" s="1271"/>
      <c r="AN14" s="1271"/>
      <c r="AO14" s="1271"/>
      <c r="AP14" s="1271"/>
      <c r="AQ14" s="1271"/>
      <c r="AR14" s="1271"/>
      <c r="AS14" s="1271"/>
      <c r="AT14" s="1271"/>
      <c r="AU14" s="1271"/>
      <c r="AV14" s="1271"/>
      <c r="AW14" s="1271"/>
      <c r="AX14" s="1271"/>
      <c r="AY14" s="1271"/>
      <c r="AZ14" s="1271"/>
      <c r="BA14" s="1271"/>
      <c r="BB14" s="1271"/>
      <c r="BC14" s="1271"/>
      <c r="BD14" s="1271"/>
      <c r="BE14" s="1271"/>
      <c r="BF14" s="1271"/>
      <c r="BG14" s="1271"/>
      <c r="BH14" s="1271"/>
      <c r="BI14" s="1271"/>
      <c r="BJ14" s="1271"/>
      <c r="BK14" s="1271"/>
      <c r="BL14" s="1271"/>
      <c r="BM14" s="1271"/>
      <c r="BN14" s="1271"/>
      <c r="BO14" s="1271"/>
      <c r="BP14" s="1271"/>
      <c r="BQ14" s="1271"/>
      <c r="BR14" s="1271"/>
      <c r="BS14" s="1271"/>
      <c r="BT14" s="1271"/>
    </row>
    <row r="15" spans="1:72">
      <c r="A15" s="1262">
        <f t="shared" si="0"/>
        <v>5</v>
      </c>
      <c r="B15" s="1274">
        <v>555</v>
      </c>
      <c r="C15" s="1274" t="s">
        <v>1093</v>
      </c>
      <c r="D15" s="1261" t="s">
        <v>567</v>
      </c>
      <c r="E15" s="1271">
        <v>588866958.71446157</v>
      </c>
      <c r="F15" s="1271">
        <v>454203708.18611747</v>
      </c>
      <c r="G15" s="1271"/>
      <c r="H15" s="1271"/>
      <c r="I15" s="1271">
        <f t="shared" si="1"/>
        <v>454203708.18611747</v>
      </c>
      <c r="J15" s="1271">
        <f t="shared" si="2"/>
        <v>433447888.18948001</v>
      </c>
      <c r="K15" s="1273"/>
      <c r="L15" s="1271"/>
      <c r="M15" s="1271"/>
      <c r="N15" s="1271"/>
      <c r="O15" s="1271"/>
      <c r="P15" s="1271"/>
      <c r="Q15" s="1271"/>
      <c r="R15" s="1271"/>
      <c r="S15" s="1271"/>
      <c r="T15" s="1271"/>
      <c r="U15" s="1271"/>
      <c r="V15" s="1271"/>
      <c r="W15" s="1271"/>
      <c r="X15" s="1271"/>
      <c r="Y15" s="1271"/>
      <c r="Z15" s="1271"/>
      <c r="AA15" s="1271"/>
      <c r="AB15" s="1271"/>
      <c r="AC15" s="1271"/>
      <c r="AD15" s="1271"/>
      <c r="AE15" s="1271"/>
      <c r="AF15" s="1271"/>
      <c r="AG15" s="1271"/>
      <c r="AH15" s="1271"/>
      <c r="AI15" s="1271"/>
      <c r="AJ15" s="1271"/>
      <c r="AK15" s="1271"/>
      <c r="AL15" s="1271"/>
      <c r="AM15" s="1271"/>
      <c r="AN15" s="1271"/>
      <c r="AO15" s="1271"/>
      <c r="AP15" s="1271"/>
      <c r="AQ15" s="1271"/>
      <c r="AR15" s="1271"/>
      <c r="AS15" s="1271"/>
      <c r="AT15" s="1271"/>
      <c r="AU15" s="1271"/>
      <c r="AV15" s="1271"/>
      <c r="AW15" s="1271"/>
      <c r="AX15" s="1271"/>
      <c r="AY15" s="1271"/>
      <c r="AZ15" s="1271"/>
      <c r="BA15" s="1271"/>
      <c r="BB15" s="1271"/>
      <c r="BC15" s="1271"/>
      <c r="BD15" s="1271"/>
      <c r="BE15" s="1271"/>
      <c r="BF15" s="1271"/>
      <c r="BG15" s="1271"/>
      <c r="BH15" s="1271"/>
      <c r="BI15" s="1271"/>
      <c r="BJ15" s="1271"/>
      <c r="BK15" s="1271"/>
      <c r="BL15" s="1271"/>
      <c r="BM15" s="1271"/>
      <c r="BN15" s="1271"/>
      <c r="BO15" s="1271"/>
      <c r="BP15" s="1271"/>
      <c r="BQ15" s="1271"/>
      <c r="BR15" s="1271"/>
      <c r="BS15" s="1271"/>
      <c r="BT15" s="1271"/>
    </row>
    <row r="16" spans="1:72">
      <c r="A16" s="1262">
        <f t="shared" si="0"/>
        <v>6</v>
      </c>
      <c r="B16" s="1274">
        <v>557</v>
      </c>
      <c r="C16" s="1274" t="s">
        <v>1090</v>
      </c>
      <c r="D16" s="1261" t="s">
        <v>564</v>
      </c>
      <c r="E16" s="1271">
        <v>11072849.4899999</v>
      </c>
      <c r="F16" s="1275">
        <v>9989396.959999999</v>
      </c>
      <c r="G16" s="1271">
        <v>-1833483.02</v>
      </c>
      <c r="H16" s="1271">
        <v>-323117.56</v>
      </c>
      <c r="I16" s="1271">
        <f t="shared" si="1"/>
        <v>7832796.3799999999</v>
      </c>
      <c r="J16" s="1271">
        <f t="shared" si="2"/>
        <v>7832796.3799999999</v>
      </c>
      <c r="K16" s="1273"/>
      <c r="L16" s="1271"/>
      <c r="M16" s="1271"/>
      <c r="N16" s="1271"/>
      <c r="O16" s="1271"/>
      <c r="P16" s="1271"/>
      <c r="Q16" s="1271"/>
      <c r="R16" s="1271"/>
      <c r="S16" s="1271"/>
      <c r="T16" s="1271"/>
      <c r="U16" s="1271"/>
      <c r="V16" s="1271"/>
      <c r="W16" s="1271"/>
      <c r="X16" s="1271"/>
      <c r="Y16" s="1271"/>
      <c r="Z16" s="1271"/>
      <c r="AA16" s="1271"/>
      <c r="AB16" s="1271"/>
      <c r="AC16" s="1271"/>
      <c r="AD16" s="1271"/>
      <c r="AE16" s="1271"/>
      <c r="AF16" s="1271"/>
      <c r="AG16" s="1271"/>
      <c r="AH16" s="1271"/>
      <c r="AI16" s="1271"/>
      <c r="AJ16" s="1271"/>
      <c r="AK16" s="1271"/>
      <c r="AL16" s="1271"/>
      <c r="AM16" s="1271"/>
      <c r="AN16" s="1271"/>
      <c r="AO16" s="1271"/>
      <c r="AP16" s="1271"/>
      <c r="AQ16" s="1271"/>
      <c r="AR16" s="1271"/>
      <c r="AS16" s="1271"/>
      <c r="AT16" s="1271"/>
      <c r="AU16" s="1271"/>
      <c r="AV16" s="1271"/>
      <c r="AW16" s="1271"/>
      <c r="AX16" s="1271"/>
      <c r="AY16" s="1271"/>
      <c r="AZ16" s="1271"/>
      <c r="BA16" s="1271"/>
      <c r="BB16" s="1271"/>
      <c r="BC16" s="1271"/>
      <c r="BD16" s="1271"/>
      <c r="BE16" s="1271"/>
      <c r="BF16" s="1271"/>
      <c r="BG16" s="1271"/>
      <c r="BH16" s="1271"/>
      <c r="BI16" s="1271"/>
      <c r="BJ16" s="1271"/>
      <c r="BK16" s="1271"/>
      <c r="BL16" s="1271"/>
      <c r="BM16" s="1271"/>
      <c r="BN16" s="1271"/>
      <c r="BO16" s="1271"/>
      <c r="BP16" s="1271"/>
      <c r="BQ16" s="1271"/>
      <c r="BR16" s="1271"/>
      <c r="BS16" s="1271"/>
      <c r="BT16" s="1271"/>
    </row>
    <row r="17" spans="1:72">
      <c r="A17" s="1262">
        <f t="shared" si="0"/>
        <v>7</v>
      </c>
      <c r="B17" s="1274">
        <v>557</v>
      </c>
      <c r="C17" s="1274" t="s">
        <v>1093</v>
      </c>
      <c r="D17" s="1261" t="s">
        <v>1458</v>
      </c>
      <c r="E17" s="1271">
        <v>446665.22</v>
      </c>
      <c r="F17" s="1271">
        <f>+E17</f>
        <v>446665.22</v>
      </c>
      <c r="G17" s="1271"/>
      <c r="H17" s="1271"/>
      <c r="I17" s="1271">
        <f t="shared" si="1"/>
        <v>446665.22</v>
      </c>
      <c r="J17" s="1271">
        <f t="shared" si="2"/>
        <v>426253.88751197996</v>
      </c>
      <c r="K17" s="1273"/>
      <c r="L17" s="1271"/>
      <c r="M17" s="1271"/>
      <c r="N17" s="1271"/>
      <c r="O17" s="1271"/>
      <c r="P17" s="1271"/>
      <c r="Q17" s="1271"/>
      <c r="R17" s="1271"/>
      <c r="S17" s="1271"/>
      <c r="T17" s="1271"/>
      <c r="U17" s="1271"/>
      <c r="V17" s="1271"/>
      <c r="W17" s="1271"/>
      <c r="X17" s="1271"/>
      <c r="Y17" s="1271"/>
      <c r="Z17" s="1271"/>
      <c r="AA17" s="1271"/>
      <c r="AB17" s="1271"/>
      <c r="AC17" s="1271"/>
      <c r="AD17" s="1271"/>
      <c r="AE17" s="1271"/>
      <c r="AF17" s="1271"/>
      <c r="AG17" s="1271"/>
      <c r="AH17" s="1271"/>
      <c r="AI17" s="1271"/>
      <c r="AJ17" s="1271"/>
      <c r="AK17" s="1271"/>
      <c r="AL17" s="1271"/>
      <c r="AM17" s="1271"/>
      <c r="AN17" s="1271"/>
      <c r="AO17" s="1271"/>
      <c r="AP17" s="1271"/>
      <c r="AQ17" s="1271"/>
      <c r="AR17" s="1271"/>
      <c r="AS17" s="1271"/>
      <c r="AT17" s="1271"/>
      <c r="AU17" s="1271"/>
      <c r="AV17" s="1271"/>
      <c r="AW17" s="1271"/>
      <c r="AX17" s="1271"/>
      <c r="AY17" s="1271"/>
      <c r="AZ17" s="1271"/>
      <c r="BA17" s="1271"/>
      <c r="BB17" s="1271"/>
      <c r="BC17" s="1271"/>
      <c r="BD17" s="1271"/>
      <c r="BE17" s="1271"/>
      <c r="BF17" s="1271"/>
      <c r="BG17" s="1271"/>
      <c r="BH17" s="1271"/>
      <c r="BI17" s="1271"/>
      <c r="BJ17" s="1271"/>
      <c r="BK17" s="1271"/>
      <c r="BL17" s="1271"/>
      <c r="BM17" s="1271"/>
      <c r="BN17" s="1271"/>
      <c r="BO17" s="1271"/>
      <c r="BP17" s="1271"/>
      <c r="BQ17" s="1271"/>
      <c r="BR17" s="1271"/>
      <c r="BS17" s="1271"/>
      <c r="BT17" s="1271"/>
    </row>
    <row r="18" spans="1:72">
      <c r="A18" s="1262">
        <f t="shared" si="0"/>
        <v>8</v>
      </c>
      <c r="B18" s="1274">
        <v>565</v>
      </c>
      <c r="C18" s="1274" t="s">
        <v>1093</v>
      </c>
      <c r="D18" s="1261" t="s">
        <v>556</v>
      </c>
      <c r="E18" s="1271">
        <f>'SJK-3'!B20</f>
        <v>115807777.5999999</v>
      </c>
      <c r="F18" s="1271">
        <v>117713493.80738376</v>
      </c>
      <c r="G18" s="1271"/>
      <c r="H18" s="1271"/>
      <c r="I18" s="1271">
        <f t="shared" si="1"/>
        <v>117713493.80738376</v>
      </c>
      <c r="J18" s="1276">
        <f t="shared" si="2"/>
        <v>112334321.32462588</v>
      </c>
      <c r="K18" s="1273"/>
      <c r="L18" s="1271"/>
      <c r="M18" s="1271"/>
      <c r="N18" s="1271"/>
      <c r="O18" s="1271"/>
      <c r="P18" s="1271"/>
      <c r="Q18" s="1271"/>
      <c r="R18" s="1271"/>
      <c r="S18" s="1271"/>
      <c r="T18" s="1271"/>
      <c r="U18" s="1271"/>
      <c r="V18" s="1271"/>
      <c r="W18" s="1271"/>
      <c r="X18" s="1271"/>
      <c r="Y18" s="1271"/>
      <c r="Z18" s="1271"/>
      <c r="AA18" s="1271"/>
      <c r="AB18" s="1271"/>
      <c r="AC18" s="1271"/>
      <c r="AD18" s="1271"/>
      <c r="AE18" s="1271"/>
      <c r="AF18" s="1271"/>
      <c r="AG18" s="1271"/>
      <c r="AH18" s="1271"/>
      <c r="AI18" s="1271"/>
      <c r="AJ18" s="1271"/>
      <c r="AK18" s="1271"/>
      <c r="AL18" s="1271"/>
      <c r="AM18" s="1271"/>
      <c r="AN18" s="1271"/>
      <c r="AO18" s="1271"/>
      <c r="AP18" s="1271"/>
      <c r="AQ18" s="1271"/>
      <c r="AR18" s="1271"/>
      <c r="AS18" s="1271"/>
      <c r="AT18" s="1271"/>
      <c r="AU18" s="1271"/>
      <c r="AV18" s="1271"/>
      <c r="AW18" s="1271"/>
      <c r="AX18" s="1271"/>
      <c r="AY18" s="1271"/>
      <c r="AZ18" s="1271"/>
      <c r="BA18" s="1271"/>
      <c r="BB18" s="1271"/>
      <c r="BC18" s="1271"/>
      <c r="BD18" s="1271"/>
      <c r="BE18" s="1271"/>
      <c r="BF18" s="1271"/>
      <c r="BG18" s="1271"/>
      <c r="BH18" s="1271"/>
      <c r="BI18" s="1271"/>
      <c r="BJ18" s="1271"/>
      <c r="BK18" s="1271"/>
      <c r="BL18" s="1271"/>
      <c r="BM18" s="1271"/>
      <c r="BN18" s="1271"/>
      <c r="BO18" s="1271"/>
      <c r="BP18" s="1271"/>
      <c r="BQ18" s="1271"/>
      <c r="BR18" s="1271"/>
      <c r="BS18" s="1271"/>
      <c r="BT18" s="1271"/>
    </row>
    <row r="19" spans="1:72">
      <c r="A19" s="1262">
        <f t="shared" si="0"/>
        <v>9</v>
      </c>
      <c r="B19" s="1274">
        <v>447</v>
      </c>
      <c r="C19" s="1274" t="s">
        <v>1093</v>
      </c>
      <c r="D19" s="1261" t="s">
        <v>553</v>
      </c>
      <c r="E19" s="1271">
        <f>-'SJK-3'!B11</f>
        <v>-155333122.24000001</v>
      </c>
      <c r="F19" s="1271">
        <v>-5731396.5749000004</v>
      </c>
      <c r="G19" s="1271"/>
      <c r="H19" s="1271"/>
      <c r="I19" s="1271">
        <f t="shared" si="1"/>
        <v>-5731396.5749000004</v>
      </c>
      <c r="J19" s="1271">
        <f t="shared" si="2"/>
        <v>-5469488.0226492053</v>
      </c>
      <c r="K19" s="1273"/>
      <c r="L19" s="1271"/>
      <c r="M19" s="1271"/>
      <c r="N19" s="1271"/>
      <c r="O19" s="1271"/>
      <c r="P19" s="1271"/>
      <c r="Q19" s="1271"/>
      <c r="R19" s="1271"/>
      <c r="S19" s="1271"/>
      <c r="T19" s="1271"/>
      <c r="U19" s="1271"/>
      <c r="V19" s="1271"/>
      <c r="W19" s="1271"/>
      <c r="X19" s="1271"/>
      <c r="Y19" s="1271"/>
      <c r="Z19" s="1271"/>
      <c r="AA19" s="1271"/>
      <c r="AB19" s="1271"/>
      <c r="AC19" s="1271"/>
      <c r="AD19" s="1271"/>
      <c r="AE19" s="1271"/>
      <c r="AF19" s="1271"/>
      <c r="AG19" s="1271"/>
      <c r="AH19" s="1271"/>
      <c r="AI19" s="1271"/>
      <c r="AJ19" s="1271"/>
      <c r="AK19" s="1271"/>
      <c r="AL19" s="1271"/>
      <c r="AM19" s="1271"/>
      <c r="AN19" s="1271"/>
      <c r="AO19" s="1271"/>
      <c r="AP19" s="1271"/>
      <c r="AQ19" s="1271"/>
      <c r="AR19" s="1271"/>
      <c r="AS19" s="1271"/>
      <c r="AT19" s="1271"/>
      <c r="AU19" s="1271"/>
      <c r="AV19" s="1271"/>
      <c r="AW19" s="1271"/>
      <c r="AX19" s="1271"/>
      <c r="AY19" s="1271"/>
      <c r="AZ19" s="1271"/>
      <c r="BA19" s="1271"/>
      <c r="BB19" s="1271"/>
      <c r="BC19" s="1271"/>
      <c r="BD19" s="1271"/>
      <c r="BE19" s="1271"/>
      <c r="BF19" s="1271"/>
      <c r="BG19" s="1271"/>
      <c r="BH19" s="1271"/>
      <c r="BI19" s="1271"/>
      <c r="BJ19" s="1271"/>
      <c r="BK19" s="1271"/>
      <c r="BL19" s="1271"/>
      <c r="BM19" s="1271"/>
      <c r="BN19" s="1271"/>
      <c r="BO19" s="1271"/>
      <c r="BP19" s="1271"/>
      <c r="BQ19" s="1271"/>
      <c r="BR19" s="1271"/>
      <c r="BS19" s="1271"/>
      <c r="BT19" s="1271"/>
    </row>
    <row r="20" spans="1:72">
      <c r="A20" s="1262">
        <f t="shared" si="0"/>
        <v>10</v>
      </c>
      <c r="B20" s="1274">
        <v>456</v>
      </c>
      <c r="C20" s="1274" t="s">
        <v>1093</v>
      </c>
      <c r="D20" s="1261" t="s">
        <v>551</v>
      </c>
      <c r="E20" s="1271">
        <v>-69470811.980000019</v>
      </c>
      <c r="F20" s="1271">
        <v>-22440595.249540851</v>
      </c>
      <c r="G20" s="1271"/>
      <c r="H20" s="1271"/>
      <c r="I20" s="1271">
        <f t="shared" si="1"/>
        <v>-22440595.249540851</v>
      </c>
      <c r="J20" s="1271">
        <f t="shared" si="2"/>
        <v>-21415123.754653782</v>
      </c>
      <c r="K20" s="1273"/>
      <c r="L20" s="1271"/>
      <c r="M20" s="1271"/>
      <c r="N20" s="1271"/>
      <c r="O20" s="1271"/>
      <c r="P20" s="1271"/>
      <c r="Q20" s="1271"/>
      <c r="R20" s="1271"/>
      <c r="S20" s="1271"/>
      <c r="T20" s="1271"/>
      <c r="U20" s="1271"/>
      <c r="V20" s="1271"/>
      <c r="W20" s="1271"/>
      <c r="X20" s="1271"/>
      <c r="Y20" s="1271"/>
      <c r="Z20" s="1271"/>
      <c r="AA20" s="1271"/>
      <c r="AB20" s="1271"/>
      <c r="AC20" s="1271"/>
      <c r="AD20" s="1271"/>
      <c r="AE20" s="1271"/>
      <c r="AF20" s="1271"/>
      <c r="AG20" s="1271"/>
      <c r="AH20" s="1271"/>
      <c r="AI20" s="1271"/>
      <c r="AJ20" s="1271"/>
      <c r="AK20" s="1271"/>
      <c r="AL20" s="1271"/>
      <c r="AM20" s="1271"/>
      <c r="AN20" s="1271"/>
      <c r="AO20" s="1271"/>
      <c r="AP20" s="1271"/>
      <c r="AQ20" s="1271"/>
      <c r="AR20" s="1271"/>
      <c r="AS20" s="1271"/>
      <c r="AT20" s="1271"/>
      <c r="AU20" s="1271"/>
      <c r="AV20" s="1271"/>
      <c r="AW20" s="1271"/>
      <c r="AX20" s="1271"/>
      <c r="AY20" s="1271"/>
      <c r="AZ20" s="1271"/>
      <c r="BA20" s="1271"/>
      <c r="BB20" s="1271"/>
      <c r="BC20" s="1271"/>
      <c r="BD20" s="1271"/>
      <c r="BE20" s="1271"/>
      <c r="BF20" s="1271"/>
      <c r="BG20" s="1271"/>
      <c r="BH20" s="1271"/>
      <c r="BI20" s="1271"/>
      <c r="BJ20" s="1271"/>
      <c r="BK20" s="1271"/>
      <c r="BL20" s="1271"/>
      <c r="BM20" s="1271"/>
      <c r="BN20" s="1271"/>
      <c r="BO20" s="1271"/>
      <c r="BP20" s="1271"/>
      <c r="BQ20" s="1271"/>
      <c r="BR20" s="1271"/>
      <c r="BS20" s="1271"/>
      <c r="BT20" s="1271"/>
    </row>
    <row r="21" spans="1:72">
      <c r="A21" s="1262">
        <f t="shared" si="0"/>
        <v>11</v>
      </c>
      <c r="B21" s="1274"/>
      <c r="C21" s="1274"/>
      <c r="D21" s="1277" t="s">
        <v>298</v>
      </c>
      <c r="E21" s="1278">
        <f t="shared" ref="E21:J21" si="3">SUM(E13:E20)</f>
        <v>696627809.45446146</v>
      </c>
      <c r="F21" s="1278">
        <f t="shared" si="3"/>
        <v>743505455.88643634</v>
      </c>
      <c r="G21" s="1278">
        <f t="shared" si="3"/>
        <v>-1833483.02</v>
      </c>
      <c r="H21" s="1278">
        <f t="shared" si="3"/>
        <v>-323117.56</v>
      </c>
      <c r="I21" s="1278">
        <f t="shared" si="3"/>
        <v>741348855.3064363</v>
      </c>
      <c r="J21" s="1278">
        <f t="shared" si="3"/>
        <v>707829253.83836222</v>
      </c>
      <c r="K21" s="1273"/>
      <c r="L21" s="1271"/>
      <c r="M21" s="1271"/>
      <c r="N21" s="1271"/>
      <c r="O21" s="1271"/>
      <c r="P21" s="1271"/>
      <c r="Q21" s="1271"/>
      <c r="R21" s="1271"/>
      <c r="S21" s="1271"/>
      <c r="T21" s="1271"/>
      <c r="U21" s="1271"/>
      <c r="V21" s="1271"/>
      <c r="W21" s="1271"/>
      <c r="X21" s="1271"/>
      <c r="Y21" s="1271"/>
      <c r="Z21" s="1271"/>
      <c r="AA21" s="1271"/>
      <c r="AB21" s="1271"/>
      <c r="AC21" s="1271"/>
      <c r="AD21" s="1271"/>
      <c r="AE21" s="1271"/>
      <c r="AF21" s="1271"/>
      <c r="AG21" s="1271"/>
      <c r="AH21" s="1271"/>
      <c r="AI21" s="1271"/>
      <c r="AJ21" s="1271"/>
      <c r="AK21" s="1271"/>
      <c r="AL21" s="1271"/>
      <c r="AM21" s="1271"/>
      <c r="AN21" s="1271"/>
      <c r="AO21" s="1271"/>
      <c r="AP21" s="1271"/>
      <c r="AQ21" s="1271"/>
      <c r="AR21" s="1271"/>
      <c r="AS21" s="1271"/>
      <c r="AT21" s="1271"/>
      <c r="AU21" s="1271"/>
      <c r="AV21" s="1271"/>
      <c r="AW21" s="1271"/>
      <c r="AX21" s="1271"/>
      <c r="AY21" s="1271"/>
      <c r="AZ21" s="1271"/>
      <c r="BA21" s="1271"/>
      <c r="BB21" s="1271"/>
      <c r="BC21" s="1271"/>
      <c r="BD21" s="1271"/>
      <c r="BE21" s="1271"/>
      <c r="BF21" s="1271"/>
      <c r="BG21" s="1271"/>
      <c r="BH21" s="1271"/>
      <c r="BI21" s="1271"/>
      <c r="BJ21" s="1271"/>
      <c r="BK21" s="1271"/>
      <c r="BL21" s="1271"/>
      <c r="BM21" s="1271"/>
      <c r="BN21" s="1271"/>
      <c r="BO21" s="1271"/>
      <c r="BP21" s="1271"/>
      <c r="BQ21" s="1271"/>
      <c r="BR21" s="1271"/>
      <c r="BS21" s="1271"/>
      <c r="BT21" s="1271"/>
    </row>
    <row r="22" spans="1:72">
      <c r="A22" s="1262">
        <f t="shared" si="0"/>
        <v>12</v>
      </c>
      <c r="B22" s="1274"/>
      <c r="C22" s="1274"/>
      <c r="D22" s="1279"/>
      <c r="E22" s="1280"/>
      <c r="F22" s="1280"/>
      <c r="G22" s="1271"/>
      <c r="H22" s="1271"/>
      <c r="I22" s="1280"/>
      <c r="J22" s="1271"/>
      <c r="K22" s="1273"/>
      <c r="L22" s="1271"/>
      <c r="M22" s="1271"/>
      <c r="N22" s="1271"/>
      <c r="O22" s="1271"/>
      <c r="P22" s="1271"/>
      <c r="Q22" s="1271"/>
      <c r="R22" s="1271"/>
      <c r="S22" s="1271"/>
      <c r="T22" s="1271"/>
      <c r="U22" s="1271"/>
      <c r="V22" s="1271"/>
      <c r="W22" s="1271"/>
      <c r="X22" s="1271"/>
      <c r="Y22" s="1271"/>
      <c r="Z22" s="1271"/>
      <c r="AA22" s="1271"/>
      <c r="AB22" s="1271"/>
      <c r="AC22" s="1271"/>
      <c r="AD22" s="1271"/>
      <c r="AE22" s="1271"/>
      <c r="AF22" s="1271"/>
      <c r="AG22" s="1271"/>
      <c r="AH22" s="1271"/>
      <c r="AI22" s="1271"/>
      <c r="AJ22" s="1271"/>
      <c r="AK22" s="1271"/>
      <c r="AL22" s="1271"/>
      <c r="AM22" s="1271"/>
      <c r="AN22" s="1271"/>
      <c r="AO22" s="1271"/>
      <c r="AP22" s="1271"/>
      <c r="AQ22" s="1271"/>
      <c r="AR22" s="1271"/>
      <c r="AS22" s="1271"/>
      <c r="AT22" s="1271"/>
      <c r="AU22" s="1271"/>
      <c r="AV22" s="1271"/>
      <c r="AW22" s="1271"/>
      <c r="AX22" s="1271"/>
      <c r="AY22" s="1271"/>
      <c r="AZ22" s="1271"/>
      <c r="BA22" s="1271"/>
      <c r="BB22" s="1271"/>
      <c r="BC22" s="1271"/>
      <c r="BD22" s="1271"/>
      <c r="BE22" s="1271"/>
      <c r="BF22" s="1271"/>
      <c r="BG22" s="1271"/>
      <c r="BH22" s="1271"/>
      <c r="BI22" s="1271"/>
      <c r="BJ22" s="1271"/>
      <c r="BK22" s="1271"/>
      <c r="BL22" s="1271"/>
      <c r="BM22" s="1271"/>
      <c r="BN22" s="1271"/>
      <c r="BO22" s="1271"/>
      <c r="BP22" s="1271"/>
      <c r="BQ22" s="1271"/>
      <c r="BR22" s="1271"/>
      <c r="BS22" s="1271"/>
      <c r="BT22" s="1271"/>
    </row>
    <row r="23" spans="1:72">
      <c r="A23" s="1262">
        <f t="shared" si="0"/>
        <v>13</v>
      </c>
      <c r="B23" s="1274"/>
      <c r="C23" s="1274"/>
      <c r="D23" s="1272" t="s">
        <v>549</v>
      </c>
      <c r="E23" s="1271"/>
      <c r="F23" s="1271"/>
      <c r="G23" s="1271"/>
      <c r="H23" s="1271"/>
      <c r="I23" s="1271"/>
      <c r="J23" s="1271"/>
      <c r="K23" s="1273"/>
      <c r="L23" s="1271"/>
      <c r="M23" s="1271"/>
      <c r="N23" s="1271"/>
      <c r="O23" s="1271"/>
      <c r="P23" s="1271"/>
      <c r="Q23" s="1271"/>
      <c r="R23" s="1271"/>
      <c r="S23" s="1271"/>
      <c r="T23" s="1271"/>
      <c r="U23" s="1271"/>
      <c r="V23" s="1271"/>
      <c r="W23" s="1271"/>
      <c r="X23" s="1271"/>
      <c r="Y23" s="1271"/>
      <c r="Z23" s="1271"/>
      <c r="AA23" s="1271"/>
      <c r="AB23" s="1271"/>
      <c r="AC23" s="1271"/>
      <c r="AD23" s="1271"/>
      <c r="AE23" s="1271"/>
      <c r="AF23" s="1271"/>
      <c r="AG23" s="1271"/>
      <c r="AH23" s="1271"/>
      <c r="AI23" s="1271"/>
      <c r="AJ23" s="1271"/>
      <c r="AK23" s="1271"/>
      <c r="AL23" s="1271"/>
      <c r="AM23" s="1271"/>
      <c r="AN23" s="1271"/>
      <c r="AO23" s="1271"/>
      <c r="AP23" s="1271"/>
      <c r="AQ23" s="1271"/>
      <c r="AR23" s="1271"/>
      <c r="AS23" s="1271"/>
      <c r="AT23" s="1271"/>
      <c r="AU23" s="1271"/>
      <c r="AV23" s="1271"/>
      <c r="AW23" s="1271"/>
      <c r="AX23" s="1271"/>
      <c r="AY23" s="1271"/>
      <c r="AZ23" s="1271"/>
      <c r="BA23" s="1271"/>
      <c r="BB23" s="1271"/>
      <c r="BC23" s="1271"/>
      <c r="BD23" s="1271"/>
      <c r="BE23" s="1271"/>
      <c r="BF23" s="1271"/>
      <c r="BG23" s="1271"/>
      <c r="BH23" s="1271"/>
      <c r="BI23" s="1271"/>
      <c r="BJ23" s="1271"/>
      <c r="BK23" s="1271"/>
      <c r="BL23" s="1271"/>
      <c r="BM23" s="1271"/>
      <c r="BN23" s="1271"/>
      <c r="BO23" s="1271"/>
      <c r="BP23" s="1271"/>
      <c r="BQ23" s="1271"/>
      <c r="BR23" s="1271"/>
      <c r="BS23" s="1271"/>
      <c r="BT23" s="1271"/>
    </row>
    <row r="24" spans="1:72">
      <c r="A24" s="1262">
        <f t="shared" si="0"/>
        <v>14</v>
      </c>
      <c r="B24" s="1274" t="s">
        <v>1459</v>
      </c>
      <c r="C24" s="1274" t="s">
        <v>1090</v>
      </c>
      <c r="D24" s="1281" t="s">
        <v>547</v>
      </c>
      <c r="E24" s="1271">
        <f>'SJK-3'!B24</f>
        <v>127167992.89</v>
      </c>
      <c r="F24" s="1271">
        <v>116281330.74835677</v>
      </c>
      <c r="G24" s="1271">
        <v>-6141737.9100000001</v>
      </c>
      <c r="H24" s="1271">
        <v>-1619460.36</v>
      </c>
      <c r="I24" s="1271">
        <f>SUM(F24:H24)</f>
        <v>108520132.47835678</v>
      </c>
      <c r="J24" s="1271">
        <f>IF(C24="v",I24*$J$8,I24*$J$6)</f>
        <v>108520132.47835678</v>
      </c>
      <c r="K24" s="1273"/>
      <c r="L24" s="1271"/>
      <c r="M24" s="1271"/>
      <c r="N24" s="1271"/>
      <c r="O24" s="1271"/>
      <c r="P24" s="1271"/>
      <c r="Q24" s="1271"/>
      <c r="R24" s="1271"/>
      <c r="S24" s="1271"/>
      <c r="T24" s="1271"/>
      <c r="U24" s="1271"/>
      <c r="V24" s="1271"/>
      <c r="W24" s="1271"/>
      <c r="X24" s="1271"/>
      <c r="Y24" s="1271"/>
      <c r="Z24" s="1271"/>
      <c r="AA24" s="1271"/>
      <c r="AB24" s="1271"/>
      <c r="AC24" s="1271"/>
      <c r="AD24" s="1271"/>
      <c r="AE24" s="1271"/>
      <c r="AF24" s="1271"/>
      <c r="AG24" s="1271"/>
      <c r="AH24" s="1271"/>
      <c r="AI24" s="1271"/>
      <c r="AJ24" s="1271"/>
      <c r="AK24" s="1271"/>
      <c r="AL24" s="1271"/>
      <c r="AM24" s="1271"/>
      <c r="AN24" s="1271"/>
      <c r="AO24" s="1271"/>
      <c r="AP24" s="1271"/>
      <c r="AQ24" s="1271"/>
      <c r="AR24" s="1271"/>
      <c r="AS24" s="1271"/>
      <c r="AT24" s="1271"/>
      <c r="AU24" s="1271"/>
      <c r="AV24" s="1271"/>
      <c r="AW24" s="1271"/>
      <c r="AX24" s="1271"/>
      <c r="AY24" s="1271"/>
      <c r="AZ24" s="1271"/>
      <c r="BA24" s="1271"/>
      <c r="BB24" s="1271"/>
      <c r="BC24" s="1271"/>
      <c r="BD24" s="1271"/>
      <c r="BE24" s="1271"/>
      <c r="BF24" s="1271"/>
      <c r="BG24" s="1271"/>
      <c r="BH24" s="1271"/>
      <c r="BI24" s="1271"/>
      <c r="BJ24" s="1271"/>
      <c r="BK24" s="1271"/>
      <c r="BL24" s="1271"/>
      <c r="BM24" s="1271"/>
      <c r="BN24" s="1271"/>
      <c r="BO24" s="1271"/>
      <c r="BP24" s="1271"/>
      <c r="BQ24" s="1271"/>
      <c r="BR24" s="1271"/>
      <c r="BS24" s="1271"/>
      <c r="BT24" s="1271"/>
    </row>
    <row r="25" spans="1:72">
      <c r="A25" s="1262">
        <f t="shared" si="0"/>
        <v>15</v>
      </c>
      <c r="B25" s="1274" t="s">
        <v>1459</v>
      </c>
      <c r="C25" s="1274" t="s">
        <v>1090</v>
      </c>
      <c r="D25" s="1277" t="s">
        <v>1460</v>
      </c>
      <c r="E25" s="1276">
        <v>876514.03</v>
      </c>
      <c r="F25" s="1271">
        <f>+E25</f>
        <v>876514.03</v>
      </c>
      <c r="G25" s="1271"/>
      <c r="H25" s="1271"/>
      <c r="I25" s="1271">
        <f>SUM(F25:H25)</f>
        <v>876514.03</v>
      </c>
      <c r="J25" s="1271">
        <f>IF(C25="v",I25*$J$8,I25*$J$6)</f>
        <v>876514.03</v>
      </c>
      <c r="K25" s="1273"/>
      <c r="L25" s="1271"/>
      <c r="M25" s="1271"/>
      <c r="N25" s="1271"/>
      <c r="O25" s="1271"/>
      <c r="P25" s="1271"/>
      <c r="Q25" s="1271"/>
      <c r="R25" s="1271"/>
      <c r="S25" s="1271"/>
      <c r="T25" s="1271"/>
      <c r="U25" s="1271"/>
      <c r="V25" s="1271"/>
      <c r="W25" s="1271"/>
      <c r="X25" s="1271"/>
      <c r="Y25" s="1271"/>
      <c r="Z25" s="1271"/>
      <c r="AA25" s="1271"/>
      <c r="AB25" s="1271"/>
      <c r="AC25" s="1271"/>
      <c r="AD25" s="1271"/>
      <c r="AE25" s="1271"/>
      <c r="AF25" s="1271"/>
      <c r="AG25" s="1271"/>
      <c r="AH25" s="1271"/>
      <c r="AI25" s="1271"/>
      <c r="AJ25" s="1271"/>
      <c r="AK25" s="1271"/>
      <c r="AL25" s="1271"/>
      <c r="AM25" s="1271"/>
      <c r="AN25" s="1271"/>
      <c r="AO25" s="1271"/>
      <c r="AP25" s="1271"/>
      <c r="AQ25" s="1271"/>
      <c r="AR25" s="1271"/>
      <c r="AS25" s="1271"/>
      <c r="AT25" s="1271"/>
      <c r="AU25" s="1271"/>
      <c r="AV25" s="1271"/>
      <c r="AW25" s="1271"/>
      <c r="AX25" s="1271"/>
      <c r="AY25" s="1271"/>
      <c r="AZ25" s="1271"/>
      <c r="BA25" s="1271"/>
      <c r="BB25" s="1271"/>
      <c r="BC25" s="1271"/>
      <c r="BD25" s="1271"/>
      <c r="BE25" s="1271"/>
      <c r="BF25" s="1271"/>
      <c r="BG25" s="1271"/>
      <c r="BH25" s="1271"/>
      <c r="BI25" s="1271"/>
      <c r="BJ25" s="1271"/>
      <c r="BK25" s="1271"/>
      <c r="BL25" s="1271"/>
      <c r="BM25" s="1271"/>
      <c r="BN25" s="1271"/>
      <c r="BO25" s="1271"/>
      <c r="BP25" s="1271"/>
      <c r="BQ25" s="1271"/>
      <c r="BR25" s="1271"/>
      <c r="BS25" s="1271"/>
      <c r="BT25" s="1271"/>
    </row>
    <row r="26" spans="1:72">
      <c r="A26" s="1262">
        <f t="shared" si="0"/>
        <v>16</v>
      </c>
      <c r="B26" s="1274" t="s">
        <v>1461</v>
      </c>
      <c r="C26" s="1274" t="s">
        <v>1090</v>
      </c>
      <c r="D26" s="1277" t="s">
        <v>1462</v>
      </c>
      <c r="E26" s="1271">
        <v>-7201724.9500000002</v>
      </c>
      <c r="F26" s="1276">
        <v>-8666881.7085096519</v>
      </c>
      <c r="G26" s="1276"/>
      <c r="H26" s="1271"/>
      <c r="I26" s="1271">
        <f>SUM(F26:H26)</f>
        <v>-8666881.7085096519</v>
      </c>
      <c r="J26" s="1271">
        <f>IF(C26="v",I26*$J$8,I26*$J$6)</f>
        <v>-8666881.7085096519</v>
      </c>
      <c r="K26" s="1273"/>
      <c r="L26" s="1271"/>
      <c r="M26" s="1271"/>
      <c r="N26" s="1271"/>
      <c r="O26" s="1271"/>
      <c r="P26" s="1271"/>
      <c r="Q26" s="1271"/>
      <c r="R26" s="1271"/>
      <c r="S26" s="1271"/>
      <c r="T26" s="1271"/>
      <c r="U26" s="1271"/>
      <c r="V26" s="1271"/>
      <c r="W26" s="1271"/>
      <c r="X26" s="1271"/>
      <c r="Y26" s="1271"/>
      <c r="Z26" s="1271"/>
      <c r="AA26" s="1271"/>
      <c r="AB26" s="1271"/>
      <c r="AC26" s="1271"/>
      <c r="AD26" s="1271"/>
      <c r="AE26" s="1271"/>
      <c r="AF26" s="1271"/>
      <c r="AG26" s="1271"/>
      <c r="AH26" s="1271"/>
      <c r="AI26" s="1271"/>
      <c r="AJ26" s="1271"/>
      <c r="AK26" s="1271"/>
      <c r="AL26" s="1271"/>
      <c r="AM26" s="1271"/>
      <c r="AN26" s="1271"/>
      <c r="AO26" s="1271"/>
      <c r="AP26" s="1271"/>
      <c r="AQ26" s="1271"/>
      <c r="AR26" s="1271"/>
      <c r="AS26" s="1271"/>
      <c r="AT26" s="1271"/>
      <c r="AU26" s="1271"/>
      <c r="AV26" s="1271"/>
      <c r="AW26" s="1271"/>
      <c r="AX26" s="1271"/>
      <c r="AY26" s="1271"/>
      <c r="AZ26" s="1271"/>
      <c r="BA26" s="1271"/>
      <c r="BB26" s="1271"/>
      <c r="BC26" s="1271"/>
      <c r="BD26" s="1271"/>
      <c r="BE26" s="1271"/>
      <c r="BF26" s="1271"/>
      <c r="BG26" s="1271"/>
      <c r="BH26" s="1271"/>
      <c r="BI26" s="1271"/>
      <c r="BJ26" s="1271"/>
      <c r="BK26" s="1271"/>
      <c r="BL26" s="1271"/>
      <c r="BM26" s="1271"/>
      <c r="BN26" s="1271"/>
      <c r="BO26" s="1271"/>
      <c r="BP26" s="1271"/>
      <c r="BQ26" s="1271"/>
      <c r="BR26" s="1271"/>
      <c r="BS26" s="1271"/>
      <c r="BT26" s="1271"/>
    </row>
    <row r="27" spans="1:72">
      <c r="A27" s="1262">
        <f t="shared" si="0"/>
        <v>17</v>
      </c>
      <c r="B27" s="1274" t="s">
        <v>1463</v>
      </c>
      <c r="C27" s="1274" t="s">
        <v>1093</v>
      </c>
      <c r="D27" s="1277" t="s">
        <v>1464</v>
      </c>
      <c r="E27" s="1271"/>
      <c r="F27" s="1271">
        <v>4959912</v>
      </c>
      <c r="G27" s="1271"/>
      <c r="H27" s="1271"/>
      <c r="I27" s="1271">
        <f>SUM(F27:H27)</f>
        <v>4959912</v>
      </c>
      <c r="J27" s="1271">
        <f>IF(C27="v",I27*$J$8,I27*$J$6)</f>
        <v>4733258.1026060628</v>
      </c>
      <c r="K27" s="1273"/>
      <c r="L27" s="1271"/>
      <c r="M27" s="1271"/>
      <c r="N27" s="1271"/>
      <c r="O27" s="1271"/>
      <c r="P27" s="1271"/>
      <c r="Q27" s="1271"/>
      <c r="R27" s="1271"/>
      <c r="S27" s="1271"/>
      <c r="T27" s="1271"/>
      <c r="U27" s="1271"/>
      <c r="V27" s="1271"/>
      <c r="W27" s="1271"/>
      <c r="X27" s="1271"/>
      <c r="Y27" s="1271"/>
      <c r="Z27" s="1271"/>
      <c r="AA27" s="1271"/>
      <c r="AB27" s="1271"/>
      <c r="AC27" s="1271"/>
      <c r="AD27" s="1271"/>
      <c r="AE27" s="1271"/>
      <c r="AF27" s="1271"/>
      <c r="AG27" s="1271"/>
      <c r="AH27" s="1271"/>
      <c r="AI27" s="1271"/>
      <c r="AJ27" s="1271"/>
      <c r="AK27" s="1271"/>
      <c r="AL27" s="1271"/>
      <c r="AM27" s="1271"/>
      <c r="AN27" s="1271"/>
      <c r="AO27" s="1271"/>
      <c r="AP27" s="1271"/>
      <c r="AQ27" s="1271"/>
      <c r="AR27" s="1271"/>
      <c r="AS27" s="1271"/>
      <c r="AT27" s="1271"/>
      <c r="AU27" s="1271"/>
      <c r="AV27" s="1271"/>
      <c r="AW27" s="1271"/>
      <c r="AX27" s="1271"/>
      <c r="AY27" s="1271"/>
      <c r="AZ27" s="1271"/>
      <c r="BA27" s="1271"/>
      <c r="BB27" s="1271"/>
      <c r="BC27" s="1271"/>
      <c r="BD27" s="1271"/>
      <c r="BE27" s="1271"/>
      <c r="BF27" s="1271"/>
      <c r="BG27" s="1271"/>
      <c r="BH27" s="1271"/>
      <c r="BI27" s="1271"/>
      <c r="BJ27" s="1271"/>
      <c r="BK27" s="1271"/>
      <c r="BL27" s="1271"/>
      <c r="BM27" s="1271"/>
      <c r="BN27" s="1271"/>
      <c r="BO27" s="1271"/>
      <c r="BP27" s="1271"/>
      <c r="BQ27" s="1271"/>
      <c r="BR27" s="1271"/>
      <c r="BS27" s="1271"/>
      <c r="BT27" s="1271"/>
    </row>
    <row r="28" spans="1:72" ht="13.8" thickBot="1">
      <c r="A28" s="1262">
        <f t="shared" si="0"/>
        <v>18</v>
      </c>
      <c r="B28" s="1274"/>
      <c r="C28" s="1274"/>
      <c r="D28" s="1277" t="s">
        <v>330</v>
      </c>
      <c r="E28" s="1282">
        <f t="shared" ref="E28:J28" si="4">SUM(E21:E27)</f>
        <v>817470591.42446136</v>
      </c>
      <c r="F28" s="1282">
        <f t="shared" si="4"/>
        <v>856956330.95628345</v>
      </c>
      <c r="G28" s="1282">
        <f t="shared" si="4"/>
        <v>-7975220.9299999997</v>
      </c>
      <c r="H28" s="1282">
        <f t="shared" si="4"/>
        <v>-1942577.9200000002</v>
      </c>
      <c r="I28" s="1282">
        <f t="shared" si="4"/>
        <v>847038532.10628343</v>
      </c>
      <c r="J28" s="1282">
        <f t="shared" si="4"/>
        <v>813292276.7408154</v>
      </c>
      <c r="K28" s="1273"/>
      <c r="L28" s="1271"/>
      <c r="M28" s="1271"/>
      <c r="N28" s="1271"/>
      <c r="O28" s="1271"/>
      <c r="P28" s="1271"/>
      <c r="Q28" s="1271"/>
      <c r="R28" s="1271"/>
      <c r="S28" s="1271"/>
      <c r="T28" s="1271"/>
      <c r="U28" s="1271"/>
      <c r="V28" s="1271"/>
      <c r="W28" s="1271"/>
      <c r="X28" s="1271"/>
      <c r="Y28" s="1271"/>
      <c r="Z28" s="1271"/>
      <c r="AA28" s="1271"/>
      <c r="AB28" s="1271"/>
      <c r="AC28" s="1271"/>
      <c r="AD28" s="1271"/>
      <c r="AE28" s="1271"/>
      <c r="AF28" s="1271"/>
      <c r="AG28" s="1271"/>
      <c r="AH28" s="1271"/>
      <c r="AI28" s="1271"/>
      <c r="AJ28" s="1271"/>
      <c r="AK28" s="1271"/>
      <c r="AL28" s="1271"/>
      <c r="AM28" s="1271"/>
      <c r="AN28" s="1271"/>
      <c r="AO28" s="1271"/>
      <c r="AP28" s="1271"/>
      <c r="AQ28" s="1271"/>
      <c r="AR28" s="1271"/>
      <c r="AS28" s="1271"/>
      <c r="AT28" s="1271"/>
      <c r="AU28" s="1271"/>
      <c r="AV28" s="1271"/>
      <c r="AW28" s="1271"/>
      <c r="AX28" s="1271"/>
      <c r="AY28" s="1271"/>
      <c r="AZ28" s="1271"/>
      <c r="BA28" s="1271"/>
      <c r="BB28" s="1271"/>
      <c r="BC28" s="1271"/>
      <c r="BD28" s="1271"/>
      <c r="BE28" s="1271"/>
      <c r="BF28" s="1271"/>
      <c r="BG28" s="1271"/>
      <c r="BH28" s="1271"/>
      <c r="BI28" s="1271"/>
      <c r="BJ28" s="1271"/>
      <c r="BK28" s="1271"/>
      <c r="BL28" s="1271"/>
      <c r="BM28" s="1271"/>
      <c r="BN28" s="1271"/>
      <c r="BO28" s="1271"/>
      <c r="BP28" s="1271"/>
      <c r="BQ28" s="1271"/>
      <c r="BR28" s="1271"/>
      <c r="BS28" s="1271"/>
      <c r="BT28" s="1271"/>
    </row>
    <row r="29" spans="1:72" ht="13.8" thickTop="1">
      <c r="B29" s="1274"/>
      <c r="C29" s="1274"/>
      <c r="E29" s="1273"/>
      <c r="F29" s="1273"/>
      <c r="G29" s="1273"/>
      <c r="H29" s="1273"/>
      <c r="I29" s="1273"/>
      <c r="J29" s="1273"/>
      <c r="K29" s="1273"/>
      <c r="L29" s="1271"/>
      <c r="M29" s="1271"/>
      <c r="N29" s="1271"/>
      <c r="O29" s="1271"/>
      <c r="P29" s="1271"/>
      <c r="Q29" s="1271"/>
      <c r="R29" s="1271"/>
      <c r="S29" s="1271"/>
      <c r="T29" s="1271"/>
      <c r="U29" s="1271"/>
      <c r="V29" s="1271"/>
      <c r="W29" s="1271"/>
      <c r="X29" s="1271"/>
      <c r="Y29" s="1271"/>
      <c r="Z29" s="1271"/>
      <c r="AA29" s="1271"/>
      <c r="AB29" s="1271"/>
      <c r="AC29" s="1271"/>
      <c r="AD29" s="1271"/>
      <c r="AE29" s="1271"/>
      <c r="AF29" s="1271"/>
      <c r="AG29" s="1271"/>
      <c r="AH29" s="1271"/>
      <c r="AI29" s="1271"/>
      <c r="AJ29" s="1271"/>
      <c r="AK29" s="1271"/>
      <c r="AL29" s="1271"/>
      <c r="AM29" s="1271"/>
      <c r="AN29" s="1271"/>
      <c r="AO29" s="1271"/>
      <c r="AP29" s="1271"/>
      <c r="AQ29" s="1271"/>
      <c r="AR29" s="1271"/>
      <c r="AS29" s="1271"/>
      <c r="AT29" s="1271"/>
      <c r="AU29" s="1271"/>
      <c r="AV29" s="1271"/>
      <c r="AW29" s="1271"/>
      <c r="AX29" s="1271"/>
      <c r="AY29" s="1271"/>
      <c r="AZ29" s="1271"/>
      <c r="BA29" s="1271"/>
      <c r="BB29" s="1271"/>
      <c r="BC29" s="1271"/>
      <c r="BD29" s="1271"/>
      <c r="BE29" s="1271"/>
      <c r="BF29" s="1271"/>
      <c r="BG29" s="1271"/>
      <c r="BH29" s="1271"/>
      <c r="BI29" s="1271"/>
      <c r="BJ29" s="1271"/>
      <c r="BK29" s="1271"/>
      <c r="BL29" s="1271"/>
      <c r="BM29" s="1271"/>
      <c r="BN29" s="1271"/>
      <c r="BO29" s="1271"/>
      <c r="BP29" s="1271"/>
      <c r="BQ29" s="1271"/>
      <c r="BR29" s="1271"/>
      <c r="BS29" s="1271"/>
      <c r="BT29" s="1271"/>
    </row>
    <row r="30" spans="1:72">
      <c r="B30" s="1274"/>
      <c r="C30" s="1274"/>
      <c r="E30" s="1271"/>
      <c r="F30" s="1271"/>
      <c r="G30" s="1271"/>
      <c r="H30" s="1271"/>
      <c r="I30" s="1271"/>
      <c r="J30" s="1271"/>
      <c r="K30" s="1273"/>
      <c r="L30" s="1271"/>
      <c r="M30" s="1271"/>
      <c r="N30" s="1271"/>
      <c r="O30" s="1271"/>
      <c r="P30" s="1271"/>
      <c r="Q30" s="1271"/>
      <c r="R30" s="1271"/>
      <c r="S30" s="1271"/>
      <c r="T30" s="1271"/>
      <c r="U30" s="1271"/>
      <c r="V30" s="1271"/>
      <c r="W30" s="1271"/>
      <c r="X30" s="1271"/>
      <c r="Y30" s="1271"/>
      <c r="Z30" s="1271"/>
      <c r="AA30" s="1271"/>
      <c r="AB30" s="1271"/>
      <c r="AC30" s="1271"/>
      <c r="AD30" s="1271"/>
      <c r="AE30" s="1271"/>
      <c r="AF30" s="1271"/>
      <c r="AG30" s="1271"/>
      <c r="AH30" s="1271"/>
      <c r="AI30" s="1271"/>
      <c r="AJ30" s="1271"/>
      <c r="AK30" s="1271"/>
      <c r="AL30" s="1271"/>
      <c r="AM30" s="1271"/>
      <c r="AN30" s="1271"/>
      <c r="AO30" s="1271"/>
      <c r="AP30" s="1271"/>
      <c r="AQ30" s="1271"/>
      <c r="AR30" s="1271"/>
      <c r="AS30" s="1271"/>
      <c r="AT30" s="1271"/>
      <c r="AU30" s="1271"/>
      <c r="AV30" s="1271"/>
      <c r="AW30" s="1271"/>
      <c r="AX30" s="1271"/>
      <c r="AY30" s="1271"/>
      <c r="AZ30" s="1271"/>
      <c r="BA30" s="1271"/>
      <c r="BB30" s="1271"/>
      <c r="BC30" s="1271"/>
      <c r="BD30" s="1271"/>
      <c r="BE30" s="1271"/>
      <c r="BF30" s="1271"/>
      <c r="BG30" s="1271"/>
      <c r="BH30" s="1271"/>
      <c r="BI30" s="1271"/>
      <c r="BJ30" s="1271"/>
      <c r="BK30" s="1271"/>
      <c r="BL30" s="1271"/>
      <c r="BM30" s="1271"/>
      <c r="BN30" s="1271"/>
      <c r="BO30" s="1271"/>
      <c r="BP30" s="1271"/>
      <c r="BQ30" s="1271"/>
      <c r="BR30" s="1271"/>
      <c r="BS30" s="1271"/>
      <c r="BT30" s="1271"/>
    </row>
    <row r="31" spans="1:72">
      <c r="A31" s="1273"/>
      <c r="B31" s="1273"/>
      <c r="C31" s="1273"/>
      <c r="D31" s="1273"/>
      <c r="E31" s="1273"/>
      <c r="F31" s="1273"/>
      <c r="G31" s="1273"/>
      <c r="H31" s="1273"/>
      <c r="I31" s="1273"/>
      <c r="J31" s="1273"/>
      <c r="K31" s="1273"/>
      <c r="L31" s="1271"/>
      <c r="M31" s="1271"/>
      <c r="N31" s="1271"/>
      <c r="O31" s="1271"/>
      <c r="P31" s="1271"/>
      <c r="Q31" s="1271"/>
      <c r="R31" s="1271"/>
      <c r="S31" s="1271"/>
      <c r="T31" s="1271"/>
      <c r="U31" s="1271"/>
      <c r="V31" s="1271"/>
      <c r="W31" s="1271"/>
      <c r="X31" s="1271"/>
      <c r="Y31" s="1271"/>
      <c r="Z31" s="1271"/>
      <c r="AA31" s="1271"/>
      <c r="AB31" s="1271"/>
      <c r="AC31" s="1271"/>
      <c r="AD31" s="1271"/>
      <c r="AE31" s="1271"/>
      <c r="AF31" s="1271"/>
      <c r="AG31" s="1271"/>
      <c r="AH31" s="1271"/>
      <c r="AI31" s="1271"/>
      <c r="AJ31" s="1271"/>
      <c r="AK31" s="1271"/>
      <c r="AL31" s="1271"/>
      <c r="AM31" s="1271"/>
      <c r="AN31" s="1271"/>
      <c r="AO31" s="1271"/>
      <c r="AP31" s="1271"/>
      <c r="AQ31" s="1271"/>
      <c r="AR31" s="1271"/>
      <c r="AS31" s="1271"/>
      <c r="AT31" s="1271"/>
      <c r="AU31" s="1271"/>
      <c r="AV31" s="1271"/>
      <c r="AW31" s="1271"/>
      <c r="AX31" s="1271"/>
      <c r="AY31" s="1271"/>
      <c r="AZ31" s="1271"/>
      <c r="BA31" s="1271"/>
      <c r="BB31" s="1271"/>
      <c r="BC31" s="1271"/>
      <c r="BD31" s="1271"/>
      <c r="BE31" s="1271"/>
      <c r="BF31" s="1271"/>
      <c r="BG31" s="1271"/>
      <c r="BH31" s="1271"/>
      <c r="BI31" s="1271"/>
      <c r="BJ31" s="1271"/>
      <c r="BK31" s="1271"/>
      <c r="BL31" s="1271"/>
      <c r="BM31" s="1271"/>
      <c r="BN31" s="1271"/>
      <c r="BO31" s="1271"/>
      <c r="BP31" s="1271"/>
      <c r="BQ31" s="1271"/>
      <c r="BR31" s="1271"/>
      <c r="BS31" s="1271"/>
      <c r="BT31" s="1271"/>
    </row>
    <row r="32" spans="1:72">
      <c r="A32" s="1273"/>
      <c r="B32" s="1273"/>
      <c r="C32" s="1273"/>
      <c r="D32" s="1273"/>
      <c r="E32" s="1273"/>
      <c r="F32" s="1273"/>
      <c r="G32" s="1273"/>
      <c r="H32" s="1273"/>
      <c r="I32" s="1273"/>
      <c r="J32" s="1273"/>
      <c r="K32" s="1273"/>
      <c r="L32" s="1271"/>
      <c r="M32" s="1271"/>
      <c r="N32" s="1271"/>
      <c r="O32" s="1271"/>
      <c r="P32" s="1271"/>
      <c r="Q32" s="1271"/>
      <c r="R32" s="1271"/>
      <c r="S32" s="1271"/>
      <c r="T32" s="1271"/>
      <c r="U32" s="1271"/>
      <c r="V32" s="1271"/>
      <c r="W32" s="1271"/>
      <c r="X32" s="1271"/>
      <c r="Y32" s="1271"/>
      <c r="Z32" s="1271"/>
      <c r="AA32" s="1271"/>
      <c r="AB32" s="1271"/>
      <c r="AC32" s="1271"/>
      <c r="AD32" s="1271"/>
      <c r="AE32" s="1271"/>
      <c r="AF32" s="1271"/>
      <c r="AG32" s="1271"/>
      <c r="AH32" s="1271"/>
      <c r="AI32" s="1271"/>
      <c r="AJ32" s="1271"/>
      <c r="AK32" s="1271"/>
      <c r="AL32" s="1271"/>
      <c r="AM32" s="1271"/>
      <c r="AN32" s="1271"/>
      <c r="AO32" s="1271"/>
      <c r="AP32" s="1271"/>
      <c r="AQ32" s="1271"/>
      <c r="AR32" s="1271"/>
      <c r="AS32" s="1271"/>
      <c r="AT32" s="1271"/>
      <c r="AU32" s="1271"/>
      <c r="AV32" s="1271"/>
      <c r="AW32" s="1271"/>
      <c r="AX32" s="1271"/>
      <c r="AY32" s="1271"/>
      <c r="AZ32" s="1271"/>
      <c r="BA32" s="1271"/>
      <c r="BB32" s="1271"/>
      <c r="BC32" s="1271"/>
      <c r="BD32" s="1271"/>
      <c r="BE32" s="1271"/>
      <c r="BF32" s="1271"/>
      <c r="BG32" s="1271"/>
      <c r="BH32" s="1271"/>
      <c r="BI32" s="1271"/>
      <c r="BJ32" s="1271"/>
      <c r="BK32" s="1271"/>
      <c r="BL32" s="1271"/>
      <c r="BM32" s="1271"/>
      <c r="BN32" s="1271"/>
      <c r="BO32" s="1271"/>
      <c r="BP32" s="1271"/>
      <c r="BQ32" s="1271"/>
      <c r="BR32" s="1271"/>
      <c r="BS32" s="1271"/>
      <c r="BT32" s="1271"/>
    </row>
    <row r="33" spans="1:72">
      <c r="A33" s="1273"/>
      <c r="B33" s="1273"/>
      <c r="C33" s="1273"/>
      <c r="D33" s="1273"/>
      <c r="E33" s="1273"/>
      <c r="F33" s="1273"/>
      <c r="G33" s="1273"/>
      <c r="H33" s="1273"/>
      <c r="I33" s="1273"/>
      <c r="J33" s="1273"/>
      <c r="K33" s="1273"/>
      <c r="L33" s="1271"/>
      <c r="M33" s="1271"/>
      <c r="N33" s="1271"/>
      <c r="O33" s="1271"/>
      <c r="P33" s="1271"/>
      <c r="Q33" s="1271"/>
      <c r="R33" s="1271"/>
      <c r="S33" s="1271"/>
      <c r="T33" s="1271"/>
      <c r="U33" s="1271"/>
      <c r="V33" s="1271"/>
      <c r="W33" s="1271"/>
      <c r="X33" s="1271"/>
      <c r="Y33" s="1271"/>
      <c r="Z33" s="1271"/>
      <c r="AA33" s="1271"/>
      <c r="AB33" s="1271"/>
      <c r="AC33" s="1271"/>
      <c r="AD33" s="1271"/>
      <c r="AE33" s="1271"/>
      <c r="AF33" s="1271"/>
      <c r="AG33" s="1271"/>
      <c r="AH33" s="1271"/>
      <c r="AI33" s="1271"/>
      <c r="AJ33" s="1271"/>
      <c r="AK33" s="1271"/>
      <c r="AL33" s="1271"/>
      <c r="AM33" s="1271"/>
      <c r="AN33" s="1271"/>
      <c r="AO33" s="1271"/>
      <c r="AP33" s="1271"/>
      <c r="AQ33" s="1271"/>
      <c r="AR33" s="1271"/>
      <c r="AS33" s="1271"/>
      <c r="AT33" s="1271"/>
      <c r="AU33" s="1271"/>
      <c r="AV33" s="1271"/>
      <c r="AW33" s="1271"/>
      <c r="AX33" s="1271"/>
      <c r="AY33" s="1271"/>
      <c r="AZ33" s="1271"/>
      <c r="BA33" s="1271"/>
      <c r="BB33" s="1271"/>
      <c r="BC33" s="1271"/>
      <c r="BD33" s="1271"/>
      <c r="BE33" s="1271"/>
      <c r="BF33" s="1271"/>
      <c r="BG33" s="1271"/>
      <c r="BH33" s="1271"/>
      <c r="BI33" s="1271"/>
      <c r="BJ33" s="1271"/>
      <c r="BK33" s="1271"/>
      <c r="BL33" s="1271"/>
      <c r="BM33" s="1271"/>
      <c r="BN33" s="1271"/>
      <c r="BO33" s="1271"/>
      <c r="BP33" s="1271"/>
      <c r="BQ33" s="1271"/>
      <c r="BR33" s="1271"/>
      <c r="BS33" s="1271"/>
      <c r="BT33" s="1271"/>
    </row>
    <row r="34" spans="1:72">
      <c r="A34" s="1273"/>
      <c r="B34" s="1273"/>
      <c r="C34" s="1273"/>
      <c r="D34" s="1273"/>
      <c r="E34" s="1273"/>
      <c r="F34" s="1273"/>
      <c r="G34" s="1273"/>
      <c r="H34" s="1273"/>
      <c r="I34" s="1273"/>
      <c r="J34" s="1273"/>
      <c r="K34" s="1273"/>
      <c r="L34" s="1271"/>
      <c r="M34" s="1271"/>
      <c r="N34" s="1271"/>
      <c r="O34" s="1271"/>
      <c r="P34" s="1271"/>
      <c r="Q34" s="1271"/>
      <c r="R34" s="1271"/>
      <c r="S34" s="1271"/>
      <c r="T34" s="1271"/>
      <c r="U34" s="1271"/>
      <c r="V34" s="1271"/>
      <c r="W34" s="1271"/>
      <c r="X34" s="1271"/>
      <c r="Y34" s="1271"/>
      <c r="Z34" s="1271"/>
      <c r="AA34" s="1271"/>
      <c r="AB34" s="1271"/>
      <c r="AC34" s="1271"/>
      <c r="AD34" s="1271"/>
      <c r="AE34" s="1271"/>
      <c r="AF34" s="1271"/>
      <c r="AG34" s="1271"/>
      <c r="AH34" s="1271"/>
      <c r="AI34" s="1271"/>
      <c r="AJ34" s="1271"/>
      <c r="AK34" s="1271"/>
      <c r="AL34" s="1271"/>
      <c r="AM34" s="1271"/>
      <c r="AN34" s="1271"/>
      <c r="AO34" s="1271"/>
      <c r="AP34" s="1271"/>
      <c r="AQ34" s="1271"/>
      <c r="AR34" s="1271"/>
      <c r="AS34" s="1271"/>
      <c r="AT34" s="1271"/>
      <c r="AU34" s="1271"/>
      <c r="AV34" s="1271"/>
      <c r="AW34" s="1271"/>
      <c r="AX34" s="1271"/>
      <c r="AY34" s="1271"/>
      <c r="AZ34" s="1271"/>
      <c r="BA34" s="1271"/>
      <c r="BB34" s="1271"/>
      <c r="BC34" s="1271"/>
      <c r="BD34" s="1271"/>
      <c r="BE34" s="1271"/>
      <c r="BF34" s="1271"/>
      <c r="BG34" s="1271"/>
      <c r="BH34" s="1271"/>
      <c r="BI34" s="1271"/>
      <c r="BJ34" s="1271"/>
      <c r="BK34" s="1271"/>
      <c r="BL34" s="1271"/>
      <c r="BM34" s="1271"/>
      <c r="BN34" s="1271"/>
      <c r="BO34" s="1271"/>
      <c r="BP34" s="1271"/>
      <c r="BQ34" s="1271"/>
      <c r="BR34" s="1271"/>
      <c r="BS34" s="1271"/>
      <c r="BT34" s="1271"/>
    </row>
    <row r="35" spans="1:72">
      <c r="A35" s="1273"/>
      <c r="B35" s="1273"/>
      <c r="C35" s="1273"/>
      <c r="D35" s="1273"/>
      <c r="E35" s="1273"/>
      <c r="F35" s="1273"/>
      <c r="G35" s="1273"/>
      <c r="H35" s="1273"/>
      <c r="I35" s="1273"/>
      <c r="J35" s="1273"/>
      <c r="K35" s="1273"/>
      <c r="L35" s="1271"/>
      <c r="M35" s="1271"/>
      <c r="N35" s="1271"/>
      <c r="O35" s="1271"/>
      <c r="P35" s="1271"/>
      <c r="Q35" s="1271"/>
      <c r="R35" s="1271"/>
      <c r="S35" s="1271"/>
      <c r="T35" s="1271"/>
      <c r="U35" s="1271"/>
      <c r="V35" s="1271"/>
      <c r="W35" s="1271"/>
      <c r="X35" s="1271"/>
      <c r="Y35" s="1271"/>
      <c r="Z35" s="1271"/>
      <c r="AA35" s="1271"/>
      <c r="AB35" s="1271"/>
      <c r="AC35" s="1271"/>
      <c r="AD35" s="1271"/>
      <c r="AE35" s="1271"/>
      <c r="AF35" s="1271"/>
      <c r="AG35" s="1271"/>
      <c r="AH35" s="1271"/>
      <c r="AI35" s="1271"/>
      <c r="AJ35" s="1271"/>
      <c r="AK35" s="1271"/>
      <c r="AL35" s="1271"/>
      <c r="AM35" s="1271"/>
      <c r="AN35" s="1271"/>
      <c r="AO35" s="1271"/>
      <c r="AP35" s="1271"/>
      <c r="AQ35" s="1271"/>
      <c r="AR35" s="1271"/>
      <c r="AS35" s="1271"/>
      <c r="AT35" s="1271"/>
      <c r="AU35" s="1271"/>
      <c r="AV35" s="1271"/>
      <c r="AW35" s="1271"/>
      <c r="AX35" s="1271"/>
      <c r="AY35" s="1271"/>
      <c r="AZ35" s="1271"/>
      <c r="BA35" s="1271"/>
      <c r="BB35" s="1271"/>
      <c r="BC35" s="1271"/>
      <c r="BD35" s="1271"/>
      <c r="BE35" s="1271"/>
      <c r="BF35" s="1271"/>
      <c r="BG35" s="1271"/>
      <c r="BH35" s="1271"/>
      <c r="BI35" s="1271"/>
      <c r="BJ35" s="1271"/>
      <c r="BK35" s="1271"/>
      <c r="BL35" s="1271"/>
      <c r="BM35" s="1271"/>
      <c r="BN35" s="1271"/>
      <c r="BO35" s="1271"/>
      <c r="BP35" s="1271"/>
      <c r="BQ35" s="1271"/>
      <c r="BR35" s="1271"/>
      <c r="BS35" s="1271"/>
      <c r="BT35" s="1271"/>
    </row>
    <row r="36" spans="1:72">
      <c r="A36" s="1273"/>
      <c r="B36" s="1273"/>
      <c r="C36" s="1273"/>
      <c r="D36" s="1273"/>
      <c r="E36" s="1273"/>
      <c r="F36" s="1273"/>
      <c r="G36" s="1273"/>
      <c r="H36" s="1273"/>
      <c r="I36" s="1273"/>
      <c r="J36" s="1273"/>
      <c r="K36" s="1271"/>
      <c r="L36" s="1271"/>
      <c r="M36" s="1271"/>
      <c r="N36" s="1271"/>
      <c r="O36" s="1271"/>
      <c r="P36" s="1271"/>
      <c r="Q36" s="1271"/>
      <c r="R36" s="1271"/>
      <c r="S36" s="1271"/>
      <c r="T36" s="1271"/>
      <c r="U36" s="1271"/>
      <c r="V36" s="1271"/>
      <c r="W36" s="1271"/>
      <c r="X36" s="1271"/>
      <c r="Y36" s="1271"/>
      <c r="Z36" s="1271"/>
      <c r="AA36" s="1271"/>
      <c r="AB36" s="1271"/>
      <c r="AC36" s="1271"/>
      <c r="AD36" s="1271"/>
      <c r="AE36" s="1271"/>
      <c r="AF36" s="1271"/>
      <c r="AG36" s="1271"/>
      <c r="AH36" s="1271"/>
      <c r="AI36" s="1271"/>
      <c r="AJ36" s="1271"/>
      <c r="AK36" s="1271"/>
      <c r="AL36" s="1271"/>
      <c r="AM36" s="1271"/>
      <c r="AN36" s="1271"/>
      <c r="AO36" s="1271"/>
      <c r="AP36" s="1271"/>
      <c r="AQ36" s="1271"/>
      <c r="AR36" s="1271"/>
      <c r="AS36" s="1271"/>
      <c r="AT36" s="1271"/>
      <c r="AU36" s="1271"/>
      <c r="AV36" s="1271"/>
      <c r="AW36" s="1271"/>
      <c r="AX36" s="1271"/>
      <c r="AY36" s="1271"/>
      <c r="AZ36" s="1271"/>
      <c r="BA36" s="1271"/>
      <c r="BB36" s="1271"/>
      <c r="BC36" s="1271"/>
      <c r="BD36" s="1271"/>
      <c r="BE36" s="1271"/>
      <c r="BF36" s="1271"/>
      <c r="BG36" s="1271"/>
      <c r="BH36" s="1271"/>
      <c r="BI36" s="1271"/>
      <c r="BJ36" s="1271"/>
      <c r="BK36" s="1271"/>
      <c r="BL36" s="1271"/>
      <c r="BM36" s="1271"/>
      <c r="BN36" s="1271"/>
      <c r="BO36" s="1271"/>
      <c r="BP36" s="1271"/>
      <c r="BQ36" s="1271"/>
      <c r="BR36" s="1271"/>
      <c r="BS36" s="1271"/>
      <c r="BT36" s="1271"/>
    </row>
    <row r="37" spans="1:72">
      <c r="A37" s="1273"/>
      <c r="B37" s="1273"/>
      <c r="C37" s="1273"/>
      <c r="D37" s="1273"/>
      <c r="E37" s="1273"/>
      <c r="F37" s="1273"/>
      <c r="G37" s="1273"/>
      <c r="H37" s="1273"/>
      <c r="I37" s="1273"/>
      <c r="J37" s="1273"/>
      <c r="K37" s="1271"/>
      <c r="L37" s="1271"/>
      <c r="M37" s="1271"/>
      <c r="N37" s="1271"/>
      <c r="O37" s="1271"/>
      <c r="P37" s="1271"/>
      <c r="Q37" s="1271"/>
      <c r="R37" s="1271"/>
      <c r="S37" s="1271"/>
      <c r="T37" s="1271"/>
      <c r="U37" s="1271"/>
      <c r="V37" s="1271"/>
      <c r="W37" s="1271"/>
      <c r="X37" s="1271"/>
      <c r="Y37" s="1271"/>
      <c r="Z37" s="1271"/>
      <c r="AA37" s="1271"/>
      <c r="AB37" s="1271"/>
      <c r="AC37" s="1271"/>
      <c r="AD37" s="1271"/>
      <c r="AE37" s="1271"/>
      <c r="AF37" s="1271"/>
      <c r="AG37" s="1271"/>
      <c r="AH37" s="1271"/>
      <c r="AI37" s="1271"/>
      <c r="AJ37" s="1271"/>
      <c r="AK37" s="1271"/>
      <c r="AL37" s="1271"/>
      <c r="AM37" s="1271"/>
      <c r="AN37" s="1271"/>
      <c r="AO37" s="1271"/>
      <c r="AP37" s="1271"/>
      <c r="AQ37" s="1271"/>
      <c r="AR37" s="1271"/>
      <c r="AS37" s="1271"/>
      <c r="AT37" s="1271"/>
      <c r="AU37" s="1271"/>
      <c r="AV37" s="1271"/>
      <c r="AW37" s="1271"/>
      <c r="AX37" s="1271"/>
      <c r="AY37" s="1271"/>
      <c r="AZ37" s="1271"/>
      <c r="BA37" s="1271"/>
      <c r="BB37" s="1271"/>
      <c r="BC37" s="1271"/>
      <c r="BD37" s="1271"/>
      <c r="BE37" s="1271"/>
      <c r="BF37" s="1271"/>
      <c r="BG37" s="1271"/>
      <c r="BH37" s="1271"/>
      <c r="BI37" s="1271"/>
      <c r="BJ37" s="1271"/>
      <c r="BK37" s="1271"/>
      <c r="BL37" s="1271"/>
      <c r="BM37" s="1271"/>
      <c r="BN37" s="1271"/>
      <c r="BO37" s="1271"/>
      <c r="BP37" s="1271"/>
      <c r="BQ37" s="1271"/>
      <c r="BR37" s="1271"/>
      <c r="BS37" s="1271"/>
      <c r="BT37" s="1271"/>
    </row>
    <row r="38" spans="1:72">
      <c r="A38" s="1273"/>
      <c r="B38" s="1273"/>
      <c r="C38" s="1273"/>
      <c r="D38" s="1273"/>
      <c r="E38" s="1273"/>
      <c r="F38" s="1273"/>
      <c r="G38" s="1273"/>
      <c r="H38" s="1273"/>
      <c r="I38" s="1273"/>
      <c r="J38" s="1273"/>
      <c r="K38" s="1271"/>
      <c r="L38" s="1271"/>
      <c r="M38" s="1271"/>
      <c r="N38" s="1271"/>
      <c r="O38" s="1271"/>
      <c r="P38" s="1271"/>
      <c r="Q38" s="1271"/>
      <c r="R38" s="1271"/>
      <c r="S38" s="1271"/>
      <c r="T38" s="1271"/>
      <c r="U38" s="1271"/>
      <c r="V38" s="1271"/>
      <c r="W38" s="1271"/>
      <c r="X38" s="1271"/>
      <c r="Y38" s="1271"/>
      <c r="Z38" s="1271"/>
      <c r="AA38" s="1271"/>
      <c r="AB38" s="1271"/>
      <c r="AC38" s="1271"/>
      <c r="AD38" s="1271"/>
      <c r="AE38" s="1271"/>
      <c r="AF38" s="1271"/>
      <c r="AG38" s="1271"/>
      <c r="AH38" s="1271"/>
      <c r="AI38" s="1271"/>
      <c r="AJ38" s="1271"/>
      <c r="AK38" s="1271"/>
      <c r="AL38" s="1271"/>
      <c r="AM38" s="1271"/>
      <c r="AN38" s="1271"/>
      <c r="AO38" s="1271"/>
      <c r="AP38" s="1271"/>
      <c r="AQ38" s="1271"/>
      <c r="AR38" s="1271"/>
      <c r="AS38" s="1271"/>
      <c r="AT38" s="1271"/>
      <c r="AU38" s="1271"/>
      <c r="AV38" s="1271"/>
      <c r="AW38" s="1271"/>
      <c r="AX38" s="1271"/>
      <c r="AY38" s="1271"/>
      <c r="AZ38" s="1271"/>
      <c r="BA38" s="1271"/>
      <c r="BB38" s="1271"/>
      <c r="BC38" s="1271"/>
      <c r="BD38" s="1271"/>
      <c r="BE38" s="1271"/>
      <c r="BF38" s="1271"/>
      <c r="BG38" s="1271"/>
      <c r="BH38" s="1271"/>
      <c r="BI38" s="1271"/>
      <c r="BJ38" s="1271"/>
      <c r="BK38" s="1271"/>
      <c r="BL38" s="1271"/>
      <c r="BM38" s="1271"/>
      <c r="BN38" s="1271"/>
      <c r="BO38" s="1271"/>
      <c r="BP38" s="1271"/>
      <c r="BQ38" s="1271"/>
      <c r="BR38" s="1271"/>
      <c r="BS38" s="1271"/>
      <c r="BT38" s="1271"/>
    </row>
    <row r="39" spans="1:72">
      <c r="A39" s="1273"/>
      <c r="B39" s="1273"/>
      <c r="C39" s="1273"/>
      <c r="D39" s="1273"/>
      <c r="E39" s="1273"/>
      <c r="F39" s="1273"/>
      <c r="G39" s="1273"/>
      <c r="H39" s="1273"/>
      <c r="I39" s="1273"/>
      <c r="J39" s="1273"/>
      <c r="K39" s="1271"/>
      <c r="L39" s="1271"/>
      <c r="M39" s="1271"/>
      <c r="N39" s="1271"/>
      <c r="O39" s="1271"/>
      <c r="P39" s="1271"/>
      <c r="Q39" s="1271"/>
      <c r="R39" s="1271"/>
      <c r="S39" s="1271"/>
      <c r="T39" s="1271"/>
      <c r="U39" s="1271"/>
      <c r="V39" s="1271"/>
      <c r="W39" s="1271"/>
      <c r="X39" s="1271"/>
      <c r="Y39" s="1271"/>
      <c r="Z39" s="1271"/>
      <c r="AA39" s="1271"/>
      <c r="AB39" s="1271"/>
      <c r="AC39" s="1271"/>
      <c r="AD39" s="1271"/>
      <c r="AE39" s="1271"/>
      <c r="AF39" s="1271"/>
      <c r="AG39" s="1271"/>
      <c r="AH39" s="1271"/>
      <c r="AI39" s="1271"/>
      <c r="AJ39" s="1271"/>
      <c r="AK39" s="1271"/>
      <c r="AL39" s="1271"/>
      <c r="AM39" s="1271"/>
      <c r="AN39" s="1271"/>
      <c r="AO39" s="1271"/>
      <c r="AP39" s="1271"/>
      <c r="AQ39" s="1271"/>
      <c r="AR39" s="1271"/>
      <c r="AS39" s="1271"/>
      <c r="AT39" s="1271"/>
      <c r="AU39" s="1271"/>
      <c r="AV39" s="1271"/>
      <c r="AW39" s="1271"/>
      <c r="AX39" s="1271"/>
      <c r="AY39" s="1271"/>
      <c r="AZ39" s="1271"/>
      <c r="BA39" s="1271"/>
      <c r="BB39" s="1271"/>
      <c r="BC39" s="1271"/>
      <c r="BD39" s="1271"/>
      <c r="BE39" s="1271"/>
      <c r="BF39" s="1271"/>
      <c r="BG39" s="1271"/>
      <c r="BH39" s="1271"/>
      <c r="BI39" s="1271"/>
      <c r="BJ39" s="1271"/>
      <c r="BK39" s="1271"/>
      <c r="BL39" s="1271"/>
      <c r="BM39" s="1271"/>
      <c r="BN39" s="1271"/>
      <c r="BO39" s="1271"/>
      <c r="BP39" s="1271"/>
      <c r="BQ39" s="1271"/>
      <c r="BR39" s="1271"/>
      <c r="BS39" s="1271"/>
      <c r="BT39" s="1271"/>
    </row>
    <row r="40" spans="1:72">
      <c r="A40" s="1273"/>
      <c r="B40" s="1273"/>
      <c r="C40" s="1273"/>
      <c r="D40" s="1273"/>
      <c r="E40" s="1273"/>
      <c r="F40" s="1273"/>
      <c r="G40" s="1273"/>
      <c r="H40" s="1273"/>
      <c r="I40" s="1273"/>
      <c r="J40" s="1273"/>
      <c r="K40" s="1271"/>
      <c r="L40" s="1271"/>
      <c r="M40" s="1271"/>
      <c r="N40" s="1271"/>
      <c r="O40" s="1271"/>
      <c r="P40" s="1271"/>
      <c r="Q40" s="1271"/>
      <c r="R40" s="1271"/>
      <c r="S40" s="1271"/>
      <c r="T40" s="1271"/>
      <c r="U40" s="1271"/>
      <c r="V40" s="1271"/>
      <c r="W40" s="1271"/>
      <c r="X40" s="1271"/>
      <c r="Y40" s="1271"/>
      <c r="Z40" s="1271"/>
      <c r="AA40" s="1271"/>
      <c r="AB40" s="1271"/>
      <c r="AC40" s="1271"/>
      <c r="AD40" s="1271"/>
      <c r="AE40" s="1271"/>
      <c r="AF40" s="1271"/>
      <c r="AG40" s="1271"/>
      <c r="AH40" s="1271"/>
      <c r="AI40" s="1271"/>
      <c r="AJ40" s="1271"/>
      <c r="AK40" s="1271"/>
      <c r="AL40" s="1271"/>
      <c r="AM40" s="1271"/>
      <c r="AN40" s="1271"/>
      <c r="AO40" s="1271"/>
      <c r="AP40" s="1271"/>
      <c r="AQ40" s="1271"/>
      <c r="AR40" s="1271"/>
      <c r="AS40" s="1271"/>
      <c r="AT40" s="1271"/>
      <c r="AU40" s="1271"/>
      <c r="AV40" s="1271"/>
      <c r="AW40" s="1271"/>
      <c r="AX40" s="1271"/>
      <c r="AY40" s="1271"/>
      <c r="AZ40" s="1271"/>
      <c r="BA40" s="1271"/>
      <c r="BB40" s="1271"/>
      <c r="BC40" s="1271"/>
      <c r="BD40" s="1271"/>
      <c r="BE40" s="1271"/>
      <c r="BF40" s="1271"/>
      <c r="BG40" s="1271"/>
      <c r="BH40" s="1271"/>
      <c r="BI40" s="1271"/>
      <c r="BJ40" s="1271"/>
      <c r="BK40" s="1271"/>
      <c r="BL40" s="1271"/>
      <c r="BM40" s="1271"/>
      <c r="BN40" s="1271"/>
      <c r="BO40" s="1271"/>
      <c r="BP40" s="1271"/>
      <c r="BQ40" s="1271"/>
      <c r="BR40" s="1271"/>
      <c r="BS40" s="1271"/>
      <c r="BT40" s="1271"/>
    </row>
    <row r="41" spans="1:72">
      <c r="A41" s="1273"/>
      <c r="B41" s="1273"/>
      <c r="C41" s="1273"/>
      <c r="D41" s="1273"/>
      <c r="E41" s="1273"/>
      <c r="F41" s="1273"/>
      <c r="G41" s="1273"/>
      <c r="H41" s="1273"/>
      <c r="I41" s="1273"/>
      <c r="J41" s="1273"/>
      <c r="K41" s="1271"/>
      <c r="L41" s="1271"/>
      <c r="M41" s="1271"/>
      <c r="N41" s="1271"/>
      <c r="O41" s="1271"/>
      <c r="P41" s="1271"/>
      <c r="Q41" s="1271"/>
      <c r="R41" s="1271"/>
      <c r="S41" s="1271"/>
      <c r="T41" s="1271"/>
      <c r="U41" s="1271"/>
      <c r="V41" s="1271"/>
      <c r="W41" s="1271"/>
      <c r="X41" s="1271"/>
      <c r="Y41" s="1271"/>
      <c r="Z41" s="1271"/>
      <c r="AA41" s="1271"/>
      <c r="AB41" s="1271"/>
      <c r="AC41" s="1271"/>
      <c r="AD41" s="1271"/>
      <c r="AE41" s="1271"/>
      <c r="AF41" s="1271"/>
      <c r="AG41" s="1271"/>
      <c r="AH41" s="1271"/>
      <c r="AI41" s="1271"/>
      <c r="AJ41" s="1271"/>
      <c r="AK41" s="1271"/>
      <c r="AL41" s="1271"/>
      <c r="AM41" s="1271"/>
      <c r="AN41" s="1271"/>
      <c r="AO41" s="1271"/>
      <c r="AP41" s="1271"/>
      <c r="AQ41" s="1271"/>
      <c r="AR41" s="1271"/>
      <c r="AS41" s="1271"/>
      <c r="AT41" s="1271"/>
      <c r="AU41" s="1271"/>
      <c r="AV41" s="1271"/>
      <c r="AW41" s="1271"/>
      <c r="AX41" s="1271"/>
      <c r="AY41" s="1271"/>
      <c r="AZ41" s="1271"/>
      <c r="BA41" s="1271"/>
      <c r="BB41" s="1271"/>
      <c r="BC41" s="1271"/>
      <c r="BD41" s="1271"/>
      <c r="BE41" s="1271"/>
      <c r="BF41" s="1271"/>
      <c r="BG41" s="1271"/>
      <c r="BH41" s="1271"/>
      <c r="BI41" s="1271"/>
      <c r="BJ41" s="1271"/>
      <c r="BK41" s="1271"/>
      <c r="BL41" s="1271"/>
      <c r="BM41" s="1271"/>
      <c r="BN41" s="1271"/>
      <c r="BO41" s="1271"/>
      <c r="BP41" s="1271"/>
      <c r="BQ41" s="1271"/>
      <c r="BR41" s="1271"/>
      <c r="BS41" s="1271"/>
      <c r="BT41" s="1271"/>
    </row>
    <row r="42" spans="1:72">
      <c r="A42" s="1273"/>
      <c r="B42" s="1273"/>
      <c r="C42" s="1273"/>
      <c r="D42" s="1273"/>
      <c r="E42" s="1273"/>
      <c r="F42" s="1273"/>
      <c r="G42" s="1273"/>
      <c r="H42" s="1273"/>
      <c r="I42" s="1273"/>
      <c r="J42" s="1273"/>
      <c r="K42" s="1271"/>
      <c r="L42" s="1271"/>
      <c r="M42" s="1271"/>
      <c r="N42" s="1271"/>
      <c r="O42" s="1271"/>
      <c r="P42" s="1271"/>
      <c r="Q42" s="1271"/>
      <c r="R42" s="1271"/>
      <c r="S42" s="1271"/>
      <c r="T42" s="1271"/>
      <c r="U42" s="1271"/>
      <c r="V42" s="1271"/>
      <c r="W42" s="1271"/>
      <c r="X42" s="1271"/>
      <c r="Y42" s="1271"/>
      <c r="Z42" s="1271"/>
      <c r="AA42" s="1271"/>
      <c r="AB42" s="1271"/>
      <c r="AC42" s="1271"/>
      <c r="AD42" s="1271"/>
      <c r="AE42" s="1271"/>
      <c r="AF42" s="1271"/>
      <c r="AG42" s="1271"/>
      <c r="AH42" s="1271"/>
      <c r="AI42" s="1271"/>
      <c r="AJ42" s="1271"/>
      <c r="AK42" s="1271"/>
      <c r="AL42" s="1271"/>
      <c r="AM42" s="1271"/>
      <c r="AN42" s="1271"/>
      <c r="AO42" s="1271"/>
      <c r="AP42" s="1271"/>
      <c r="AQ42" s="1271"/>
      <c r="AR42" s="1271"/>
      <c r="AS42" s="1271"/>
      <c r="AT42" s="1271"/>
      <c r="AU42" s="1271"/>
      <c r="AV42" s="1271"/>
      <c r="AW42" s="1271"/>
      <c r="AX42" s="1271"/>
      <c r="AY42" s="1271"/>
      <c r="AZ42" s="1271"/>
      <c r="BA42" s="1271"/>
      <c r="BB42" s="1271"/>
      <c r="BC42" s="1271"/>
      <c r="BD42" s="1271"/>
      <c r="BE42" s="1271"/>
      <c r="BF42" s="1271"/>
      <c r="BG42" s="1271"/>
      <c r="BH42" s="1271"/>
      <c r="BI42" s="1271"/>
      <c r="BJ42" s="1271"/>
      <c r="BK42" s="1271"/>
      <c r="BL42" s="1271"/>
      <c r="BM42" s="1271"/>
      <c r="BN42" s="1271"/>
      <c r="BO42" s="1271"/>
      <c r="BP42" s="1271"/>
      <c r="BQ42" s="1271"/>
      <c r="BR42" s="1271"/>
      <c r="BS42" s="1271"/>
      <c r="BT42" s="1271"/>
    </row>
    <row r="43" spans="1:72">
      <c r="A43" s="1273"/>
      <c r="B43" s="1273"/>
      <c r="C43" s="1273"/>
      <c r="D43" s="1273"/>
      <c r="E43" s="1273"/>
      <c r="F43" s="1273"/>
      <c r="G43" s="1273"/>
      <c r="H43" s="1273"/>
      <c r="I43" s="1273"/>
      <c r="J43" s="1273"/>
      <c r="K43" s="1271"/>
      <c r="L43" s="1271"/>
      <c r="M43" s="1271"/>
      <c r="N43" s="1271"/>
      <c r="O43" s="1271"/>
      <c r="P43" s="1271"/>
      <c r="Q43" s="1271"/>
      <c r="R43" s="1271"/>
      <c r="S43" s="1271"/>
      <c r="T43" s="1271"/>
      <c r="U43" s="1271"/>
      <c r="V43" s="1271"/>
      <c r="W43" s="1271"/>
      <c r="X43" s="1271"/>
      <c r="Y43" s="1271"/>
      <c r="Z43" s="1271"/>
      <c r="AA43" s="1271"/>
      <c r="AB43" s="1271"/>
      <c r="AC43" s="1271"/>
      <c r="AD43" s="1271"/>
      <c r="AE43" s="1271"/>
      <c r="AF43" s="1271"/>
      <c r="AG43" s="1271"/>
      <c r="AH43" s="1271"/>
      <c r="AI43" s="1271"/>
      <c r="AJ43" s="1271"/>
      <c r="AK43" s="1271"/>
      <c r="AL43" s="1271"/>
      <c r="AM43" s="1271"/>
      <c r="AN43" s="1271"/>
      <c r="AO43" s="1271"/>
      <c r="AP43" s="1271"/>
      <c r="AQ43" s="1271"/>
      <c r="AR43" s="1271"/>
      <c r="AS43" s="1271"/>
      <c r="AT43" s="1271"/>
      <c r="AU43" s="1271"/>
      <c r="AV43" s="1271"/>
      <c r="AW43" s="1271"/>
      <c r="AX43" s="1271"/>
      <c r="AY43" s="1271"/>
      <c r="AZ43" s="1271"/>
      <c r="BA43" s="1271"/>
      <c r="BB43" s="1271"/>
      <c r="BC43" s="1271"/>
      <c r="BD43" s="1271"/>
      <c r="BE43" s="1271"/>
      <c r="BF43" s="1271"/>
      <c r="BG43" s="1271"/>
      <c r="BH43" s="1271"/>
      <c r="BI43" s="1271"/>
      <c r="BJ43" s="1271"/>
      <c r="BK43" s="1271"/>
      <c r="BL43" s="1271"/>
      <c r="BM43" s="1271"/>
      <c r="BN43" s="1271"/>
      <c r="BO43" s="1271"/>
      <c r="BP43" s="1271"/>
      <c r="BQ43" s="1271"/>
      <c r="BR43" s="1271"/>
      <c r="BS43" s="1271"/>
      <c r="BT43" s="1271"/>
    </row>
    <row r="44" spans="1:72">
      <c r="A44" s="1273"/>
      <c r="B44" s="1273"/>
      <c r="C44" s="1273"/>
      <c r="D44" s="1273"/>
      <c r="E44" s="1273"/>
      <c r="F44" s="1273"/>
      <c r="G44" s="1273"/>
      <c r="H44" s="1273"/>
      <c r="I44" s="1273"/>
      <c r="J44" s="1273"/>
      <c r="K44" s="1271"/>
      <c r="L44" s="1271"/>
      <c r="M44" s="1271"/>
      <c r="N44" s="1271"/>
      <c r="O44" s="1271"/>
      <c r="P44" s="1271"/>
      <c r="Q44" s="1271"/>
      <c r="R44" s="1271"/>
      <c r="S44" s="1271"/>
      <c r="T44" s="1271"/>
      <c r="U44" s="1271"/>
      <c r="V44" s="1271"/>
      <c r="W44" s="1271"/>
      <c r="X44" s="1271"/>
      <c r="Y44" s="1271"/>
      <c r="Z44" s="1271"/>
      <c r="AA44" s="1271"/>
      <c r="AB44" s="1271"/>
      <c r="AC44" s="1271"/>
      <c r="AD44" s="1271"/>
      <c r="AE44" s="1271"/>
      <c r="AF44" s="1271"/>
      <c r="AG44" s="1271"/>
      <c r="AH44" s="1271"/>
      <c r="AI44" s="1271"/>
      <c r="AJ44" s="1271"/>
      <c r="AK44" s="1271"/>
      <c r="AL44" s="1271"/>
      <c r="AM44" s="1271"/>
      <c r="AN44" s="1271"/>
      <c r="AO44" s="1271"/>
      <c r="AP44" s="1271"/>
      <c r="AQ44" s="1271"/>
      <c r="AR44" s="1271"/>
      <c r="AS44" s="1271"/>
      <c r="AT44" s="1271"/>
      <c r="AU44" s="1271"/>
      <c r="AV44" s="1271"/>
      <c r="AW44" s="1271"/>
      <c r="AX44" s="1271"/>
      <c r="AY44" s="1271"/>
      <c r="AZ44" s="1271"/>
      <c r="BA44" s="1271"/>
      <c r="BB44" s="1271"/>
      <c r="BC44" s="1271"/>
      <c r="BD44" s="1271"/>
      <c r="BE44" s="1271"/>
      <c r="BF44" s="1271"/>
      <c r="BG44" s="1271"/>
      <c r="BH44" s="1271"/>
      <c r="BI44" s="1271"/>
      <c r="BJ44" s="1271"/>
      <c r="BK44" s="1271"/>
      <c r="BL44" s="1271"/>
      <c r="BM44" s="1271"/>
      <c r="BN44" s="1271"/>
      <c r="BO44" s="1271"/>
      <c r="BP44" s="1271"/>
      <c r="BQ44" s="1271"/>
      <c r="BR44" s="1271"/>
      <c r="BS44" s="1271"/>
      <c r="BT44" s="1271"/>
    </row>
    <row r="45" spans="1:72">
      <c r="A45" s="1273"/>
      <c r="B45" s="1273"/>
      <c r="C45" s="1273"/>
      <c r="D45" s="1273"/>
      <c r="E45" s="1273"/>
      <c r="F45" s="1273"/>
      <c r="G45" s="1273"/>
      <c r="H45" s="1273"/>
      <c r="I45" s="1273"/>
      <c r="J45" s="1273"/>
      <c r="K45" s="1271"/>
      <c r="L45" s="1271"/>
      <c r="M45" s="1271"/>
      <c r="N45" s="1271"/>
      <c r="O45" s="1271"/>
      <c r="P45" s="1271"/>
      <c r="Q45" s="1271"/>
      <c r="R45" s="1271"/>
      <c r="S45" s="1271"/>
      <c r="T45" s="1271"/>
      <c r="U45" s="1271"/>
      <c r="V45" s="1271"/>
      <c r="W45" s="1271"/>
      <c r="X45" s="1271"/>
      <c r="Y45" s="1271"/>
      <c r="Z45" s="1271"/>
      <c r="AA45" s="1271"/>
      <c r="AB45" s="1271"/>
      <c r="AC45" s="1271"/>
      <c r="AD45" s="1271"/>
      <c r="AE45" s="1271"/>
      <c r="AF45" s="1271"/>
      <c r="AG45" s="1271"/>
      <c r="AH45" s="1271"/>
      <c r="AI45" s="1271"/>
      <c r="AJ45" s="1271"/>
      <c r="AK45" s="1271"/>
      <c r="AL45" s="1271"/>
      <c r="AM45" s="1271"/>
      <c r="AN45" s="1271"/>
      <c r="AO45" s="1271"/>
      <c r="AP45" s="1271"/>
      <c r="AQ45" s="1271"/>
      <c r="AR45" s="1271"/>
      <c r="AS45" s="1271"/>
      <c r="AT45" s="1271"/>
      <c r="AU45" s="1271"/>
      <c r="AV45" s="1271"/>
      <c r="AW45" s="1271"/>
      <c r="AX45" s="1271"/>
      <c r="AY45" s="1271"/>
      <c r="AZ45" s="1271"/>
      <c r="BA45" s="1271"/>
      <c r="BB45" s="1271"/>
      <c r="BC45" s="1271"/>
      <c r="BD45" s="1271"/>
      <c r="BE45" s="1271"/>
      <c r="BF45" s="1271"/>
      <c r="BG45" s="1271"/>
      <c r="BH45" s="1271"/>
      <c r="BI45" s="1271"/>
      <c r="BJ45" s="1271"/>
      <c r="BK45" s="1271"/>
      <c r="BL45" s="1271"/>
      <c r="BM45" s="1271"/>
      <c r="BN45" s="1271"/>
      <c r="BO45" s="1271"/>
      <c r="BP45" s="1271"/>
      <c r="BQ45" s="1271"/>
      <c r="BR45" s="1271"/>
      <c r="BS45" s="1271"/>
      <c r="BT45" s="1271"/>
    </row>
    <row r="46" spans="1:72">
      <c r="A46" s="1273"/>
      <c r="B46" s="1273"/>
      <c r="C46" s="1273"/>
      <c r="D46" s="1273"/>
      <c r="E46" s="1273"/>
      <c r="F46" s="1273"/>
      <c r="G46" s="1273"/>
      <c r="H46" s="1273"/>
      <c r="I46" s="1273"/>
      <c r="J46" s="1273"/>
      <c r="K46" s="1271"/>
      <c r="L46" s="1271"/>
      <c r="M46" s="1271"/>
      <c r="N46" s="1271"/>
      <c r="O46" s="1271"/>
      <c r="P46" s="1271"/>
      <c r="Q46" s="1271"/>
      <c r="R46" s="1271"/>
      <c r="S46" s="1271"/>
      <c r="T46" s="1271"/>
      <c r="U46" s="1271"/>
      <c r="V46" s="1271"/>
      <c r="W46" s="1271"/>
      <c r="X46" s="1271"/>
      <c r="Y46" s="1271"/>
      <c r="Z46" s="1271"/>
      <c r="AA46" s="1271"/>
      <c r="AB46" s="1271"/>
      <c r="AC46" s="1271"/>
      <c r="AD46" s="1271"/>
      <c r="AE46" s="1271"/>
      <c r="AF46" s="1271"/>
      <c r="AG46" s="1271"/>
      <c r="AH46" s="1271"/>
      <c r="AI46" s="1271"/>
      <c r="AJ46" s="1271"/>
      <c r="AK46" s="1271"/>
      <c r="AL46" s="1271"/>
      <c r="AM46" s="1271"/>
      <c r="AN46" s="1271"/>
      <c r="AO46" s="1271"/>
      <c r="AP46" s="1271"/>
      <c r="AQ46" s="1271"/>
      <c r="AR46" s="1271"/>
      <c r="AS46" s="1271"/>
      <c r="AT46" s="1271"/>
      <c r="AU46" s="1271"/>
      <c r="AV46" s="1271"/>
      <c r="AW46" s="1271"/>
      <c r="AX46" s="1271"/>
      <c r="AY46" s="1271"/>
      <c r="AZ46" s="1271"/>
      <c r="BA46" s="1271"/>
      <c r="BB46" s="1271"/>
      <c r="BC46" s="1271"/>
      <c r="BD46" s="1271"/>
      <c r="BE46" s="1271"/>
      <c r="BF46" s="1271"/>
      <c r="BG46" s="1271"/>
      <c r="BH46" s="1271"/>
      <c r="BI46" s="1271"/>
      <c r="BJ46" s="1271"/>
      <c r="BK46" s="1271"/>
      <c r="BL46" s="1271"/>
      <c r="BM46" s="1271"/>
      <c r="BN46" s="1271"/>
      <c r="BO46" s="1271"/>
      <c r="BP46" s="1271"/>
      <c r="BQ46" s="1271"/>
      <c r="BR46" s="1271"/>
      <c r="BS46" s="1271"/>
      <c r="BT46" s="1271"/>
    </row>
    <row r="47" spans="1:72">
      <c r="A47" s="1273"/>
      <c r="B47" s="1273"/>
      <c r="C47" s="1273"/>
      <c r="D47" s="1273"/>
      <c r="E47" s="1273"/>
      <c r="F47" s="1273"/>
      <c r="G47" s="1273"/>
      <c r="H47" s="1273"/>
      <c r="I47" s="1273"/>
      <c r="J47" s="1273"/>
      <c r="K47" s="1271"/>
      <c r="L47" s="1271"/>
      <c r="M47" s="1271"/>
      <c r="N47" s="1271"/>
      <c r="O47" s="1271"/>
      <c r="P47" s="1271"/>
      <c r="Q47" s="1271"/>
      <c r="R47" s="1271"/>
      <c r="S47" s="1271"/>
      <c r="T47" s="1271"/>
      <c r="U47" s="1271"/>
      <c r="V47" s="1271"/>
      <c r="W47" s="1271"/>
      <c r="X47" s="1271"/>
      <c r="Y47" s="1271"/>
      <c r="Z47" s="1271"/>
      <c r="AA47" s="1271"/>
      <c r="AB47" s="1271"/>
      <c r="AC47" s="1271"/>
      <c r="AD47" s="1271"/>
      <c r="AE47" s="1271"/>
      <c r="AF47" s="1271"/>
      <c r="AG47" s="1271"/>
      <c r="AH47" s="1271"/>
      <c r="AI47" s="1271"/>
      <c r="AJ47" s="1271"/>
      <c r="AK47" s="1271"/>
      <c r="AL47" s="1271"/>
      <c r="AM47" s="1271"/>
      <c r="AN47" s="1271"/>
      <c r="AO47" s="1271"/>
      <c r="AP47" s="1271"/>
      <c r="AQ47" s="1271"/>
      <c r="AR47" s="1271"/>
      <c r="AS47" s="1271"/>
      <c r="AT47" s="1271"/>
      <c r="AU47" s="1271"/>
      <c r="AV47" s="1271"/>
      <c r="AW47" s="1271"/>
      <c r="AX47" s="1271"/>
      <c r="AY47" s="1271"/>
      <c r="AZ47" s="1271"/>
      <c r="BA47" s="1271"/>
      <c r="BB47" s="1271"/>
      <c r="BC47" s="1271"/>
      <c r="BD47" s="1271"/>
      <c r="BE47" s="1271"/>
      <c r="BF47" s="1271"/>
      <c r="BG47" s="1271"/>
      <c r="BH47" s="1271"/>
      <c r="BI47" s="1271"/>
      <c r="BJ47" s="1271"/>
      <c r="BK47" s="1271"/>
      <c r="BL47" s="1271"/>
      <c r="BM47" s="1271"/>
      <c r="BN47" s="1271"/>
      <c r="BO47" s="1271"/>
      <c r="BP47" s="1271"/>
      <c r="BQ47" s="1271"/>
      <c r="BR47" s="1271"/>
      <c r="BS47" s="1271"/>
      <c r="BT47" s="1271"/>
    </row>
    <row r="48" spans="1:72">
      <c r="A48" s="1273"/>
      <c r="B48" s="1273"/>
      <c r="C48" s="1273"/>
      <c r="D48" s="1273"/>
      <c r="E48" s="1273"/>
      <c r="F48" s="1273"/>
      <c r="G48" s="1273"/>
      <c r="H48" s="1273"/>
      <c r="I48" s="1273"/>
      <c r="J48" s="1273"/>
      <c r="K48" s="1271"/>
      <c r="L48" s="1271"/>
      <c r="M48" s="1271"/>
      <c r="N48" s="1271"/>
      <c r="O48" s="1271"/>
      <c r="P48" s="1271"/>
      <c r="Q48" s="1271"/>
      <c r="R48" s="1271"/>
      <c r="S48" s="1271"/>
      <c r="T48" s="1271"/>
      <c r="U48" s="1271"/>
      <c r="V48" s="1271"/>
      <c r="W48" s="1271"/>
      <c r="X48" s="1271"/>
      <c r="Y48" s="1271"/>
      <c r="Z48" s="1271"/>
      <c r="AA48" s="1271"/>
      <c r="AB48" s="1271"/>
      <c r="AC48" s="1271"/>
      <c r="AD48" s="1271"/>
      <c r="AE48" s="1271"/>
      <c r="AF48" s="1271"/>
      <c r="AG48" s="1271"/>
      <c r="AH48" s="1271"/>
      <c r="AI48" s="1271"/>
      <c r="AJ48" s="1271"/>
      <c r="AK48" s="1271"/>
      <c r="AL48" s="1271"/>
      <c r="AM48" s="1271"/>
      <c r="AN48" s="1271"/>
      <c r="AO48" s="1271"/>
      <c r="AP48" s="1271"/>
      <c r="AQ48" s="1271"/>
      <c r="AR48" s="1271"/>
      <c r="AS48" s="1271"/>
      <c r="AT48" s="1271"/>
      <c r="AU48" s="1271"/>
      <c r="AV48" s="1271"/>
      <c r="AW48" s="1271"/>
      <c r="AX48" s="1271"/>
      <c r="AY48" s="1271"/>
      <c r="AZ48" s="1271"/>
      <c r="BA48" s="1271"/>
      <c r="BB48" s="1271"/>
      <c r="BC48" s="1271"/>
      <c r="BD48" s="1271"/>
      <c r="BE48" s="1271"/>
      <c r="BF48" s="1271"/>
      <c r="BG48" s="1271"/>
      <c r="BH48" s="1271"/>
      <c r="BI48" s="1271"/>
      <c r="BJ48" s="1271"/>
      <c r="BK48" s="1271"/>
      <c r="BL48" s="1271"/>
      <c r="BM48" s="1271"/>
      <c r="BN48" s="1271"/>
      <c r="BO48" s="1271"/>
      <c r="BP48" s="1271"/>
      <c r="BQ48" s="1271"/>
      <c r="BR48" s="1271"/>
      <c r="BS48" s="1271"/>
      <c r="BT48" s="1271"/>
    </row>
    <row r="49" spans="1:72">
      <c r="A49" s="1273"/>
      <c r="B49" s="1273"/>
      <c r="C49" s="1273"/>
      <c r="D49" s="1273"/>
      <c r="E49" s="1273"/>
      <c r="F49" s="1273"/>
      <c r="G49" s="1273"/>
      <c r="H49" s="1273"/>
      <c r="I49" s="1273"/>
      <c r="J49" s="1273"/>
      <c r="K49" s="1271"/>
      <c r="L49" s="1271"/>
      <c r="M49" s="1271"/>
      <c r="N49" s="1271"/>
      <c r="O49" s="1271"/>
      <c r="P49" s="1271"/>
      <c r="Q49" s="1271"/>
      <c r="R49" s="1271"/>
      <c r="S49" s="1271"/>
      <c r="T49" s="1271"/>
      <c r="U49" s="1271"/>
      <c r="V49" s="1271"/>
      <c r="W49" s="1271"/>
      <c r="X49" s="1271"/>
      <c r="Y49" s="1271"/>
      <c r="Z49" s="1271"/>
      <c r="AA49" s="1271"/>
      <c r="AB49" s="1271"/>
      <c r="AC49" s="1271"/>
      <c r="AD49" s="1271"/>
      <c r="AE49" s="1271"/>
      <c r="AF49" s="1271"/>
      <c r="AG49" s="1271"/>
      <c r="AH49" s="1271"/>
      <c r="AI49" s="1271"/>
      <c r="AJ49" s="1271"/>
      <c r="AK49" s="1271"/>
      <c r="AL49" s="1271"/>
      <c r="AM49" s="1271"/>
      <c r="AN49" s="1271"/>
      <c r="AO49" s="1271"/>
      <c r="AP49" s="1271"/>
      <c r="AQ49" s="1271"/>
      <c r="AR49" s="1271"/>
      <c r="AS49" s="1271"/>
      <c r="AT49" s="1271"/>
      <c r="AU49" s="1271"/>
      <c r="AV49" s="1271"/>
      <c r="AW49" s="1271"/>
      <c r="AX49" s="1271"/>
      <c r="AY49" s="1271"/>
      <c r="AZ49" s="1271"/>
      <c r="BA49" s="1271"/>
      <c r="BB49" s="1271"/>
      <c r="BC49" s="1271"/>
      <c r="BD49" s="1271"/>
      <c r="BE49" s="1271"/>
      <c r="BF49" s="1271"/>
      <c r="BG49" s="1271"/>
      <c r="BH49" s="1271"/>
      <c r="BI49" s="1271"/>
      <c r="BJ49" s="1271"/>
      <c r="BK49" s="1271"/>
      <c r="BL49" s="1271"/>
      <c r="BM49" s="1271"/>
      <c r="BN49" s="1271"/>
      <c r="BO49" s="1271"/>
      <c r="BP49" s="1271"/>
      <c r="BQ49" s="1271"/>
      <c r="BR49" s="1271"/>
      <c r="BS49" s="1271"/>
      <c r="BT49" s="1271"/>
    </row>
    <row r="50" spans="1:72">
      <c r="A50" s="1273"/>
      <c r="B50" s="1273"/>
      <c r="C50" s="1273"/>
      <c r="D50" s="1273"/>
      <c r="E50" s="1273"/>
      <c r="F50" s="1273"/>
      <c r="G50" s="1273"/>
      <c r="H50" s="1273"/>
      <c r="I50" s="1273"/>
      <c r="J50" s="1273"/>
      <c r="K50" s="1271"/>
      <c r="L50" s="1271"/>
      <c r="M50" s="1271"/>
      <c r="N50" s="1271"/>
      <c r="O50" s="1271"/>
      <c r="P50" s="1271"/>
      <c r="Q50" s="1271"/>
      <c r="R50" s="1271"/>
      <c r="S50" s="1271"/>
      <c r="T50" s="1271"/>
      <c r="U50" s="1271"/>
      <c r="V50" s="1271"/>
      <c r="W50" s="1271"/>
      <c r="X50" s="1271"/>
      <c r="Y50" s="1271"/>
      <c r="Z50" s="1271"/>
      <c r="AA50" s="1271"/>
      <c r="AB50" s="1271"/>
      <c r="AC50" s="1271"/>
      <c r="AD50" s="1271"/>
      <c r="AE50" s="1271"/>
      <c r="AF50" s="1271"/>
      <c r="AG50" s="1271"/>
      <c r="AH50" s="1271"/>
      <c r="AI50" s="1271"/>
      <c r="AJ50" s="1271"/>
      <c r="AK50" s="1271"/>
      <c r="AL50" s="1271"/>
      <c r="AM50" s="1271"/>
      <c r="AN50" s="1271"/>
      <c r="AO50" s="1271"/>
      <c r="AP50" s="1271"/>
      <c r="AQ50" s="1271"/>
      <c r="AR50" s="1271"/>
      <c r="AS50" s="1271"/>
      <c r="AT50" s="1271"/>
      <c r="AU50" s="1271"/>
      <c r="AV50" s="1271"/>
      <c r="AW50" s="1271"/>
      <c r="AX50" s="1271"/>
      <c r="AY50" s="1271"/>
      <c r="AZ50" s="1271"/>
      <c r="BA50" s="1271"/>
      <c r="BB50" s="1271"/>
      <c r="BC50" s="1271"/>
      <c r="BD50" s="1271"/>
      <c r="BE50" s="1271"/>
      <c r="BF50" s="1271"/>
      <c r="BG50" s="1271"/>
      <c r="BH50" s="1271"/>
      <c r="BI50" s="1271"/>
      <c r="BJ50" s="1271"/>
      <c r="BK50" s="1271"/>
      <c r="BL50" s="1271"/>
      <c r="BM50" s="1271"/>
      <c r="BN50" s="1271"/>
      <c r="BO50" s="1271"/>
      <c r="BP50" s="1271"/>
      <c r="BQ50" s="1271"/>
      <c r="BR50" s="1271"/>
      <c r="BS50" s="1271"/>
      <c r="BT50" s="1271"/>
    </row>
    <row r="51" spans="1:72">
      <c r="A51" s="1273"/>
      <c r="B51" s="1273"/>
      <c r="C51" s="1273"/>
      <c r="D51" s="1273"/>
      <c r="E51" s="1273"/>
      <c r="F51" s="1273"/>
      <c r="G51" s="1273"/>
      <c r="H51" s="1273"/>
      <c r="I51" s="1273"/>
      <c r="J51" s="1273"/>
      <c r="K51" s="1271"/>
      <c r="L51" s="1271"/>
      <c r="M51" s="1271"/>
      <c r="N51" s="1271"/>
      <c r="O51" s="1271"/>
      <c r="P51" s="1271"/>
      <c r="Q51" s="1271"/>
      <c r="R51" s="1271"/>
      <c r="S51" s="1271"/>
      <c r="T51" s="1271"/>
      <c r="U51" s="1271"/>
      <c r="V51" s="1271"/>
      <c r="W51" s="1271"/>
      <c r="X51" s="1271"/>
      <c r="Y51" s="1271"/>
      <c r="Z51" s="1271"/>
      <c r="AA51" s="1271"/>
      <c r="AB51" s="1271"/>
      <c r="AC51" s="1271"/>
      <c r="AD51" s="1271"/>
      <c r="AE51" s="1271"/>
      <c r="AF51" s="1271"/>
      <c r="AG51" s="1271"/>
      <c r="AH51" s="1271"/>
      <c r="AI51" s="1271"/>
      <c r="AJ51" s="1271"/>
      <c r="AK51" s="1271"/>
      <c r="AL51" s="1271"/>
      <c r="AM51" s="1271"/>
      <c r="AN51" s="1271"/>
      <c r="AO51" s="1271"/>
      <c r="AP51" s="1271"/>
      <c r="AQ51" s="1271"/>
      <c r="AR51" s="1271"/>
      <c r="AS51" s="1271"/>
      <c r="AT51" s="1271"/>
      <c r="AU51" s="1271"/>
      <c r="AV51" s="1271"/>
      <c r="AW51" s="1271"/>
      <c r="AX51" s="1271"/>
      <c r="AY51" s="1271"/>
      <c r="AZ51" s="1271"/>
      <c r="BA51" s="1271"/>
      <c r="BB51" s="1271"/>
      <c r="BC51" s="1271"/>
      <c r="BD51" s="1271"/>
      <c r="BE51" s="1271"/>
      <c r="BF51" s="1271"/>
      <c r="BG51" s="1271"/>
      <c r="BH51" s="1271"/>
      <c r="BI51" s="1271"/>
      <c r="BJ51" s="1271"/>
      <c r="BK51" s="1271"/>
      <c r="BL51" s="1271"/>
      <c r="BM51" s="1271"/>
      <c r="BN51" s="1271"/>
      <c r="BO51" s="1271"/>
      <c r="BP51" s="1271"/>
      <c r="BQ51" s="1271"/>
      <c r="BR51" s="1271"/>
      <c r="BS51" s="1271"/>
      <c r="BT51" s="1271"/>
    </row>
    <row r="52" spans="1:72">
      <c r="A52" s="1273"/>
      <c r="B52" s="1273"/>
      <c r="C52" s="1273"/>
      <c r="D52" s="1273"/>
      <c r="E52" s="1273"/>
      <c r="F52" s="1273"/>
      <c r="G52" s="1273"/>
      <c r="H52" s="1273"/>
      <c r="I52" s="1273"/>
      <c r="J52" s="1273"/>
      <c r="K52" s="1271"/>
      <c r="L52" s="1271"/>
      <c r="M52" s="1271"/>
      <c r="N52" s="1271"/>
      <c r="O52" s="1271"/>
      <c r="P52" s="1271"/>
      <c r="Q52" s="1271"/>
      <c r="R52" s="1271"/>
      <c r="S52" s="1271"/>
      <c r="T52" s="1271"/>
      <c r="U52" s="1271"/>
      <c r="V52" s="1271"/>
      <c r="W52" s="1271"/>
      <c r="X52" s="1271"/>
      <c r="Y52" s="1271"/>
      <c r="Z52" s="1271"/>
      <c r="AA52" s="1271"/>
      <c r="AB52" s="1271"/>
      <c r="AC52" s="1271"/>
      <c r="AD52" s="1271"/>
      <c r="AE52" s="1271"/>
      <c r="AF52" s="1271"/>
      <c r="AG52" s="1271"/>
      <c r="AH52" s="1271"/>
      <c r="AI52" s="1271"/>
      <c r="AJ52" s="1271"/>
      <c r="AK52" s="1271"/>
      <c r="AL52" s="1271"/>
      <c r="AM52" s="1271"/>
      <c r="AN52" s="1271"/>
      <c r="AO52" s="1271"/>
      <c r="AP52" s="1271"/>
      <c r="AQ52" s="1271"/>
      <c r="AR52" s="1271"/>
      <c r="AS52" s="1271"/>
      <c r="AT52" s="1271"/>
      <c r="AU52" s="1271"/>
      <c r="AV52" s="1271"/>
      <c r="AW52" s="1271"/>
      <c r="AX52" s="1271"/>
      <c r="AY52" s="1271"/>
      <c r="AZ52" s="1271"/>
      <c r="BA52" s="1271"/>
      <c r="BB52" s="1271"/>
      <c r="BC52" s="1271"/>
      <c r="BD52" s="1271"/>
      <c r="BE52" s="1271"/>
      <c r="BF52" s="1271"/>
      <c r="BG52" s="1271"/>
      <c r="BH52" s="1271"/>
      <c r="BI52" s="1271"/>
      <c r="BJ52" s="1271"/>
      <c r="BK52" s="1271"/>
      <c r="BL52" s="1271"/>
      <c r="BM52" s="1271"/>
      <c r="BN52" s="1271"/>
      <c r="BO52" s="1271"/>
      <c r="BP52" s="1271"/>
      <c r="BQ52" s="1271"/>
      <c r="BR52" s="1271"/>
      <c r="BS52" s="1271"/>
      <c r="BT52" s="1271"/>
    </row>
    <row r="53" spans="1:72">
      <c r="A53" s="1273"/>
      <c r="B53" s="1273"/>
      <c r="C53" s="1273"/>
      <c r="D53" s="1273"/>
      <c r="E53" s="1273"/>
      <c r="F53" s="1273"/>
      <c r="G53" s="1273"/>
      <c r="H53" s="1273"/>
      <c r="I53" s="1273"/>
      <c r="J53" s="1273"/>
      <c r="K53" s="1271"/>
      <c r="L53" s="1271"/>
      <c r="M53" s="1271"/>
      <c r="N53" s="1271"/>
      <c r="O53" s="1271"/>
      <c r="P53" s="1271"/>
      <c r="Q53" s="1271"/>
      <c r="R53" s="1271"/>
      <c r="S53" s="1271"/>
      <c r="T53" s="1271"/>
      <c r="U53" s="1271"/>
      <c r="V53" s="1271"/>
      <c r="W53" s="1271"/>
      <c r="X53" s="1271"/>
      <c r="Y53" s="1271"/>
      <c r="Z53" s="1271"/>
      <c r="AA53" s="1271"/>
      <c r="AB53" s="1271"/>
      <c r="AC53" s="1271"/>
      <c r="AD53" s="1271"/>
      <c r="AE53" s="1271"/>
      <c r="AF53" s="1271"/>
      <c r="AG53" s="1271"/>
      <c r="AH53" s="1271"/>
      <c r="AI53" s="1271"/>
      <c r="AJ53" s="1271"/>
      <c r="AK53" s="1271"/>
      <c r="AL53" s="1271"/>
      <c r="AM53" s="1271"/>
      <c r="AN53" s="1271"/>
      <c r="AO53" s="1271"/>
      <c r="AP53" s="1271"/>
      <c r="AQ53" s="1271"/>
      <c r="AR53" s="1271"/>
      <c r="AS53" s="1271"/>
      <c r="AT53" s="1271"/>
      <c r="AU53" s="1271"/>
      <c r="AV53" s="1271"/>
      <c r="AW53" s="1271"/>
      <c r="AX53" s="1271"/>
      <c r="AY53" s="1271"/>
      <c r="AZ53" s="1271"/>
      <c r="BA53" s="1271"/>
      <c r="BB53" s="1271"/>
      <c r="BC53" s="1271"/>
      <c r="BD53" s="1271"/>
      <c r="BE53" s="1271"/>
      <c r="BF53" s="1271"/>
      <c r="BG53" s="1271"/>
      <c r="BH53" s="1271"/>
      <c r="BI53" s="1271"/>
      <c r="BJ53" s="1271"/>
      <c r="BK53" s="1271"/>
      <c r="BL53" s="1271"/>
      <c r="BM53" s="1271"/>
      <c r="BN53" s="1271"/>
      <c r="BO53" s="1271"/>
      <c r="BP53" s="1271"/>
      <c r="BQ53" s="1271"/>
      <c r="BR53" s="1271"/>
      <c r="BS53" s="1271"/>
      <c r="BT53" s="1271"/>
    </row>
    <row r="54" spans="1:72">
      <c r="A54" s="1273"/>
      <c r="B54" s="1273"/>
      <c r="C54" s="1273"/>
      <c r="D54" s="1273"/>
      <c r="E54" s="1273"/>
      <c r="F54" s="1273"/>
      <c r="G54" s="1273"/>
      <c r="H54" s="1273"/>
      <c r="I54" s="1273"/>
      <c r="J54" s="1273"/>
      <c r="K54" s="1271"/>
      <c r="L54" s="1271"/>
      <c r="M54" s="1271"/>
      <c r="N54" s="1271"/>
      <c r="O54" s="1271"/>
      <c r="P54" s="1271"/>
      <c r="Q54" s="1271"/>
      <c r="R54" s="1271"/>
      <c r="S54" s="1271"/>
      <c r="T54" s="1271"/>
      <c r="U54" s="1271"/>
      <c r="V54" s="1271"/>
      <c r="W54" s="1271"/>
      <c r="X54" s="1271"/>
      <c r="Y54" s="1271"/>
      <c r="Z54" s="1271"/>
      <c r="AA54" s="1271"/>
      <c r="AB54" s="1271"/>
      <c r="AC54" s="1271"/>
      <c r="AD54" s="1271"/>
      <c r="AE54" s="1271"/>
      <c r="AF54" s="1271"/>
      <c r="AG54" s="1271"/>
      <c r="AH54" s="1271"/>
      <c r="AI54" s="1271"/>
      <c r="AJ54" s="1271"/>
      <c r="AK54" s="1271"/>
      <c r="AL54" s="1271"/>
      <c r="AM54" s="1271"/>
      <c r="AN54" s="1271"/>
      <c r="AO54" s="1271"/>
      <c r="AP54" s="1271"/>
      <c r="AQ54" s="1271"/>
      <c r="AR54" s="1271"/>
      <c r="AS54" s="1271"/>
      <c r="AT54" s="1271"/>
      <c r="AU54" s="1271"/>
      <c r="AV54" s="1271"/>
      <c r="AW54" s="1271"/>
      <c r="AX54" s="1271"/>
      <c r="AY54" s="1271"/>
      <c r="AZ54" s="1271"/>
      <c r="BA54" s="1271"/>
      <c r="BB54" s="1271"/>
      <c r="BC54" s="1271"/>
      <c r="BD54" s="1271"/>
      <c r="BE54" s="1271"/>
      <c r="BF54" s="1271"/>
      <c r="BG54" s="1271"/>
      <c r="BH54" s="1271"/>
      <c r="BI54" s="1271"/>
      <c r="BJ54" s="1271"/>
      <c r="BK54" s="1271"/>
      <c r="BL54" s="1271"/>
      <c r="BM54" s="1271"/>
      <c r="BN54" s="1271"/>
      <c r="BO54" s="1271"/>
      <c r="BP54" s="1271"/>
      <c r="BQ54" s="1271"/>
      <c r="BR54" s="1271"/>
      <c r="BS54" s="1271"/>
      <c r="BT54" s="1271"/>
    </row>
    <row r="55" spans="1:72">
      <c r="A55" s="1273"/>
      <c r="B55" s="1273"/>
      <c r="C55" s="1273"/>
      <c r="D55" s="1273"/>
      <c r="E55" s="1273"/>
      <c r="F55" s="1273"/>
      <c r="G55" s="1273"/>
      <c r="H55" s="1273"/>
      <c r="I55" s="1273"/>
      <c r="J55" s="1273"/>
      <c r="K55" s="1271"/>
      <c r="L55" s="1271"/>
      <c r="M55" s="1271"/>
      <c r="N55" s="1271"/>
      <c r="O55" s="1271"/>
      <c r="P55" s="1271"/>
      <c r="Q55" s="1271"/>
      <c r="R55" s="1271"/>
      <c r="S55" s="1271"/>
      <c r="T55" s="1271"/>
      <c r="U55" s="1271"/>
      <c r="V55" s="1271"/>
      <c r="W55" s="1271"/>
      <c r="X55" s="1271"/>
      <c r="Y55" s="1271"/>
      <c r="Z55" s="1271"/>
      <c r="AA55" s="1271"/>
      <c r="AB55" s="1271"/>
      <c r="AC55" s="1271"/>
      <c r="AD55" s="1271"/>
      <c r="AE55" s="1271"/>
      <c r="AF55" s="1271"/>
      <c r="AG55" s="1271"/>
      <c r="AH55" s="1271"/>
      <c r="AI55" s="1271"/>
      <c r="AJ55" s="1271"/>
      <c r="AK55" s="1271"/>
      <c r="AL55" s="1271"/>
      <c r="AM55" s="1271"/>
      <c r="AN55" s="1271"/>
      <c r="AO55" s="1271"/>
      <c r="AP55" s="1271"/>
      <c r="AQ55" s="1271"/>
      <c r="AR55" s="1271"/>
      <c r="AS55" s="1271"/>
      <c r="AT55" s="1271"/>
      <c r="AU55" s="1271"/>
      <c r="AV55" s="1271"/>
      <c r="AW55" s="1271"/>
      <c r="AX55" s="1271"/>
      <c r="AY55" s="1271"/>
      <c r="AZ55" s="1271"/>
      <c r="BA55" s="1271"/>
      <c r="BB55" s="1271"/>
      <c r="BC55" s="1271"/>
      <c r="BD55" s="1271"/>
      <c r="BE55" s="1271"/>
      <c r="BF55" s="1271"/>
      <c r="BG55" s="1271"/>
      <c r="BH55" s="1271"/>
      <c r="BI55" s="1271"/>
      <c r="BJ55" s="1271"/>
      <c r="BK55" s="1271"/>
      <c r="BL55" s="1271"/>
      <c r="BM55" s="1271"/>
      <c r="BN55" s="1271"/>
      <c r="BO55" s="1271"/>
      <c r="BP55" s="1271"/>
      <c r="BQ55" s="1271"/>
      <c r="BR55" s="1271"/>
      <c r="BS55" s="1271"/>
      <c r="BT55" s="1271"/>
    </row>
    <row r="56" spans="1:72">
      <c r="A56" s="1273"/>
      <c r="B56" s="1273"/>
      <c r="C56" s="1273"/>
      <c r="D56" s="1273"/>
      <c r="E56" s="1273"/>
      <c r="F56" s="1273"/>
      <c r="G56" s="1273"/>
      <c r="H56" s="1273"/>
      <c r="I56" s="1273"/>
      <c r="J56" s="1273"/>
      <c r="K56" s="1271"/>
      <c r="L56" s="1271"/>
      <c r="M56" s="1271"/>
      <c r="N56" s="1271"/>
      <c r="O56" s="1271"/>
      <c r="P56" s="1271"/>
      <c r="Q56" s="1271"/>
      <c r="R56" s="1271"/>
      <c r="S56" s="1271"/>
      <c r="T56" s="1271"/>
      <c r="U56" s="1271"/>
      <c r="V56" s="1271"/>
      <c r="W56" s="1271"/>
      <c r="X56" s="1271"/>
      <c r="Y56" s="1271"/>
      <c r="Z56" s="1271"/>
      <c r="AA56" s="1271"/>
      <c r="AB56" s="1271"/>
      <c r="AC56" s="1271"/>
      <c r="AD56" s="1271"/>
      <c r="AE56" s="1271"/>
      <c r="AF56" s="1271"/>
      <c r="AG56" s="1271"/>
      <c r="AH56" s="1271"/>
      <c r="AI56" s="1271"/>
      <c r="AJ56" s="1271"/>
      <c r="AK56" s="1271"/>
      <c r="AL56" s="1271"/>
      <c r="AM56" s="1271"/>
      <c r="AN56" s="1271"/>
      <c r="AO56" s="1271"/>
      <c r="AP56" s="1271"/>
      <c r="AQ56" s="1271"/>
      <c r="AR56" s="1271"/>
      <c r="AS56" s="1271"/>
      <c r="AT56" s="1271"/>
      <c r="AU56" s="1271"/>
      <c r="AV56" s="1271"/>
      <c r="AW56" s="1271"/>
      <c r="AX56" s="1271"/>
      <c r="AY56" s="1271"/>
      <c r="AZ56" s="1271"/>
      <c r="BA56" s="1271"/>
      <c r="BB56" s="1271"/>
      <c r="BC56" s="1271"/>
      <c r="BD56" s="1271"/>
      <c r="BE56" s="1271"/>
      <c r="BF56" s="1271"/>
      <c r="BG56" s="1271"/>
      <c r="BH56" s="1271"/>
      <c r="BI56" s="1271"/>
      <c r="BJ56" s="1271"/>
      <c r="BK56" s="1271"/>
      <c r="BL56" s="1271"/>
      <c r="BM56" s="1271"/>
      <c r="BN56" s="1271"/>
      <c r="BO56" s="1271"/>
      <c r="BP56" s="1271"/>
      <c r="BQ56" s="1271"/>
      <c r="BR56" s="1271"/>
      <c r="BS56" s="1271"/>
      <c r="BT56" s="1271"/>
    </row>
    <row r="57" spans="1:72">
      <c r="A57" s="1273"/>
      <c r="B57" s="1273"/>
      <c r="C57" s="1273"/>
      <c r="D57" s="1273"/>
      <c r="E57" s="1273"/>
      <c r="F57" s="1273"/>
      <c r="G57" s="1273"/>
      <c r="H57" s="1273"/>
      <c r="I57" s="1273"/>
      <c r="J57" s="1273"/>
      <c r="K57" s="1271"/>
      <c r="L57" s="1271"/>
      <c r="M57" s="1271"/>
      <c r="N57" s="1271"/>
      <c r="O57" s="1271"/>
      <c r="P57" s="1271"/>
      <c r="Q57" s="1271"/>
      <c r="R57" s="1271"/>
      <c r="S57" s="1271"/>
      <c r="T57" s="1271"/>
      <c r="U57" s="1271"/>
      <c r="V57" s="1271"/>
      <c r="W57" s="1271"/>
      <c r="X57" s="1271"/>
      <c r="Y57" s="1271"/>
      <c r="Z57" s="1271"/>
      <c r="AA57" s="1271"/>
      <c r="AB57" s="1271"/>
      <c r="AC57" s="1271"/>
      <c r="AD57" s="1271"/>
      <c r="AE57" s="1271"/>
      <c r="AF57" s="1271"/>
      <c r="AG57" s="1271"/>
      <c r="AH57" s="1271"/>
      <c r="AI57" s="1271"/>
      <c r="AJ57" s="1271"/>
      <c r="AK57" s="1271"/>
      <c r="AL57" s="1271"/>
      <c r="AM57" s="1271"/>
      <c r="AN57" s="1271"/>
      <c r="AO57" s="1271"/>
      <c r="AP57" s="1271"/>
      <c r="AQ57" s="1271"/>
      <c r="AR57" s="1271"/>
      <c r="AS57" s="1271"/>
      <c r="AT57" s="1271"/>
      <c r="AU57" s="1271"/>
      <c r="AV57" s="1271"/>
      <c r="AW57" s="1271"/>
      <c r="AX57" s="1271"/>
      <c r="AY57" s="1271"/>
      <c r="AZ57" s="1271"/>
      <c r="BA57" s="1271"/>
      <c r="BB57" s="1271"/>
      <c r="BC57" s="1271"/>
      <c r="BD57" s="1271"/>
      <c r="BE57" s="1271"/>
      <c r="BF57" s="1271"/>
      <c r="BG57" s="1271"/>
      <c r="BH57" s="1271"/>
      <c r="BI57" s="1271"/>
      <c r="BJ57" s="1271"/>
      <c r="BK57" s="1271"/>
      <c r="BL57" s="1271"/>
      <c r="BM57" s="1271"/>
      <c r="BN57" s="1271"/>
      <c r="BO57" s="1271"/>
      <c r="BP57" s="1271"/>
      <c r="BQ57" s="1271"/>
      <c r="BR57" s="1271"/>
      <c r="BS57" s="1271"/>
      <c r="BT57" s="1271"/>
    </row>
    <row r="58" spans="1:72">
      <c r="A58" s="1273"/>
      <c r="B58" s="1273"/>
      <c r="C58" s="1273"/>
      <c r="D58" s="1273"/>
      <c r="E58" s="1273"/>
      <c r="F58" s="1273"/>
      <c r="G58" s="1273"/>
      <c r="H58" s="1273"/>
      <c r="I58" s="1273"/>
      <c r="J58" s="1273"/>
      <c r="K58" s="1271"/>
      <c r="L58" s="1271"/>
      <c r="M58" s="1271"/>
      <c r="N58" s="1271"/>
      <c r="O58" s="1271"/>
      <c r="P58" s="1271"/>
      <c r="Q58" s="1271"/>
      <c r="R58" s="1271"/>
      <c r="S58" s="1271"/>
      <c r="T58" s="1271"/>
      <c r="U58" s="1271"/>
      <c r="V58" s="1271"/>
      <c r="W58" s="1271"/>
      <c r="X58" s="1271"/>
      <c r="Y58" s="1271"/>
      <c r="Z58" s="1271"/>
      <c r="AA58" s="1271"/>
      <c r="AB58" s="1271"/>
      <c r="AC58" s="1271"/>
      <c r="AD58" s="1271"/>
      <c r="AE58" s="1271"/>
      <c r="AF58" s="1271"/>
      <c r="AG58" s="1271"/>
      <c r="AH58" s="1271"/>
      <c r="AI58" s="1271"/>
      <c r="AJ58" s="1271"/>
      <c r="AK58" s="1271"/>
      <c r="AL58" s="1271"/>
      <c r="AM58" s="1271"/>
      <c r="AN58" s="1271"/>
      <c r="AO58" s="1271"/>
      <c r="AP58" s="1271"/>
      <c r="AQ58" s="1271"/>
      <c r="AR58" s="1271"/>
      <c r="AS58" s="1271"/>
      <c r="AT58" s="1271"/>
      <c r="AU58" s="1271"/>
      <c r="AV58" s="1271"/>
      <c r="AW58" s="1271"/>
      <c r="AX58" s="1271"/>
      <c r="AY58" s="1271"/>
      <c r="AZ58" s="1271"/>
      <c r="BA58" s="1271"/>
      <c r="BB58" s="1271"/>
      <c r="BC58" s="1271"/>
      <c r="BD58" s="1271"/>
      <c r="BE58" s="1271"/>
      <c r="BF58" s="1271"/>
      <c r="BG58" s="1271"/>
      <c r="BH58" s="1271"/>
      <c r="BI58" s="1271"/>
      <c r="BJ58" s="1271"/>
      <c r="BK58" s="1271"/>
      <c r="BL58" s="1271"/>
      <c r="BM58" s="1271"/>
      <c r="BN58" s="1271"/>
      <c r="BO58" s="1271"/>
      <c r="BP58" s="1271"/>
      <c r="BQ58" s="1271"/>
      <c r="BR58" s="1271"/>
      <c r="BS58" s="1271"/>
      <c r="BT58" s="1271"/>
    </row>
    <row r="59" spans="1:72">
      <c r="A59" s="1273"/>
      <c r="B59" s="1273"/>
      <c r="C59" s="1273"/>
      <c r="D59" s="1273"/>
      <c r="E59" s="1273"/>
      <c r="F59" s="1273"/>
      <c r="G59" s="1273"/>
      <c r="H59" s="1273"/>
      <c r="I59" s="1273"/>
      <c r="J59" s="1273"/>
      <c r="K59" s="1271"/>
      <c r="L59" s="1271"/>
      <c r="M59" s="1271"/>
      <c r="N59" s="1271"/>
      <c r="O59" s="1271"/>
      <c r="P59" s="1271"/>
      <c r="Q59" s="1271"/>
      <c r="R59" s="1271"/>
      <c r="S59" s="1271"/>
      <c r="T59" s="1271"/>
      <c r="U59" s="1271"/>
      <c r="V59" s="1271"/>
      <c r="W59" s="1271"/>
      <c r="X59" s="1271"/>
      <c r="Y59" s="1271"/>
      <c r="Z59" s="1271"/>
      <c r="AA59" s="1271"/>
      <c r="AB59" s="1271"/>
      <c r="AC59" s="1271"/>
      <c r="AD59" s="1271"/>
      <c r="AE59" s="1271"/>
      <c r="AF59" s="1271"/>
      <c r="AG59" s="1271"/>
      <c r="AH59" s="1271"/>
      <c r="AI59" s="1271"/>
      <c r="AJ59" s="1271"/>
      <c r="AK59" s="1271"/>
      <c r="AL59" s="1271"/>
      <c r="AM59" s="1271"/>
      <c r="AN59" s="1271"/>
      <c r="AO59" s="1271"/>
      <c r="AP59" s="1271"/>
      <c r="AQ59" s="1271"/>
      <c r="AR59" s="1271"/>
      <c r="AS59" s="1271"/>
      <c r="AT59" s="1271"/>
      <c r="AU59" s="1271"/>
      <c r="AV59" s="1271"/>
      <c r="AW59" s="1271"/>
      <c r="AX59" s="1271"/>
      <c r="AY59" s="1271"/>
      <c r="AZ59" s="1271"/>
      <c r="BA59" s="1271"/>
      <c r="BB59" s="1271"/>
      <c r="BC59" s="1271"/>
      <c r="BD59" s="1271"/>
      <c r="BE59" s="1271"/>
      <c r="BF59" s="1271"/>
      <c r="BG59" s="1271"/>
      <c r="BH59" s="1271"/>
      <c r="BI59" s="1271"/>
      <c r="BJ59" s="1271"/>
      <c r="BK59" s="1271"/>
      <c r="BL59" s="1271"/>
      <c r="BM59" s="1271"/>
      <c r="BN59" s="1271"/>
      <c r="BO59" s="1271"/>
      <c r="BP59" s="1271"/>
      <c r="BQ59" s="1271"/>
      <c r="BR59" s="1271"/>
      <c r="BS59" s="1271"/>
      <c r="BT59" s="1271"/>
    </row>
    <row r="60" spans="1:72">
      <c r="A60" s="1273"/>
      <c r="B60" s="1273"/>
      <c r="C60" s="1273"/>
      <c r="D60" s="1273"/>
      <c r="E60" s="1273"/>
      <c r="F60" s="1273"/>
      <c r="G60" s="1273"/>
      <c r="H60" s="1273"/>
      <c r="I60" s="1273"/>
      <c r="J60" s="1273"/>
      <c r="K60" s="1271"/>
      <c r="L60" s="1271"/>
      <c r="M60" s="1271"/>
      <c r="N60" s="1271"/>
      <c r="O60" s="1271"/>
      <c r="P60" s="1271"/>
      <c r="Q60" s="1271"/>
      <c r="R60" s="1271"/>
      <c r="S60" s="1271"/>
      <c r="T60" s="1271"/>
      <c r="U60" s="1271"/>
      <c r="V60" s="1271"/>
      <c r="W60" s="1271"/>
      <c r="X60" s="1271"/>
      <c r="Y60" s="1271"/>
      <c r="Z60" s="1271"/>
      <c r="AA60" s="1271"/>
      <c r="AB60" s="1271"/>
      <c r="AC60" s="1271"/>
      <c r="AD60" s="1271"/>
      <c r="AE60" s="1271"/>
      <c r="AF60" s="1271"/>
      <c r="AG60" s="1271"/>
      <c r="AH60" s="1271"/>
      <c r="AI60" s="1271"/>
      <c r="AJ60" s="1271"/>
      <c r="AK60" s="1271"/>
      <c r="AL60" s="1271"/>
      <c r="AM60" s="1271"/>
      <c r="AN60" s="1271"/>
      <c r="AO60" s="1271"/>
      <c r="AP60" s="1271"/>
      <c r="AQ60" s="1271"/>
      <c r="AR60" s="1271"/>
      <c r="AS60" s="1271"/>
      <c r="AT60" s="1271"/>
      <c r="AU60" s="1271"/>
      <c r="AV60" s="1271"/>
      <c r="AW60" s="1271"/>
      <c r="AX60" s="1271"/>
      <c r="AY60" s="1271"/>
      <c r="AZ60" s="1271"/>
      <c r="BA60" s="1271"/>
      <c r="BB60" s="1271"/>
      <c r="BC60" s="1271"/>
      <c r="BD60" s="1271"/>
      <c r="BE60" s="1271"/>
      <c r="BF60" s="1271"/>
      <c r="BG60" s="1271"/>
      <c r="BH60" s="1271"/>
      <c r="BI60" s="1271"/>
      <c r="BJ60" s="1271"/>
      <c r="BK60" s="1271"/>
      <c r="BL60" s="1271"/>
      <c r="BM60" s="1271"/>
      <c r="BN60" s="1271"/>
      <c r="BO60" s="1271"/>
      <c r="BP60" s="1271"/>
      <c r="BQ60" s="1271"/>
      <c r="BR60" s="1271"/>
      <c r="BS60" s="1271"/>
      <c r="BT60" s="1271"/>
    </row>
    <row r="61" spans="1:72">
      <c r="A61" s="1273"/>
      <c r="B61" s="1273"/>
      <c r="C61" s="1273"/>
      <c r="D61" s="1273"/>
      <c r="E61" s="1273"/>
      <c r="F61" s="1273"/>
      <c r="G61" s="1273"/>
      <c r="H61" s="1273"/>
      <c r="I61" s="1273"/>
      <c r="J61" s="1273"/>
      <c r="K61" s="1271"/>
      <c r="L61" s="1271"/>
      <c r="M61" s="1271"/>
      <c r="N61" s="1271"/>
      <c r="O61" s="1271"/>
      <c r="P61" s="1271"/>
      <c r="Q61" s="1271"/>
      <c r="R61" s="1271"/>
      <c r="S61" s="1271"/>
      <c r="T61" s="1271"/>
      <c r="U61" s="1271"/>
      <c r="V61" s="1271"/>
      <c r="W61" s="1271"/>
      <c r="X61" s="1271"/>
      <c r="Y61" s="1271"/>
      <c r="Z61" s="1271"/>
      <c r="AA61" s="1271"/>
      <c r="AB61" s="1271"/>
      <c r="AC61" s="1271"/>
      <c r="AD61" s="1271"/>
      <c r="AE61" s="1271"/>
      <c r="AF61" s="1271"/>
      <c r="AG61" s="1271"/>
      <c r="AH61" s="1271"/>
      <c r="AI61" s="1271"/>
      <c r="AJ61" s="1271"/>
      <c r="AK61" s="1271"/>
      <c r="AL61" s="1271"/>
      <c r="AM61" s="1271"/>
      <c r="AN61" s="1271"/>
      <c r="AO61" s="1271"/>
      <c r="AP61" s="1271"/>
      <c r="AQ61" s="1271"/>
      <c r="AR61" s="1271"/>
      <c r="AS61" s="1271"/>
      <c r="AT61" s="1271"/>
      <c r="AU61" s="1271"/>
      <c r="AV61" s="1271"/>
      <c r="AW61" s="1271"/>
      <c r="AX61" s="1271"/>
      <c r="AY61" s="1271"/>
      <c r="AZ61" s="1271"/>
      <c r="BA61" s="1271"/>
      <c r="BB61" s="1271"/>
      <c r="BC61" s="1271"/>
      <c r="BD61" s="1271"/>
      <c r="BE61" s="1271"/>
      <c r="BF61" s="1271"/>
      <c r="BG61" s="1271"/>
      <c r="BH61" s="1271"/>
      <c r="BI61" s="1271"/>
      <c r="BJ61" s="1271"/>
      <c r="BK61" s="1271"/>
      <c r="BL61" s="1271"/>
      <c r="BM61" s="1271"/>
      <c r="BN61" s="1271"/>
      <c r="BO61" s="1271"/>
      <c r="BP61" s="1271"/>
      <c r="BQ61" s="1271"/>
      <c r="BR61" s="1271"/>
      <c r="BS61" s="1271"/>
      <c r="BT61" s="1271"/>
    </row>
    <row r="62" spans="1:72">
      <c r="A62" s="1273"/>
      <c r="B62" s="1273"/>
      <c r="C62" s="1273"/>
      <c r="D62" s="1273"/>
      <c r="E62" s="1273"/>
      <c r="F62" s="1273"/>
      <c r="G62" s="1273"/>
      <c r="H62" s="1273"/>
      <c r="I62" s="1273"/>
      <c r="J62" s="1273"/>
      <c r="K62" s="1271"/>
      <c r="L62" s="1271"/>
      <c r="M62" s="1271"/>
      <c r="N62" s="1271"/>
      <c r="O62" s="1271"/>
      <c r="P62" s="1271"/>
      <c r="Q62" s="1271"/>
      <c r="R62" s="1271"/>
      <c r="S62" s="1271"/>
      <c r="T62" s="1271"/>
      <c r="U62" s="1271"/>
      <c r="V62" s="1271"/>
      <c r="W62" s="1271"/>
      <c r="X62" s="1271"/>
      <c r="Y62" s="1271"/>
      <c r="Z62" s="1271"/>
      <c r="AA62" s="1271"/>
      <c r="AB62" s="1271"/>
      <c r="AC62" s="1271"/>
      <c r="AD62" s="1271"/>
      <c r="AE62" s="1271"/>
      <c r="AF62" s="1271"/>
      <c r="AG62" s="1271"/>
      <c r="AH62" s="1271"/>
      <c r="AI62" s="1271"/>
      <c r="AJ62" s="1271"/>
      <c r="AK62" s="1271"/>
      <c r="AL62" s="1271"/>
      <c r="AM62" s="1271"/>
      <c r="AN62" s="1271"/>
      <c r="AO62" s="1271"/>
      <c r="AP62" s="1271"/>
      <c r="AQ62" s="1271"/>
      <c r="AR62" s="1271"/>
      <c r="AS62" s="1271"/>
      <c r="AT62" s="1271"/>
      <c r="AU62" s="1271"/>
      <c r="AV62" s="1271"/>
      <c r="AW62" s="1271"/>
      <c r="AX62" s="1271"/>
      <c r="AY62" s="1271"/>
      <c r="AZ62" s="1271"/>
      <c r="BA62" s="1271"/>
      <c r="BB62" s="1271"/>
      <c r="BC62" s="1271"/>
      <c r="BD62" s="1271"/>
      <c r="BE62" s="1271"/>
      <c r="BF62" s="1271"/>
      <c r="BG62" s="1271"/>
      <c r="BH62" s="1271"/>
      <c r="BI62" s="1271"/>
      <c r="BJ62" s="1271"/>
      <c r="BK62" s="1271"/>
      <c r="BL62" s="1271"/>
      <c r="BM62" s="1271"/>
      <c r="BN62" s="1271"/>
      <c r="BO62" s="1271"/>
      <c r="BP62" s="1271"/>
      <c r="BQ62" s="1271"/>
      <c r="BR62" s="1271"/>
      <c r="BS62" s="1271"/>
      <c r="BT62" s="1271"/>
    </row>
    <row r="63" spans="1:72">
      <c r="A63" s="1273"/>
      <c r="B63" s="1273"/>
      <c r="C63" s="1273"/>
      <c r="D63" s="1273"/>
      <c r="E63" s="1273"/>
      <c r="F63" s="1273"/>
      <c r="G63" s="1273"/>
      <c r="H63" s="1273"/>
      <c r="I63" s="1273"/>
      <c r="J63" s="1273"/>
      <c r="K63" s="1271"/>
      <c r="L63" s="1271"/>
      <c r="M63" s="1271"/>
      <c r="N63" s="1271"/>
      <c r="O63" s="1271"/>
      <c r="P63" s="1271"/>
      <c r="Q63" s="1271"/>
      <c r="R63" s="1271"/>
      <c r="S63" s="1271"/>
      <c r="T63" s="1271"/>
      <c r="U63" s="1271"/>
      <c r="V63" s="1271"/>
      <c r="W63" s="1271"/>
      <c r="X63" s="1271"/>
      <c r="Y63" s="1271"/>
      <c r="Z63" s="1271"/>
      <c r="AA63" s="1271"/>
      <c r="AB63" s="1271"/>
      <c r="AC63" s="1271"/>
      <c r="AD63" s="1271"/>
      <c r="AE63" s="1271"/>
      <c r="AF63" s="1271"/>
      <c r="AG63" s="1271"/>
      <c r="AH63" s="1271"/>
      <c r="AI63" s="1271"/>
      <c r="AJ63" s="1271"/>
      <c r="AK63" s="1271"/>
      <c r="AL63" s="1271"/>
      <c r="AM63" s="1271"/>
      <c r="AN63" s="1271"/>
      <c r="AO63" s="1271"/>
      <c r="AP63" s="1271"/>
      <c r="AQ63" s="1271"/>
      <c r="AR63" s="1271"/>
      <c r="AS63" s="1271"/>
      <c r="AT63" s="1271"/>
      <c r="AU63" s="1271"/>
      <c r="AV63" s="1271"/>
      <c r="AW63" s="1271"/>
      <c r="AX63" s="1271"/>
      <c r="AY63" s="1271"/>
      <c r="AZ63" s="1271"/>
      <c r="BA63" s="1271"/>
      <c r="BB63" s="1271"/>
      <c r="BC63" s="1271"/>
      <c r="BD63" s="1271"/>
      <c r="BE63" s="1271"/>
      <c r="BF63" s="1271"/>
      <c r="BG63" s="1271"/>
      <c r="BH63" s="1271"/>
      <c r="BI63" s="1271"/>
      <c r="BJ63" s="1271"/>
      <c r="BK63" s="1271"/>
      <c r="BL63" s="1271"/>
      <c r="BM63" s="1271"/>
      <c r="BN63" s="1271"/>
      <c r="BO63" s="1271"/>
      <c r="BP63" s="1271"/>
      <c r="BQ63" s="1271"/>
      <c r="BR63" s="1271"/>
      <c r="BS63" s="1271"/>
      <c r="BT63" s="1271"/>
    </row>
    <row r="64" spans="1:72">
      <c r="A64" s="1273"/>
      <c r="B64" s="1273"/>
      <c r="C64" s="1273"/>
      <c r="D64" s="1273"/>
      <c r="E64" s="1273"/>
      <c r="F64" s="1273"/>
      <c r="G64" s="1273"/>
      <c r="H64" s="1273"/>
      <c r="I64" s="1273"/>
      <c r="J64" s="1273"/>
      <c r="K64" s="1271"/>
      <c r="L64" s="1271"/>
      <c r="M64" s="1271"/>
      <c r="N64" s="1271"/>
      <c r="O64" s="1271"/>
      <c r="P64" s="1271"/>
      <c r="Q64" s="1271"/>
      <c r="R64" s="1271"/>
      <c r="S64" s="1271"/>
      <c r="T64" s="1271"/>
      <c r="U64" s="1271"/>
      <c r="V64" s="1271"/>
      <c r="W64" s="1271"/>
      <c r="X64" s="1271"/>
      <c r="Y64" s="1271"/>
      <c r="Z64" s="1271"/>
      <c r="AA64" s="1271"/>
      <c r="AB64" s="1271"/>
      <c r="AC64" s="1271"/>
      <c r="AD64" s="1271"/>
      <c r="AE64" s="1271"/>
      <c r="AF64" s="1271"/>
      <c r="AG64" s="1271"/>
      <c r="AH64" s="1271"/>
      <c r="AI64" s="1271"/>
      <c r="AJ64" s="1271"/>
      <c r="AK64" s="1271"/>
      <c r="AL64" s="1271"/>
      <c r="AM64" s="1271"/>
      <c r="AN64" s="1271"/>
      <c r="AO64" s="1271"/>
      <c r="AP64" s="1271"/>
      <c r="AQ64" s="1271"/>
      <c r="AR64" s="1271"/>
      <c r="AS64" s="1271"/>
      <c r="AT64" s="1271"/>
      <c r="AU64" s="1271"/>
      <c r="AV64" s="1271"/>
      <c r="AW64" s="1271"/>
      <c r="AX64" s="1271"/>
      <c r="AY64" s="1271"/>
      <c r="AZ64" s="1271"/>
      <c r="BA64" s="1271"/>
      <c r="BB64" s="1271"/>
      <c r="BC64" s="1271"/>
      <c r="BD64" s="1271"/>
      <c r="BE64" s="1271"/>
      <c r="BF64" s="1271"/>
      <c r="BG64" s="1271"/>
      <c r="BH64" s="1271"/>
      <c r="BI64" s="1271"/>
      <c r="BJ64" s="1271"/>
      <c r="BK64" s="1271"/>
      <c r="BL64" s="1271"/>
      <c r="BM64" s="1271"/>
      <c r="BN64" s="1271"/>
      <c r="BO64" s="1271"/>
      <c r="BP64" s="1271"/>
      <c r="BQ64" s="1271"/>
      <c r="BR64" s="1271"/>
      <c r="BS64" s="1271"/>
      <c r="BT64" s="1271"/>
    </row>
    <row r="65" spans="1:10">
      <c r="A65" s="1273"/>
      <c r="B65" s="1273"/>
      <c r="C65" s="1273"/>
      <c r="D65" s="1273"/>
      <c r="E65" s="1273"/>
      <c r="F65" s="1273"/>
      <c r="G65" s="1273"/>
      <c r="H65" s="1273"/>
      <c r="I65" s="1273"/>
      <c r="J65" s="1273"/>
    </row>
    <row r="66" spans="1:10">
      <c r="A66" s="1273"/>
      <c r="B66" s="1273"/>
      <c r="C66" s="1273"/>
      <c r="D66" s="1273"/>
      <c r="E66" s="1273"/>
      <c r="F66" s="1273"/>
      <c r="G66" s="1273"/>
      <c r="H66" s="1273"/>
      <c r="I66" s="1273"/>
      <c r="J66" s="1273"/>
    </row>
    <row r="67" spans="1:10">
      <c r="A67" s="1273"/>
      <c r="B67" s="1273"/>
      <c r="C67" s="1273"/>
      <c r="D67" s="1273"/>
      <c r="E67" s="1273"/>
      <c r="F67" s="1273"/>
      <c r="G67" s="1273"/>
      <c r="H67" s="1273"/>
      <c r="I67" s="1273"/>
      <c r="J67" s="1273"/>
    </row>
    <row r="68" spans="1:10">
      <c r="A68" s="1273"/>
      <c r="B68" s="1273"/>
      <c r="C68" s="1273"/>
      <c r="D68" s="1273"/>
      <c r="E68" s="1273"/>
      <c r="F68" s="1273"/>
      <c r="G68" s="1273"/>
      <c r="H68" s="1273"/>
      <c r="I68" s="1273"/>
      <c r="J68" s="1273"/>
    </row>
    <row r="69" spans="1:10">
      <c r="A69" s="1273"/>
      <c r="B69" s="1273"/>
      <c r="C69" s="1273"/>
      <c r="D69" s="1273"/>
      <c r="E69" s="1273"/>
      <c r="F69" s="1273"/>
      <c r="G69" s="1273"/>
      <c r="H69" s="1273"/>
      <c r="I69" s="1273"/>
      <c r="J69" s="1273"/>
    </row>
    <row r="70" spans="1:10">
      <c r="A70" s="1273"/>
      <c r="B70" s="1273"/>
      <c r="C70" s="1273"/>
      <c r="D70" s="1273"/>
      <c r="E70" s="1273"/>
      <c r="F70" s="1273"/>
      <c r="G70" s="1273"/>
      <c r="H70" s="1273"/>
      <c r="I70" s="1273"/>
      <c r="J70" s="1273"/>
    </row>
  </sheetData>
  <printOptions horizontalCentered="1"/>
  <pageMargins left="0.2" right="0.2" top="0.75" bottom="0.75" header="0.3" footer="0.3"/>
  <pageSetup scale="8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 tint="-0.34998626667073579"/>
    <pageSetUpPr fitToPage="1"/>
  </sheetPr>
  <dimension ref="A1:Q43"/>
  <sheetViews>
    <sheetView zoomScale="85" zoomScaleNormal="85" workbookViewId="0">
      <pane xSplit="1" ySplit="1" topLeftCell="E2" activePane="bottomRight" state="frozen"/>
      <selection activeCell="G13" sqref="G13"/>
      <selection pane="topRight" activeCell="G13" sqref="G13"/>
      <selection pane="bottomLeft" activeCell="G13" sqref="G13"/>
      <selection pane="bottomRight" activeCell="B17" sqref="B17"/>
    </sheetView>
  </sheetViews>
  <sheetFormatPr defaultColWidth="9.109375" defaultRowHeight="13.2"/>
  <cols>
    <col min="1" max="1" width="5" style="230" bestFit="1" customWidth="1"/>
    <col min="2" max="2" width="36.6640625" style="230" customWidth="1"/>
    <col min="3" max="3" width="9.109375" style="230"/>
    <col min="4" max="5" width="12.5546875" style="230" bestFit="1" customWidth="1"/>
    <col min="6" max="6" width="14" style="230" bestFit="1" customWidth="1"/>
    <col min="7" max="7" width="13" style="230" customWidth="1"/>
    <col min="8" max="8" width="15" style="230" customWidth="1"/>
    <col min="9" max="9" width="9.109375" style="230"/>
    <col min="10" max="10" width="5.33203125" style="230" bestFit="1" customWidth="1"/>
    <col min="11" max="11" width="41.109375" style="230" customWidth="1"/>
    <col min="12" max="12" width="9.109375" style="230"/>
    <col min="13" max="14" width="13.6640625" style="230" bestFit="1" customWidth="1"/>
    <col min="15" max="15" width="13.5546875" style="230" bestFit="1" customWidth="1"/>
    <col min="16" max="16" width="13.6640625" style="230" bestFit="1" customWidth="1"/>
    <col min="17" max="17" width="14.44140625" style="230" customWidth="1"/>
    <col min="18" max="16384" width="9.109375" style="230"/>
  </cols>
  <sheetData>
    <row r="1" spans="1:17" s="250" customFormat="1" ht="13.8" thickBot="1">
      <c r="A1" s="318"/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</row>
    <row r="2" spans="1:17">
      <c r="G2" s="861"/>
      <c r="H2" s="610" t="str">
        <f>DOCKETNUMBER_G</f>
        <v>UG_________</v>
      </c>
      <c r="P2" s="861"/>
      <c r="Q2" s="610" t="str">
        <f>DOCKETNUMBER_G</f>
        <v>UG_________</v>
      </c>
    </row>
    <row r="3" spans="1:17" ht="13.8" thickBot="1">
      <c r="G3" s="860"/>
      <c r="H3" s="608" t="s">
        <v>766</v>
      </c>
      <c r="I3" s="606"/>
      <c r="P3" s="860"/>
      <c r="Q3" s="608" t="s">
        <v>765</v>
      </c>
    </row>
    <row r="4" spans="1:17">
      <c r="A4" s="265"/>
      <c r="B4" s="265"/>
      <c r="C4" s="265"/>
      <c r="D4" s="265"/>
      <c r="E4" s="265"/>
      <c r="F4" s="265"/>
      <c r="G4" s="265"/>
      <c r="H4" s="265"/>
      <c r="I4" s="859"/>
      <c r="J4" s="265"/>
      <c r="K4" s="265"/>
      <c r="L4" s="265"/>
      <c r="M4" s="265"/>
      <c r="N4" s="265"/>
      <c r="O4" s="265"/>
      <c r="P4" s="265"/>
      <c r="Q4" s="265"/>
    </row>
    <row r="5" spans="1:17">
      <c r="A5" s="266" t="str">
        <f>Comp_G</f>
        <v>PUGET SOUND ENERGY - NATURAL GAS</v>
      </c>
      <c r="B5" s="266"/>
      <c r="C5" s="266"/>
      <c r="D5" s="266"/>
      <c r="E5" s="266"/>
      <c r="F5" s="266"/>
      <c r="G5" s="266"/>
      <c r="H5" s="266"/>
      <c r="I5" s="266"/>
      <c r="J5" s="266" t="str">
        <f>Comp_G</f>
        <v>PUGET SOUND ENERGY - NATURAL GAS</v>
      </c>
      <c r="K5" s="266"/>
      <c r="L5" s="266"/>
      <c r="M5" s="266"/>
      <c r="N5" s="266"/>
      <c r="O5" s="266"/>
      <c r="P5" s="266"/>
      <c r="Q5" s="266"/>
    </row>
    <row r="6" spans="1:17">
      <c r="A6" s="602" t="s">
        <v>764</v>
      </c>
      <c r="B6" s="603"/>
      <c r="C6" s="603"/>
      <c r="D6" s="603"/>
      <c r="E6" s="603"/>
      <c r="F6" s="603"/>
      <c r="G6" s="603"/>
      <c r="H6" s="603"/>
      <c r="I6" s="603"/>
      <c r="J6" s="602" t="s">
        <v>763</v>
      </c>
      <c r="K6" s="603"/>
      <c r="L6" s="603"/>
      <c r="M6" s="603"/>
      <c r="N6" s="603"/>
      <c r="O6" s="603"/>
      <c r="P6" s="603"/>
      <c r="Q6" s="603"/>
    </row>
    <row r="7" spans="1:17">
      <c r="A7" s="266" t="str">
        <f>TESTYEAR_G</f>
        <v>12 MONTHS ENDED DECEMBER 31, 2018</v>
      </c>
      <c r="B7" s="266"/>
      <c r="C7" s="266"/>
      <c r="D7" s="266"/>
      <c r="E7" s="266"/>
      <c r="F7" s="266"/>
      <c r="G7" s="266"/>
      <c r="H7" s="266"/>
      <c r="I7" s="266"/>
      <c r="J7" s="266" t="str">
        <f>TESTYEAR_G</f>
        <v>12 MONTHS ENDED DECEMBER 31, 2018</v>
      </c>
      <c r="K7" s="266"/>
      <c r="L7" s="266"/>
      <c r="M7" s="266"/>
      <c r="N7" s="266"/>
      <c r="O7" s="266"/>
      <c r="P7" s="266"/>
      <c r="Q7" s="266"/>
    </row>
    <row r="8" spans="1:17" ht="13.8" thickBot="1">
      <c r="A8" s="266" t="str">
        <f>CASE_G</f>
        <v>2019 GENERAL RATE CASE</v>
      </c>
      <c r="B8" s="266"/>
      <c r="C8" s="266"/>
      <c r="D8" s="266"/>
      <c r="E8" s="266"/>
      <c r="F8" s="266"/>
      <c r="G8" s="266"/>
      <c r="H8" s="266"/>
      <c r="I8" s="266"/>
      <c r="J8" s="266" t="str">
        <f>CASE_G</f>
        <v>2019 GENERAL RATE CASE</v>
      </c>
      <c r="K8" s="266"/>
      <c r="L8" s="266"/>
      <c r="M8" s="266"/>
      <c r="N8" s="266"/>
      <c r="O8" s="266"/>
      <c r="P8" s="266"/>
      <c r="Q8" s="266"/>
    </row>
    <row r="9" spans="1:17" ht="13.8" thickBot="1">
      <c r="A9" s="266"/>
      <c r="B9" s="266"/>
      <c r="C9" s="266"/>
      <c r="D9" s="266"/>
      <c r="E9" s="266"/>
      <c r="F9" s="838" t="s">
        <v>336</v>
      </c>
      <c r="G9" s="266"/>
      <c r="H9" s="858" t="s">
        <v>762</v>
      </c>
      <c r="I9" s="266"/>
      <c r="J9" s="266"/>
      <c r="K9" s="266"/>
      <c r="L9" s="266"/>
      <c r="M9" s="266"/>
      <c r="N9" s="266"/>
      <c r="O9" s="838" t="s">
        <v>336</v>
      </c>
      <c r="P9" s="266"/>
      <c r="Q9" s="858" t="s">
        <v>761</v>
      </c>
    </row>
    <row r="10" spans="1:17">
      <c r="C10" s="596"/>
      <c r="D10" s="295" t="s">
        <v>455</v>
      </c>
      <c r="E10" s="595"/>
      <c r="F10" s="586" t="s">
        <v>96</v>
      </c>
      <c r="G10" s="595"/>
      <c r="H10" s="586" t="s">
        <v>91</v>
      </c>
      <c r="I10" s="586"/>
      <c r="L10" s="596"/>
      <c r="M10" s="295" t="s">
        <v>455</v>
      </c>
      <c r="N10" s="595"/>
      <c r="O10" s="586" t="s">
        <v>96</v>
      </c>
      <c r="P10" s="595"/>
      <c r="Q10" s="586" t="s">
        <v>91</v>
      </c>
    </row>
    <row r="11" spans="1:17">
      <c r="A11" s="334" t="s">
        <v>26</v>
      </c>
      <c r="B11" s="588"/>
      <c r="C11" s="587"/>
      <c r="D11" s="586" t="s">
        <v>97</v>
      </c>
      <c r="E11" s="586" t="s">
        <v>96</v>
      </c>
      <c r="F11" s="586" t="s">
        <v>454</v>
      </c>
      <c r="G11" s="586" t="s">
        <v>91</v>
      </c>
      <c r="H11" s="586" t="s">
        <v>454</v>
      </c>
      <c r="I11" s="586"/>
      <c r="J11" s="334" t="s">
        <v>26</v>
      </c>
      <c r="K11" s="588"/>
      <c r="L11" s="587"/>
      <c r="M11" s="586" t="s">
        <v>97</v>
      </c>
      <c r="N11" s="586" t="s">
        <v>96</v>
      </c>
      <c r="O11" s="586" t="s">
        <v>454</v>
      </c>
      <c r="P11" s="586" t="s">
        <v>91</v>
      </c>
      <c r="Q11" s="586" t="s">
        <v>454</v>
      </c>
    </row>
    <row r="12" spans="1:17">
      <c r="A12" s="260" t="s">
        <v>23</v>
      </c>
      <c r="B12" s="577" t="s">
        <v>22</v>
      </c>
      <c r="C12" s="576" t="s">
        <v>453</v>
      </c>
      <c r="D12" s="261" t="s">
        <v>452</v>
      </c>
      <c r="E12" s="575" t="s">
        <v>451</v>
      </c>
      <c r="F12" s="261" t="s">
        <v>450</v>
      </c>
      <c r="G12" s="575" t="s">
        <v>449</v>
      </c>
      <c r="H12" s="261" t="s">
        <v>448</v>
      </c>
      <c r="I12" s="261"/>
      <c r="J12" s="260" t="s">
        <v>23</v>
      </c>
      <c r="K12" s="577" t="s">
        <v>22</v>
      </c>
      <c r="L12" s="576" t="s">
        <v>453</v>
      </c>
      <c r="M12" s="261" t="s">
        <v>452</v>
      </c>
      <c r="N12" s="575" t="s">
        <v>451</v>
      </c>
      <c r="O12" s="261" t="s">
        <v>450</v>
      </c>
      <c r="P12" s="575" t="s">
        <v>449</v>
      </c>
      <c r="Q12" s="261" t="s">
        <v>448</v>
      </c>
    </row>
    <row r="13" spans="1:17">
      <c r="J13" s="572"/>
      <c r="K13" s="572"/>
      <c r="L13" s="572"/>
      <c r="M13" s="572"/>
      <c r="N13" s="572"/>
      <c r="O13" s="572"/>
      <c r="P13" s="572"/>
      <c r="Q13" s="572"/>
    </row>
    <row r="14" spans="1:17">
      <c r="A14" s="367">
        <v>1</v>
      </c>
      <c r="B14" s="855" t="s">
        <v>299</v>
      </c>
      <c r="J14" s="367">
        <v>1</v>
      </c>
      <c r="K14" s="389" t="s">
        <v>760</v>
      </c>
      <c r="L14" s="250"/>
      <c r="M14" s="371"/>
      <c r="N14" s="451"/>
      <c r="O14" s="451"/>
      <c r="P14" s="451"/>
      <c r="Q14" s="451"/>
    </row>
    <row r="15" spans="1:17">
      <c r="A15" s="367">
        <f>+A14+1</f>
        <v>2</v>
      </c>
      <c r="B15" s="445" t="s">
        <v>752</v>
      </c>
      <c r="D15" s="387">
        <v>9377979.3800000008</v>
      </c>
      <c r="E15" s="387">
        <v>9377979.3800000008</v>
      </c>
      <c r="F15" s="387">
        <f>+E15-D15</f>
        <v>0</v>
      </c>
      <c r="G15" s="387">
        <v>0</v>
      </c>
      <c r="H15" s="387">
        <f>+G15-E15</f>
        <v>-9377979.3800000008</v>
      </c>
      <c r="J15" s="367">
        <f>+J14+1</f>
        <v>2</v>
      </c>
      <c r="K15" s="854" t="s">
        <v>759</v>
      </c>
      <c r="L15" s="250"/>
      <c r="M15" s="387">
        <v>6980521.1700718822</v>
      </c>
      <c r="N15" s="387">
        <f>+M15</f>
        <v>6980521.1700718822</v>
      </c>
      <c r="O15" s="387">
        <f>+N15-M15</f>
        <v>0</v>
      </c>
      <c r="P15" s="387">
        <v>0</v>
      </c>
      <c r="Q15" s="387">
        <f>+P15-N15</f>
        <v>-6980521.1700718822</v>
      </c>
    </row>
    <row r="16" spans="1:17">
      <c r="A16" s="367">
        <f>+A15+1</f>
        <v>3</v>
      </c>
      <c r="B16" s="436" t="s">
        <v>386</v>
      </c>
      <c r="D16" s="348">
        <v>-39543.813052333338</v>
      </c>
      <c r="E16" s="348">
        <v>-39543.813052333338</v>
      </c>
      <c r="F16" s="348">
        <f>+E16-D16</f>
        <v>0</v>
      </c>
      <c r="G16" s="348">
        <v>0</v>
      </c>
      <c r="H16" s="348">
        <f>+G16-E16</f>
        <v>39543.813052333338</v>
      </c>
      <c r="J16" s="367">
        <f>+J15+1</f>
        <v>3</v>
      </c>
      <c r="K16" s="410"/>
      <c r="L16" s="250"/>
      <c r="M16" s="857"/>
      <c r="N16" s="857"/>
      <c r="O16" s="857"/>
      <c r="P16" s="857"/>
      <c r="Q16" s="857"/>
    </row>
    <row r="17" spans="1:17">
      <c r="A17" s="367">
        <v>4</v>
      </c>
      <c r="B17" s="502" t="s">
        <v>751</v>
      </c>
      <c r="D17" s="348">
        <v>-10924.564479418335</v>
      </c>
      <c r="E17" s="348">
        <v>-10924.564479418335</v>
      </c>
      <c r="F17" s="348">
        <f>+E17-D17</f>
        <v>0</v>
      </c>
      <c r="G17" s="348">
        <v>0</v>
      </c>
      <c r="H17" s="348">
        <f>+G17-E17</f>
        <v>10924.564479418335</v>
      </c>
      <c r="J17" s="367">
        <v>4</v>
      </c>
      <c r="K17" s="389" t="s">
        <v>758</v>
      </c>
      <c r="L17" s="250"/>
      <c r="M17" s="856"/>
      <c r="N17" s="856"/>
      <c r="O17" s="856"/>
      <c r="P17" s="856"/>
      <c r="Q17" s="856"/>
    </row>
    <row r="18" spans="1:17">
      <c r="A18" s="367">
        <f t="shared" ref="A18:A26" si="0">+A17+1</f>
        <v>5</v>
      </c>
      <c r="B18" s="445"/>
      <c r="D18" s="237"/>
      <c r="E18" s="237"/>
      <c r="F18" s="237"/>
      <c r="G18" s="237"/>
      <c r="H18" s="237"/>
      <c r="J18" s="367">
        <f>+J17+1</f>
        <v>5</v>
      </c>
      <c r="K18" s="245" t="s">
        <v>757</v>
      </c>
      <c r="L18" s="250"/>
      <c r="M18" s="349">
        <v>2616179.6237217812</v>
      </c>
      <c r="N18" s="349">
        <f>+M18</f>
        <v>2616179.6237217812</v>
      </c>
      <c r="O18" s="349">
        <f>+N18-M18</f>
        <v>0</v>
      </c>
      <c r="P18" s="349">
        <v>2616179.6237217835</v>
      </c>
      <c r="Q18" s="349">
        <f>+P18-N18</f>
        <v>0</v>
      </c>
    </row>
    <row r="19" spans="1:17" ht="13.8" thickBot="1">
      <c r="A19" s="367">
        <f t="shared" si="0"/>
        <v>6</v>
      </c>
      <c r="B19" s="379" t="s">
        <v>750</v>
      </c>
      <c r="D19" s="235">
        <f>SUM(D15:D17)</f>
        <v>9327511.0024682488</v>
      </c>
      <c r="E19" s="235">
        <f>SUM(E15:E17)</f>
        <v>9327511.0024682488</v>
      </c>
      <c r="F19" s="235">
        <f>SUM(F15:F17)</f>
        <v>0</v>
      </c>
      <c r="G19" s="235">
        <f>SUM(G15:G17)</f>
        <v>0</v>
      </c>
      <c r="H19" s="235">
        <f>SUM(H15:H17)</f>
        <v>-9327511.0024682488</v>
      </c>
      <c r="J19" s="367">
        <v>6</v>
      </c>
      <c r="K19" s="410"/>
      <c r="L19" s="250"/>
      <c r="M19" s="1150"/>
      <c r="N19" s="1150"/>
      <c r="O19" s="1150"/>
      <c r="P19" s="1150"/>
      <c r="Q19" s="1150"/>
    </row>
    <row r="20" spans="1:17" ht="13.8" thickTop="1">
      <c r="A20" s="367">
        <f t="shared" si="0"/>
        <v>7</v>
      </c>
      <c r="D20" s="826"/>
      <c r="E20" s="826"/>
      <c r="G20" s="826"/>
      <c r="H20" s="826"/>
      <c r="J20" s="367">
        <f t="shared" ref="J20:J41" si="1">+J19+1</f>
        <v>7</v>
      </c>
      <c r="K20" s="854" t="s">
        <v>756</v>
      </c>
      <c r="L20" s="250"/>
      <c r="M20" s="853">
        <f>SUM(M18:M19)</f>
        <v>2616179.6237217812</v>
      </c>
      <c r="N20" s="853">
        <f>SUM(N18:N19)</f>
        <v>2616179.6237217812</v>
      </c>
      <c r="O20" s="853">
        <f>SUM(O18:O19)</f>
        <v>0</v>
      </c>
      <c r="P20" s="853">
        <f>SUM(P18:P19)</f>
        <v>2616179.6237217835</v>
      </c>
      <c r="Q20" s="853">
        <f>SUM(Q18:Q19)</f>
        <v>0</v>
      </c>
    </row>
    <row r="21" spans="1:17">
      <c r="A21" s="367">
        <f t="shared" si="0"/>
        <v>8</v>
      </c>
      <c r="B21" s="855" t="s">
        <v>755</v>
      </c>
      <c r="C21" s="250"/>
      <c r="D21" s="849"/>
      <c r="E21" s="849"/>
      <c r="F21" s="849"/>
      <c r="G21" s="849"/>
      <c r="H21" s="849"/>
      <c r="J21" s="367">
        <f t="shared" si="1"/>
        <v>8</v>
      </c>
      <c r="K21" s="854"/>
      <c r="L21" s="250"/>
      <c r="M21" s="853"/>
      <c r="N21" s="853"/>
      <c r="O21" s="853"/>
      <c r="P21" s="853"/>
      <c r="Q21" s="853"/>
    </row>
    <row r="22" spans="1:17">
      <c r="A22" s="367">
        <f t="shared" si="0"/>
        <v>9</v>
      </c>
      <c r="B22" s="445" t="s">
        <v>346</v>
      </c>
      <c r="C22" s="250"/>
      <c r="D22" s="348">
        <v>39543.813052333338</v>
      </c>
      <c r="E22" s="348">
        <f>D22</f>
        <v>39543.813052333338</v>
      </c>
      <c r="F22" s="348">
        <f>E22-D22</f>
        <v>0</v>
      </c>
      <c r="G22" s="348">
        <v>0</v>
      </c>
      <c r="H22" s="348">
        <f>G22-E22</f>
        <v>-39543.813052333338</v>
      </c>
      <c r="J22" s="367">
        <f t="shared" si="1"/>
        <v>9</v>
      </c>
      <c r="K22" s="410" t="s">
        <v>262</v>
      </c>
      <c r="L22" s="851">
        <f>+'SEF-3G'!M12</f>
        <v>5.1240000000000001E-3</v>
      </c>
      <c r="M22" s="349">
        <f>+$M$15*L22</f>
        <v>35768.190475448326</v>
      </c>
      <c r="N22" s="349">
        <f>+M22</f>
        <v>35768.190475448326</v>
      </c>
      <c r="O22" s="349">
        <f>+N22-M22</f>
        <v>0</v>
      </c>
      <c r="P22" s="349">
        <f>+$P$15*L22</f>
        <v>0</v>
      </c>
      <c r="Q22" s="349">
        <f>+P22-N22</f>
        <v>-35768.190475448326</v>
      </c>
    </row>
    <row r="23" spans="1:17">
      <c r="A23" s="367">
        <f t="shared" si="0"/>
        <v>10</v>
      </c>
      <c r="B23" s="299"/>
      <c r="C23" s="250"/>
      <c r="D23" s="348"/>
      <c r="E23" s="348"/>
      <c r="F23" s="348"/>
      <c r="G23" s="348"/>
      <c r="H23" s="348"/>
      <c r="J23" s="367">
        <f t="shared" si="1"/>
        <v>10</v>
      </c>
      <c r="K23" s="410" t="s">
        <v>260</v>
      </c>
      <c r="L23" s="851">
        <f>+'SEF-3G'!M13</f>
        <v>2E-3</v>
      </c>
      <c r="M23" s="349">
        <f>+$M$15*L23</f>
        <v>13961.042340143764</v>
      </c>
      <c r="N23" s="349">
        <f>+M23</f>
        <v>13961.042340143764</v>
      </c>
      <c r="O23" s="349">
        <f>+N23-M23</f>
        <v>0</v>
      </c>
      <c r="P23" s="349">
        <f>+$P$15*L23</f>
        <v>0</v>
      </c>
      <c r="Q23" s="349">
        <f>+P23-N23</f>
        <v>-13961.042340143764</v>
      </c>
    </row>
    <row r="24" spans="1:17">
      <c r="A24" s="367">
        <f t="shared" si="0"/>
        <v>11</v>
      </c>
      <c r="B24" s="410" t="s">
        <v>252</v>
      </c>
      <c r="C24" s="852">
        <f>FIT_G</f>
        <v>0.21</v>
      </c>
      <c r="D24" s="348">
        <f>-D22*C24</f>
        <v>-8304.2007409900016</v>
      </c>
      <c r="E24" s="348">
        <f>-E22*C24</f>
        <v>-8304.2007409900016</v>
      </c>
      <c r="F24" s="348">
        <f>E24-D24</f>
        <v>0</v>
      </c>
      <c r="G24" s="348">
        <v>0</v>
      </c>
      <c r="H24" s="348">
        <f>+G24-E24</f>
        <v>8304.2007409900016</v>
      </c>
      <c r="J24" s="367">
        <f t="shared" si="1"/>
        <v>11</v>
      </c>
      <c r="K24" s="491" t="s">
        <v>754</v>
      </c>
      <c r="L24" s="371"/>
      <c r="M24" s="375">
        <f>SUM(M22:M23)</f>
        <v>49729.232815592091</v>
      </c>
      <c r="N24" s="375">
        <f>SUM(N22:N23)</f>
        <v>49729.232815592091</v>
      </c>
      <c r="O24" s="375">
        <f>SUM(O22:O23)</f>
        <v>0</v>
      </c>
      <c r="P24" s="375">
        <f>SUM(P22:P23)</f>
        <v>0</v>
      </c>
      <c r="Q24" s="375">
        <f>SUM(Q22:Q23)</f>
        <v>-49729.232815592091</v>
      </c>
    </row>
    <row r="25" spans="1:17">
      <c r="A25" s="367">
        <f t="shared" si="0"/>
        <v>12</v>
      </c>
      <c r="B25" s="410"/>
      <c r="C25" s="250"/>
      <c r="D25" s="1149"/>
      <c r="E25" s="1149"/>
      <c r="F25" s="1149"/>
      <c r="G25" s="1149"/>
      <c r="H25" s="1149"/>
      <c r="J25" s="367">
        <f t="shared" si="1"/>
        <v>12</v>
      </c>
      <c r="K25" s="410"/>
      <c r="L25" s="245"/>
      <c r="M25" s="965"/>
      <c r="N25" s="965"/>
      <c r="O25" s="245"/>
      <c r="P25" s="965"/>
      <c r="Q25" s="965"/>
    </row>
    <row r="26" spans="1:17" ht="13.8" thickBot="1">
      <c r="A26" s="367">
        <f t="shared" si="0"/>
        <v>13</v>
      </c>
      <c r="B26" s="410" t="s">
        <v>249</v>
      </c>
      <c r="C26" s="250"/>
      <c r="D26" s="235">
        <f>-D22-D24</f>
        <v>-31239.612311343335</v>
      </c>
      <c r="E26" s="235">
        <f>D26</f>
        <v>-31239.612311343335</v>
      </c>
      <c r="F26" s="235">
        <f>E26-D26</f>
        <v>0</v>
      </c>
      <c r="G26" s="235">
        <v>0</v>
      </c>
      <c r="H26" s="235">
        <f>G26-E26</f>
        <v>31239.612311343335</v>
      </c>
      <c r="J26" s="367">
        <f t="shared" si="1"/>
        <v>13</v>
      </c>
      <c r="K26" s="410" t="s">
        <v>343</v>
      </c>
      <c r="L26" s="851">
        <f>+'SEF-3G'!M14</f>
        <v>3.8323000000000003E-2</v>
      </c>
      <c r="M26" s="349">
        <f>+$M$15*L26</f>
        <v>267514.51280066476</v>
      </c>
      <c r="N26" s="349">
        <f>+M26</f>
        <v>267514.51280066476</v>
      </c>
      <c r="O26" s="349">
        <f>+N26-M26</f>
        <v>0</v>
      </c>
      <c r="P26" s="349">
        <f>+$P$15*L26</f>
        <v>0</v>
      </c>
      <c r="Q26" s="349">
        <f>+P26-N26</f>
        <v>-267514.51280066476</v>
      </c>
    </row>
    <row r="27" spans="1:17" ht="13.8" thickTop="1">
      <c r="J27" s="367">
        <f t="shared" si="1"/>
        <v>14</v>
      </c>
      <c r="K27" s="491"/>
      <c r="L27" s="245"/>
      <c r="M27" s="635"/>
      <c r="N27" s="635"/>
      <c r="O27" s="635"/>
      <c r="P27" s="635"/>
      <c r="Q27" s="635"/>
    </row>
    <row r="28" spans="1:17">
      <c r="J28" s="367">
        <f t="shared" si="1"/>
        <v>15</v>
      </c>
      <c r="K28" s="491" t="s">
        <v>753</v>
      </c>
      <c r="L28" s="250"/>
      <c r="M28" s="244">
        <f>SUM(M24:M27)</f>
        <v>317243.74561625684</v>
      </c>
      <c r="N28" s="244">
        <f>SUM(N24:N27)</f>
        <v>317243.74561625684</v>
      </c>
      <c r="O28" s="244">
        <f>SUM(O24:O27)</f>
        <v>0</v>
      </c>
      <c r="P28" s="244">
        <f>SUM(P24:P27)</f>
        <v>0</v>
      </c>
      <c r="Q28" s="244">
        <f>SUM(Q24:Q27)</f>
        <v>-317243.74561625684</v>
      </c>
    </row>
    <row r="29" spans="1:17">
      <c r="J29" s="367">
        <f t="shared" si="1"/>
        <v>16</v>
      </c>
      <c r="K29" s="410"/>
      <c r="L29" s="250"/>
      <c r="M29" s="375"/>
      <c r="N29" s="375"/>
      <c r="O29" s="375"/>
      <c r="P29" s="375"/>
      <c r="Q29" s="375"/>
    </row>
    <row r="30" spans="1:17">
      <c r="J30" s="367">
        <f t="shared" si="1"/>
        <v>17</v>
      </c>
      <c r="K30" s="410" t="s">
        <v>253</v>
      </c>
      <c r="L30" s="250"/>
      <c r="M30" s="360">
        <f>+M15-M20-M28</f>
        <v>4047097.8007338443</v>
      </c>
      <c r="N30" s="360">
        <f>+M30</f>
        <v>4047097.8007338443</v>
      </c>
      <c r="O30" s="360">
        <f>+O15-O20-O28</f>
        <v>0</v>
      </c>
      <c r="P30" s="360">
        <f>+P15-P20-P28</f>
        <v>-2616179.6237217835</v>
      </c>
      <c r="Q30" s="360">
        <f>+Q15-Q20-Q28</f>
        <v>-6663277.424455625</v>
      </c>
    </row>
    <row r="31" spans="1:17">
      <c r="J31" s="367">
        <f t="shared" si="1"/>
        <v>18</v>
      </c>
      <c r="K31" s="410" t="s">
        <v>252</v>
      </c>
      <c r="L31" s="850">
        <f>+FIT_G</f>
        <v>0.21</v>
      </c>
      <c r="M31" s="244">
        <f>+M30*$L$31</f>
        <v>849890.53815410729</v>
      </c>
      <c r="N31" s="244">
        <f>+N30*$L$31</f>
        <v>849890.53815410729</v>
      </c>
      <c r="O31" s="244">
        <f>+O30*$L$31</f>
        <v>0</v>
      </c>
      <c r="P31" s="244">
        <f>+P30*$L$31</f>
        <v>-549397.7209815745</v>
      </c>
      <c r="Q31" s="244">
        <f>+Q30*$L$31</f>
        <v>-1399288.2591356812</v>
      </c>
    </row>
    <row r="32" spans="1:17">
      <c r="J32" s="367">
        <f t="shared" si="1"/>
        <v>19</v>
      </c>
      <c r="K32" s="410"/>
      <c r="L32" s="250"/>
      <c r="M32" s="375"/>
      <c r="N32" s="375"/>
      <c r="O32" s="375"/>
      <c r="P32" s="375"/>
      <c r="Q32" s="375"/>
    </row>
    <row r="33" spans="10:17" ht="13.8" thickBot="1">
      <c r="J33" s="367">
        <f t="shared" si="1"/>
        <v>20</v>
      </c>
      <c r="K33" s="410" t="s">
        <v>249</v>
      </c>
      <c r="L33" s="250"/>
      <c r="M33" s="428">
        <f>M30-M31</f>
        <v>3197207.2625797372</v>
      </c>
      <c r="N33" s="428">
        <f>N30-N31</f>
        <v>3197207.2625797372</v>
      </c>
      <c r="O33" s="428">
        <f>O30-O31</f>
        <v>0</v>
      </c>
      <c r="P33" s="428">
        <f>P30-P31</f>
        <v>-2066781.9027402089</v>
      </c>
      <c r="Q33" s="428">
        <f>Q30-Q31</f>
        <v>-5263989.1653199438</v>
      </c>
    </row>
    <row r="34" spans="10:17" ht="13.8" thickTop="1">
      <c r="J34" s="367">
        <f t="shared" si="1"/>
        <v>21</v>
      </c>
      <c r="K34" s="245"/>
      <c r="L34" s="250"/>
      <c r="M34" s="371"/>
      <c r="N34" s="371"/>
      <c r="O34" s="371"/>
      <c r="P34" s="371"/>
      <c r="Q34" s="371"/>
    </row>
    <row r="35" spans="10:17">
      <c r="J35" s="367">
        <f t="shared" si="1"/>
        <v>22</v>
      </c>
      <c r="K35" s="245"/>
      <c r="L35" s="250"/>
      <c r="M35" s="371"/>
      <c r="N35" s="371"/>
      <c r="O35" s="371"/>
      <c r="P35" s="371"/>
      <c r="Q35" s="371"/>
    </row>
    <row r="36" spans="10:17">
      <c r="J36" s="367">
        <f t="shared" si="1"/>
        <v>23</v>
      </c>
      <c r="K36" s="389" t="s">
        <v>299</v>
      </c>
      <c r="L36" s="250"/>
      <c r="M36" s="355"/>
      <c r="N36" s="355"/>
      <c r="O36" s="355"/>
      <c r="P36" s="355"/>
      <c r="Q36" s="355"/>
    </row>
    <row r="37" spans="10:17">
      <c r="J37" s="367">
        <f t="shared" si="1"/>
        <v>24</v>
      </c>
      <c r="K37" s="445" t="s">
        <v>752</v>
      </c>
      <c r="L37" s="250"/>
      <c r="M37" s="387">
        <v>105802468.1600001</v>
      </c>
      <c r="N37" s="387">
        <v>105802468.1600001</v>
      </c>
      <c r="O37" s="387">
        <v>0</v>
      </c>
      <c r="P37" s="387">
        <v>105802468.1600001</v>
      </c>
      <c r="Q37" s="387">
        <f>+P37-N37</f>
        <v>0</v>
      </c>
    </row>
    <row r="38" spans="10:17">
      <c r="J38" s="367">
        <f t="shared" si="1"/>
        <v>25</v>
      </c>
      <c r="K38" s="410" t="s">
        <v>386</v>
      </c>
      <c r="L38" s="250"/>
      <c r="M38" s="349">
        <v>-4408805.5073599108</v>
      </c>
      <c r="N38" s="349">
        <v>-4408805.5073599108</v>
      </c>
      <c r="O38" s="349">
        <v>0</v>
      </c>
      <c r="P38" s="349">
        <v>-10067230.849618189</v>
      </c>
      <c r="Q38" s="349">
        <f>+P38-N38</f>
        <v>-5658425.3422582783</v>
      </c>
    </row>
    <row r="39" spans="10:17">
      <c r="J39" s="367">
        <f t="shared" si="1"/>
        <v>26</v>
      </c>
      <c r="K39" s="502" t="s">
        <v>751</v>
      </c>
      <c r="L39" s="250"/>
      <c r="M39" s="349">
        <v>-8207637.6737488601</v>
      </c>
      <c r="N39" s="349">
        <v>-8207637.6737488601</v>
      </c>
      <c r="O39" s="349">
        <v>0</v>
      </c>
      <c r="P39" s="349">
        <v>-8937256.0344074257</v>
      </c>
      <c r="Q39" s="349">
        <f>+P39-N39</f>
        <v>-729618.36065856554</v>
      </c>
    </row>
    <row r="40" spans="10:17">
      <c r="J40" s="367">
        <f t="shared" si="1"/>
        <v>27</v>
      </c>
      <c r="K40" s="445"/>
      <c r="L40" s="250"/>
      <c r="M40" s="626"/>
      <c r="N40" s="626"/>
      <c r="O40" s="626"/>
      <c r="P40" s="626"/>
      <c r="Q40" s="626"/>
    </row>
    <row r="41" spans="10:17" ht="13.8" thickBot="1">
      <c r="J41" s="367">
        <f t="shared" si="1"/>
        <v>28</v>
      </c>
      <c r="K41" s="247" t="s">
        <v>750</v>
      </c>
      <c r="L41" s="250"/>
      <c r="M41" s="428">
        <f>SUM(M37:M39)</f>
        <v>93186024.978891328</v>
      </c>
      <c r="N41" s="428">
        <f>SUM(N37:N39)</f>
        <v>93186024.978891328</v>
      </c>
      <c r="O41" s="428">
        <f>SUM(O37:O39)</f>
        <v>0</v>
      </c>
      <c r="P41" s="428">
        <f>SUM(P37:P39)</f>
        <v>86797981.275974497</v>
      </c>
      <c r="Q41" s="428">
        <f>SUM(Q37:Q39)</f>
        <v>-6388043.7029168438</v>
      </c>
    </row>
    <row r="42" spans="10:17" ht="13.8" thickTop="1">
      <c r="L42" s="250"/>
      <c r="M42" s="250"/>
    </row>
    <row r="43" spans="10:17">
      <c r="L43" s="250"/>
      <c r="M43" s="849"/>
    </row>
  </sheetData>
  <pageMargins left="0.7" right="0.7" top="0.75" bottom="0.75" header="0.3" footer="0.3"/>
  <pageSetup scale="48" orientation="landscape" r:id="rId1"/>
  <customProperties>
    <customPr name="_pios_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  <pageSetUpPr fitToPage="1"/>
  </sheetPr>
  <dimension ref="A1:K65"/>
  <sheetViews>
    <sheetView workbookViewId="0">
      <pane xSplit="2" ySplit="11" topLeftCell="C12" activePane="bottomRight" state="frozen"/>
      <selection activeCell="H38" sqref="H38"/>
      <selection pane="topRight" activeCell="H38" sqref="H38"/>
      <selection pane="bottomLeft" activeCell="H38" sqref="H38"/>
      <selection pane="bottomRight" activeCell="E26" sqref="E26"/>
    </sheetView>
  </sheetViews>
  <sheetFormatPr defaultRowHeight="14.4" outlineLevelRow="1"/>
  <cols>
    <col min="1" max="1" width="5.109375" customWidth="1"/>
    <col min="2" max="2" width="43" bestFit="1" customWidth="1"/>
    <col min="3" max="3" width="15.44140625" customWidth="1"/>
    <col min="4" max="4" width="12.6640625" style="946" bestFit="1" customWidth="1"/>
    <col min="5" max="5" width="14.44140625" style="946" bestFit="1" customWidth="1"/>
    <col min="6" max="8" width="14.44140625" style="946" customWidth="1"/>
    <col min="9" max="9" width="14.44140625" customWidth="1"/>
    <col min="10" max="10" width="17" bestFit="1" customWidth="1"/>
    <col min="11" max="11" width="14.44140625" bestFit="1" customWidth="1"/>
  </cols>
  <sheetData>
    <row r="1" spans="1:10">
      <c r="A1" s="265" t="s">
        <v>32</v>
      </c>
      <c r="B1" s="230"/>
      <c r="I1" s="270" t="s">
        <v>819</v>
      </c>
      <c r="J1" s="268"/>
    </row>
    <row r="2" spans="1:10">
      <c r="A2" s="265" t="s">
        <v>820</v>
      </c>
      <c r="B2" s="230"/>
    </row>
    <row r="3" spans="1:10">
      <c r="A3" s="265" t="s">
        <v>456</v>
      </c>
      <c r="B3" s="230"/>
      <c r="H3" s="947"/>
    </row>
    <row r="4" spans="1:10">
      <c r="A4" s="948" t="s">
        <v>821</v>
      </c>
      <c r="B4" s="230"/>
      <c r="C4" s="233" t="s">
        <v>83</v>
      </c>
      <c r="D4" s="233" t="s">
        <v>82</v>
      </c>
      <c r="E4" s="233" t="s">
        <v>822</v>
      </c>
      <c r="F4" s="233" t="s">
        <v>80</v>
      </c>
      <c r="G4" s="233" t="s">
        <v>156</v>
      </c>
      <c r="H4" s="233" t="s">
        <v>78</v>
      </c>
      <c r="I4" s="233" t="s">
        <v>155</v>
      </c>
      <c r="J4" s="233" t="s">
        <v>154</v>
      </c>
    </row>
    <row r="5" spans="1:10" hidden="1" outlineLevel="1">
      <c r="B5" s="230"/>
    </row>
    <row r="6" spans="1:10" collapsed="1">
      <c r="A6" s="230"/>
      <c r="B6" s="230"/>
      <c r="C6" s="262"/>
      <c r="D6" s="949" t="s">
        <v>823</v>
      </c>
      <c r="E6" s="950"/>
      <c r="F6" s="950"/>
      <c r="G6" s="951"/>
      <c r="H6" s="952" t="s">
        <v>824</v>
      </c>
      <c r="I6" s="952" t="s">
        <v>199</v>
      </c>
      <c r="J6" s="262"/>
    </row>
    <row r="7" spans="1:10">
      <c r="A7" s="230"/>
      <c r="B7" s="230"/>
      <c r="C7" s="262"/>
      <c r="D7" s="953" t="s">
        <v>222</v>
      </c>
      <c r="E7" s="595"/>
      <c r="F7" s="595"/>
      <c r="G7" s="954"/>
      <c r="H7" s="955" t="s">
        <v>91</v>
      </c>
      <c r="I7" s="955" t="s">
        <v>203</v>
      </c>
      <c r="J7" s="262"/>
    </row>
    <row r="8" spans="1:10">
      <c r="A8" s="230"/>
      <c r="B8" s="230"/>
      <c r="C8" s="262"/>
      <c r="D8" s="956" t="s">
        <v>86</v>
      </c>
      <c r="E8" s="957"/>
      <c r="F8" s="957"/>
      <c r="G8" s="958"/>
      <c r="H8" s="959" t="s">
        <v>86</v>
      </c>
      <c r="I8" s="959" t="s">
        <v>185</v>
      </c>
      <c r="J8" s="262"/>
    </row>
    <row r="9" spans="1:10">
      <c r="A9" s="230"/>
      <c r="B9" s="230"/>
      <c r="C9" s="262" t="s">
        <v>96</v>
      </c>
      <c r="D9" s="262" t="s">
        <v>825</v>
      </c>
      <c r="E9" s="262" t="s">
        <v>826</v>
      </c>
      <c r="F9" s="262" t="s">
        <v>827</v>
      </c>
      <c r="G9" s="262" t="s">
        <v>584</v>
      </c>
      <c r="H9" s="262" t="s">
        <v>828</v>
      </c>
      <c r="I9" s="262" t="s">
        <v>829</v>
      </c>
      <c r="J9" s="262"/>
    </row>
    <row r="10" spans="1:10">
      <c r="A10" s="262" t="s">
        <v>26</v>
      </c>
      <c r="C10" s="262" t="s">
        <v>90</v>
      </c>
      <c r="D10" s="262" t="s">
        <v>226</v>
      </c>
      <c r="E10" s="262" t="s">
        <v>226</v>
      </c>
      <c r="F10" s="262" t="s">
        <v>830</v>
      </c>
      <c r="G10" s="262" t="s">
        <v>223</v>
      </c>
      <c r="H10" s="262" t="s">
        <v>831</v>
      </c>
      <c r="I10" s="262" t="s">
        <v>832</v>
      </c>
      <c r="J10" s="262" t="s">
        <v>833</v>
      </c>
    </row>
    <row r="11" spans="1:10">
      <c r="A11" s="260" t="s">
        <v>23</v>
      </c>
      <c r="B11" s="260" t="s">
        <v>22</v>
      </c>
      <c r="C11" s="260" t="s">
        <v>85</v>
      </c>
      <c r="D11" s="260" t="s">
        <v>21</v>
      </c>
      <c r="E11" s="260" t="s">
        <v>56</v>
      </c>
      <c r="F11" s="260" t="s">
        <v>834</v>
      </c>
      <c r="G11" s="260" t="s">
        <v>56</v>
      </c>
      <c r="H11" s="260" t="s">
        <v>347</v>
      </c>
      <c r="I11" s="260" t="s">
        <v>835</v>
      </c>
      <c r="J11" s="260" t="s">
        <v>836</v>
      </c>
    </row>
    <row r="12" spans="1:10">
      <c r="A12" s="230"/>
      <c r="B12" s="230"/>
      <c r="C12" s="960" t="s">
        <v>837</v>
      </c>
      <c r="D12" s="960" t="s">
        <v>838</v>
      </c>
      <c r="E12" s="960" t="s">
        <v>838</v>
      </c>
      <c r="F12" s="960"/>
      <c r="G12" s="960" t="s">
        <v>837</v>
      </c>
      <c r="H12" s="960"/>
      <c r="I12" s="960"/>
    </row>
    <row r="13" spans="1:10">
      <c r="A13" s="233">
        <v>1</v>
      </c>
      <c r="B13" s="247" t="s">
        <v>76</v>
      </c>
      <c r="C13" s="293"/>
      <c r="D13" s="293"/>
      <c r="E13" s="293"/>
      <c r="F13" s="293"/>
      <c r="G13" s="293"/>
      <c r="H13" s="293"/>
      <c r="I13" s="293"/>
      <c r="J13" s="293"/>
    </row>
    <row r="14" spans="1:10">
      <c r="A14" s="233">
        <f t="shared" ref="A14:A59" si="0">A13+1</f>
        <v>2</v>
      </c>
      <c r="B14" s="247" t="s">
        <v>75</v>
      </c>
      <c r="C14" s="293">
        <f>'SEF-4E p 2-7'!AG14</f>
        <v>2005372296.2612319</v>
      </c>
      <c r="D14" s="293">
        <f>-'SEF-4E p 2-7'!U14</f>
        <v>0</v>
      </c>
      <c r="E14" s="293">
        <f>-'SEF-4E p 2-7'!V14</f>
        <v>0</v>
      </c>
      <c r="F14" s="293">
        <v>0</v>
      </c>
      <c r="G14" s="293">
        <f>-'SEF-4E p 2-7'!AC14</f>
        <v>0</v>
      </c>
      <c r="H14" s="293">
        <v>0</v>
      </c>
      <c r="I14" s="293">
        <v>-719793390.96442294</v>
      </c>
      <c r="J14" s="293">
        <f>SUM(C14:I14)</f>
        <v>1285578905.296809</v>
      </c>
    </row>
    <row r="15" spans="1:10">
      <c r="A15" s="233">
        <f t="shared" si="0"/>
        <v>3</v>
      </c>
      <c r="B15" s="247" t="s">
        <v>74</v>
      </c>
      <c r="C15" s="280">
        <f>'SEF-4E p 2-7'!AG15</f>
        <v>327360.15999999898</v>
      </c>
      <c r="D15" s="280">
        <f>-'SEF-4E p 2-7'!U15</f>
        <v>0</v>
      </c>
      <c r="E15" s="280">
        <f>-'SEF-4E p 2-7'!V15</f>
        <v>0</v>
      </c>
      <c r="F15" s="280"/>
      <c r="G15" s="280">
        <f>-'SEF-4E p 2-7'!AC15</f>
        <v>0</v>
      </c>
      <c r="H15" s="280"/>
      <c r="I15" s="280"/>
      <c r="J15" s="280">
        <f>SUM(C15:I15)</f>
        <v>327360.15999999898</v>
      </c>
    </row>
    <row r="16" spans="1:10">
      <c r="A16" s="233">
        <f t="shared" si="0"/>
        <v>4</v>
      </c>
      <c r="B16" s="247" t="s">
        <v>73</v>
      </c>
      <c r="C16" s="280">
        <f>'SEF-4E p 2-7'!AG16</f>
        <v>155333122.24000001</v>
      </c>
      <c r="D16" s="280">
        <f>-'SEF-4E p 2-7'!U16</f>
        <v>0</v>
      </c>
      <c r="E16" s="280">
        <f>-'SEF-4E p 2-7'!V16</f>
        <v>0</v>
      </c>
      <c r="F16" s="280"/>
      <c r="G16" s="280">
        <f>-'SEF-4E p 2-7'!AC16</f>
        <v>0</v>
      </c>
      <c r="H16" s="280"/>
      <c r="I16" s="280">
        <f>-C16</f>
        <v>-155333122.24000001</v>
      </c>
      <c r="J16" s="280">
        <f>SUM(C16:I16)</f>
        <v>0</v>
      </c>
    </row>
    <row r="17" spans="1:10">
      <c r="A17" s="233">
        <f t="shared" si="0"/>
        <v>5</v>
      </c>
      <c r="B17" s="247" t="s">
        <v>72</v>
      </c>
      <c r="C17" s="280">
        <f>'SEF-4E p 2-7'!AG17</f>
        <v>139803179</v>
      </c>
      <c r="D17" s="280">
        <f>-'SEF-4E p 2-7'!U17</f>
        <v>0</v>
      </c>
      <c r="E17" s="280">
        <f>-'SEF-4E p 2-7'!V17</f>
        <v>0</v>
      </c>
      <c r="F17" s="280"/>
      <c r="G17" s="280">
        <f>-'SEF-4E p 2-7'!AC17</f>
        <v>0</v>
      </c>
      <c r="H17" s="280">
        <v>-18227053.410000004</v>
      </c>
      <c r="I17" s="280">
        <v>-69470811.979999989</v>
      </c>
      <c r="J17" s="280">
        <f>SUM(C17:I17)</f>
        <v>52105313.610000014</v>
      </c>
    </row>
    <row r="18" spans="1:10">
      <c r="A18" s="233">
        <f t="shared" si="0"/>
        <v>6</v>
      </c>
      <c r="B18" s="247" t="s">
        <v>71</v>
      </c>
      <c r="C18" s="961">
        <f>SUM(C14:C17)</f>
        <v>2300835957.661232</v>
      </c>
      <c r="D18" s="961">
        <f t="shared" ref="D18" si="1">SUM(D14:D17)</f>
        <v>0</v>
      </c>
      <c r="E18" s="961">
        <f t="shared" ref="E18:I18" si="2">SUM(E14:E17)</f>
        <v>0</v>
      </c>
      <c r="F18" s="961">
        <f t="shared" si="2"/>
        <v>0</v>
      </c>
      <c r="G18" s="961">
        <f t="shared" si="2"/>
        <v>0</v>
      </c>
      <c r="H18" s="961">
        <f t="shared" si="2"/>
        <v>-18227053.410000004</v>
      </c>
      <c r="I18" s="961">
        <f t="shared" si="2"/>
        <v>-944597325.18442297</v>
      </c>
      <c r="J18" s="961">
        <f>SUM(J14:J17)</f>
        <v>1338011579.0668092</v>
      </c>
    </row>
    <row r="19" spans="1:10">
      <c r="A19" s="233">
        <f t="shared" si="0"/>
        <v>7</v>
      </c>
      <c r="B19" s="292"/>
      <c r="C19" s="280"/>
      <c r="D19" s="280"/>
      <c r="E19" s="280"/>
      <c r="F19" s="280"/>
      <c r="G19" s="280"/>
      <c r="H19" s="280"/>
      <c r="I19" s="280"/>
      <c r="J19" s="280"/>
    </row>
    <row r="20" spans="1:10">
      <c r="A20" s="233">
        <f t="shared" si="0"/>
        <v>8</v>
      </c>
      <c r="B20" s="247" t="s">
        <v>70</v>
      </c>
      <c r="C20" s="280"/>
      <c r="D20" s="280"/>
      <c r="E20" s="280"/>
      <c r="F20" s="280"/>
      <c r="G20" s="280"/>
      <c r="H20" s="280"/>
      <c r="I20" s="280"/>
      <c r="J20" s="280"/>
    </row>
    <row r="21" spans="1:10">
      <c r="A21" s="233">
        <f t="shared" si="0"/>
        <v>9</v>
      </c>
      <c r="B21" s="245"/>
      <c r="C21" s="280"/>
      <c r="D21" s="280"/>
      <c r="E21" s="280"/>
      <c r="F21" s="280"/>
      <c r="G21" s="280"/>
      <c r="H21" s="280"/>
      <c r="I21" s="280"/>
      <c r="J21" s="280"/>
    </row>
    <row r="22" spans="1:10">
      <c r="A22" s="233">
        <f t="shared" si="0"/>
        <v>10</v>
      </c>
      <c r="B22" s="247" t="s">
        <v>69</v>
      </c>
      <c r="C22" s="280"/>
      <c r="D22" s="280"/>
      <c r="E22" s="280"/>
      <c r="F22" s="280"/>
      <c r="G22" s="280"/>
      <c r="H22" s="280"/>
      <c r="I22" s="280"/>
      <c r="J22" s="280"/>
    </row>
    <row r="23" spans="1:10">
      <c r="A23" s="233">
        <f t="shared" si="0"/>
        <v>11</v>
      </c>
      <c r="B23" s="247" t="s">
        <v>68</v>
      </c>
      <c r="C23" s="280">
        <f>'SEF-4E p 2-7'!AG23</f>
        <v>205237492.64999998</v>
      </c>
      <c r="D23" s="280">
        <f>-'SEF-4E p 2-7'!U23</f>
        <v>0</v>
      </c>
      <c r="E23" s="280">
        <f>-'SEF-4E p 2-7'!V23</f>
        <v>0</v>
      </c>
      <c r="F23" s="280"/>
      <c r="G23" s="280">
        <f>-'SEF-4E p 2-7'!AC23</f>
        <v>0</v>
      </c>
      <c r="H23" s="280"/>
      <c r="I23" s="280">
        <f>-C23</f>
        <v>-205237492.64999998</v>
      </c>
      <c r="J23" s="280">
        <f>SUM(C23:I23)</f>
        <v>0</v>
      </c>
    </row>
    <row r="24" spans="1:10">
      <c r="A24" s="233">
        <f t="shared" si="0"/>
        <v>12</v>
      </c>
      <c r="B24" s="247" t="s">
        <v>67</v>
      </c>
      <c r="C24" s="280">
        <f>'SEF-4E p 2-7'!AG24</f>
        <v>600379885.24010801</v>
      </c>
      <c r="D24" s="280">
        <f>-'SEF-4E p 2-7'!U24</f>
        <v>0</v>
      </c>
      <c r="E24" s="280">
        <f>-'SEF-4E p 2-7'!V24</f>
        <v>0</v>
      </c>
      <c r="F24" s="280"/>
      <c r="G24" s="280">
        <f>-'SEF-4E p 2-7'!AC24</f>
        <v>0</v>
      </c>
      <c r="H24" s="280"/>
      <c r="I24" s="280">
        <f>-C24</f>
        <v>-600379885.24010801</v>
      </c>
      <c r="J24" s="280">
        <f>SUM(C24:I24)</f>
        <v>0</v>
      </c>
    </row>
    <row r="25" spans="1:10">
      <c r="A25" s="233">
        <f t="shared" si="0"/>
        <v>13</v>
      </c>
      <c r="B25" s="247" t="s">
        <v>66</v>
      </c>
      <c r="C25" s="280">
        <f>'SEF-4E p 2-7'!AG25</f>
        <v>115807777.5999999</v>
      </c>
      <c r="D25" s="280">
        <f>-'SEF-4E p 2-7'!U25</f>
        <v>0</v>
      </c>
      <c r="E25" s="280">
        <f>-'SEF-4E p 2-7'!V25</f>
        <v>0</v>
      </c>
      <c r="F25" s="280"/>
      <c r="G25" s="280">
        <f>-'SEF-4E p 2-7'!AC25</f>
        <v>0</v>
      </c>
      <c r="H25" s="280"/>
      <c r="I25" s="280">
        <f>-C25</f>
        <v>-115807777.5999999</v>
      </c>
      <c r="J25" s="280">
        <f>SUM(C25:I25)</f>
        <v>0</v>
      </c>
    </row>
    <row r="26" spans="1:10">
      <c r="A26" s="233">
        <f t="shared" si="0"/>
        <v>14</v>
      </c>
      <c r="B26" s="245" t="s">
        <v>65</v>
      </c>
      <c r="C26" s="280">
        <f>'SEF-4E p 2-7'!AG26</f>
        <v>0</v>
      </c>
      <c r="D26" s="280">
        <f>-'SEF-4E p 2-7'!U26</f>
        <v>0</v>
      </c>
      <c r="E26" s="280">
        <f>-'SEF-4E p 2-7'!V26</f>
        <v>0</v>
      </c>
      <c r="F26" s="280"/>
      <c r="G26" s="280">
        <f>-'SEF-4E p 2-7'!AC26</f>
        <v>0</v>
      </c>
      <c r="H26" s="280"/>
      <c r="I26" s="280"/>
      <c r="J26" s="280">
        <f>SUM(C26:I26)</f>
        <v>0</v>
      </c>
    </row>
    <row r="27" spans="1:10">
      <c r="A27" s="233">
        <f t="shared" si="0"/>
        <v>15</v>
      </c>
      <c r="B27" s="247" t="s">
        <v>64</v>
      </c>
      <c r="C27" s="961">
        <f>SUM(C23:C26)</f>
        <v>921425155.49010789</v>
      </c>
      <c r="D27" s="961">
        <f t="shared" ref="D27" si="3">SUM(D23:D26)</f>
        <v>0</v>
      </c>
      <c r="E27" s="961">
        <f t="shared" ref="E27:J27" si="4">SUM(E23:E26)</f>
        <v>0</v>
      </c>
      <c r="F27" s="961">
        <f t="shared" si="4"/>
        <v>0</v>
      </c>
      <c r="G27" s="961">
        <f t="shared" si="4"/>
        <v>0</v>
      </c>
      <c r="H27" s="961">
        <f t="shared" si="4"/>
        <v>0</v>
      </c>
      <c r="I27" s="961">
        <f t="shared" si="4"/>
        <v>-921425155.49010789</v>
      </c>
      <c r="J27" s="961">
        <f t="shared" si="4"/>
        <v>0</v>
      </c>
    </row>
    <row r="28" spans="1:10">
      <c r="A28" s="233">
        <f t="shared" si="0"/>
        <v>16</v>
      </c>
      <c r="B28" s="247"/>
      <c r="C28" s="280"/>
      <c r="D28" s="280"/>
      <c r="E28" s="280"/>
      <c r="F28" s="280"/>
      <c r="G28" s="280"/>
      <c r="H28" s="280"/>
      <c r="I28" s="280"/>
      <c r="J28" s="280"/>
    </row>
    <row r="29" spans="1:10">
      <c r="A29" s="233">
        <f t="shared" si="0"/>
        <v>17</v>
      </c>
      <c r="B29" s="288" t="s">
        <v>63</v>
      </c>
      <c r="C29" s="280">
        <f>'SEF-4E p 2-7'!AG29</f>
        <v>127132037.69018357</v>
      </c>
      <c r="D29" s="280">
        <f>-'SEF-4E p 2-7'!U29</f>
        <v>0</v>
      </c>
      <c r="E29" s="280">
        <f>-'SEF-4E p 2-7'!V29</f>
        <v>0</v>
      </c>
      <c r="F29" s="280"/>
      <c r="G29" s="280">
        <f>-'SEF-4E p 2-7'!AC29</f>
        <v>0</v>
      </c>
      <c r="H29" s="280"/>
      <c r="I29" s="280"/>
      <c r="J29" s="280">
        <f t="shared" ref="J29:J43" si="5">SUM(C29:I29)</f>
        <v>127132037.69018357</v>
      </c>
    </row>
    <row r="30" spans="1:10">
      <c r="A30" s="233">
        <f t="shared" si="0"/>
        <v>18</v>
      </c>
      <c r="B30" s="247" t="s">
        <v>62</v>
      </c>
      <c r="C30" s="280">
        <f>'SEF-4E p 2-7'!AG30</f>
        <v>24319869.025746707</v>
      </c>
      <c r="D30" s="280">
        <f>-'SEF-4E p 2-7'!U30</f>
        <v>0</v>
      </c>
      <c r="E30" s="280">
        <f>-'SEF-4E p 2-7'!V30</f>
        <v>0</v>
      </c>
      <c r="F30" s="280"/>
      <c r="G30" s="280">
        <f>-'SEF-4E p 2-7'!AC30</f>
        <v>0</v>
      </c>
      <c r="H30" s="280"/>
      <c r="I30" s="280"/>
      <c r="J30" s="280">
        <f t="shared" si="5"/>
        <v>24319869.025746707</v>
      </c>
    </row>
    <row r="31" spans="1:10">
      <c r="A31" s="233">
        <f t="shared" si="0"/>
        <v>19</v>
      </c>
      <c r="B31" s="247" t="s">
        <v>61</v>
      </c>
      <c r="C31" s="280">
        <f>'SEF-4E p 2-7'!AG31</f>
        <v>83321444.144423828</v>
      </c>
      <c r="D31" s="280">
        <f>-'SEF-4E p 2-7'!U31</f>
        <v>0</v>
      </c>
      <c r="E31" s="280">
        <f>-'SEF-4E p 2-7'!V31</f>
        <v>0</v>
      </c>
      <c r="F31" s="280"/>
      <c r="G31" s="280">
        <f>-'SEF-4E p 2-7'!AC31</f>
        <v>0</v>
      </c>
      <c r="H31" s="280"/>
      <c r="I31" s="280"/>
      <c r="J31" s="280">
        <f t="shared" si="5"/>
        <v>83321444.144423828</v>
      </c>
    </row>
    <row r="32" spans="1:10">
      <c r="A32" s="233">
        <f t="shared" si="0"/>
        <v>20</v>
      </c>
      <c r="B32" s="247" t="s">
        <v>60</v>
      </c>
      <c r="C32" s="280">
        <f>'SEF-4E p 2-7'!AG32</f>
        <v>52414250.488585532</v>
      </c>
      <c r="D32" s="280">
        <f>-'SEF-4E p 2-7'!U32</f>
        <v>0</v>
      </c>
      <c r="E32" s="280">
        <f>-'SEF-4E p 2-7'!V32</f>
        <v>0</v>
      </c>
      <c r="F32" s="280"/>
      <c r="G32" s="280">
        <f>-'SEF-4E p 2-7'!AC32</f>
        <v>0</v>
      </c>
      <c r="H32" s="280">
        <v>-154547.18586339004</v>
      </c>
      <c r="I32" s="280">
        <f>$I$62*I14</f>
        <v>-6103128.1619873429</v>
      </c>
      <c r="J32" s="280">
        <f t="shared" si="5"/>
        <v>46156575.140734799</v>
      </c>
    </row>
    <row r="33" spans="1:11">
      <c r="A33" s="233">
        <f t="shared" si="0"/>
        <v>21</v>
      </c>
      <c r="B33" s="247" t="s">
        <v>59</v>
      </c>
      <c r="C33" s="280">
        <f>'SEF-4E p 2-7'!AG33</f>
        <v>4015681.2075902633</v>
      </c>
      <c r="D33" s="280">
        <f>-'SEF-4E p 2-7'!U33</f>
        <v>0</v>
      </c>
      <c r="E33" s="280">
        <f>-'SEF-4E p 2-7'!V33</f>
        <v>0</v>
      </c>
      <c r="F33" s="280"/>
      <c r="G33" s="280">
        <f>-'SEF-4E p 2-7'!AC33</f>
        <v>0</v>
      </c>
      <c r="H33" s="280"/>
      <c r="I33" s="280"/>
      <c r="J33" s="280">
        <f t="shared" si="5"/>
        <v>4015681.2075902633</v>
      </c>
    </row>
    <row r="34" spans="1:11">
      <c r="A34" s="233">
        <f t="shared" si="0"/>
        <v>22</v>
      </c>
      <c r="B34" s="247" t="s">
        <v>58</v>
      </c>
      <c r="C34" s="280">
        <f>'SEF-4E p 2-7'!AG34</f>
        <v>0</v>
      </c>
      <c r="D34" s="280">
        <f>-'SEF-4E p 2-7'!U34</f>
        <v>0</v>
      </c>
      <c r="E34" s="280">
        <f>-'SEF-4E p 2-7'!V34</f>
        <v>0</v>
      </c>
      <c r="F34" s="280"/>
      <c r="G34" s="280">
        <f>-'SEF-4E p 2-7'!AC34</f>
        <v>0</v>
      </c>
      <c r="H34" s="280"/>
      <c r="I34" s="280"/>
      <c r="J34" s="280">
        <f t="shared" si="5"/>
        <v>0</v>
      </c>
    </row>
    <row r="35" spans="1:11">
      <c r="A35" s="233">
        <f t="shared" si="0"/>
        <v>23</v>
      </c>
      <c r="B35" s="247" t="s">
        <v>57</v>
      </c>
      <c r="C35" s="280">
        <f>'SEF-4E p 2-7'!AG35</f>
        <v>125575266.92168914</v>
      </c>
      <c r="D35" s="280">
        <f>-'SEF-4E p 2-7'!U35</f>
        <v>0</v>
      </c>
      <c r="E35" s="280">
        <f>-'SEF-4E p 2-7'!V35</f>
        <v>0</v>
      </c>
      <c r="F35" s="280"/>
      <c r="G35" s="280">
        <f>-'SEF-4E p 2-7'!AC35</f>
        <v>0</v>
      </c>
      <c r="H35" s="280">
        <v>-36454.106820000008</v>
      </c>
      <c r="I35" s="280">
        <f>I14*I63</f>
        <v>-1439586.7819288459</v>
      </c>
      <c r="J35" s="280">
        <f t="shared" si="5"/>
        <v>124099226.03294028</v>
      </c>
    </row>
    <row r="36" spans="1:11">
      <c r="A36" s="233">
        <f t="shared" si="0"/>
        <v>24</v>
      </c>
      <c r="B36" s="247" t="s">
        <v>56</v>
      </c>
      <c r="C36" s="280">
        <f>'SEF-4E p 2-7'!AG36</f>
        <v>344763758.72410965</v>
      </c>
      <c r="D36" s="280">
        <f>-'SEF-4E p 2-7'!U36</f>
        <v>0</v>
      </c>
      <c r="E36" s="280">
        <f>-'SEF-4E p 2-7'!V36</f>
        <v>-5699417.5924432306</v>
      </c>
      <c r="F36" s="280"/>
      <c r="G36" s="280">
        <f>-'SEF-4E p 2-7'!AC36</f>
        <v>2348854.8283335716</v>
      </c>
      <c r="H36" s="280"/>
      <c r="I36" s="280"/>
      <c r="J36" s="280">
        <f t="shared" si="5"/>
        <v>341413195.95999998</v>
      </c>
    </row>
    <row r="37" spans="1:11">
      <c r="A37" s="233">
        <f t="shared" si="0"/>
        <v>25</v>
      </c>
      <c r="B37" s="247" t="s">
        <v>55</v>
      </c>
      <c r="C37" s="280">
        <f>'SEF-4E p 2-7'!AG37</f>
        <v>90992215.757837966</v>
      </c>
      <c r="D37" s="280">
        <f>-'SEF-4E p 2-7'!U37</f>
        <v>0</v>
      </c>
      <c r="E37" s="280">
        <f>-'SEF-4E p 2-7'!V37</f>
        <v>-15699257.697837964</v>
      </c>
      <c r="F37" s="280"/>
      <c r="G37" s="280">
        <f>-'SEF-4E p 2-7'!AC37</f>
        <v>0</v>
      </c>
      <c r="H37" s="280"/>
      <c r="I37" s="280"/>
      <c r="J37" s="280">
        <f t="shared" si="5"/>
        <v>75292958.060000002</v>
      </c>
    </row>
    <row r="38" spans="1:11">
      <c r="A38" s="233">
        <f t="shared" si="0"/>
        <v>26</v>
      </c>
      <c r="B38" s="288" t="s">
        <v>54</v>
      </c>
      <c r="C38" s="280">
        <f>'SEF-4E p 2-7'!AG38</f>
        <v>35645161.039999902</v>
      </c>
      <c r="D38" s="280">
        <f>-'SEF-4E p 2-7'!U38</f>
        <v>0</v>
      </c>
      <c r="E38" s="280">
        <f>-'SEF-4E p 2-7'!V38</f>
        <v>0</v>
      </c>
      <c r="F38" s="280"/>
      <c r="G38" s="280">
        <f>-'SEF-4E p 2-7'!AC38</f>
        <v>0</v>
      </c>
      <c r="H38" s="280"/>
      <c r="I38" s="280"/>
      <c r="J38" s="280">
        <f t="shared" si="5"/>
        <v>35645161.039999902</v>
      </c>
    </row>
    <row r="39" spans="1:11">
      <c r="A39" s="233">
        <f t="shared" si="0"/>
        <v>27</v>
      </c>
      <c r="B39" s="247" t="s">
        <v>53</v>
      </c>
      <c r="C39" s="280">
        <f>'SEF-4E p 2-7'!AG39</f>
        <v>9800224.150000006</v>
      </c>
      <c r="D39" s="280">
        <f>-'SEF-4E p 2-7'!U39</f>
        <v>0</v>
      </c>
      <c r="E39" s="280">
        <f>-'SEF-4E p 2-7'!V39</f>
        <v>0</v>
      </c>
      <c r="F39" s="280"/>
      <c r="G39" s="280">
        <f>-'SEF-4E p 2-7'!AC39</f>
        <v>0</v>
      </c>
      <c r="H39" s="280"/>
      <c r="I39" s="280"/>
      <c r="J39" s="280">
        <f t="shared" si="5"/>
        <v>9800224.150000006</v>
      </c>
    </row>
    <row r="40" spans="1:11">
      <c r="A40" s="233">
        <f t="shared" si="0"/>
        <v>28</v>
      </c>
      <c r="B40" s="245" t="s">
        <v>52</v>
      </c>
      <c r="C40" s="280">
        <f>'SEF-4E p 2-7'!AG40</f>
        <v>0</v>
      </c>
      <c r="D40" s="280">
        <f>-'SEF-4E p 2-7'!U40</f>
        <v>0</v>
      </c>
      <c r="E40" s="280">
        <f>-'SEF-4E p 2-7'!V40</f>
        <v>0</v>
      </c>
      <c r="F40" s="280"/>
      <c r="G40" s="280">
        <f>-'SEF-4E p 2-7'!AC40</f>
        <v>0</v>
      </c>
      <c r="H40" s="280"/>
      <c r="I40" s="280"/>
      <c r="J40" s="280">
        <f t="shared" si="5"/>
        <v>0</v>
      </c>
    </row>
    <row r="41" spans="1:11">
      <c r="A41" s="233">
        <f t="shared" si="0"/>
        <v>29</v>
      </c>
      <c r="B41" s="247" t="s">
        <v>51</v>
      </c>
      <c r="C41" s="280">
        <f>'SEF-4E p 2-7'!AG41</f>
        <v>87770514.78637135</v>
      </c>
      <c r="D41" s="280">
        <f>-'SEF-4E p 2-7'!U41</f>
        <v>0</v>
      </c>
      <c r="E41" s="280">
        <f>-'SEF-4E p 2-7'!V41</f>
        <v>0</v>
      </c>
      <c r="F41" s="280"/>
      <c r="G41" s="280">
        <f>-'SEF-4E p 2-7'!AC41</f>
        <v>0</v>
      </c>
      <c r="H41" s="280">
        <v>-700028.21326446021</v>
      </c>
      <c r="I41" s="280">
        <v>-29077730.348379631</v>
      </c>
      <c r="J41" s="280">
        <f t="shared" si="5"/>
        <v>57992756.224727258</v>
      </c>
    </row>
    <row r="42" spans="1:11">
      <c r="A42" s="233">
        <f t="shared" si="0"/>
        <v>30</v>
      </c>
      <c r="B42" s="247" t="s">
        <v>50</v>
      </c>
      <c r="C42" s="280">
        <f>'SEF-4E p 2-7'!AG42</f>
        <v>83306149.697635472</v>
      </c>
      <c r="D42" s="280">
        <f>-'SEF-4E p 2-7'!U42</f>
        <v>0</v>
      </c>
      <c r="E42" s="280">
        <f>-'SEF-4E p 2-7'!V42</f>
        <v>4493721.8109590504</v>
      </c>
      <c r="F42" s="280"/>
      <c r="G42" s="280">
        <f>-'SEF-4E p 2-7'!AC42</f>
        <v>-680428.34983163839</v>
      </c>
      <c r="H42" s="280">
        <f>SUM(H18,-SUM(H32:H41))*0.21</f>
        <v>-3640565.0198509521</v>
      </c>
      <c r="I42" s="280">
        <f>SUM(I18-SUM(I27:I41))*I65</f>
        <v>2824137.875575955</v>
      </c>
      <c r="J42" s="280">
        <f t="shared" si="5"/>
        <v>86303016.014487892</v>
      </c>
    </row>
    <row r="43" spans="1:11">
      <c r="A43" s="233">
        <f t="shared" si="0"/>
        <v>31</v>
      </c>
      <c r="B43" s="245" t="s">
        <v>49</v>
      </c>
      <c r="C43" s="280">
        <f>'SEF-4E p 2-7'!AG43</f>
        <v>-51808800.905295342</v>
      </c>
      <c r="D43" s="280">
        <f>-'SEF-4E p 2-7'!U43</f>
        <v>0</v>
      </c>
      <c r="E43" s="280">
        <f>-'SEF-4E p 2-7'!V43</f>
        <v>0</v>
      </c>
      <c r="F43" s="280"/>
      <c r="G43" s="280">
        <f>-'SEF-4E p 2-7'!AC43</f>
        <v>0</v>
      </c>
      <c r="H43" s="280"/>
      <c r="I43" s="280"/>
      <c r="J43" s="280">
        <f t="shared" si="5"/>
        <v>-51808800.905295342</v>
      </c>
    </row>
    <row r="44" spans="1:11">
      <c r="A44" s="233">
        <f t="shared" si="0"/>
        <v>32</v>
      </c>
      <c r="B44" s="247" t="s">
        <v>48</v>
      </c>
      <c r="C44" s="961">
        <f t="shared" ref="C44:J44" si="6">SUM(C27:C43)</f>
        <v>1938672928.2189858</v>
      </c>
      <c r="D44" s="961">
        <f t="shared" si="6"/>
        <v>0</v>
      </c>
      <c r="E44" s="961">
        <f t="shared" si="6"/>
        <v>-16904953.479322143</v>
      </c>
      <c r="F44" s="961">
        <f t="shared" si="6"/>
        <v>0</v>
      </c>
      <c r="G44" s="961">
        <f t="shared" si="6"/>
        <v>1668426.4785019332</v>
      </c>
      <c r="H44" s="961">
        <f t="shared" si="6"/>
        <v>-4531594.5257988023</v>
      </c>
      <c r="I44" s="961">
        <f t="shared" si="6"/>
        <v>-955221462.90682781</v>
      </c>
      <c r="J44" s="961">
        <f t="shared" si="6"/>
        <v>963683343.78553903</v>
      </c>
    </row>
    <row r="45" spans="1:11">
      <c r="A45" s="233">
        <f t="shared" si="0"/>
        <v>33</v>
      </c>
      <c r="B45" s="245"/>
      <c r="C45" s="961"/>
      <c r="D45" s="961"/>
      <c r="E45" s="961"/>
      <c r="F45" s="961"/>
      <c r="G45" s="961"/>
      <c r="H45" s="961"/>
      <c r="I45" s="961"/>
      <c r="J45" s="961"/>
    </row>
    <row r="46" spans="1:11" ht="15" thickBot="1">
      <c r="A46" s="233">
        <f t="shared" si="0"/>
        <v>34</v>
      </c>
      <c r="B46" s="245" t="s">
        <v>47</v>
      </c>
      <c r="C46" s="284">
        <f t="shared" ref="C46:J46" si="7">C18-C44</f>
        <v>362163029.4422462</v>
      </c>
      <c r="D46" s="284">
        <f t="shared" si="7"/>
        <v>0</v>
      </c>
      <c r="E46" s="284">
        <f t="shared" si="7"/>
        <v>16904953.479322143</v>
      </c>
      <c r="F46" s="284">
        <f t="shared" si="7"/>
        <v>0</v>
      </c>
      <c r="G46" s="284">
        <f t="shared" si="7"/>
        <v>-1668426.4785019332</v>
      </c>
      <c r="H46" s="284">
        <f t="shared" si="7"/>
        <v>-13695458.884201203</v>
      </c>
      <c r="I46" s="284">
        <f t="shared" si="7"/>
        <v>10624137.722404838</v>
      </c>
      <c r="J46" s="284">
        <f t="shared" si="7"/>
        <v>374328235.28127015</v>
      </c>
      <c r="K46" s="962"/>
    </row>
    <row r="47" spans="1:11" ht="15" thickTop="1">
      <c r="A47" s="233">
        <f t="shared" si="0"/>
        <v>35</v>
      </c>
      <c r="B47" s="245"/>
      <c r="C47" s="280"/>
      <c r="D47" s="280"/>
      <c r="E47" s="280"/>
      <c r="F47" s="280"/>
      <c r="G47" s="280"/>
      <c r="H47" s="280"/>
      <c r="I47" s="280"/>
      <c r="J47" s="280"/>
    </row>
    <row r="48" spans="1:11">
      <c r="A48" s="233">
        <f t="shared" si="0"/>
        <v>36</v>
      </c>
      <c r="B48" s="247" t="s">
        <v>46</v>
      </c>
      <c r="C48" s="293">
        <f>C59</f>
        <v>5362058016.8102951</v>
      </c>
      <c r="D48" s="293">
        <f t="shared" ref="D48:I48" si="8">D59</f>
        <v>-182818242.10345364</v>
      </c>
      <c r="E48" s="293">
        <f t="shared" si="8"/>
        <v>16904953.479322143</v>
      </c>
      <c r="F48" s="293">
        <f t="shared" si="8"/>
        <v>-71166.489999999991</v>
      </c>
      <c r="G48" s="293">
        <f t="shared" si="8"/>
        <v>11018406.688827798</v>
      </c>
      <c r="H48" s="293">
        <f t="shared" si="8"/>
        <v>0</v>
      </c>
      <c r="I48" s="293">
        <f t="shared" si="8"/>
        <v>0</v>
      </c>
      <c r="J48" s="293">
        <f>SUM(C48:I48)</f>
        <v>5207091968.3849916</v>
      </c>
      <c r="K48" s="963"/>
    </row>
    <row r="49" spans="1:11">
      <c r="A49" s="233">
        <f t="shared" si="0"/>
        <v>37</v>
      </c>
      <c r="B49" s="245"/>
      <c r="C49" s="280"/>
      <c r="D49" s="280"/>
      <c r="E49" s="280"/>
      <c r="F49" s="280"/>
      <c r="G49" s="280"/>
      <c r="H49" s="280"/>
      <c r="I49" s="280"/>
      <c r="J49" s="280"/>
      <c r="K49" s="963"/>
    </row>
    <row r="50" spans="1:11">
      <c r="A50" s="233">
        <f t="shared" si="0"/>
        <v>38</v>
      </c>
      <c r="B50" s="247" t="s">
        <v>18</v>
      </c>
      <c r="C50" s="283">
        <f>C46/C48</f>
        <v>6.7541796136268706E-2</v>
      </c>
      <c r="D50" s="283">
        <f>SUM($C46:D46)/SUM($C59:D59)-SUM($C50:C50)</f>
        <v>2.3841090536962789E-3</v>
      </c>
      <c r="E50" s="283">
        <f>SUM($C46:E46)/SUM($C59:E59)-SUM($C50:D50)</f>
        <v>3.0258701648163411E-3</v>
      </c>
      <c r="F50" s="283">
        <f>SUM($C46:F46)/SUM($C59:F59)-SUM($C50:E50)</f>
        <v>9.9916248867681912E-7</v>
      </c>
      <c r="G50" s="283">
        <f>SUM($C46:G46)/SUM($C59:G59)-SUM($C50:F50)</f>
        <v>-4.7478512617442348E-4</v>
      </c>
      <c r="H50" s="283">
        <f>SUM($C46:H46)/SUM($C59:H59)-SUM($C50:G50)</f>
        <v>-2.6301549823497666E-3</v>
      </c>
      <c r="I50" s="283">
        <f>SUM($C46:I46)/SUM($C59:I59)-SUM($C50:H50)</f>
        <v>2.0403207369698168E-3</v>
      </c>
      <c r="J50" s="283">
        <f>J46/J48</f>
        <v>7.1888155145715643E-2</v>
      </c>
      <c r="K50" s="963"/>
    </row>
    <row r="51" spans="1:11">
      <c r="A51" s="233">
        <f t="shared" si="0"/>
        <v>39</v>
      </c>
      <c r="B51" s="245"/>
      <c r="C51" s="280"/>
      <c r="D51" s="280"/>
      <c r="E51" s="280"/>
      <c r="F51" s="280"/>
      <c r="G51" s="280"/>
      <c r="H51" s="280"/>
      <c r="I51" s="280"/>
      <c r="J51" s="280"/>
      <c r="K51" s="963"/>
    </row>
    <row r="52" spans="1:11">
      <c r="A52" s="233">
        <f t="shared" si="0"/>
        <v>40</v>
      </c>
      <c r="B52" s="245" t="s">
        <v>44</v>
      </c>
      <c r="C52" s="280"/>
      <c r="D52" s="280"/>
      <c r="E52" s="280"/>
      <c r="F52" s="280"/>
      <c r="G52" s="280"/>
      <c r="H52" s="280"/>
      <c r="I52" s="280"/>
      <c r="J52" s="280"/>
      <c r="K52" s="963"/>
    </row>
    <row r="53" spans="1:11">
      <c r="A53" s="233">
        <f t="shared" si="0"/>
        <v>41</v>
      </c>
      <c r="B53" s="281" t="s">
        <v>43</v>
      </c>
      <c r="C53" s="293">
        <f>'SEF-4E p 2-7'!AG53</f>
        <v>10894006827.153294</v>
      </c>
      <c r="D53" s="293">
        <f>-'SEF-4E p 2-7'!U53</f>
        <v>-326078876.75844002</v>
      </c>
      <c r="E53" s="293">
        <f>-'SEF-4E p 2-7'!V53</f>
        <v>0</v>
      </c>
      <c r="F53" s="293">
        <v>-303</v>
      </c>
      <c r="G53" s="293">
        <f>-'SEF-4E p 2-7'!AC53</f>
        <v>0</v>
      </c>
      <c r="H53" s="293">
        <v>0</v>
      </c>
      <c r="I53" s="293">
        <v>0</v>
      </c>
      <c r="J53" s="293">
        <f t="shared" ref="J53:J58" si="9">SUM(C53:I53)</f>
        <v>10567927647.394854</v>
      </c>
    </row>
    <row r="54" spans="1:11">
      <c r="A54" s="233">
        <f t="shared" si="0"/>
        <v>42</v>
      </c>
      <c r="B54" s="281" t="s">
        <v>42</v>
      </c>
      <c r="C54" s="280">
        <f>'SEF-4E p 2-7'!AG54</f>
        <v>-4424391593.9403849</v>
      </c>
      <c r="D54" s="280">
        <f>-'SEF-4E p 2-7'!U54</f>
        <v>143742277.5314436</v>
      </c>
      <c r="E54" s="280">
        <f>-'SEF-4E p 2-7'!V54</f>
        <v>21398675.290281195</v>
      </c>
      <c r="F54" s="280">
        <v>-105796</v>
      </c>
      <c r="G54" s="280">
        <f>-'SEF-4E p 2-7'!AC54</f>
        <v>16445383.11765343</v>
      </c>
      <c r="H54" s="280">
        <v>0</v>
      </c>
      <c r="I54" s="280">
        <v>0</v>
      </c>
      <c r="J54" s="280">
        <f t="shared" si="9"/>
        <v>-4242911054.0010066</v>
      </c>
    </row>
    <row r="55" spans="1:11">
      <c r="A55" s="233">
        <f t="shared" si="0"/>
        <v>43</v>
      </c>
      <c r="B55" s="245" t="s">
        <v>41</v>
      </c>
      <c r="C55" s="280">
        <f>'SEF-4E p 2-7'!AG55</f>
        <v>273144103.32999998</v>
      </c>
      <c r="D55" s="280">
        <f>-'SEF-4E p 2-7'!U55</f>
        <v>12697238.698333323</v>
      </c>
      <c r="E55" s="280">
        <f>-'SEF-4E p 2-7'!V55</f>
        <v>0</v>
      </c>
      <c r="F55" s="280"/>
      <c r="G55" s="280">
        <f>-'SEF-4E p 2-7'!AC55</f>
        <v>0</v>
      </c>
      <c r="H55" s="280">
        <v>0</v>
      </c>
      <c r="I55" s="280">
        <v>0</v>
      </c>
      <c r="J55" s="280">
        <f t="shared" si="9"/>
        <v>285841342.02833331</v>
      </c>
    </row>
    <row r="56" spans="1:11">
      <c r="A56" s="233">
        <f t="shared" si="0"/>
        <v>44</v>
      </c>
      <c r="B56" s="245" t="s">
        <v>40</v>
      </c>
      <c r="C56" s="280">
        <f>'SEF-4E p 2-7'!AG56</f>
        <v>-1409985756.1873004</v>
      </c>
      <c r="D56" s="280">
        <f>-'SEF-4E p 2-7'!U56</f>
        <v>-22974386.588703156</v>
      </c>
      <c r="E56" s="280">
        <f>-'SEF-4E p 2-7'!V56</f>
        <v>-4493721.8109590504</v>
      </c>
      <c r="F56" s="280">
        <v>34932.510000000009</v>
      </c>
      <c r="G56" s="280">
        <f>-'SEF-4E p 2-7'!AC56</f>
        <v>-5426976.4288256317</v>
      </c>
      <c r="H56" s="280">
        <v>0</v>
      </c>
      <c r="I56" s="280">
        <v>0</v>
      </c>
      <c r="J56" s="280">
        <f t="shared" si="9"/>
        <v>-1442845908.5057883</v>
      </c>
    </row>
    <row r="57" spans="1:11">
      <c r="A57" s="233">
        <f t="shared" si="0"/>
        <v>45</v>
      </c>
      <c r="B57" s="245" t="s">
        <v>39</v>
      </c>
      <c r="C57" s="280">
        <f>'SEF-4E p 2-7'!AG57</f>
        <v>137375215.94916266</v>
      </c>
      <c r="D57" s="280">
        <f>-'SEF-4E p 2-7'!U57</f>
        <v>7927989.0496875346</v>
      </c>
      <c r="E57" s="280">
        <f>-'SEF-4E p 2-7'!V57</f>
        <v>0</v>
      </c>
      <c r="F57" s="280"/>
      <c r="G57" s="280">
        <f>-'SEF-4E p 2-7'!AC57</f>
        <v>0</v>
      </c>
      <c r="H57" s="280">
        <v>0</v>
      </c>
      <c r="I57" s="280">
        <v>0</v>
      </c>
      <c r="J57" s="280">
        <f t="shared" si="9"/>
        <v>145303204.9988502</v>
      </c>
    </row>
    <row r="58" spans="1:11">
      <c r="A58" s="233">
        <f t="shared" si="0"/>
        <v>46</v>
      </c>
      <c r="B58" s="245" t="s">
        <v>38</v>
      </c>
      <c r="C58" s="280">
        <f>'SEF-4E p 2-7'!AG58</f>
        <v>-108090779.49447501</v>
      </c>
      <c r="D58" s="280">
        <f>-'SEF-4E p 2-7'!U58</f>
        <v>1867515.9642250985</v>
      </c>
      <c r="E58" s="280">
        <f>-'SEF-4E p 2-7'!V58</f>
        <v>0</v>
      </c>
      <c r="F58" s="280"/>
      <c r="G58" s="280">
        <f>-'SEF-4E p 2-7'!AC58</f>
        <v>0</v>
      </c>
      <c r="H58" s="280">
        <v>0</v>
      </c>
      <c r="I58" s="280">
        <v>0</v>
      </c>
      <c r="J58" s="280">
        <f t="shared" si="9"/>
        <v>-106223263.53024991</v>
      </c>
    </row>
    <row r="59" spans="1:11" ht="15" thickBot="1">
      <c r="A59" s="233">
        <f t="shared" si="0"/>
        <v>47</v>
      </c>
      <c r="B59" s="245" t="s">
        <v>37</v>
      </c>
      <c r="C59" s="964">
        <f t="shared" ref="C59:J59" si="10">SUM(C53:C58)</f>
        <v>5362058016.8102951</v>
      </c>
      <c r="D59" s="964">
        <f t="shared" si="10"/>
        <v>-182818242.10345364</v>
      </c>
      <c r="E59" s="964">
        <f t="shared" si="10"/>
        <v>16904953.479322143</v>
      </c>
      <c r="F59" s="964">
        <f t="shared" si="10"/>
        <v>-71166.489999999991</v>
      </c>
      <c r="G59" s="964">
        <f t="shared" si="10"/>
        <v>11018406.688827798</v>
      </c>
      <c r="H59" s="964">
        <f t="shared" si="10"/>
        <v>0</v>
      </c>
      <c r="I59" s="964">
        <f t="shared" si="10"/>
        <v>0</v>
      </c>
      <c r="J59" s="964">
        <f t="shared" si="10"/>
        <v>5207091968.3849916</v>
      </c>
    </row>
    <row r="60" spans="1:11" ht="15" thickTop="1">
      <c r="J60" s="963"/>
    </row>
    <row r="61" spans="1:11">
      <c r="H61" s="965" t="s">
        <v>839</v>
      </c>
      <c r="I61" s="966"/>
    </row>
    <row r="62" spans="1:11">
      <c r="H62" s="965" t="s">
        <v>840</v>
      </c>
      <c r="I62" s="967">
        <v>8.4790000000000004E-3</v>
      </c>
    </row>
    <row r="63" spans="1:11">
      <c r="H63" s="965" t="s">
        <v>841</v>
      </c>
      <c r="I63" s="967">
        <v>2E-3</v>
      </c>
    </row>
    <row r="64" spans="1:11">
      <c r="H64" s="965" t="s">
        <v>278</v>
      </c>
      <c r="I64" s="967">
        <v>3.8406000000000003E-2</v>
      </c>
    </row>
    <row r="65" spans="8:9">
      <c r="H65" s="965" t="s">
        <v>607</v>
      </c>
      <c r="I65" s="968">
        <v>0.21</v>
      </c>
    </row>
  </sheetData>
  <pageMargins left="0.2" right="0.2" top="0.75" bottom="0.75" header="0.3" footer="0.3"/>
  <pageSetup scale="62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  <pageSetUpPr fitToPage="1"/>
  </sheetPr>
  <dimension ref="A1:J62"/>
  <sheetViews>
    <sheetView workbookViewId="0">
      <pane xSplit="2" ySplit="12" topLeftCell="C13" activePane="bottomRight" state="frozen"/>
      <selection activeCell="D18" sqref="D18"/>
      <selection pane="topRight" activeCell="D18" sqref="D18"/>
      <selection pane="bottomLeft" activeCell="D18" sqref="D18"/>
      <selection pane="bottomRight" activeCell="F12" sqref="F12"/>
    </sheetView>
  </sheetViews>
  <sheetFormatPr defaultRowHeight="14.4" outlineLevelRow="1"/>
  <cols>
    <col min="1" max="1" width="5.44140625" customWidth="1"/>
    <col min="2" max="2" width="51" bestFit="1" customWidth="1"/>
    <col min="3" max="3" width="14" customWidth="1"/>
    <col min="4" max="4" width="12.109375" bestFit="1" customWidth="1"/>
    <col min="5" max="5" width="14.44140625" bestFit="1" customWidth="1"/>
    <col min="6" max="7" width="14.44140625" customWidth="1"/>
    <col min="8" max="8" width="12.88671875" bestFit="1" customWidth="1"/>
    <col min="9" max="9" width="9.88671875" bestFit="1" customWidth="1"/>
  </cols>
  <sheetData>
    <row r="1" spans="1:10">
      <c r="A1" s="265" t="s">
        <v>32</v>
      </c>
      <c r="B1" s="272"/>
      <c r="G1" s="270" t="s">
        <v>842</v>
      </c>
      <c r="H1" s="268"/>
    </row>
    <row r="2" spans="1:10">
      <c r="A2" s="265" t="s">
        <v>843</v>
      </c>
      <c r="B2" s="272"/>
    </row>
    <row r="3" spans="1:10">
      <c r="A3" s="265" t="s">
        <v>456</v>
      </c>
      <c r="B3" s="272"/>
    </row>
    <row r="4" spans="1:10">
      <c r="A4" s="948" t="s">
        <v>821</v>
      </c>
      <c r="B4" s="272"/>
      <c r="C4" s="233" t="s">
        <v>83</v>
      </c>
      <c r="D4" s="233" t="s">
        <v>82</v>
      </c>
      <c r="E4" s="233" t="s">
        <v>822</v>
      </c>
      <c r="F4" s="233" t="s">
        <v>80</v>
      </c>
      <c r="G4" s="233" t="s">
        <v>156</v>
      </c>
      <c r="H4" s="233" t="s">
        <v>78</v>
      </c>
      <c r="I4" s="233"/>
      <c r="J4" s="233"/>
    </row>
    <row r="5" spans="1:10" hidden="1" outlineLevel="1">
      <c r="A5" s="297"/>
      <c r="B5" s="272"/>
    </row>
    <row r="6" spans="1:10" collapsed="1">
      <c r="A6" s="272"/>
      <c r="B6" s="272"/>
      <c r="D6" s="949" t="s">
        <v>823</v>
      </c>
      <c r="E6" s="951"/>
      <c r="F6" s="952" t="s">
        <v>824</v>
      </c>
      <c r="G6" s="952" t="s">
        <v>199</v>
      </c>
    </row>
    <row r="7" spans="1:10">
      <c r="A7" s="272"/>
      <c r="B7" s="272"/>
      <c r="D7" s="953" t="s">
        <v>222</v>
      </c>
      <c r="E7" s="954"/>
      <c r="F7" s="955" t="s">
        <v>91</v>
      </c>
      <c r="G7" s="955" t="s">
        <v>844</v>
      </c>
    </row>
    <row r="8" spans="1:10">
      <c r="A8" s="272"/>
      <c r="B8" s="272"/>
      <c r="C8" s="262"/>
      <c r="D8" s="956" t="s">
        <v>86</v>
      </c>
      <c r="E8" s="958"/>
      <c r="F8" s="959" t="s">
        <v>86</v>
      </c>
      <c r="G8" s="959" t="s">
        <v>845</v>
      </c>
      <c r="H8" s="262"/>
    </row>
    <row r="9" spans="1:10">
      <c r="A9" s="272"/>
      <c r="B9" s="272"/>
      <c r="C9" s="262" t="s">
        <v>96</v>
      </c>
      <c r="D9" s="262" t="s">
        <v>846</v>
      </c>
      <c r="E9" s="262" t="s">
        <v>847</v>
      </c>
      <c r="F9" s="262" t="s">
        <v>848</v>
      </c>
      <c r="G9" s="262"/>
      <c r="H9" s="262"/>
    </row>
    <row r="10" spans="1:10">
      <c r="A10" s="714" t="s">
        <v>26</v>
      </c>
      <c r="B10" s="714" t="s">
        <v>22</v>
      </c>
      <c r="C10" s="262" t="s">
        <v>90</v>
      </c>
      <c r="D10" s="262" t="s">
        <v>226</v>
      </c>
      <c r="E10" s="262" t="s">
        <v>226</v>
      </c>
      <c r="F10" s="262" t="s">
        <v>831</v>
      </c>
      <c r="G10" s="262"/>
      <c r="H10" s="262" t="s">
        <v>833</v>
      </c>
    </row>
    <row r="11" spans="1:10">
      <c r="A11" s="969" t="s">
        <v>23</v>
      </c>
      <c r="B11" s="807"/>
      <c r="C11" s="260" t="s">
        <v>85</v>
      </c>
      <c r="D11" s="260" t="s">
        <v>21</v>
      </c>
      <c r="E11" s="260" t="s">
        <v>56</v>
      </c>
      <c r="F11" s="260" t="s">
        <v>347</v>
      </c>
      <c r="G11" s="260"/>
      <c r="H11" s="260" t="s">
        <v>836</v>
      </c>
    </row>
    <row r="12" spans="1:10">
      <c r="A12" s="272"/>
      <c r="B12" s="272"/>
      <c r="C12" s="960" t="s">
        <v>849</v>
      </c>
      <c r="D12" s="960" t="s">
        <v>849</v>
      </c>
      <c r="E12" s="960" t="s">
        <v>849</v>
      </c>
      <c r="F12" s="960"/>
      <c r="G12" s="960" t="s">
        <v>1347</v>
      </c>
    </row>
    <row r="13" spans="1:10">
      <c r="A13" s="682">
        <v>1</v>
      </c>
      <c r="B13" s="689" t="s">
        <v>76</v>
      </c>
      <c r="D13" s="293"/>
      <c r="E13" s="293"/>
      <c r="F13" s="293"/>
      <c r="G13" s="293"/>
      <c r="H13" s="293"/>
    </row>
    <row r="14" spans="1:10">
      <c r="A14" s="682">
        <f t="shared" ref="A14:A56" si="0">A13+1</f>
        <v>2</v>
      </c>
      <c r="B14" s="689" t="s">
        <v>75</v>
      </c>
      <c r="C14" s="293">
        <f>'SEF-4G p 2-5'!Y14</f>
        <v>723765669.45418346</v>
      </c>
      <c r="D14" s="293">
        <f>-'SEF-4G p 2-5'!T14</f>
        <v>0</v>
      </c>
      <c r="E14" s="293">
        <f>-'SEF-4G p 2-5'!U14</f>
        <v>0</v>
      </c>
      <c r="F14" s="293"/>
      <c r="G14" s="293">
        <v>-289769416.66340864</v>
      </c>
      <c r="H14" s="293">
        <f>SUM(C14:G14)</f>
        <v>433996252.79077482</v>
      </c>
    </row>
    <row r="15" spans="1:10">
      <c r="A15" s="682">
        <f t="shared" si="0"/>
        <v>3</v>
      </c>
      <c r="B15" s="689" t="s">
        <v>617</v>
      </c>
      <c r="C15" s="280">
        <f>'SEF-4G p 2-5'!Y15</f>
        <v>0</v>
      </c>
      <c r="D15" s="280">
        <f>-'SEF-4G p 2-5'!T15</f>
        <v>0</v>
      </c>
      <c r="E15" s="280">
        <f>-'SEF-4G p 2-5'!U15</f>
        <v>0</v>
      </c>
      <c r="F15" s="280"/>
      <c r="G15" s="280"/>
      <c r="H15" s="280">
        <f>SUM(C15:G15)</f>
        <v>0</v>
      </c>
    </row>
    <row r="16" spans="1:10">
      <c r="A16" s="682">
        <f t="shared" si="0"/>
        <v>4</v>
      </c>
      <c r="B16" s="689" t="s">
        <v>72</v>
      </c>
      <c r="C16" s="280">
        <f>'SEF-4G p 2-5'!Y16</f>
        <v>20205262.979999997</v>
      </c>
      <c r="D16" s="280">
        <f>-'SEF-4G p 2-5'!T16</f>
        <v>0</v>
      </c>
      <c r="E16" s="280">
        <f>-'SEF-4G p 2-5'!U16</f>
        <v>0</v>
      </c>
      <c r="F16" s="280">
        <v>-6115339.9499999993</v>
      </c>
      <c r="G16" s="280"/>
      <c r="H16" s="280">
        <f>SUM(C16:G16)</f>
        <v>14089923.029999997</v>
      </c>
    </row>
    <row r="17" spans="1:9">
      <c r="A17" s="682">
        <f t="shared" si="0"/>
        <v>5</v>
      </c>
      <c r="B17" s="689" t="s">
        <v>71</v>
      </c>
      <c r="C17" s="961">
        <f>SUM(C14:C16)</f>
        <v>743970932.43418348</v>
      </c>
      <c r="D17" s="961">
        <f t="shared" ref="D17:H17" si="1">SUM(D14:D16)</f>
        <v>0</v>
      </c>
      <c r="E17" s="961">
        <f t="shared" ref="E17" si="2">SUM(E14:E16)</f>
        <v>0</v>
      </c>
      <c r="F17" s="961">
        <f t="shared" si="1"/>
        <v>-6115339.9499999993</v>
      </c>
      <c r="G17" s="961">
        <f t="shared" si="1"/>
        <v>-289769416.66340864</v>
      </c>
      <c r="H17" s="961">
        <f t="shared" si="1"/>
        <v>448086175.82077479</v>
      </c>
    </row>
    <row r="18" spans="1:9">
      <c r="A18" s="682">
        <f t="shared" si="0"/>
        <v>6</v>
      </c>
      <c r="B18" s="711"/>
    </row>
    <row r="19" spans="1:9">
      <c r="A19" s="682">
        <f t="shared" si="0"/>
        <v>7</v>
      </c>
      <c r="B19" s="689" t="s">
        <v>70</v>
      </c>
      <c r="C19" s="280"/>
      <c r="D19" s="280"/>
      <c r="E19" s="280"/>
      <c r="F19" s="280"/>
      <c r="G19" s="280"/>
      <c r="H19" s="280"/>
    </row>
    <row r="20" spans="1:9">
      <c r="A20" s="682">
        <f t="shared" si="0"/>
        <v>8</v>
      </c>
      <c r="B20" s="687"/>
      <c r="C20" s="280"/>
      <c r="D20" s="280"/>
      <c r="E20" s="280"/>
      <c r="F20" s="280"/>
      <c r="G20" s="280"/>
      <c r="H20" s="280"/>
    </row>
    <row r="21" spans="1:9">
      <c r="A21" s="682">
        <f t="shared" si="0"/>
        <v>9</v>
      </c>
      <c r="B21" s="689" t="s">
        <v>616</v>
      </c>
      <c r="C21" s="280">
        <f>'SEF-4G p 2-5'!Y23</f>
        <v>276592219.24567121</v>
      </c>
      <c r="D21" s="280">
        <f>-'SEF-4G p 2-5'!U23</f>
        <v>0</v>
      </c>
      <c r="E21" s="280">
        <f>-'SEF-4G p 2-5'!V23</f>
        <v>0</v>
      </c>
      <c r="F21" s="280"/>
      <c r="G21" s="280">
        <v>-276592219.24567229</v>
      </c>
      <c r="H21" s="280">
        <f>SUM(C21:G21)</f>
        <v>-1.0728836059570313E-6</v>
      </c>
    </row>
    <row r="22" spans="1:9">
      <c r="A22" s="682">
        <f t="shared" si="0"/>
        <v>10</v>
      </c>
      <c r="B22" s="689"/>
      <c r="C22" s="961"/>
      <c r="D22" s="961"/>
      <c r="E22" s="961"/>
      <c r="F22" s="961"/>
      <c r="G22" s="961"/>
      <c r="H22" s="961"/>
    </row>
    <row r="23" spans="1:9">
      <c r="A23" s="682">
        <f t="shared" si="0"/>
        <v>11</v>
      </c>
      <c r="B23" s="689" t="s">
        <v>615</v>
      </c>
      <c r="C23" s="303">
        <f>SUM(C21:C22)</f>
        <v>276592219.24567121</v>
      </c>
      <c r="D23" s="303">
        <f t="shared" ref="D23:H23" si="3">SUM(D21:D22)</f>
        <v>0</v>
      </c>
      <c r="E23" s="303">
        <f t="shared" ref="E23" si="4">SUM(E21:E22)</f>
        <v>0</v>
      </c>
      <c r="F23" s="303">
        <f t="shared" si="3"/>
        <v>0</v>
      </c>
      <c r="G23" s="303">
        <f t="shared" si="3"/>
        <v>-276592219.24567229</v>
      </c>
      <c r="H23" s="303">
        <f t="shared" si="3"/>
        <v>-1.0728836059570313E-6</v>
      </c>
      <c r="I23" s="970"/>
    </row>
    <row r="24" spans="1:9">
      <c r="A24" s="682">
        <f t="shared" si="0"/>
        <v>12</v>
      </c>
      <c r="B24" s="687"/>
      <c r="C24" s="303"/>
      <c r="D24" s="303"/>
      <c r="E24" s="303"/>
      <c r="F24" s="303"/>
      <c r="G24" s="303"/>
      <c r="H24" s="303"/>
    </row>
    <row r="25" spans="1:9">
      <c r="A25" s="682">
        <f t="shared" si="0"/>
        <v>13</v>
      </c>
      <c r="B25" s="689" t="s">
        <v>64</v>
      </c>
      <c r="C25" s="280"/>
      <c r="D25" s="280"/>
      <c r="E25" s="280"/>
      <c r="F25" s="280"/>
      <c r="G25" s="280"/>
      <c r="H25" s="280"/>
    </row>
    <row r="26" spans="1:9">
      <c r="A26" s="682">
        <f t="shared" si="0"/>
        <v>14</v>
      </c>
      <c r="B26" s="689"/>
      <c r="C26" s="280"/>
      <c r="D26" s="280"/>
      <c r="E26" s="280"/>
      <c r="F26" s="280"/>
      <c r="G26" s="280"/>
      <c r="H26" s="280"/>
    </row>
    <row r="27" spans="1:9">
      <c r="A27" s="682">
        <f t="shared" si="0"/>
        <v>15</v>
      </c>
      <c r="B27" s="710" t="s">
        <v>63</v>
      </c>
      <c r="C27" s="280">
        <f>'SEF-4G p 2-5'!Y27</f>
        <v>6061388.8613986634</v>
      </c>
      <c r="D27" s="280">
        <f>-'SEF-4G p 2-5'!U27</f>
        <v>0</v>
      </c>
      <c r="E27" s="280">
        <f>-'SEF-4G p 2-5'!V27</f>
        <v>0</v>
      </c>
      <c r="F27" s="280"/>
      <c r="G27" s="280"/>
      <c r="H27" s="280">
        <f t="shared" ref="H27:H40" si="5">SUM(C27:G27)</f>
        <v>6061388.8613986634</v>
      </c>
      <c r="I27" s="971"/>
    </row>
    <row r="28" spans="1:9">
      <c r="A28" s="682">
        <f t="shared" si="0"/>
        <v>16</v>
      </c>
      <c r="B28" s="689" t="s">
        <v>62</v>
      </c>
      <c r="C28" s="280">
        <f>'SEF-4G p 2-5'!Y28</f>
        <v>2110.77</v>
      </c>
      <c r="D28" s="280">
        <f>-'SEF-4G p 2-5'!U28</f>
        <v>0</v>
      </c>
      <c r="E28" s="280">
        <f>-'SEF-4G p 2-5'!V28</f>
        <v>0</v>
      </c>
      <c r="F28" s="280"/>
      <c r="G28" s="280"/>
      <c r="H28" s="280">
        <f t="shared" si="5"/>
        <v>2110.77</v>
      </c>
      <c r="I28" s="971"/>
    </row>
    <row r="29" spans="1:9">
      <c r="A29" s="682">
        <f t="shared" si="0"/>
        <v>17</v>
      </c>
      <c r="B29" s="689" t="s">
        <v>61</v>
      </c>
      <c r="C29" s="280">
        <f>'SEF-4G p 2-5'!Y29</f>
        <v>60697625.368441522</v>
      </c>
      <c r="D29" s="280">
        <f>-'SEF-4G p 2-5'!U29</f>
        <v>0</v>
      </c>
      <c r="E29" s="280">
        <f>-'SEF-4G p 2-5'!V29</f>
        <v>0</v>
      </c>
      <c r="F29" s="280"/>
      <c r="G29" s="280"/>
      <c r="H29" s="280">
        <f t="shared" si="5"/>
        <v>60697625.368441522</v>
      </c>
      <c r="I29" s="971"/>
    </row>
    <row r="30" spans="1:9">
      <c r="A30" s="682">
        <f t="shared" si="0"/>
        <v>18</v>
      </c>
      <c r="B30" s="689" t="s">
        <v>60</v>
      </c>
      <c r="C30" s="280">
        <f>'SEF-4G p 2-5'!Y30</f>
        <v>29666033.592058323</v>
      </c>
      <c r="D30" s="280">
        <f>-'SEF-4G p 2-5'!U30</f>
        <v>0</v>
      </c>
      <c r="E30" s="280">
        <f>-'SEF-4G p 2-5'!V30</f>
        <v>0</v>
      </c>
      <c r="F30" s="280">
        <v>-31335.001903799995</v>
      </c>
      <c r="G30" s="303">
        <f>G17*G59</f>
        <v>-1484778.490983306</v>
      </c>
      <c r="H30" s="280">
        <f t="shared" si="5"/>
        <v>28149920.099171218</v>
      </c>
      <c r="I30" s="971"/>
    </row>
    <row r="31" spans="1:9">
      <c r="A31" s="682">
        <f t="shared" si="0"/>
        <v>19</v>
      </c>
      <c r="B31" s="689" t="s">
        <v>59</v>
      </c>
      <c r="C31" s="280">
        <f>'SEF-4G p 2-5'!Y31</f>
        <v>1763236.0746447137</v>
      </c>
      <c r="D31" s="280">
        <f>-'SEF-4G p 2-5'!U31</f>
        <v>0</v>
      </c>
      <c r="E31" s="280">
        <f>-'SEF-4G p 2-5'!V31</f>
        <v>0</v>
      </c>
      <c r="F31" s="280"/>
      <c r="G31" s="303"/>
      <c r="H31" s="280">
        <f t="shared" si="5"/>
        <v>1763236.0746447137</v>
      </c>
      <c r="I31" s="971"/>
    </row>
    <row r="32" spans="1:9">
      <c r="A32" s="682">
        <f t="shared" si="0"/>
        <v>20</v>
      </c>
      <c r="B32" s="689" t="s">
        <v>58</v>
      </c>
      <c r="C32" s="280">
        <f>'SEF-4G p 2-5'!Y32</f>
        <v>0</v>
      </c>
      <c r="D32" s="280">
        <f>-'SEF-4G p 2-5'!U32</f>
        <v>0</v>
      </c>
      <c r="E32" s="280">
        <f>-'SEF-4G p 2-5'!V32</f>
        <v>0</v>
      </c>
      <c r="F32" s="280"/>
      <c r="G32" s="303"/>
      <c r="H32" s="280">
        <f t="shared" si="5"/>
        <v>0</v>
      </c>
      <c r="I32" s="971"/>
    </row>
    <row r="33" spans="1:9">
      <c r="A33" s="682">
        <f t="shared" si="0"/>
        <v>21</v>
      </c>
      <c r="B33" s="689" t="s">
        <v>57</v>
      </c>
      <c r="C33" s="280">
        <f>'SEF-4G p 2-5'!Y33</f>
        <v>59700389.544109173</v>
      </c>
      <c r="D33" s="280">
        <f>-'SEF-4G p 2-5'!U33</f>
        <v>0</v>
      </c>
      <c r="E33" s="280">
        <f>-'SEF-4G p 2-5'!V33</f>
        <v>0</v>
      </c>
      <c r="F33" s="280">
        <v>-12230.679899999999</v>
      </c>
      <c r="G33" s="303">
        <f>G17*G60</f>
        <v>-579538.83332681726</v>
      </c>
      <c r="H33" s="280">
        <f t="shared" si="5"/>
        <v>59108620.030882359</v>
      </c>
      <c r="I33" s="971"/>
    </row>
    <row r="34" spans="1:9">
      <c r="A34" s="682">
        <f t="shared" si="0"/>
        <v>22</v>
      </c>
      <c r="B34" s="689" t="s">
        <v>56</v>
      </c>
      <c r="C34" s="280">
        <f>'SEF-4G p 2-5'!Y34</f>
        <v>121094686.13197264</v>
      </c>
      <c r="D34" s="280">
        <f>-'SEF-4G p 2-5'!U34</f>
        <v>0</v>
      </c>
      <c r="E34" s="280">
        <f>-'SEF-4G p 2-5'!V34</f>
        <v>-4136955.6219727392</v>
      </c>
      <c r="F34" s="280"/>
      <c r="G34" s="303"/>
      <c r="H34" s="280">
        <f t="shared" si="5"/>
        <v>116957730.5099999</v>
      </c>
      <c r="I34" s="971"/>
    </row>
    <row r="35" spans="1:9">
      <c r="A35" s="682">
        <f t="shared" si="0"/>
        <v>23</v>
      </c>
      <c r="B35" s="689" t="s">
        <v>55</v>
      </c>
      <c r="C35" s="280">
        <f>'SEF-4G p 2-5'!Y35</f>
        <v>34307585.992161989</v>
      </c>
      <c r="D35" s="280">
        <f>-'SEF-4G p 2-5'!U35</f>
        <v>0</v>
      </c>
      <c r="E35" s="280">
        <f>-'SEF-4G p 2-5'!V35</f>
        <v>-8190016.0321619846</v>
      </c>
      <c r="F35" s="280"/>
      <c r="G35" s="303"/>
      <c r="H35" s="280">
        <f t="shared" si="5"/>
        <v>26117569.960000005</v>
      </c>
      <c r="I35" s="971"/>
    </row>
    <row r="36" spans="1:9">
      <c r="A36" s="682">
        <f t="shared" si="0"/>
        <v>24</v>
      </c>
      <c r="B36" s="710" t="s">
        <v>54</v>
      </c>
      <c r="C36" s="280">
        <f>'SEF-4G p 2-5'!Y36</f>
        <v>0</v>
      </c>
      <c r="D36" s="280">
        <f>-'SEF-4G p 2-5'!U36</f>
        <v>0</v>
      </c>
      <c r="E36" s="280">
        <f>-'SEF-4G p 2-5'!V36</f>
        <v>0</v>
      </c>
      <c r="F36" s="280"/>
      <c r="G36" s="303"/>
      <c r="H36" s="280">
        <f t="shared" si="5"/>
        <v>0</v>
      </c>
      <c r="I36" s="971"/>
    </row>
    <row r="37" spans="1:9">
      <c r="A37" s="682">
        <f t="shared" si="0"/>
        <v>25</v>
      </c>
      <c r="B37" s="689" t="s">
        <v>53</v>
      </c>
      <c r="C37" s="280">
        <f>'SEF-4G p 2-5'!Y37</f>
        <v>8769360.9199999981</v>
      </c>
      <c r="D37" s="280">
        <f>-'SEF-4G p 2-5'!U37</f>
        <v>0</v>
      </c>
      <c r="E37" s="280">
        <f>-'SEF-4G p 2-5'!V37</f>
        <v>0</v>
      </c>
      <c r="F37" s="280"/>
      <c r="G37" s="303"/>
      <c r="H37" s="280">
        <f t="shared" si="5"/>
        <v>8769360.9199999981</v>
      </c>
      <c r="I37" s="971"/>
    </row>
    <row r="38" spans="1:9">
      <c r="A38" s="682">
        <f t="shared" si="0"/>
        <v>26</v>
      </c>
      <c r="B38" s="689" t="s">
        <v>51</v>
      </c>
      <c r="C38" s="280">
        <f>'SEF-4G p 2-5'!Y39</f>
        <v>35439781.000356875</v>
      </c>
      <c r="D38" s="280">
        <f>-'SEF-4G p 2-5'!U39</f>
        <v>0</v>
      </c>
      <c r="E38" s="280">
        <f>-'SEF-4G p 2-5'!V39</f>
        <v>0</v>
      </c>
      <c r="F38" s="280">
        <v>-234358.17290384998</v>
      </c>
      <c r="G38" s="303">
        <f>G17*G61</f>
        <v>-11104833.354791811</v>
      </c>
      <c r="H38" s="280">
        <f t="shared" si="5"/>
        <v>24100589.472661212</v>
      </c>
      <c r="I38" s="971"/>
    </row>
    <row r="39" spans="1:9">
      <c r="A39" s="682">
        <f t="shared" si="0"/>
        <v>27</v>
      </c>
      <c r="B39" s="689" t="s">
        <v>50</v>
      </c>
      <c r="C39" s="280">
        <f>'SEF-4G p 2-5'!Y40</f>
        <v>4333617.9217130318</v>
      </c>
      <c r="D39" s="280">
        <f>-'SEF-4G p 2-5'!U40</f>
        <v>0</v>
      </c>
      <c r="E39" s="280">
        <f>-'SEF-4G p 2-5'!V40</f>
        <v>2588664.0473682922</v>
      </c>
      <c r="F39" s="303">
        <f>SUM(F17,-SUM(F23:F38))*0.21</f>
        <v>-1225857.3800113932</v>
      </c>
      <c r="G39" s="303">
        <f>SUM(G17,-SUM(G23:G38))*0.21</f>
        <v>-1689.8151132255791</v>
      </c>
      <c r="H39" s="280">
        <f t="shared" si="5"/>
        <v>5694734.7739567049</v>
      </c>
      <c r="I39" s="971"/>
    </row>
    <row r="40" spans="1:9">
      <c r="A40" s="682">
        <f t="shared" si="0"/>
        <v>28</v>
      </c>
      <c r="B40" s="687" t="s">
        <v>49</v>
      </c>
      <c r="C40" s="280">
        <f>'SEF-4G p 2-5'!Y41</f>
        <v>523319.51868812554</v>
      </c>
      <c r="D40" s="280">
        <f>-'SEF-4G p 2-5'!U41</f>
        <v>0</v>
      </c>
      <c r="E40" s="280">
        <f>-'SEF-4G p 2-5'!V41</f>
        <v>0</v>
      </c>
      <c r="F40" s="280"/>
      <c r="G40" s="303"/>
      <c r="H40" s="280">
        <f t="shared" si="5"/>
        <v>523319.51868812554</v>
      </c>
      <c r="I40" s="971"/>
    </row>
    <row r="41" spans="1:9">
      <c r="A41" s="682">
        <f t="shared" si="0"/>
        <v>29</v>
      </c>
      <c r="B41" s="689" t="s">
        <v>48</v>
      </c>
      <c r="C41" s="961">
        <f t="shared" ref="C41:H41" si="6">SUM(C23:C40)</f>
        <v>638951354.94121611</v>
      </c>
      <c r="D41" s="961">
        <f t="shared" si="6"/>
        <v>0</v>
      </c>
      <c r="E41" s="961">
        <f t="shared" ref="E41" si="7">SUM(E23:E40)</f>
        <v>-9738307.6067664325</v>
      </c>
      <c r="F41" s="961">
        <f t="shared" si="6"/>
        <v>-1503781.2347190431</v>
      </c>
      <c r="G41" s="961">
        <f t="shared" si="6"/>
        <v>-289763059.73988748</v>
      </c>
      <c r="H41" s="961">
        <f t="shared" si="6"/>
        <v>337946206.35984331</v>
      </c>
    </row>
    <row r="42" spans="1:9">
      <c r="A42" s="682">
        <f t="shared" si="0"/>
        <v>30</v>
      </c>
      <c r="B42" s="687"/>
      <c r="C42" s="961"/>
      <c r="D42" s="961"/>
      <c r="E42" s="961"/>
      <c r="F42" s="961"/>
      <c r="G42" s="961"/>
      <c r="H42" s="961"/>
    </row>
    <row r="43" spans="1:9" ht="15" thickBot="1">
      <c r="A43" s="682">
        <f t="shared" si="0"/>
        <v>31</v>
      </c>
      <c r="B43" s="687" t="s">
        <v>47</v>
      </c>
      <c r="C43" s="284">
        <f t="shared" ref="C43:H43" si="8">C17-C41</f>
        <v>105019577.49296737</v>
      </c>
      <c r="D43" s="284">
        <f t="shared" si="8"/>
        <v>0</v>
      </c>
      <c r="E43" s="284">
        <f t="shared" ref="E43" si="9">E17-E41</f>
        <v>9738307.6067664325</v>
      </c>
      <c r="F43" s="284">
        <f t="shared" si="8"/>
        <v>-4611558.7152809557</v>
      </c>
      <c r="G43" s="284">
        <f t="shared" si="8"/>
        <v>-6356.9235211610794</v>
      </c>
      <c r="H43" s="284">
        <f t="shared" si="8"/>
        <v>110139969.46093148</v>
      </c>
      <c r="I43" s="972"/>
    </row>
    <row r="44" spans="1:9" ht="15" thickTop="1">
      <c r="A44" s="682">
        <f t="shared" si="0"/>
        <v>32</v>
      </c>
      <c r="B44" s="272"/>
      <c r="C44" s="303"/>
      <c r="D44" s="303"/>
      <c r="E44" s="303"/>
      <c r="F44" s="303"/>
      <c r="G44" s="303"/>
      <c r="H44" s="303"/>
    </row>
    <row r="45" spans="1:9">
      <c r="A45" s="682">
        <f t="shared" si="0"/>
        <v>33</v>
      </c>
      <c r="B45" s="689" t="s">
        <v>46</v>
      </c>
      <c r="C45" s="973">
        <f>C56</f>
        <v>2092179523.9832296</v>
      </c>
      <c r="D45" s="973">
        <f t="shared" ref="D45:H45" si="10">D56</f>
        <v>-150665688.3308869</v>
      </c>
      <c r="E45" s="973">
        <f t="shared" ref="E45" si="11">E56</f>
        <v>9738307.6067664325</v>
      </c>
      <c r="F45" s="973"/>
      <c r="G45" s="973"/>
      <c r="H45" s="973">
        <f t="shared" si="10"/>
        <v>1951252143.2591095</v>
      </c>
    </row>
    <row r="46" spans="1:9">
      <c r="A46" s="682">
        <f t="shared" si="0"/>
        <v>34</v>
      </c>
      <c r="B46" s="687"/>
      <c r="C46" s="280"/>
      <c r="D46" s="280"/>
      <c r="E46" s="280"/>
      <c r="F46" s="280"/>
      <c r="G46" s="280"/>
      <c r="H46" s="280"/>
    </row>
    <row r="47" spans="1:9">
      <c r="A47" s="682">
        <f t="shared" si="0"/>
        <v>35</v>
      </c>
      <c r="B47" s="689" t="s">
        <v>18</v>
      </c>
      <c r="C47" s="283">
        <f>C43/C45</f>
        <v>5.0196255287416329E-2</v>
      </c>
      <c r="D47" s="283">
        <f>SUM($C43:D43)/SUM($C56:D56)-SUM($C47:C47)</f>
        <v>3.8953383775245654E-3</v>
      </c>
      <c r="E47" s="283">
        <f>SUM($C43:E43)/SUM($C56:E56)-SUM($C47:D47)</f>
        <v>4.7208389036443518E-3</v>
      </c>
      <c r="F47" s="283">
        <f>SUM($C43:F43)/SUM($C56:F56)-SUM($C47:E47)</f>
        <v>-2.3633843177122277E-3</v>
      </c>
      <c r="G47" s="283">
        <f>SUM($C43:G43)/SUM($C56:G56)-SUM($C47:F47)</f>
        <v>-3.2578688218889984E-6</v>
      </c>
      <c r="H47" s="283">
        <f>H43/H45</f>
        <v>5.6445790382051018E-2</v>
      </c>
    </row>
    <row r="48" spans="1:9">
      <c r="A48" s="682">
        <f t="shared" si="0"/>
        <v>36</v>
      </c>
      <c r="B48" s="687"/>
      <c r="C48" s="280"/>
      <c r="D48" s="280"/>
      <c r="E48" s="280"/>
      <c r="F48" s="280"/>
      <c r="G48" s="280"/>
      <c r="H48" s="280"/>
    </row>
    <row r="49" spans="1:8">
      <c r="A49" s="682">
        <f t="shared" si="0"/>
        <v>37</v>
      </c>
      <c r="B49" s="687" t="s">
        <v>44</v>
      </c>
      <c r="C49" s="283"/>
      <c r="D49" s="283"/>
      <c r="E49" s="283"/>
      <c r="F49" s="283"/>
      <c r="G49" s="283"/>
      <c r="H49" s="283"/>
    </row>
    <row r="50" spans="1:8">
      <c r="A50" s="682">
        <f t="shared" si="0"/>
        <v>38</v>
      </c>
      <c r="B50" s="706" t="s">
        <v>43</v>
      </c>
      <c r="C50" s="293">
        <f>'SEF-4G p 2-5'!Y51</f>
        <v>4300940372.1867046</v>
      </c>
      <c r="D50" s="293">
        <f>-'SEF-4G p 2-5'!U51</f>
        <v>-200340092.80947351</v>
      </c>
      <c r="E50" s="293">
        <f>-'SEF-4G p 2-5'!V51</f>
        <v>0</v>
      </c>
      <c r="F50" s="293">
        <v>0</v>
      </c>
      <c r="G50" s="293">
        <v>0</v>
      </c>
      <c r="H50" s="293">
        <f t="shared" ref="H50:H55" si="12">SUM(C50:G50)</f>
        <v>4100600279.3772311</v>
      </c>
    </row>
    <row r="51" spans="1:8">
      <c r="A51" s="682">
        <f t="shared" si="0"/>
        <v>39</v>
      </c>
      <c r="B51" s="706" t="s">
        <v>614</v>
      </c>
      <c r="C51" s="280">
        <f>'SEF-4G p 2-5'!Y52</f>
        <v>-1637637926.6516845</v>
      </c>
      <c r="D51" s="280">
        <f>-'SEF-4G p 2-5'!U52</f>
        <v>55515781.67730689</v>
      </c>
      <c r="E51" s="280">
        <f>-'SEF-4G p 2-5'!V52</f>
        <v>12326971.654134724</v>
      </c>
      <c r="F51" s="280">
        <v>0</v>
      </c>
      <c r="G51" s="280">
        <v>0</v>
      </c>
      <c r="H51" s="280">
        <f t="shared" si="12"/>
        <v>-1569795173.3202429</v>
      </c>
    </row>
    <row r="52" spans="1:8">
      <c r="A52" s="682">
        <f t="shared" si="0"/>
        <v>40</v>
      </c>
      <c r="B52" s="687" t="s">
        <v>613</v>
      </c>
      <c r="C52" s="280">
        <f>'SEF-4G p 2-5'!Y53</f>
        <v>-597685090.60554671</v>
      </c>
      <c r="D52" s="280">
        <f>-'SEF-4G p 2-5'!U53</f>
        <v>-3758546.0358800888</v>
      </c>
      <c r="E52" s="280">
        <f>-'SEF-4G p 2-5'!V53</f>
        <v>-2588664.0473682922</v>
      </c>
      <c r="F52" s="280">
        <v>0</v>
      </c>
      <c r="G52" s="280">
        <v>0</v>
      </c>
      <c r="H52" s="280">
        <f t="shared" si="12"/>
        <v>-604032300.68879509</v>
      </c>
    </row>
    <row r="53" spans="1:8">
      <c r="A53" s="682">
        <f t="shared" si="0"/>
        <v>41</v>
      </c>
      <c r="B53" s="687" t="s">
        <v>612</v>
      </c>
      <c r="C53" s="280">
        <f>'SEF-4G p 2-5'!Y54</f>
        <v>-26993656.705525</v>
      </c>
      <c r="D53" s="280">
        <f>-'SEF-4G p 2-5'!U54</f>
        <v>-2958805.4567250796</v>
      </c>
      <c r="E53" s="280">
        <f>-'SEF-4G p 2-5'!V54</f>
        <v>0</v>
      </c>
      <c r="F53" s="280">
        <v>0</v>
      </c>
      <c r="G53" s="280">
        <v>0</v>
      </c>
      <c r="H53" s="280">
        <f t="shared" si="12"/>
        <v>-29952462.162250079</v>
      </c>
    </row>
    <row r="54" spans="1:8">
      <c r="A54" s="682">
        <f t="shared" si="0"/>
        <v>42</v>
      </c>
      <c r="B54" s="687" t="s">
        <v>39</v>
      </c>
      <c r="C54" s="280">
        <f>'SEF-4G p 2-5'!Y55</f>
        <v>53555825.759281471</v>
      </c>
      <c r="D54" s="280">
        <f>-'SEF-4G p 2-5'!U55</f>
        <v>875974.29388491809</v>
      </c>
      <c r="E54" s="280">
        <f>-'SEF-4G p 2-5'!V55</f>
        <v>0</v>
      </c>
      <c r="F54" s="280">
        <v>0</v>
      </c>
      <c r="G54" s="280">
        <v>0</v>
      </c>
      <c r="H54" s="280">
        <f t="shared" si="12"/>
        <v>54431800.053166389</v>
      </c>
    </row>
    <row r="55" spans="1:8">
      <c r="A55" s="682">
        <f t="shared" si="0"/>
        <v>43</v>
      </c>
      <c r="B55" s="687" t="s">
        <v>38</v>
      </c>
      <c r="C55" s="280">
        <f>'SEF-4G p 2-5'!Y56</f>
        <v>0</v>
      </c>
      <c r="D55" s="280">
        <f>-'SEF-4G p 2-5'!U56</f>
        <v>0</v>
      </c>
      <c r="E55" s="280">
        <f>-'SEF-4G p 2-5'!V56</f>
        <v>0</v>
      </c>
      <c r="F55" s="280">
        <v>0</v>
      </c>
      <c r="G55" s="280">
        <v>0</v>
      </c>
      <c r="H55" s="280">
        <f t="shared" si="12"/>
        <v>0</v>
      </c>
    </row>
    <row r="56" spans="1:8" ht="15" thickBot="1">
      <c r="A56" s="682">
        <f t="shared" si="0"/>
        <v>44</v>
      </c>
      <c r="B56" s="687" t="s">
        <v>37</v>
      </c>
      <c r="C56" s="964">
        <f>SUM(C50:C55)</f>
        <v>2092179523.9832296</v>
      </c>
      <c r="D56" s="964">
        <f>SUM(D50:D55)</f>
        <v>-150665688.3308869</v>
      </c>
      <c r="E56" s="964">
        <f>SUM(E50:E55)</f>
        <v>9738307.6067664325</v>
      </c>
      <c r="F56" s="964">
        <f t="shared" ref="F56:G56" si="13">SUM(F50:F55)</f>
        <v>0</v>
      </c>
      <c r="G56" s="964">
        <f t="shared" si="13"/>
        <v>0</v>
      </c>
      <c r="H56" s="964">
        <f>SUM(H50:H55)</f>
        <v>1951252143.2591095</v>
      </c>
    </row>
    <row r="57" spans="1:8" ht="15" thickTop="1">
      <c r="C57" s="280"/>
      <c r="D57" s="280"/>
      <c r="E57" s="280"/>
      <c r="F57" s="280"/>
      <c r="G57" s="280"/>
      <c r="H57" s="280"/>
    </row>
    <row r="58" spans="1:8">
      <c r="F58" s="40" t="s">
        <v>839</v>
      </c>
      <c r="G58" s="39"/>
    </row>
    <row r="59" spans="1:8">
      <c r="F59" s="40" t="s">
        <v>840</v>
      </c>
      <c r="G59" s="38">
        <v>5.1240000000000001E-3</v>
      </c>
    </row>
    <row r="60" spans="1:8">
      <c r="F60" s="40" t="s">
        <v>841</v>
      </c>
      <c r="G60" s="38">
        <v>2E-3</v>
      </c>
    </row>
    <row r="61" spans="1:8">
      <c r="F61" s="40" t="s">
        <v>278</v>
      </c>
      <c r="G61" s="38">
        <v>3.8323000000000003E-2</v>
      </c>
    </row>
    <row r="62" spans="1:8">
      <c r="F62" s="40" t="s">
        <v>607</v>
      </c>
      <c r="G62" s="37">
        <v>0.21</v>
      </c>
    </row>
  </sheetData>
  <printOptions horizontalCentered="1"/>
  <pageMargins left="0" right="0" top="0.75" bottom="0.75" header="0.3" footer="0.3"/>
  <pageSetup scale="77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50"/>
    <pageSetUpPr fitToPage="1"/>
  </sheetPr>
  <dimension ref="A1:K39"/>
  <sheetViews>
    <sheetView topLeftCell="A2" zoomScale="115" zoomScaleNormal="115" workbookViewId="0">
      <selection activeCell="C8" sqref="C8"/>
    </sheetView>
  </sheetViews>
  <sheetFormatPr defaultColWidth="9.109375" defaultRowHeight="14.4"/>
  <cols>
    <col min="1" max="1" width="5" style="946" bestFit="1" customWidth="1"/>
    <col min="2" max="2" width="48" style="946" bestFit="1" customWidth="1"/>
    <col min="3" max="3" width="14.109375" style="946" customWidth="1"/>
    <col min="4" max="7" width="13.6640625" style="946" customWidth="1"/>
    <col min="8" max="8" width="14.44140625" style="946" bestFit="1" customWidth="1"/>
    <col min="9" max="9" width="12.5546875" style="946" customWidth="1"/>
    <col min="10" max="10" width="9.109375" style="946"/>
    <col min="11" max="11" width="12.109375" style="946" customWidth="1"/>
    <col min="12" max="16384" width="9.109375" style="946"/>
  </cols>
  <sheetData>
    <row r="1" spans="1:11">
      <c r="H1" s="270" t="s">
        <v>1371</v>
      </c>
      <c r="I1" s="268"/>
    </row>
    <row r="2" spans="1:11">
      <c r="A2" s="599" t="s">
        <v>872</v>
      </c>
      <c r="B2" s="599"/>
      <c r="C2" s="599"/>
      <c r="D2" s="599"/>
      <c r="E2" s="599"/>
      <c r="F2" s="599"/>
      <c r="G2" s="599"/>
      <c r="H2" s="599"/>
      <c r="I2" s="599"/>
    </row>
    <row r="3" spans="1:11">
      <c r="A3" s="599" t="s">
        <v>871</v>
      </c>
      <c r="B3" s="599"/>
      <c r="C3" s="599"/>
      <c r="D3" s="599"/>
      <c r="E3" s="599"/>
      <c r="F3" s="599"/>
      <c r="G3" s="599"/>
      <c r="H3" s="599"/>
      <c r="I3" s="599"/>
    </row>
    <row r="4" spans="1:11">
      <c r="A4" s="1023" t="s">
        <v>870</v>
      </c>
      <c r="B4" s="1023"/>
      <c r="C4" s="1023"/>
      <c r="D4" s="1023"/>
      <c r="E4" s="1023"/>
      <c r="F4" s="1023"/>
      <c r="G4" s="1023"/>
      <c r="H4" s="1023"/>
      <c r="I4" s="1023"/>
    </row>
    <row r="5" spans="1:11" ht="15" thickBot="1">
      <c r="A5" s="1022"/>
      <c r="B5" s="1022"/>
      <c r="C5" s="1022"/>
      <c r="D5" s="1022"/>
      <c r="E5" s="1022"/>
      <c r="F5" s="1022"/>
      <c r="G5" s="1022"/>
      <c r="H5" s="1022"/>
      <c r="I5" s="1022"/>
    </row>
    <row r="6" spans="1:11">
      <c r="A6" s="1021"/>
      <c r="B6" s="1020"/>
      <c r="C6" s="1019" t="s">
        <v>869</v>
      </c>
      <c r="D6" s="1019" t="s">
        <v>868</v>
      </c>
      <c r="E6" s="1019" t="s">
        <v>867</v>
      </c>
      <c r="F6" s="1019" t="s">
        <v>866</v>
      </c>
      <c r="G6" s="1019" t="s">
        <v>865</v>
      </c>
      <c r="H6" s="1019" t="s">
        <v>864</v>
      </c>
      <c r="I6" s="1018" t="s">
        <v>863</v>
      </c>
      <c r="K6" s="1017"/>
    </row>
    <row r="7" spans="1:11">
      <c r="A7" s="1016"/>
      <c r="B7" s="1004"/>
      <c r="C7" s="1015" t="s">
        <v>862</v>
      </c>
      <c r="D7" s="1015" t="s">
        <v>862</v>
      </c>
      <c r="E7" s="1015" t="s">
        <v>862</v>
      </c>
      <c r="F7" s="1015" t="s">
        <v>862</v>
      </c>
      <c r="G7" s="1015" t="s">
        <v>862</v>
      </c>
      <c r="H7" s="1015" t="s">
        <v>862</v>
      </c>
      <c r="I7" s="1012" t="s">
        <v>861</v>
      </c>
    </row>
    <row r="8" spans="1:11">
      <c r="A8" s="1014" t="s">
        <v>26</v>
      </c>
      <c r="B8" s="1004"/>
      <c r="C8" s="1013" t="s">
        <v>90</v>
      </c>
      <c r="D8" s="1013" t="s">
        <v>90</v>
      </c>
      <c r="E8" s="1013" t="s">
        <v>90</v>
      </c>
      <c r="F8" s="1013" t="s">
        <v>90</v>
      </c>
      <c r="G8" s="1013" t="s">
        <v>90</v>
      </c>
      <c r="H8" s="1013" t="s">
        <v>90</v>
      </c>
      <c r="I8" s="1012" t="s">
        <v>860</v>
      </c>
    </row>
    <row r="9" spans="1:11">
      <c r="A9" s="1011" t="s">
        <v>23</v>
      </c>
      <c r="B9" s="1010" t="s">
        <v>859</v>
      </c>
      <c r="C9" s="1009" t="s">
        <v>85</v>
      </c>
      <c r="D9" s="1009" t="s">
        <v>85</v>
      </c>
      <c r="E9" s="1009" t="s">
        <v>85</v>
      </c>
      <c r="F9" s="1009" t="s">
        <v>85</v>
      </c>
      <c r="G9" s="1009" t="s">
        <v>85</v>
      </c>
      <c r="H9" s="1009" t="s">
        <v>85</v>
      </c>
      <c r="I9" s="1008" t="s">
        <v>88</v>
      </c>
    </row>
    <row r="10" spans="1:11">
      <c r="A10" s="985"/>
      <c r="B10" s="1004"/>
      <c r="C10" s="1004"/>
      <c r="D10" s="1004"/>
      <c r="E10" s="1004"/>
      <c r="F10" s="1007"/>
      <c r="G10" s="1007"/>
      <c r="H10" s="1007"/>
      <c r="I10" s="1001"/>
    </row>
    <row r="11" spans="1:11">
      <c r="A11" s="985">
        <v>1</v>
      </c>
      <c r="B11" s="1006" t="s">
        <v>858</v>
      </c>
      <c r="C11" s="1005"/>
      <c r="D11" s="1004"/>
      <c r="E11" s="1004"/>
      <c r="F11" s="1004"/>
      <c r="G11" s="1004"/>
      <c r="H11" s="1004"/>
      <c r="I11" s="1001"/>
    </row>
    <row r="12" spans="1:11">
      <c r="A12" s="985">
        <f t="shared" ref="A12:A17" si="0">A11+1</f>
        <v>2</v>
      </c>
      <c r="B12" s="379" t="s">
        <v>62</v>
      </c>
      <c r="C12" s="1003">
        <f>'SEF-10 p 2'!C12+'SEF-10 p 3'!C12</f>
        <v>19383743.93</v>
      </c>
      <c r="D12" s="1003">
        <f>'SEF-10 p 2'!D12+'SEF-10 p 3'!D12</f>
        <v>21589405.98</v>
      </c>
      <c r="E12" s="1003">
        <f>'SEF-10 p 2'!E12+'SEF-10 p 3'!E12</f>
        <v>19801305.129999999</v>
      </c>
      <c r="F12" s="1003">
        <f>'SEF-10 p 2'!F12+'SEF-10 p 3'!F12</f>
        <v>20320134.359999999</v>
      </c>
      <c r="G12" s="1003">
        <f>'SEF-10 p 2'!G12+'SEF-10 p 3'!G12</f>
        <v>20766210.801666666</v>
      </c>
      <c r="H12" s="1003">
        <f>'SEF-10 p 2'!H12+'SEF-10 p 3'!H12</f>
        <v>24334268.57333333</v>
      </c>
      <c r="I12" s="1002"/>
    </row>
    <row r="13" spans="1:11">
      <c r="A13" s="985">
        <f t="shared" si="0"/>
        <v>3</v>
      </c>
      <c r="B13" s="379" t="s">
        <v>61</v>
      </c>
      <c r="C13" s="993">
        <f>'SEF-10 p 2'!C13+'SEF-10 p 3'!C13</f>
        <v>127563845.06000011</v>
      </c>
      <c r="D13" s="993">
        <f>'SEF-10 p 2'!D13+'SEF-10 p 3'!D13</f>
        <v>136490873.13000008</v>
      </c>
      <c r="E13" s="993">
        <f>'SEF-10 p 2'!E13+'SEF-10 p 3'!E13</f>
        <v>131977835.5599997</v>
      </c>
      <c r="F13" s="993">
        <f>'SEF-10 p 2'!F13+'SEF-10 p 3'!F13</f>
        <v>146062640.31999999</v>
      </c>
      <c r="G13" s="993">
        <f>'SEF-10 p 2'!G13+'SEF-10 p 3'!G13</f>
        <v>136647703.3849999</v>
      </c>
      <c r="H13" s="993">
        <f>'SEF-10 p 2'!H13+'SEF-10 p 3'!H13</f>
        <v>143546676.90999997</v>
      </c>
      <c r="I13" s="1001"/>
    </row>
    <row r="14" spans="1:11">
      <c r="A14" s="985">
        <f t="shared" si="0"/>
        <v>4</v>
      </c>
      <c r="B14" s="379" t="s">
        <v>857</v>
      </c>
      <c r="C14" s="993">
        <f>'SEF-10 p 2'!C14+'SEF-10 p 3'!C14</f>
        <v>82230612.13712053</v>
      </c>
      <c r="D14" s="993">
        <f>'SEF-10 p 2'!D14+'SEF-10 p 3'!D14</f>
        <v>82709937.118283659</v>
      </c>
      <c r="E14" s="993">
        <f>'SEF-10 p 2'!E14+'SEF-10 p 3'!E14</f>
        <v>76520033.655272543</v>
      </c>
      <c r="F14" s="993">
        <f>'SEF-10 p 2'!F14+'SEF-10 p 3'!F14</f>
        <v>71881944.931751609</v>
      </c>
      <c r="G14" s="993">
        <f>'SEF-10 p 2'!G14+'SEF-10 p 3'!G14</f>
        <v>78409166.48638466</v>
      </c>
      <c r="H14" s="993">
        <f>'SEF-10 p 2'!H14+'SEF-10 p 3'!H14</f>
        <v>81726157.989998698</v>
      </c>
      <c r="I14" s="1001"/>
    </row>
    <row r="15" spans="1:11" s="974" customFormat="1">
      <c r="A15" s="985">
        <f t="shared" si="0"/>
        <v>5</v>
      </c>
      <c r="B15" s="379" t="s">
        <v>59</v>
      </c>
      <c r="C15" s="993">
        <f>'SEF-10 p 2'!C15+'SEF-10 p 3'!C15</f>
        <v>3914400.1799999978</v>
      </c>
      <c r="D15" s="993">
        <f>'SEF-10 p 2'!D15+'SEF-10 p 3'!D15</f>
        <v>5603626.9699999988</v>
      </c>
      <c r="E15" s="993">
        <f>'SEF-10 p 2'!E15+'SEF-10 p 3'!E15</f>
        <v>3810120.79</v>
      </c>
      <c r="F15" s="993">
        <f>'SEF-10 p 2'!F15+'SEF-10 p 3'!F15</f>
        <v>4899411.5599998981</v>
      </c>
      <c r="G15" s="993">
        <f>'SEF-10 p 2'!G15+'SEF-10 p 3'!G15</f>
        <v>4453519.4299998991</v>
      </c>
      <c r="H15" s="993">
        <f>'SEF-10 p 2'!H15+'SEF-10 p 3'!H15</f>
        <v>5792854.2699999958</v>
      </c>
      <c r="I15" s="994"/>
    </row>
    <row r="16" spans="1:11" s="974" customFormat="1">
      <c r="A16" s="985">
        <f t="shared" si="0"/>
        <v>6</v>
      </c>
      <c r="B16" s="379" t="s">
        <v>57</v>
      </c>
      <c r="C16" s="1000">
        <f>'SEF-10 p 2'!C16+'SEF-10 p 3'!C16</f>
        <v>154517147.38875696</v>
      </c>
      <c r="D16" s="1000">
        <f>'SEF-10 p 2'!D16+'SEF-10 p 3'!D16</f>
        <v>159194143.91152894</v>
      </c>
      <c r="E16" s="1000">
        <f>'SEF-10 p 2'!E16+'SEF-10 p 3'!E16</f>
        <v>156849475.58419412</v>
      </c>
      <c r="F16" s="1000">
        <f>'SEF-10 p 2'!F16+'SEF-10 p 3'!F16</f>
        <v>170342501.04625934</v>
      </c>
      <c r="G16" s="1000">
        <f>'SEF-10 p 2'!G16+'SEF-10 p 3'!G16</f>
        <v>189764079.75287482</v>
      </c>
      <c r="H16" s="1000">
        <f>'SEF-10 p 2'!H16+'SEF-10 p 3'!H16</f>
        <v>187411928.60502511</v>
      </c>
      <c r="I16" s="994"/>
    </row>
    <row r="17" spans="1:9" s="974" customFormat="1">
      <c r="A17" s="985">
        <f t="shared" si="0"/>
        <v>7</v>
      </c>
      <c r="B17" s="638" t="s">
        <v>856</v>
      </c>
      <c r="C17" s="997">
        <f t="shared" ref="C17:H17" si="1">SUM(C12:C16)</f>
        <v>387609748.69587755</v>
      </c>
      <c r="D17" s="997">
        <f t="shared" si="1"/>
        <v>405587987.10981268</v>
      </c>
      <c r="E17" s="997">
        <f t="shared" si="1"/>
        <v>388958770.71946633</v>
      </c>
      <c r="F17" s="997">
        <f t="shared" si="1"/>
        <v>413506632.21801084</v>
      </c>
      <c r="G17" s="997">
        <f t="shared" si="1"/>
        <v>430040679.85592592</v>
      </c>
      <c r="H17" s="997">
        <f t="shared" si="1"/>
        <v>442811886.34835708</v>
      </c>
      <c r="I17" s="992">
        <f>+IFERROR(($H$17/$C$17)^(1/5)-1,0)</f>
        <v>2.6986928060094062E-2</v>
      </c>
    </row>
    <row r="18" spans="1:9" s="974" customFormat="1">
      <c r="A18" s="985"/>
      <c r="B18" s="638"/>
      <c r="C18" s="997"/>
      <c r="D18" s="997"/>
      <c r="E18" s="997"/>
      <c r="F18" s="997"/>
      <c r="G18" s="997"/>
      <c r="H18" s="997"/>
      <c r="I18" s="992"/>
    </row>
    <row r="19" spans="1:9" s="974" customFormat="1">
      <c r="A19" s="985">
        <f>A17+1</f>
        <v>8</v>
      </c>
      <c r="B19" s="379" t="s">
        <v>855</v>
      </c>
      <c r="C19" s="993">
        <f>'SEF-10 p 2'!C18+'SEF-10 p 3'!C18</f>
        <v>364135611.32999897</v>
      </c>
      <c r="D19" s="993">
        <f>'SEF-10 p 2'!D18+'SEF-10 p 3'!D18</f>
        <v>370772666.88</v>
      </c>
      <c r="E19" s="993">
        <f>'SEF-10 p 2'!E18+'SEF-10 p 3'!E18</f>
        <v>378088092.50999999</v>
      </c>
      <c r="F19" s="993">
        <f>'SEF-10 p 2'!F18+'SEF-10 p 3'!F18</f>
        <v>394559186.68000001</v>
      </c>
      <c r="G19" s="993">
        <f>'SEF-10 p 2'!G18+'SEF-10 p 3'!G18</f>
        <v>413600244.78999996</v>
      </c>
      <c r="H19" s="993">
        <f>'SEF-10 p 2'!H18+'SEF-10 p 3'!H18</f>
        <v>458370926.46999991</v>
      </c>
      <c r="I19" s="992">
        <f>+IFERROR(($H19/$C19)^(1/5)-1,0)</f>
        <v>4.710632262852199E-2</v>
      </c>
    </row>
    <row r="20" spans="1:9" s="974" customFormat="1">
      <c r="A20" s="985">
        <f>A19+1</f>
        <v>9</v>
      </c>
      <c r="B20" s="379" t="s">
        <v>55</v>
      </c>
      <c r="C20" s="1000">
        <f>'SEF-10 p 2'!C19+'SEF-10 p 3'!C19</f>
        <v>55428468.909999996</v>
      </c>
      <c r="D20" s="1000">
        <f>'SEF-10 p 2'!D19+'SEF-10 p 3'!D19</f>
        <v>57502850.640000001</v>
      </c>
      <c r="E20" s="1000">
        <f>'SEF-10 p 2'!E19+'SEF-10 p 3'!E19</f>
        <v>55982061.449999899</v>
      </c>
      <c r="F20" s="1000">
        <f>'SEF-10 p 2'!F19+'SEF-10 p 3'!F19</f>
        <v>58824118.599999897</v>
      </c>
      <c r="G20" s="1000">
        <f>'SEF-10 p 2'!G19+'SEF-10 p 3'!G19</f>
        <v>76030395.780000001</v>
      </c>
      <c r="H20" s="1000">
        <f>'SEF-10 p 2'!H19+'SEF-10 p 3'!H19</f>
        <v>101410528.02000001</v>
      </c>
      <c r="I20" s="992">
        <f>+IFERROR(($H20/$C20)^(1/5)-1,0)</f>
        <v>0.12841807049164089</v>
      </c>
    </row>
    <row r="21" spans="1:9" s="974" customFormat="1">
      <c r="A21" s="985">
        <f>A20+1</f>
        <v>10</v>
      </c>
      <c r="B21" s="638" t="s">
        <v>854</v>
      </c>
      <c r="C21" s="997">
        <f t="shared" ref="C21:H21" si="2">SUM(C19:C20)</f>
        <v>419564080.23999894</v>
      </c>
      <c r="D21" s="997">
        <f t="shared" si="2"/>
        <v>428275517.51999998</v>
      </c>
      <c r="E21" s="997">
        <f t="shared" si="2"/>
        <v>434070153.95999992</v>
      </c>
      <c r="F21" s="997">
        <f t="shared" si="2"/>
        <v>453383305.27999991</v>
      </c>
      <c r="G21" s="997">
        <f t="shared" si="2"/>
        <v>489630640.56999993</v>
      </c>
      <c r="H21" s="997">
        <f t="shared" si="2"/>
        <v>559781454.48999989</v>
      </c>
      <c r="I21" s="992">
        <f>+IFERROR(($H21/$C21)^(1/5)-1,0)</f>
        <v>5.9361148061963576E-2</v>
      </c>
    </row>
    <row r="22" spans="1:9" s="974" customFormat="1">
      <c r="A22" s="985"/>
      <c r="B22" s="996"/>
      <c r="C22" s="999"/>
      <c r="D22" s="999"/>
      <c r="E22" s="999"/>
      <c r="F22" s="999"/>
      <c r="G22" s="999"/>
      <c r="H22" s="999"/>
      <c r="I22" s="994"/>
    </row>
    <row r="23" spans="1:9" s="974" customFormat="1">
      <c r="A23" s="985">
        <f>A21+1</f>
        <v>11</v>
      </c>
      <c r="B23" s="998" t="s">
        <v>16</v>
      </c>
      <c r="C23" s="997">
        <f t="shared" ref="C23:H23" si="3">C17+C21</f>
        <v>807173828.93587649</v>
      </c>
      <c r="D23" s="997">
        <f t="shared" si="3"/>
        <v>833863504.62981272</v>
      </c>
      <c r="E23" s="997">
        <f t="shared" si="3"/>
        <v>823028924.67946625</v>
      </c>
      <c r="F23" s="997">
        <f t="shared" si="3"/>
        <v>866889937.49801075</v>
      </c>
      <c r="G23" s="997">
        <f t="shared" si="3"/>
        <v>919671320.42592585</v>
      </c>
      <c r="H23" s="997">
        <f t="shared" si="3"/>
        <v>1002593340.838357</v>
      </c>
      <c r="I23" s="992">
        <f>+IFERROR(($H$23/$C$23)^(1/5)-1,0)</f>
        <v>4.431507853012584E-2</v>
      </c>
    </row>
    <row r="24" spans="1:9" s="974" customFormat="1">
      <c r="A24" s="985"/>
      <c r="B24" s="996"/>
      <c r="C24" s="995"/>
      <c r="D24" s="995"/>
      <c r="E24" s="995"/>
      <c r="F24" s="995"/>
      <c r="G24" s="995"/>
      <c r="H24" s="995"/>
      <c r="I24" s="994"/>
    </row>
    <row r="25" spans="1:9" s="974" customFormat="1">
      <c r="A25" s="985">
        <f>A23+1</f>
        <v>12</v>
      </c>
      <c r="B25" s="379" t="s">
        <v>853</v>
      </c>
      <c r="C25" s="993">
        <f>+'SEF-10 p 2'!C24+'SEF-10 p 3'!C24</f>
        <v>1858766</v>
      </c>
      <c r="D25" s="993">
        <f>+'SEF-10 p 2'!D24+'SEF-10 p 3'!D24</f>
        <v>1876129</v>
      </c>
      <c r="E25" s="993">
        <f>+'SEF-10 p 2'!E24+'SEF-10 p 3'!E24</f>
        <v>1898648</v>
      </c>
      <c r="F25" s="993">
        <f>+'SEF-10 p 2'!F24+'SEF-10 p 3'!F24</f>
        <v>1927305</v>
      </c>
      <c r="G25" s="993">
        <f>+'SEF-10 p 2'!G24+'SEF-10 p 3'!G24</f>
        <v>1954380</v>
      </c>
      <c r="H25" s="993">
        <f>+'SEF-10 p 2'!H24+'SEF-10 p 3'!H24</f>
        <v>1980570</v>
      </c>
      <c r="I25" s="992">
        <f>+IFERROR(($H$25/$C$25)^(1/5)-1,0)</f>
        <v>1.2775286631596439E-2</v>
      </c>
    </row>
    <row r="26" spans="1:9" s="974" customFormat="1" ht="15" thickBot="1">
      <c r="A26" s="985"/>
      <c r="B26" s="379"/>
      <c r="C26" s="991"/>
      <c r="D26" s="991"/>
      <c r="E26" s="991"/>
      <c r="F26" s="990"/>
      <c r="G26" s="990"/>
      <c r="H26" s="990"/>
      <c r="I26" s="989"/>
    </row>
    <row r="27" spans="1:9" s="974" customFormat="1">
      <c r="A27" s="983"/>
      <c r="B27" s="982"/>
      <c r="C27" s="981"/>
      <c r="D27" s="981"/>
      <c r="E27" s="981"/>
      <c r="F27" s="981"/>
      <c r="G27" s="981"/>
      <c r="H27" s="981"/>
      <c r="I27" s="980"/>
    </row>
    <row r="28" spans="1:9" s="974" customFormat="1" ht="15" thickBot="1">
      <c r="A28" s="979">
        <f>A25+1</f>
        <v>13</v>
      </c>
      <c r="B28" s="978" t="s">
        <v>852</v>
      </c>
      <c r="C28" s="977">
        <f t="shared" ref="C28:H28" si="4">C17/C25</f>
        <v>208.53068578609549</v>
      </c>
      <c r="D28" s="977">
        <f t="shared" si="4"/>
        <v>216.18342188080493</v>
      </c>
      <c r="E28" s="977">
        <f t="shared" si="4"/>
        <v>204.86091719974758</v>
      </c>
      <c r="F28" s="977">
        <f t="shared" si="4"/>
        <v>214.5517353081172</v>
      </c>
      <c r="G28" s="977">
        <f t="shared" si="4"/>
        <v>220.0394395439607</v>
      </c>
      <c r="H28" s="977">
        <f t="shared" si="4"/>
        <v>223.578003477967</v>
      </c>
      <c r="I28" s="976">
        <f>+IFERROR((H28/C28)^(1/5)-1,0)</f>
        <v>1.4032373830688671E-2</v>
      </c>
    </row>
    <row r="29" spans="1:9" s="974" customFormat="1" ht="15" thickBot="1">
      <c r="A29" s="988"/>
      <c r="B29" s="433"/>
      <c r="C29" s="433"/>
      <c r="D29" s="433"/>
      <c r="E29" s="433"/>
      <c r="F29" s="433"/>
      <c r="G29" s="433"/>
      <c r="H29" s="433"/>
      <c r="I29" s="987"/>
    </row>
    <row r="30" spans="1:9" s="974" customFormat="1">
      <c r="A30" s="986"/>
      <c r="B30" s="982"/>
      <c r="C30" s="981"/>
      <c r="D30" s="981"/>
      <c r="E30" s="981"/>
      <c r="F30" s="981"/>
      <c r="G30" s="981"/>
      <c r="H30" s="981"/>
      <c r="I30" s="980"/>
    </row>
    <row r="31" spans="1:9" s="974" customFormat="1" ht="15" thickBot="1">
      <c r="A31" s="979">
        <f>A28+1</f>
        <v>14</v>
      </c>
      <c r="B31" s="978" t="s">
        <v>851</v>
      </c>
      <c r="C31" s="977">
        <f t="shared" ref="C31:H31" si="5">C21/C25</f>
        <v>225.72183924173291</v>
      </c>
      <c r="D31" s="977">
        <f t="shared" si="5"/>
        <v>228.27615666086925</v>
      </c>
      <c r="E31" s="977">
        <f t="shared" si="5"/>
        <v>228.62065741517117</v>
      </c>
      <c r="F31" s="977">
        <f t="shared" si="5"/>
        <v>235.24211543061421</v>
      </c>
      <c r="G31" s="977">
        <f t="shared" si="5"/>
        <v>250.52990747449314</v>
      </c>
      <c r="H31" s="977">
        <f t="shared" si="5"/>
        <v>282.63654124317742</v>
      </c>
      <c r="I31" s="976">
        <f>+IFERROR((H31/C31)^(1/5)-1,0)</f>
        <v>4.5998220972894854E-2</v>
      </c>
    </row>
    <row r="32" spans="1:9" s="974" customFormat="1" ht="15" thickBot="1">
      <c r="A32" s="985"/>
      <c r="I32" s="984"/>
    </row>
    <row r="33" spans="1:9" s="974" customFormat="1">
      <c r="A33" s="983"/>
      <c r="B33" s="982"/>
      <c r="C33" s="981"/>
      <c r="D33" s="981"/>
      <c r="E33" s="981"/>
      <c r="F33" s="981"/>
      <c r="G33" s="981"/>
      <c r="H33" s="981"/>
      <c r="I33" s="980"/>
    </row>
    <row r="34" spans="1:9" s="974" customFormat="1" ht="15" thickBot="1">
      <c r="A34" s="979">
        <f>A31+1</f>
        <v>15</v>
      </c>
      <c r="B34" s="978" t="s">
        <v>850</v>
      </c>
      <c r="C34" s="977">
        <f t="shared" ref="C34:H34" si="6">C28+C31</f>
        <v>434.25252502782837</v>
      </c>
      <c r="D34" s="977">
        <f t="shared" si="6"/>
        <v>444.4595785416742</v>
      </c>
      <c r="E34" s="977">
        <f t="shared" si="6"/>
        <v>433.48157461491871</v>
      </c>
      <c r="F34" s="977">
        <f t="shared" si="6"/>
        <v>449.79385073873141</v>
      </c>
      <c r="G34" s="977">
        <f t="shared" si="6"/>
        <v>470.56934701845387</v>
      </c>
      <c r="H34" s="977">
        <f t="shared" si="6"/>
        <v>506.21454472114442</v>
      </c>
      <c r="I34" s="976">
        <f>+IFERROR((H34/C34)^(1/5)-1,0)</f>
        <v>3.114194462962061E-2</v>
      </c>
    </row>
    <row r="35" spans="1:9" s="974" customFormat="1">
      <c r="B35" s="379"/>
      <c r="C35" s="975"/>
      <c r="D35" s="975"/>
      <c r="E35" s="975"/>
      <c r="F35" s="975"/>
      <c r="G35" s="975"/>
      <c r="H35" s="975"/>
    </row>
    <row r="36" spans="1:9" s="974" customFormat="1"/>
    <row r="37" spans="1:9" s="974" customFormat="1"/>
    <row r="38" spans="1:9" s="974" customFormat="1"/>
    <row r="39" spans="1:9" s="974" customFormat="1"/>
  </sheetData>
  <pageMargins left="0.7" right="0.7" top="0.75" bottom="0.75" header="0.3" footer="0.3"/>
  <pageSetup scale="82" firstPageNumber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FF33"/>
    <pageSetUpPr fitToPage="1"/>
  </sheetPr>
  <dimension ref="A1:P37"/>
  <sheetViews>
    <sheetView tabSelected="1" zoomScale="85" zoomScaleNormal="85" workbookViewId="0">
      <pane ySplit="10" topLeftCell="A11" activePane="bottomLeft" state="frozen"/>
      <selection activeCell="G13" sqref="G13"/>
      <selection pane="bottomLeft" activeCell="B25" sqref="B25"/>
    </sheetView>
  </sheetViews>
  <sheetFormatPr defaultColWidth="9.109375" defaultRowHeight="13.8"/>
  <cols>
    <col min="1" max="1" width="6.33203125" style="272" customWidth="1"/>
    <col min="2" max="2" width="93" style="272" customWidth="1"/>
    <col min="3" max="3" width="26.5546875" style="272" customWidth="1"/>
    <col min="4" max="4" width="5" style="272" bestFit="1" customWidth="1"/>
    <col min="5" max="5" width="49.88671875" style="272" bestFit="1" customWidth="1"/>
    <col min="6" max="8" width="12.109375" style="272" customWidth="1"/>
    <col min="9" max="9" width="5" style="272" bestFit="1" customWidth="1"/>
    <col min="10" max="10" width="61.6640625" style="272" bestFit="1" customWidth="1"/>
    <col min="11" max="13" width="12.109375" style="272" customWidth="1"/>
    <col min="14" max="14" width="5.33203125" style="272" bestFit="1" customWidth="1"/>
    <col min="15" max="15" width="61.88671875" style="272" bestFit="1" customWidth="1"/>
    <col min="16" max="16" width="25.109375" style="272" bestFit="1" customWidth="1"/>
    <col min="17" max="16384" width="9.109375" style="272"/>
  </cols>
  <sheetData>
    <row r="1" spans="1:16">
      <c r="C1" s="1045" t="s">
        <v>1483</v>
      </c>
      <c r="G1" s="1046" t="s">
        <v>1484</v>
      </c>
      <c r="H1" s="1047"/>
      <c r="L1" s="270" t="s">
        <v>1485</v>
      </c>
      <c r="M1" s="268"/>
      <c r="N1" s="826"/>
      <c r="O1" s="826"/>
      <c r="P1" s="271" t="s">
        <v>1486</v>
      </c>
    </row>
    <row r="2" spans="1:16">
      <c r="A2" s="700" t="str">
        <f>Comp_G</f>
        <v>PUGET SOUND ENERGY - NATURAL GAS</v>
      </c>
      <c r="B2" s="700"/>
      <c r="C2" s="700"/>
      <c r="D2" s="700" t="str">
        <f>Comp_G</f>
        <v>PUGET SOUND ENERGY - NATURAL GAS</v>
      </c>
      <c r="E2" s="700"/>
      <c r="F2" s="700"/>
      <c r="G2" s="700"/>
      <c r="H2" s="700"/>
      <c r="I2" s="700" t="str">
        <f>Comp_G</f>
        <v>PUGET SOUND ENERGY - NATURAL GAS</v>
      </c>
      <c r="J2" s="700"/>
      <c r="K2" s="699"/>
      <c r="L2" s="699"/>
      <c r="M2" s="699"/>
      <c r="N2" s="700" t="str">
        <f>Comp_GAS</f>
        <v>PUGET SOUND ENERGY - NATURAL GAS</v>
      </c>
      <c r="O2" s="266"/>
      <c r="P2" s="266"/>
    </row>
    <row r="3" spans="1:16">
      <c r="A3" s="700" t="s">
        <v>611</v>
      </c>
      <c r="B3" s="700"/>
      <c r="C3" s="700"/>
      <c r="D3" s="700" t="s">
        <v>611</v>
      </c>
      <c r="E3" s="700"/>
      <c r="F3" s="700"/>
      <c r="G3" s="700"/>
      <c r="H3" s="700"/>
      <c r="I3" s="700" t="s">
        <v>611</v>
      </c>
      <c r="J3" s="700"/>
      <c r="K3" s="699"/>
      <c r="L3" s="699"/>
      <c r="M3" s="699"/>
      <c r="N3" s="700" t="s">
        <v>611</v>
      </c>
      <c r="O3" s="266"/>
      <c r="P3" s="266"/>
    </row>
    <row r="4" spans="1:16">
      <c r="A4" s="700" t="str">
        <f>CASE_G</f>
        <v>2019 GENERAL RATE CASE</v>
      </c>
      <c r="B4" s="700"/>
      <c r="C4" s="700"/>
      <c r="D4" s="700" t="str">
        <f>CASE_G</f>
        <v>2019 GENERAL RATE CASE</v>
      </c>
      <c r="E4" s="700"/>
      <c r="F4" s="700"/>
      <c r="G4" s="700"/>
      <c r="H4" s="700"/>
      <c r="I4" s="700" t="str">
        <f>CASE_G</f>
        <v>2019 GENERAL RATE CASE</v>
      </c>
      <c r="J4" s="700"/>
      <c r="K4" s="699"/>
      <c r="L4" s="699"/>
      <c r="M4" s="699"/>
      <c r="N4" s="266" t="str">
        <f>CASE_E</f>
        <v>2019 GENERAL RATE CASE</v>
      </c>
      <c r="O4" s="266"/>
      <c r="P4" s="266"/>
    </row>
    <row r="5" spans="1:16">
      <c r="A5" s="700" t="str">
        <f>TESTYEAR_G</f>
        <v>12 MONTHS ENDED DECEMBER 31, 2018</v>
      </c>
      <c r="B5" s="700"/>
      <c r="C5" s="700"/>
      <c r="D5" s="700" t="str">
        <f>TESTYEAR_G</f>
        <v>12 MONTHS ENDED DECEMBER 31, 2018</v>
      </c>
      <c r="E5" s="700"/>
      <c r="F5" s="700"/>
      <c r="G5" s="700"/>
      <c r="H5" s="700"/>
      <c r="I5" s="700" t="str">
        <f>TESTYEAR_G</f>
        <v>12 MONTHS ENDED DECEMBER 31, 2018</v>
      </c>
      <c r="J5" s="700"/>
      <c r="K5" s="699"/>
      <c r="L5" s="699"/>
      <c r="M5" s="699"/>
      <c r="N5" s="266" t="str">
        <f>TESTYEAR_E</f>
        <v>12 MONTHS ENDED DECEMBER 31, 2018</v>
      </c>
      <c r="O5" s="266"/>
      <c r="P5" s="266"/>
    </row>
    <row r="6" spans="1:16" s="297" customFormat="1">
      <c r="A6" s="701" t="s">
        <v>30</v>
      </c>
      <c r="B6" s="700"/>
      <c r="C6" s="700"/>
      <c r="D6" s="701" t="s">
        <v>610</v>
      </c>
      <c r="E6" s="701"/>
      <c r="F6" s="700"/>
      <c r="G6" s="700"/>
      <c r="H6" s="700"/>
      <c r="I6" s="701" t="s">
        <v>8</v>
      </c>
      <c r="J6" s="701"/>
      <c r="K6" s="700"/>
      <c r="L6" s="700"/>
      <c r="M6" s="700"/>
      <c r="N6" s="267" t="s">
        <v>30</v>
      </c>
      <c r="O6" s="266"/>
      <c r="P6" s="266"/>
    </row>
    <row r="7" spans="1:16">
      <c r="B7" s="699"/>
      <c r="C7" s="699"/>
      <c r="E7" s="699"/>
      <c r="F7" s="699"/>
      <c r="G7" s="699"/>
      <c r="H7" s="699"/>
      <c r="I7" s="699"/>
      <c r="J7" s="699"/>
      <c r="K7" s="699"/>
      <c r="L7" s="699"/>
      <c r="M7" s="699"/>
      <c r="N7" s="826"/>
      <c r="O7" s="264"/>
      <c r="P7" s="264"/>
    </row>
    <row r="8" spans="1:16">
      <c r="I8" s="699"/>
      <c r="J8" s="699"/>
      <c r="K8" s="699"/>
      <c r="L8" s="699"/>
      <c r="N8" s="826"/>
      <c r="O8" s="826"/>
      <c r="P8" s="826"/>
    </row>
    <row r="9" spans="1:16">
      <c r="A9" s="262" t="s">
        <v>26</v>
      </c>
      <c r="B9" s="262"/>
      <c r="C9" s="230"/>
      <c r="D9" s="262" t="s">
        <v>26</v>
      </c>
      <c r="E9" s="262"/>
      <c r="F9" s="263" t="s">
        <v>28</v>
      </c>
      <c r="G9" s="230"/>
      <c r="H9" s="263" t="s">
        <v>27</v>
      </c>
      <c r="I9" s="262" t="s">
        <v>26</v>
      </c>
      <c r="J9" s="262"/>
      <c r="K9" s="262"/>
      <c r="L9" s="230"/>
      <c r="M9" s="230"/>
      <c r="N9" s="1284" t="s">
        <v>26</v>
      </c>
      <c r="O9" s="1284"/>
      <c r="P9" s="826"/>
    </row>
    <row r="10" spans="1:16">
      <c r="A10" s="260" t="s">
        <v>23</v>
      </c>
      <c r="B10" s="260" t="s">
        <v>22</v>
      </c>
      <c r="C10" s="259"/>
      <c r="D10" s="260" t="s">
        <v>23</v>
      </c>
      <c r="E10" s="260" t="s">
        <v>22</v>
      </c>
      <c r="F10" s="261" t="s">
        <v>25</v>
      </c>
      <c r="G10" s="261" t="s">
        <v>24</v>
      </c>
      <c r="H10" s="261" t="s">
        <v>24</v>
      </c>
      <c r="I10" s="260" t="s">
        <v>23</v>
      </c>
      <c r="J10" s="260" t="s">
        <v>22</v>
      </c>
      <c r="K10" s="260"/>
      <c r="L10" s="259"/>
      <c r="M10" s="259"/>
      <c r="N10" s="1153" t="s">
        <v>23</v>
      </c>
      <c r="O10" s="1153" t="s">
        <v>22</v>
      </c>
      <c r="P10" s="1153" t="s">
        <v>1390</v>
      </c>
    </row>
    <row r="11" spans="1:16">
      <c r="N11" s="826"/>
      <c r="O11" s="826"/>
      <c r="P11" s="826"/>
    </row>
    <row r="12" spans="1:16">
      <c r="A12" s="682">
        <v>1</v>
      </c>
      <c r="B12" s="687" t="s">
        <v>21</v>
      </c>
      <c r="C12" s="698">
        <f>'SEF-4G p 1'!G46</f>
        <v>2112672665.850872</v>
      </c>
      <c r="D12" s="682">
        <v>1</v>
      </c>
      <c r="E12" s="687" t="s">
        <v>20</v>
      </c>
      <c r="F12" s="697">
        <v>0.51500000000000001</v>
      </c>
      <c r="G12" s="697">
        <v>5.5728155339805824E-2</v>
      </c>
      <c r="H12" s="693">
        <f>ROUND(F12*G12,4)</f>
        <v>2.87E-2</v>
      </c>
      <c r="I12" s="682">
        <v>1</v>
      </c>
      <c r="J12" s="689" t="s">
        <v>19</v>
      </c>
      <c r="K12" s="687"/>
      <c r="L12" s="687"/>
      <c r="M12" s="520">
        <f>+'SEF-6G'!BE19</f>
        <v>5.1240000000000001E-3</v>
      </c>
      <c r="N12" s="233">
        <v>1</v>
      </c>
      <c r="O12" s="965" t="s">
        <v>1487</v>
      </c>
      <c r="P12" s="231">
        <v>108239137.41425303</v>
      </c>
    </row>
    <row r="13" spans="1:16">
      <c r="A13" s="682">
        <f t="shared" ref="A13:A36" si="0">A12+1</f>
        <v>2</v>
      </c>
      <c r="B13" s="689" t="s">
        <v>18</v>
      </c>
      <c r="C13" s="697">
        <f>+H14</f>
        <v>7.6200000000000004E-2</v>
      </c>
      <c r="D13" s="682">
        <f t="shared" ref="D13:D18" si="1">D12+1</f>
        <v>2</v>
      </c>
      <c r="E13" s="687" t="s">
        <v>11</v>
      </c>
      <c r="F13" s="697">
        <v>0.48499999999999999</v>
      </c>
      <c r="G13" s="697">
        <v>9.8000000000000004E-2</v>
      </c>
      <c r="H13" s="693">
        <f>ROUND(F13*G13,4)</f>
        <v>4.7500000000000001E-2</v>
      </c>
      <c r="I13" s="682">
        <f t="shared" ref="I13:I20" si="2">I12+1</f>
        <v>2</v>
      </c>
      <c r="J13" s="689" t="s">
        <v>17</v>
      </c>
      <c r="K13" s="687"/>
      <c r="L13" s="687"/>
      <c r="M13" s="520">
        <v>2E-3</v>
      </c>
      <c r="N13" s="233">
        <f>N12+1</f>
        <v>2</v>
      </c>
      <c r="O13" s="965" t="s">
        <v>1488</v>
      </c>
      <c r="P13" s="234">
        <f>C26</f>
        <v>-32408665.981774215</v>
      </c>
    </row>
    <row r="14" spans="1:16">
      <c r="A14" s="682">
        <f t="shared" si="0"/>
        <v>3</v>
      </c>
      <c r="B14" s="689"/>
      <c r="C14" s="680"/>
      <c r="D14" s="682">
        <f t="shared" si="1"/>
        <v>3</v>
      </c>
      <c r="E14" s="687" t="s">
        <v>16</v>
      </c>
      <c r="F14" s="692">
        <f>SUM(F12:F13)</f>
        <v>1</v>
      </c>
      <c r="G14" s="680"/>
      <c r="H14" s="692">
        <f>SUM(H12:H13)</f>
        <v>7.6200000000000004E-2</v>
      </c>
      <c r="I14" s="682">
        <f t="shared" si="2"/>
        <v>3</v>
      </c>
      <c r="J14" s="689" t="str">
        <f>"STATE UTILITY TAX ( "&amp;M14*100&amp;"% - ( LINE 1 * "&amp;M14*100&amp;"% )  )"</f>
        <v>STATE UTILITY TAX ( 3.8323% - ( LINE 1 * 3.8323% )  )</v>
      </c>
      <c r="L14" s="696">
        <v>3.8519999999999999E-2</v>
      </c>
      <c r="M14" s="695">
        <f>ROUND(L14-(L14*M12),6)</f>
        <v>3.8323000000000003E-2</v>
      </c>
      <c r="N14" s="233">
        <f t="shared" ref="N14:N15" si="3">N13+1</f>
        <v>3</v>
      </c>
      <c r="O14" s="826"/>
      <c r="P14" s="1123"/>
    </row>
    <row r="15" spans="1:16" ht="14.4" thickBot="1">
      <c r="A15" s="682">
        <f t="shared" si="0"/>
        <v>4</v>
      </c>
      <c r="B15" s="687" t="s">
        <v>15</v>
      </c>
      <c r="C15" s="276">
        <f>+C13*C12</f>
        <v>160985657.13783646</v>
      </c>
      <c r="D15" s="682">
        <f t="shared" si="1"/>
        <v>4</v>
      </c>
      <c r="E15" s="687"/>
      <c r="I15" s="682">
        <f t="shared" si="2"/>
        <v>4</v>
      </c>
      <c r="J15" s="689"/>
      <c r="K15" s="687"/>
      <c r="L15" s="687"/>
      <c r="M15" s="694"/>
      <c r="N15" s="233">
        <f t="shared" si="3"/>
        <v>4</v>
      </c>
      <c r="O15" s="826" t="s">
        <v>1402</v>
      </c>
      <c r="P15" s="235">
        <f>SUM(P12:P14)</f>
        <v>75830471.432478815</v>
      </c>
    </row>
    <row r="16" spans="1:16" ht="14.4" thickTop="1">
      <c r="A16" s="682">
        <f t="shared" si="0"/>
        <v>5</v>
      </c>
      <c r="B16" s="687"/>
      <c r="D16" s="682">
        <f t="shared" si="1"/>
        <v>5</v>
      </c>
      <c r="E16" s="687" t="s">
        <v>14</v>
      </c>
      <c r="F16" s="693">
        <f>+F12</f>
        <v>0.51500000000000001</v>
      </c>
      <c r="G16" s="693">
        <f>G12*0.79</f>
        <v>4.40252427184466E-2</v>
      </c>
      <c r="H16" s="693">
        <f>ROUND(H12*0.79,4)</f>
        <v>2.2700000000000001E-2</v>
      </c>
      <c r="I16" s="682">
        <f t="shared" si="2"/>
        <v>5</v>
      </c>
      <c r="J16" s="689" t="s">
        <v>13</v>
      </c>
      <c r="K16" s="687"/>
      <c r="L16" s="687"/>
      <c r="M16" s="520">
        <f>ROUND(SUM(M12:M14),6)</f>
        <v>4.5447000000000001E-2</v>
      </c>
      <c r="N16" s="683"/>
    </row>
    <row r="17" spans="1:14">
      <c r="A17" s="682">
        <f t="shared" si="0"/>
        <v>6</v>
      </c>
      <c r="B17" s="689" t="s">
        <v>12</v>
      </c>
      <c r="C17" s="276">
        <f>'SEF-4G p 1'!G44</f>
        <v>96036530.810583234</v>
      </c>
      <c r="D17" s="682">
        <f t="shared" si="1"/>
        <v>6</v>
      </c>
      <c r="E17" s="687" t="s">
        <v>11</v>
      </c>
      <c r="F17" s="693">
        <f>+F13</f>
        <v>0.48499999999999999</v>
      </c>
      <c r="G17" s="693">
        <f>+G13</f>
        <v>9.8000000000000004E-2</v>
      </c>
      <c r="H17" s="693">
        <f>ROUND(F17*G17,4)</f>
        <v>4.7500000000000001E-2</v>
      </c>
      <c r="I17" s="682">
        <f t="shared" si="2"/>
        <v>6</v>
      </c>
      <c r="J17" s="687"/>
      <c r="K17" s="687"/>
      <c r="L17" s="687"/>
      <c r="M17" s="520"/>
      <c r="N17" s="683"/>
    </row>
    <row r="18" spans="1:14">
      <c r="A18" s="682">
        <f t="shared" si="0"/>
        <v>7</v>
      </c>
      <c r="B18" s="689" t="s">
        <v>10</v>
      </c>
      <c r="C18" s="681">
        <f>+C15-C17</f>
        <v>64949126.327253222</v>
      </c>
      <c r="D18" s="682">
        <f t="shared" si="1"/>
        <v>7</v>
      </c>
      <c r="E18" s="687" t="s">
        <v>9</v>
      </c>
      <c r="F18" s="692">
        <f>SUM(F16:F17)</f>
        <v>1</v>
      </c>
      <c r="G18" s="680"/>
      <c r="H18" s="692">
        <f>SUM(H16:H17)</f>
        <v>7.0199999999999999E-2</v>
      </c>
      <c r="I18" s="682">
        <f t="shared" si="2"/>
        <v>7</v>
      </c>
      <c r="J18" s="687" t="str">
        <f>"CONVERSION FACTOR EXCLUDING FEDERAL INCOME TAX ( 1 - LINE "&amp;$I$17&amp;" )"</f>
        <v>CONVERSION FACTOR EXCLUDING FEDERAL INCOME TAX ( 1 - LINE 6 )</v>
      </c>
      <c r="K18" s="687"/>
      <c r="L18" s="687"/>
      <c r="M18" s="520">
        <f>ROUND(1-M16,6)</f>
        <v>0.95455299999999998</v>
      </c>
      <c r="N18" s="683"/>
    </row>
    <row r="19" spans="1:14">
      <c r="A19" s="682">
        <f t="shared" si="0"/>
        <v>8</v>
      </c>
      <c r="B19" s="687"/>
      <c r="D19" s="682"/>
      <c r="I19" s="682">
        <f t="shared" si="2"/>
        <v>8</v>
      </c>
      <c r="J19" s="689" t="str">
        <f>"FEDERAL INCOME TAX ( LINE "&amp;I18&amp;"  * "&amp;FIT_G*100&amp;"% )"</f>
        <v>FEDERAL INCOME TAX ( LINE 7  * 21% )</v>
      </c>
      <c r="K19" s="687"/>
      <c r="L19" s="691">
        <f>+FIT_G</f>
        <v>0.21</v>
      </c>
      <c r="M19" s="520">
        <f>ROUND((M18)*FIT_G,6)</f>
        <v>0.200456</v>
      </c>
      <c r="N19" s="683"/>
    </row>
    <row r="20" spans="1:14" ht="14.4" thickBot="1">
      <c r="A20" s="682">
        <f t="shared" si="0"/>
        <v>9</v>
      </c>
      <c r="B20" s="687" t="s">
        <v>8</v>
      </c>
      <c r="C20" s="690">
        <f>+M20</f>
        <v>0.75409700000000002</v>
      </c>
      <c r="D20" s="682"/>
      <c r="I20" s="682">
        <f t="shared" si="2"/>
        <v>9</v>
      </c>
      <c r="J20" s="689" t="str">
        <f>"CONVERSION FACTOR INCL FEDERAL INCOME TAX ( LINE "&amp;I18&amp;" - LINE "&amp;I19&amp;" ) "</f>
        <v xml:space="preserve">CONVERSION FACTOR INCL FEDERAL INCOME TAX ( LINE 7 - LINE 8 ) </v>
      </c>
      <c r="K20" s="687"/>
      <c r="L20" s="687"/>
      <c r="M20" s="688">
        <f>ROUND(1-M19-M16,6)</f>
        <v>0.75409700000000002</v>
      </c>
      <c r="N20" s="683"/>
    </row>
    <row r="21" spans="1:14" ht="14.4" thickTop="1">
      <c r="A21" s="682">
        <f t="shared" si="0"/>
        <v>10</v>
      </c>
      <c r="B21" s="272" t="s">
        <v>1482</v>
      </c>
      <c r="C21" s="686">
        <f>ROUND(+C18/C20,0)</f>
        <v>86128345</v>
      </c>
      <c r="D21" s="682"/>
      <c r="I21" s="682"/>
      <c r="K21" s="683"/>
      <c r="L21" s="683"/>
      <c r="M21" s="683"/>
      <c r="N21" s="683"/>
    </row>
    <row r="22" spans="1:14">
      <c r="A22" s="233">
        <f t="shared" si="0"/>
        <v>11</v>
      </c>
      <c r="B22" s="272" t="s">
        <v>609</v>
      </c>
      <c r="C22" s="680"/>
      <c r="D22" s="682"/>
      <c r="I22" s="682"/>
      <c r="K22" s="683"/>
      <c r="L22" s="685"/>
      <c r="M22" s="684"/>
      <c r="N22" s="683"/>
    </row>
    <row r="23" spans="1:14">
      <c r="A23" s="233">
        <f t="shared" si="0"/>
        <v>12</v>
      </c>
      <c r="B23" s="429" t="s">
        <v>608</v>
      </c>
      <c r="C23" s="289">
        <v>-10620091.678408889</v>
      </c>
      <c r="D23" s="682"/>
    </row>
    <row r="24" spans="1:14">
      <c r="A24" s="233">
        <f t="shared" si="0"/>
        <v>13</v>
      </c>
      <c r="B24" s="429" t="s">
        <v>5</v>
      </c>
      <c r="C24" s="289">
        <v>-27975683.393576138</v>
      </c>
      <c r="D24" s="682"/>
    </row>
    <row r="25" spans="1:14" ht="14.4">
      <c r="A25" s="233">
        <f t="shared" si="0"/>
        <v>14</v>
      </c>
      <c r="B25" s="429" t="s">
        <v>4</v>
      </c>
      <c r="C25" s="289">
        <v>6187109.090210814</v>
      </c>
      <c r="E25"/>
      <c r="F25"/>
      <c r="G25"/>
      <c r="H25"/>
    </row>
    <row r="26" spans="1:14" ht="14.4">
      <c r="A26" s="233">
        <f t="shared" si="0"/>
        <v>15</v>
      </c>
      <c r="B26" s="272" t="s">
        <v>3</v>
      </c>
      <c r="C26" s="681">
        <f>SUM(C23:C25)</f>
        <v>-32408665.981774215</v>
      </c>
      <c r="E26"/>
      <c r="F26"/>
      <c r="G26"/>
      <c r="H26"/>
    </row>
    <row r="27" spans="1:14" ht="14.4">
      <c r="A27" s="233">
        <f t="shared" si="0"/>
        <v>16</v>
      </c>
      <c r="C27" s="680"/>
      <c r="E27"/>
      <c r="F27"/>
      <c r="G27"/>
      <c r="H27"/>
    </row>
    <row r="28" spans="1:14" ht="14.4">
      <c r="A28" s="233">
        <f t="shared" si="0"/>
        <v>17</v>
      </c>
      <c r="B28" s="272" t="s">
        <v>2</v>
      </c>
      <c r="C28" s="678">
        <f>C21+C26</f>
        <v>53719679.018225789</v>
      </c>
      <c r="E28"/>
      <c r="F28"/>
      <c r="G28"/>
      <c r="H28"/>
    </row>
    <row r="29" spans="1:14" ht="14.4">
      <c r="A29" s="233">
        <f t="shared" si="0"/>
        <v>18</v>
      </c>
      <c r="C29" s="678"/>
      <c r="E29"/>
      <c r="F29"/>
      <c r="G29"/>
      <c r="H29"/>
    </row>
    <row r="30" spans="1:14" ht="14.4">
      <c r="A30" s="233">
        <f t="shared" si="0"/>
        <v>19</v>
      </c>
      <c r="B30" s="272" t="s">
        <v>1414</v>
      </c>
      <c r="C30" s="678">
        <f>C32-C28</f>
        <v>22110791.981774211</v>
      </c>
      <c r="E30"/>
      <c r="F30"/>
      <c r="G30"/>
      <c r="H30"/>
    </row>
    <row r="31" spans="1:14" ht="14.4">
      <c r="A31" s="233">
        <f t="shared" si="0"/>
        <v>20</v>
      </c>
      <c r="C31" s="679"/>
      <c r="E31"/>
      <c r="F31"/>
      <c r="G31"/>
      <c r="H31"/>
    </row>
    <row r="32" spans="1:14" ht="14.4">
      <c r="A32" s="233">
        <f t="shared" si="0"/>
        <v>21</v>
      </c>
      <c r="B32" s="272" t="s">
        <v>1425</v>
      </c>
      <c r="C32" s="678">
        <v>75830471</v>
      </c>
      <c r="E32"/>
      <c r="F32"/>
      <c r="G32"/>
      <c r="H32"/>
    </row>
    <row r="33" spans="1:5">
      <c r="A33" s="233">
        <f t="shared" si="0"/>
        <v>22</v>
      </c>
      <c r="C33" s="678"/>
    </row>
    <row r="34" spans="1:5">
      <c r="A34" s="233">
        <f t="shared" si="0"/>
        <v>23</v>
      </c>
      <c r="B34" s="272" t="s">
        <v>1416</v>
      </c>
      <c r="C34" s="677">
        <f>C36-C32</f>
        <v>-10357660.99454926</v>
      </c>
      <c r="D34" s="273"/>
      <c r="E34" s="273"/>
    </row>
    <row r="35" spans="1:5">
      <c r="A35" s="233">
        <f t="shared" si="0"/>
        <v>24</v>
      </c>
      <c r="C35" s="676"/>
      <c r="D35" s="273"/>
      <c r="E35" s="273"/>
    </row>
    <row r="36" spans="1:5" ht="14.4" thickBot="1">
      <c r="A36" s="233">
        <f t="shared" si="0"/>
        <v>25</v>
      </c>
      <c r="B36" s="272" t="s">
        <v>1426</v>
      </c>
      <c r="C36" s="675">
        <v>65472810.00545074</v>
      </c>
      <c r="D36" s="273"/>
      <c r="E36" s="273"/>
    </row>
    <row r="37" spans="1:5" ht="14.4" thickTop="1">
      <c r="C37" s="674"/>
    </row>
  </sheetData>
  <printOptions horizontalCentered="1"/>
  <pageMargins left="0.7" right="0.7" top="0.75" bottom="0.75" header="0.3" footer="0.3"/>
  <pageSetup scale="28" orientation="portrait" r:id="rId1"/>
  <customProperties>
    <customPr name="_pios_id" r:id="rId2"/>
  </customPropertie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50"/>
    <pageSetUpPr fitToPage="1"/>
  </sheetPr>
  <dimension ref="A1:I45"/>
  <sheetViews>
    <sheetView zoomScale="90" zoomScaleNormal="90" workbookViewId="0">
      <selection activeCell="H1" sqref="H1"/>
    </sheetView>
  </sheetViews>
  <sheetFormatPr defaultColWidth="9.109375" defaultRowHeight="14.4"/>
  <cols>
    <col min="1" max="1" width="5" style="974" bestFit="1" customWidth="1"/>
    <col min="2" max="2" width="48.88671875" style="974" bestFit="1" customWidth="1"/>
    <col min="3" max="4" width="15.33203125" style="974" bestFit="1" customWidth="1"/>
    <col min="5" max="5" width="14.44140625" style="974" customWidth="1"/>
    <col min="6" max="6" width="15.33203125" style="974" bestFit="1" customWidth="1"/>
    <col min="7" max="8" width="15.33203125" style="974" customWidth="1"/>
    <col min="9" max="9" width="13.5546875" style="974" customWidth="1"/>
    <col min="10" max="14" width="9.109375" style="974" customWidth="1"/>
    <col min="15" max="16384" width="9.109375" style="974"/>
  </cols>
  <sheetData>
    <row r="1" spans="1:9">
      <c r="H1" s="270" t="s">
        <v>1372</v>
      </c>
      <c r="I1" s="268"/>
    </row>
    <row r="2" spans="1:9">
      <c r="A2" s="599" t="s">
        <v>872</v>
      </c>
      <c r="B2" s="599"/>
      <c r="C2" s="599"/>
      <c r="D2" s="599"/>
      <c r="E2" s="599"/>
      <c r="F2" s="599"/>
      <c r="G2" s="599"/>
      <c r="H2" s="599"/>
      <c r="I2" s="599"/>
    </row>
    <row r="3" spans="1:9">
      <c r="A3" s="599" t="s">
        <v>31</v>
      </c>
      <c r="B3" s="599"/>
      <c r="C3" s="599"/>
      <c r="D3" s="599"/>
      <c r="E3" s="599"/>
      <c r="F3" s="599"/>
      <c r="G3" s="599"/>
      <c r="H3" s="599"/>
      <c r="I3" s="599"/>
    </row>
    <row r="4" spans="1:9">
      <c r="A4" s="1023" t="s">
        <v>870</v>
      </c>
      <c r="B4" s="1023"/>
      <c r="C4" s="1023"/>
      <c r="D4" s="1023"/>
      <c r="E4" s="1023"/>
      <c r="F4" s="1023"/>
      <c r="G4" s="1023"/>
      <c r="H4" s="1023"/>
      <c r="I4" s="1023"/>
    </row>
    <row r="5" spans="1:9" ht="15" thickBot="1">
      <c r="A5" s="1037"/>
      <c r="B5" s="1037"/>
      <c r="C5" s="1037"/>
      <c r="D5" s="1037"/>
      <c r="E5" s="1037"/>
      <c r="F5" s="1037"/>
      <c r="G5" s="1037"/>
      <c r="H5" s="1037"/>
      <c r="I5" s="1022"/>
    </row>
    <row r="6" spans="1:9">
      <c r="A6" s="1036"/>
      <c r="B6" s="1035"/>
      <c r="C6" s="1019" t="s">
        <v>869</v>
      </c>
      <c r="D6" s="1019" t="s">
        <v>868</v>
      </c>
      <c r="E6" s="1019" t="s">
        <v>867</v>
      </c>
      <c r="F6" s="1019" t="s">
        <v>866</v>
      </c>
      <c r="G6" s="1019" t="s">
        <v>865</v>
      </c>
      <c r="H6" s="1019" t="s">
        <v>864</v>
      </c>
      <c r="I6" s="1018" t="s">
        <v>863</v>
      </c>
    </row>
    <row r="7" spans="1:9">
      <c r="A7" s="1034"/>
      <c r="B7" s="996"/>
      <c r="C7" s="1015" t="s">
        <v>862</v>
      </c>
      <c r="D7" s="1015" t="s">
        <v>862</v>
      </c>
      <c r="E7" s="1015" t="s">
        <v>862</v>
      </c>
      <c r="F7" s="1015" t="s">
        <v>862</v>
      </c>
      <c r="G7" s="1015" t="s">
        <v>862</v>
      </c>
      <c r="H7" s="1015" t="s">
        <v>862</v>
      </c>
      <c r="I7" s="1012" t="s">
        <v>861</v>
      </c>
    </row>
    <row r="8" spans="1:9">
      <c r="A8" s="1014" t="s">
        <v>26</v>
      </c>
      <c r="B8" s="996"/>
      <c r="C8" s="1013" t="s">
        <v>90</v>
      </c>
      <c r="D8" s="1013" t="s">
        <v>90</v>
      </c>
      <c r="E8" s="1013" t="s">
        <v>90</v>
      </c>
      <c r="F8" s="1013" t="s">
        <v>90</v>
      </c>
      <c r="G8" s="1013" t="s">
        <v>90</v>
      </c>
      <c r="H8" s="1013" t="s">
        <v>90</v>
      </c>
      <c r="I8" s="1012" t="s">
        <v>860</v>
      </c>
    </row>
    <row r="9" spans="1:9">
      <c r="A9" s="1011" t="s">
        <v>23</v>
      </c>
      <c r="B9" s="1010" t="s">
        <v>859</v>
      </c>
      <c r="C9" s="1009" t="s">
        <v>85</v>
      </c>
      <c r="D9" s="1009" t="s">
        <v>85</v>
      </c>
      <c r="E9" s="1009" t="s">
        <v>85</v>
      </c>
      <c r="F9" s="1009" t="s">
        <v>85</v>
      </c>
      <c r="G9" s="1009" t="s">
        <v>85</v>
      </c>
      <c r="H9" s="1009" t="s">
        <v>85</v>
      </c>
      <c r="I9" s="1008" t="s">
        <v>88</v>
      </c>
    </row>
    <row r="10" spans="1:9">
      <c r="A10" s="985"/>
      <c r="B10" s="996"/>
      <c r="C10" s="1032" t="s">
        <v>878</v>
      </c>
      <c r="D10" s="1032" t="s">
        <v>877</v>
      </c>
      <c r="E10" s="1032" t="s">
        <v>876</v>
      </c>
      <c r="F10" s="1033" t="s">
        <v>875</v>
      </c>
      <c r="G10" s="1033" t="s">
        <v>874</v>
      </c>
      <c r="H10" s="1032" t="s">
        <v>873</v>
      </c>
      <c r="I10" s="994"/>
    </row>
    <row r="11" spans="1:9">
      <c r="A11" s="985">
        <v>1</v>
      </c>
      <c r="B11" s="1006" t="s">
        <v>858</v>
      </c>
      <c r="C11" s="1031"/>
      <c r="D11" s="996"/>
      <c r="E11" s="996"/>
      <c r="F11" s="996"/>
      <c r="G11" s="996"/>
      <c r="H11" s="996"/>
      <c r="I11" s="994"/>
    </row>
    <row r="12" spans="1:9">
      <c r="A12" s="985">
        <f t="shared" ref="A12:A20" si="0">A11+1</f>
        <v>2</v>
      </c>
      <c r="B12" s="379" t="s">
        <v>62</v>
      </c>
      <c r="C12" s="1003">
        <v>19355850.77</v>
      </c>
      <c r="D12" s="1003">
        <v>21589071.039999999</v>
      </c>
      <c r="E12" s="1003">
        <v>19801305.129999999</v>
      </c>
      <c r="F12" s="1003">
        <v>20320134.359999999</v>
      </c>
      <c r="G12" s="1003">
        <v>20766210.801666666</v>
      </c>
      <c r="H12" s="1003">
        <v>24332157.803333331</v>
      </c>
      <c r="I12" s="994"/>
    </row>
    <row r="13" spans="1:9">
      <c r="A13" s="985">
        <f t="shared" si="0"/>
        <v>3</v>
      </c>
      <c r="B13" s="379" t="s">
        <v>61</v>
      </c>
      <c r="C13" s="993">
        <v>77321920.470000103</v>
      </c>
      <c r="D13" s="993">
        <v>84585141.340000093</v>
      </c>
      <c r="E13" s="993">
        <v>82427091.379999697</v>
      </c>
      <c r="F13" s="993">
        <v>86297606.629999995</v>
      </c>
      <c r="G13" s="993">
        <v>77563201.6049999</v>
      </c>
      <c r="H13" s="993">
        <v>83372508.809999987</v>
      </c>
      <c r="I13" s="994"/>
    </row>
    <row r="14" spans="1:9">
      <c r="A14" s="985">
        <f t="shared" si="0"/>
        <v>4</v>
      </c>
      <c r="B14" s="379" t="s">
        <v>857</v>
      </c>
      <c r="C14" s="993">
        <v>50570101.134546086</v>
      </c>
      <c r="D14" s="993">
        <v>51078600.205777928</v>
      </c>
      <c r="E14" s="993">
        <v>48055080.977272317</v>
      </c>
      <c r="F14" s="993">
        <v>45755372.975181311</v>
      </c>
      <c r="G14" s="993">
        <v>49648470.869873516</v>
      </c>
      <c r="H14" s="993">
        <v>51991833.081282966</v>
      </c>
      <c r="I14" s="994"/>
    </row>
    <row r="15" spans="1:9">
      <c r="A15" s="985">
        <f t="shared" si="0"/>
        <v>5</v>
      </c>
      <c r="B15" s="379" t="s">
        <v>59</v>
      </c>
      <c r="C15" s="993">
        <v>2090482.4327729978</v>
      </c>
      <c r="D15" s="993">
        <v>2575944.9197699986</v>
      </c>
      <c r="E15" s="993">
        <v>2145430.9417550005</v>
      </c>
      <c r="F15" s="993">
        <v>2655739.3946398981</v>
      </c>
      <c r="G15" s="993">
        <v>2761262.8507998995</v>
      </c>
      <c r="H15" s="993">
        <v>4017658.049999997</v>
      </c>
      <c r="I15" s="994"/>
    </row>
    <row r="16" spans="1:9">
      <c r="A16" s="985">
        <f t="shared" si="0"/>
        <v>6</v>
      </c>
      <c r="B16" s="379" t="s">
        <v>57</v>
      </c>
      <c r="C16" s="1000">
        <v>106511054.42340092</v>
      </c>
      <c r="D16" s="1000">
        <v>110332420.87521468</v>
      </c>
      <c r="E16" s="1000">
        <v>109690022.39250499</v>
      </c>
      <c r="F16" s="1000">
        <v>117707587.96722367</v>
      </c>
      <c r="G16" s="1000">
        <v>126051437.76548122</v>
      </c>
      <c r="H16" s="1000">
        <v>126906775.96764377</v>
      </c>
      <c r="I16" s="994"/>
    </row>
    <row r="17" spans="1:9">
      <c r="A17" s="985">
        <f t="shared" si="0"/>
        <v>7</v>
      </c>
      <c r="B17" s="638" t="s">
        <v>856</v>
      </c>
      <c r="C17" s="997">
        <f t="shared" ref="C17:H17" si="1">SUM(C12:C16)</f>
        <v>255849409.2307201</v>
      </c>
      <c r="D17" s="997">
        <f t="shared" si="1"/>
        <v>270161178.3807627</v>
      </c>
      <c r="E17" s="997">
        <f t="shared" si="1"/>
        <v>262118930.82153201</v>
      </c>
      <c r="F17" s="997">
        <f t="shared" si="1"/>
        <v>272736441.32704484</v>
      </c>
      <c r="G17" s="997">
        <f t="shared" si="1"/>
        <v>276790583.89282119</v>
      </c>
      <c r="H17" s="997">
        <f t="shared" si="1"/>
        <v>290620933.71226001</v>
      </c>
      <c r="I17" s="992">
        <f>+IFERROR(($H17/C17)^(1/5)-1,0)</f>
        <v>2.5813700398891637E-2</v>
      </c>
    </row>
    <row r="18" spans="1:9">
      <c r="A18" s="985">
        <f t="shared" si="0"/>
        <v>8</v>
      </c>
      <c r="B18" s="379" t="s">
        <v>855</v>
      </c>
      <c r="C18" s="993">
        <v>253067006.66591197</v>
      </c>
      <c r="D18" s="993">
        <v>258584355.78373</v>
      </c>
      <c r="E18" s="993">
        <v>261006083.04840899</v>
      </c>
      <c r="F18" s="993">
        <v>270531720.895136</v>
      </c>
      <c r="G18" s="993">
        <v>282917294.47898799</v>
      </c>
      <c r="H18" s="993">
        <v>341413195.95999998</v>
      </c>
      <c r="I18" s="994"/>
    </row>
    <row r="19" spans="1:9">
      <c r="A19" s="985">
        <f t="shared" si="0"/>
        <v>9</v>
      </c>
      <c r="B19" s="379" t="s">
        <v>55</v>
      </c>
      <c r="C19" s="1000">
        <v>43370241.700067997</v>
      </c>
      <c r="D19" s="1000">
        <v>45714686.335895002</v>
      </c>
      <c r="E19" s="1000">
        <v>44770372.486271903</v>
      </c>
      <c r="F19" s="1000">
        <v>46836789.313155897</v>
      </c>
      <c r="G19" s="1000">
        <v>58683969.500147</v>
      </c>
      <c r="H19" s="1000">
        <v>75292958.060000002</v>
      </c>
      <c r="I19" s="994"/>
    </row>
    <row r="20" spans="1:9">
      <c r="A20" s="985">
        <f t="shared" si="0"/>
        <v>10</v>
      </c>
      <c r="B20" s="638" t="s">
        <v>854</v>
      </c>
      <c r="C20" s="997">
        <f t="shared" ref="C20:H20" si="2">SUM(C18:C19)</f>
        <v>296437248.36597997</v>
      </c>
      <c r="D20" s="997">
        <f t="shared" si="2"/>
        <v>304299042.11962497</v>
      </c>
      <c r="E20" s="997">
        <f t="shared" si="2"/>
        <v>305776455.5346809</v>
      </c>
      <c r="F20" s="997">
        <f t="shared" si="2"/>
        <v>317368510.20829189</v>
      </c>
      <c r="G20" s="997">
        <f t="shared" si="2"/>
        <v>341601263.97913498</v>
      </c>
      <c r="H20" s="997">
        <f t="shared" si="2"/>
        <v>416706154.01999998</v>
      </c>
      <c r="I20" s="992">
        <f>+IFERROR(($H20/C20)^(1/5)-1,0)</f>
        <v>7.0482145658504303E-2</v>
      </c>
    </row>
    <row r="21" spans="1:9">
      <c r="A21" s="985"/>
      <c r="B21" s="996"/>
      <c r="C21" s="1030"/>
      <c r="D21" s="1030"/>
      <c r="E21" s="1030"/>
      <c r="F21" s="1030"/>
      <c r="G21" s="1030"/>
      <c r="H21" s="1030"/>
      <c r="I21" s="994"/>
    </row>
    <row r="22" spans="1:9">
      <c r="A22" s="985">
        <f>A20+1</f>
        <v>11</v>
      </c>
      <c r="B22" s="998" t="s">
        <v>16</v>
      </c>
      <c r="C22" s="1029">
        <f t="shared" ref="C22:H22" si="3">C17+C20</f>
        <v>552286657.59670007</v>
      </c>
      <c r="D22" s="1029">
        <f t="shared" si="3"/>
        <v>574460220.50038767</v>
      </c>
      <c r="E22" s="1029">
        <f t="shared" si="3"/>
        <v>567895386.35621285</v>
      </c>
      <c r="F22" s="1029">
        <f t="shared" si="3"/>
        <v>590104951.53533673</v>
      </c>
      <c r="G22" s="1029">
        <f t="shared" si="3"/>
        <v>618391847.87195611</v>
      </c>
      <c r="H22" s="1029">
        <f t="shared" si="3"/>
        <v>707327087.73225999</v>
      </c>
      <c r="I22" s="992">
        <f>+IFERROR(($H22/C22)^(1/5)-1,0)</f>
        <v>5.0730037503670111E-2</v>
      </c>
    </row>
    <row r="23" spans="1:9">
      <c r="A23" s="985"/>
      <c r="B23" s="996"/>
      <c r="C23" s="996"/>
      <c r="D23" s="996"/>
      <c r="E23" s="996"/>
      <c r="F23" s="996"/>
      <c r="G23" s="996"/>
      <c r="H23" s="996"/>
      <c r="I23" s="994"/>
    </row>
    <row r="24" spans="1:9">
      <c r="A24" s="985">
        <f>A22+1</f>
        <v>12</v>
      </c>
      <c r="B24" s="379" t="s">
        <v>853</v>
      </c>
      <c r="C24" s="991">
        <v>1085381</v>
      </c>
      <c r="D24" s="991">
        <v>1091517</v>
      </c>
      <c r="E24" s="991">
        <v>1103635</v>
      </c>
      <c r="F24" s="991">
        <v>1119719</v>
      </c>
      <c r="G24" s="991">
        <v>1135044</v>
      </c>
      <c r="H24" s="991">
        <v>1149789</v>
      </c>
      <c r="I24" s="992">
        <f>+IFERROR(($H24/C24)^(1/5)-1,0)</f>
        <v>1.159619452678573E-2</v>
      </c>
    </row>
    <row r="25" spans="1:9" ht="15" thickBot="1">
      <c r="A25" s="985"/>
      <c r="B25" s="379"/>
      <c r="C25" s="991"/>
      <c r="D25" s="991"/>
      <c r="E25" s="991"/>
      <c r="F25" s="991"/>
      <c r="G25" s="991"/>
      <c r="H25" s="991"/>
      <c r="I25" s="989"/>
    </row>
    <row r="26" spans="1:9">
      <c r="A26" s="983"/>
      <c r="B26" s="982"/>
      <c r="C26" s="981"/>
      <c r="D26" s="981"/>
      <c r="E26" s="981"/>
      <c r="F26" s="981"/>
      <c r="G26" s="981"/>
      <c r="H26" s="981"/>
      <c r="I26" s="980"/>
    </row>
    <row r="27" spans="1:9" ht="15" thickBot="1">
      <c r="A27" s="979">
        <f>A24+1</f>
        <v>13</v>
      </c>
      <c r="B27" s="978" t="s">
        <v>852</v>
      </c>
      <c r="C27" s="977">
        <f t="shared" ref="C27:H27" si="4">C17/C24</f>
        <v>235.72313245829815</v>
      </c>
      <c r="D27" s="977">
        <f t="shared" si="4"/>
        <v>247.50982200072258</v>
      </c>
      <c r="E27" s="977">
        <f t="shared" si="4"/>
        <v>237.50509074243931</v>
      </c>
      <c r="F27" s="977">
        <f t="shared" si="4"/>
        <v>243.57579118247065</v>
      </c>
      <c r="G27" s="977">
        <f t="shared" si="4"/>
        <v>243.858902291736</v>
      </c>
      <c r="H27" s="977">
        <f t="shared" si="4"/>
        <v>252.76023140964125</v>
      </c>
      <c r="I27" s="976">
        <f>+IFERROR(($H27/C27)^(1/5)-1,0)</f>
        <v>1.4054526844831328E-2</v>
      </c>
    </row>
    <row r="28" spans="1:9">
      <c r="A28" s="985"/>
      <c r="B28" s="1028"/>
      <c r="C28" s="1027"/>
      <c r="D28" s="1027"/>
      <c r="E28" s="1027"/>
      <c r="F28" s="1027"/>
      <c r="G28" s="1027"/>
      <c r="H28" s="1027"/>
      <c r="I28" s="1026"/>
    </row>
    <row r="29" spans="1:9" ht="15" thickBot="1">
      <c r="A29" s="985"/>
      <c r="B29" s="1025"/>
      <c r="C29" s="1025"/>
      <c r="D29" s="1025"/>
      <c r="E29" s="1025"/>
      <c r="F29" s="1025"/>
      <c r="G29" s="1025"/>
      <c r="H29" s="1025"/>
      <c r="I29" s="984"/>
    </row>
    <row r="30" spans="1:9">
      <c r="A30" s="983"/>
      <c r="B30" s="982"/>
      <c r="C30" s="981"/>
      <c r="D30" s="981"/>
      <c r="E30" s="981"/>
      <c r="F30" s="981"/>
      <c r="G30" s="981"/>
      <c r="H30" s="981"/>
      <c r="I30" s="980"/>
    </row>
    <row r="31" spans="1:9" ht="15" thickBot="1">
      <c r="A31" s="979">
        <f>+A27+1</f>
        <v>14</v>
      </c>
      <c r="B31" s="978" t="s">
        <v>851</v>
      </c>
      <c r="C31" s="977">
        <f t="shared" ref="C31:H31" si="5">C20/C24</f>
        <v>273.1181477895596</v>
      </c>
      <c r="D31" s="977">
        <f t="shared" si="5"/>
        <v>278.78543542576523</v>
      </c>
      <c r="E31" s="977">
        <f t="shared" si="5"/>
        <v>277.06302856893893</v>
      </c>
      <c r="F31" s="977">
        <f t="shared" si="5"/>
        <v>283.43585328845171</v>
      </c>
      <c r="G31" s="977">
        <f t="shared" si="5"/>
        <v>300.95860951569716</v>
      </c>
      <c r="H31" s="977">
        <f t="shared" si="5"/>
        <v>362.41967354010171</v>
      </c>
      <c r="I31" s="976">
        <f>+IFERROR(($H31/C31)^(1/5)-1,0)</f>
        <v>5.8210925911267086E-2</v>
      </c>
    </row>
    <row r="32" spans="1:9" ht="15" thickBot="1">
      <c r="A32" s="985"/>
      <c r="B32" s="1025"/>
      <c r="C32" s="1025"/>
      <c r="D32" s="1025"/>
      <c r="E32" s="1025"/>
      <c r="F32" s="1025"/>
      <c r="G32" s="1025"/>
      <c r="H32" s="1025"/>
      <c r="I32" s="984"/>
    </row>
    <row r="33" spans="1:9">
      <c r="A33" s="983"/>
      <c r="B33" s="982"/>
      <c r="C33" s="981"/>
      <c r="D33" s="981"/>
      <c r="E33" s="981"/>
      <c r="F33" s="981"/>
      <c r="G33" s="981"/>
      <c r="H33" s="981"/>
      <c r="I33" s="980"/>
    </row>
    <row r="34" spans="1:9" ht="15" thickBot="1">
      <c r="A34" s="979">
        <f>A31+1</f>
        <v>15</v>
      </c>
      <c r="B34" s="978" t="s">
        <v>850</v>
      </c>
      <c r="C34" s="977">
        <f t="shared" ref="C34:H34" si="6">C27+C31</f>
        <v>508.84128024785775</v>
      </c>
      <c r="D34" s="977">
        <f t="shared" si="6"/>
        <v>526.29525742648775</v>
      </c>
      <c r="E34" s="977">
        <f t="shared" si="6"/>
        <v>514.56811931137827</v>
      </c>
      <c r="F34" s="977">
        <f t="shared" si="6"/>
        <v>527.01164447092242</v>
      </c>
      <c r="G34" s="977">
        <f t="shared" si="6"/>
        <v>544.81751180743322</v>
      </c>
      <c r="H34" s="977">
        <f t="shared" si="6"/>
        <v>615.17990494974299</v>
      </c>
      <c r="I34" s="976">
        <f>+IFERROR(($H34/C34)^(1/5)-1,0)</f>
        <v>3.868524139238283E-2</v>
      </c>
    </row>
    <row r="45" spans="1:9">
      <c r="C45" s="1024"/>
    </row>
  </sheetData>
  <pageMargins left="0.7" right="0.7" top="0.75" bottom="0.75" header="0.3" footer="0.3"/>
  <pageSetup scale="77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  <pageSetUpPr fitToPage="1"/>
  </sheetPr>
  <dimension ref="A1:I33"/>
  <sheetViews>
    <sheetView zoomScaleNormal="100" workbookViewId="0">
      <selection activeCell="H1" sqref="H1"/>
    </sheetView>
  </sheetViews>
  <sheetFormatPr defaultColWidth="9.109375" defaultRowHeight="14.4"/>
  <cols>
    <col min="1" max="1" width="5" style="974" bestFit="1" customWidth="1"/>
    <col min="2" max="2" width="47.44140625" style="974" bestFit="1" customWidth="1"/>
    <col min="3" max="4" width="15.33203125" style="974" bestFit="1" customWidth="1"/>
    <col min="5" max="5" width="14.44140625" style="974" customWidth="1"/>
    <col min="6" max="8" width="14" style="974" customWidth="1"/>
    <col min="9" max="9" width="12.5546875" style="974" customWidth="1"/>
    <col min="10" max="16384" width="9.109375" style="974"/>
  </cols>
  <sheetData>
    <row r="1" spans="1:9">
      <c r="H1" s="270" t="s">
        <v>1373</v>
      </c>
      <c r="I1" s="268"/>
    </row>
    <row r="2" spans="1:9">
      <c r="A2" s="1300" t="s">
        <v>872</v>
      </c>
      <c r="B2" s="1300"/>
      <c r="C2" s="1300"/>
      <c r="D2" s="1300"/>
      <c r="E2" s="1300"/>
      <c r="F2" s="1300"/>
      <c r="G2" s="1300"/>
      <c r="H2" s="1300"/>
      <c r="I2" s="1300"/>
    </row>
    <row r="3" spans="1:9">
      <c r="A3" s="1300" t="s">
        <v>885</v>
      </c>
      <c r="B3" s="1300"/>
      <c r="C3" s="1300"/>
      <c r="D3" s="1300"/>
      <c r="E3" s="1300"/>
      <c r="F3" s="1300"/>
      <c r="G3" s="1300"/>
      <c r="H3" s="1300"/>
      <c r="I3" s="1300"/>
    </row>
    <row r="4" spans="1:9">
      <c r="A4" s="1301" t="s">
        <v>870</v>
      </c>
      <c r="B4" s="1301"/>
      <c r="C4" s="1301"/>
      <c r="D4" s="1301"/>
      <c r="E4" s="1301"/>
      <c r="F4" s="1301"/>
      <c r="G4" s="1301"/>
      <c r="H4" s="1301"/>
      <c r="I4" s="1301"/>
    </row>
    <row r="5" spans="1:9" ht="15" thickBot="1">
      <c r="A5" s="1037"/>
      <c r="B5" s="1037"/>
      <c r="C5" s="1037"/>
      <c r="D5" s="1037"/>
      <c r="E5" s="1037"/>
      <c r="F5" s="1037"/>
      <c r="G5" s="1037"/>
      <c r="H5" s="1037"/>
    </row>
    <row r="6" spans="1:9">
      <c r="A6" s="1036"/>
      <c r="B6" s="1035"/>
      <c r="C6" s="1019" t="s">
        <v>869</v>
      </c>
      <c r="D6" s="1019" t="s">
        <v>868</v>
      </c>
      <c r="E6" s="1019" t="s">
        <v>867</v>
      </c>
      <c r="F6" s="1019" t="s">
        <v>866</v>
      </c>
      <c r="G6" s="1019" t="s">
        <v>865</v>
      </c>
      <c r="H6" s="1019" t="s">
        <v>864</v>
      </c>
      <c r="I6" s="1018" t="s">
        <v>863</v>
      </c>
    </row>
    <row r="7" spans="1:9">
      <c r="A7" s="1034"/>
      <c r="B7" s="996"/>
      <c r="C7" s="1015" t="s">
        <v>862</v>
      </c>
      <c r="D7" s="1015" t="s">
        <v>862</v>
      </c>
      <c r="E7" s="1015" t="s">
        <v>862</v>
      </c>
      <c r="F7" s="1015" t="s">
        <v>862</v>
      </c>
      <c r="G7" s="1015" t="s">
        <v>862</v>
      </c>
      <c r="H7" s="1015" t="s">
        <v>862</v>
      </c>
      <c r="I7" s="1012" t="s">
        <v>861</v>
      </c>
    </row>
    <row r="8" spans="1:9">
      <c r="A8" s="1014" t="s">
        <v>26</v>
      </c>
      <c r="B8" s="996"/>
      <c r="C8" s="1013" t="s">
        <v>90</v>
      </c>
      <c r="D8" s="1013" t="s">
        <v>90</v>
      </c>
      <c r="E8" s="1013" t="s">
        <v>90</v>
      </c>
      <c r="F8" s="1013" t="s">
        <v>90</v>
      </c>
      <c r="G8" s="1013" t="s">
        <v>90</v>
      </c>
      <c r="H8" s="1013" t="s">
        <v>90</v>
      </c>
      <c r="I8" s="1012" t="s">
        <v>860</v>
      </c>
    </row>
    <row r="9" spans="1:9">
      <c r="A9" s="1011" t="s">
        <v>23</v>
      </c>
      <c r="B9" s="1010" t="s">
        <v>859</v>
      </c>
      <c r="C9" s="1009" t="s">
        <v>85</v>
      </c>
      <c r="D9" s="1009" t="s">
        <v>85</v>
      </c>
      <c r="E9" s="1009" t="s">
        <v>85</v>
      </c>
      <c r="F9" s="1009" t="s">
        <v>85</v>
      </c>
      <c r="G9" s="1009" t="s">
        <v>85</v>
      </c>
      <c r="H9" s="1009" t="s">
        <v>85</v>
      </c>
      <c r="I9" s="1008" t="s">
        <v>88</v>
      </c>
    </row>
    <row r="10" spans="1:9">
      <c r="A10" s="985"/>
      <c r="B10" s="996"/>
      <c r="C10" s="1032" t="s">
        <v>884</v>
      </c>
      <c r="D10" s="1032" t="s">
        <v>883</v>
      </c>
      <c r="E10" s="1032" t="s">
        <v>882</v>
      </c>
      <c r="F10" s="1033" t="s">
        <v>881</v>
      </c>
      <c r="G10" s="1032" t="s">
        <v>880</v>
      </c>
      <c r="H10" s="1032" t="s">
        <v>879</v>
      </c>
      <c r="I10" s="994"/>
    </row>
    <row r="11" spans="1:9">
      <c r="A11" s="985">
        <v>1</v>
      </c>
      <c r="B11" s="1006" t="s">
        <v>858</v>
      </c>
      <c r="C11" s="1031"/>
      <c r="D11" s="1031"/>
      <c r="E11" s="1031"/>
      <c r="F11" s="1031"/>
      <c r="G11" s="1031"/>
      <c r="H11" s="996"/>
      <c r="I11" s="994"/>
    </row>
    <row r="12" spans="1:9">
      <c r="A12" s="985">
        <f t="shared" ref="A12:A20" si="0">A11+1</f>
        <v>2</v>
      </c>
      <c r="B12" s="379" t="s">
        <v>62</v>
      </c>
      <c r="C12" s="1003">
        <v>27893.159999999902</v>
      </c>
      <c r="D12" s="1003">
        <v>334.94</v>
      </c>
      <c r="E12" s="1003">
        <v>0</v>
      </c>
      <c r="F12" s="1003">
        <v>0</v>
      </c>
      <c r="G12" s="1003">
        <v>0</v>
      </c>
      <c r="H12" s="1003">
        <v>2110.77</v>
      </c>
      <c r="I12" s="994"/>
    </row>
    <row r="13" spans="1:9">
      <c r="A13" s="985">
        <f t="shared" si="0"/>
        <v>3</v>
      </c>
      <c r="B13" s="379" t="s">
        <v>61</v>
      </c>
      <c r="C13" s="993">
        <v>50241924.590000004</v>
      </c>
      <c r="D13" s="993">
        <v>51905731.789999999</v>
      </c>
      <c r="E13" s="993">
        <v>49550744.18</v>
      </c>
      <c r="F13" s="993">
        <v>59765033.689999998</v>
      </c>
      <c r="G13" s="993">
        <v>59084501.780000001</v>
      </c>
      <c r="H13" s="993">
        <v>60174168.099999979</v>
      </c>
      <c r="I13" s="994"/>
    </row>
    <row r="14" spans="1:9">
      <c r="A14" s="985">
        <f t="shared" si="0"/>
        <v>4</v>
      </c>
      <c r="B14" s="379" t="s">
        <v>857</v>
      </c>
      <c r="C14" s="993">
        <v>31660511.002574448</v>
      </c>
      <c r="D14" s="993">
        <v>31631336.912505738</v>
      </c>
      <c r="E14" s="993">
        <v>28464952.678000219</v>
      </c>
      <c r="F14" s="993">
        <v>26126571.956570297</v>
      </c>
      <c r="G14" s="993">
        <v>28760695.616511144</v>
      </c>
      <c r="H14" s="993">
        <v>29734324.908715736</v>
      </c>
      <c r="I14" s="994"/>
    </row>
    <row r="15" spans="1:9">
      <c r="A15" s="985">
        <f t="shared" si="0"/>
        <v>5</v>
      </c>
      <c r="B15" s="379" t="s">
        <v>59</v>
      </c>
      <c r="C15" s="993">
        <v>1823917.7472270001</v>
      </c>
      <c r="D15" s="993">
        <v>3027682.0502300002</v>
      </c>
      <c r="E15" s="993">
        <v>1664689.8482449995</v>
      </c>
      <c r="F15" s="993">
        <v>2243672.16536</v>
      </c>
      <c r="G15" s="993">
        <v>1692256.5791999996</v>
      </c>
      <c r="H15" s="993">
        <v>1775196.2199999988</v>
      </c>
      <c r="I15" s="994"/>
    </row>
    <row r="16" spans="1:9">
      <c r="A16" s="985">
        <f t="shared" si="0"/>
        <v>6</v>
      </c>
      <c r="B16" s="379" t="s">
        <v>57</v>
      </c>
      <c r="C16" s="1000">
        <v>48006092.965356037</v>
      </c>
      <c r="D16" s="1000">
        <v>48861723.036314279</v>
      </c>
      <c r="E16" s="1000">
        <v>47159453.191689149</v>
      </c>
      <c r="F16" s="1000">
        <v>52634913.079035677</v>
      </c>
      <c r="G16" s="1000">
        <v>63712641.98739361</v>
      </c>
      <c r="H16" s="1000">
        <v>60505152.637381338</v>
      </c>
      <c r="I16" s="994"/>
    </row>
    <row r="17" spans="1:9">
      <c r="A17" s="985">
        <f t="shared" si="0"/>
        <v>7</v>
      </c>
      <c r="B17" s="638" t="s">
        <v>856</v>
      </c>
      <c r="C17" s="997">
        <f t="shared" ref="C17:H17" si="1">SUM(C12:C16)</f>
        <v>131760339.46515748</v>
      </c>
      <c r="D17" s="997">
        <f t="shared" si="1"/>
        <v>135426808.72905001</v>
      </c>
      <c r="E17" s="997">
        <f t="shared" si="1"/>
        <v>126839839.89793436</v>
      </c>
      <c r="F17" s="997">
        <f t="shared" si="1"/>
        <v>140770190.89096597</v>
      </c>
      <c r="G17" s="997">
        <f t="shared" si="1"/>
        <v>153250095.96310475</v>
      </c>
      <c r="H17" s="997">
        <f t="shared" si="1"/>
        <v>152190952.63609704</v>
      </c>
      <c r="I17" s="992">
        <f>+IFERROR(($H17/C17)^(1/5)-1,0)</f>
        <v>2.9249882490519408E-2</v>
      </c>
    </row>
    <row r="18" spans="1:9">
      <c r="A18" s="985">
        <f t="shared" si="0"/>
        <v>8</v>
      </c>
      <c r="B18" s="379" t="s">
        <v>855</v>
      </c>
      <c r="C18" s="993">
        <v>111068604.664087</v>
      </c>
      <c r="D18" s="993">
        <v>112188311.09626999</v>
      </c>
      <c r="E18" s="993">
        <v>117082009.46159101</v>
      </c>
      <c r="F18" s="993">
        <v>124027465.78486399</v>
      </c>
      <c r="G18" s="993">
        <v>130682950.311012</v>
      </c>
      <c r="H18" s="993">
        <v>116957730.5099999</v>
      </c>
      <c r="I18" s="994"/>
    </row>
    <row r="19" spans="1:9">
      <c r="A19" s="985">
        <f t="shared" si="0"/>
        <v>9</v>
      </c>
      <c r="B19" s="379" t="s">
        <v>55</v>
      </c>
      <c r="C19" s="1000">
        <v>12058227.209931999</v>
      </c>
      <c r="D19" s="1000">
        <v>11788164.304105001</v>
      </c>
      <c r="E19" s="1000">
        <v>11211688.963727999</v>
      </c>
      <c r="F19" s="1000">
        <v>11987329.286844</v>
      </c>
      <c r="G19" s="1000">
        <v>17346426.279853001</v>
      </c>
      <c r="H19" s="1000">
        <v>26117569.960000001</v>
      </c>
      <c r="I19" s="994"/>
    </row>
    <row r="20" spans="1:9">
      <c r="A20" s="985">
        <f t="shared" si="0"/>
        <v>10</v>
      </c>
      <c r="B20" s="638" t="s">
        <v>854</v>
      </c>
      <c r="C20" s="997">
        <f t="shared" ref="C20:H20" si="2">SUM(C18:C19)</f>
        <v>123126831.874019</v>
      </c>
      <c r="D20" s="997">
        <f t="shared" si="2"/>
        <v>123976475.40037499</v>
      </c>
      <c r="E20" s="997">
        <f t="shared" si="2"/>
        <v>128293698.425319</v>
      </c>
      <c r="F20" s="997">
        <f t="shared" si="2"/>
        <v>136014795.07170799</v>
      </c>
      <c r="G20" s="997">
        <f t="shared" si="2"/>
        <v>148029376.59086502</v>
      </c>
      <c r="H20" s="997">
        <f t="shared" si="2"/>
        <v>143075300.46999991</v>
      </c>
      <c r="I20" s="992">
        <f>+IFERROR(($H20/C20)^(1/5)-1,0)</f>
        <v>3.0486703357196943E-2</v>
      </c>
    </row>
    <row r="21" spans="1:9">
      <c r="A21" s="985"/>
      <c r="B21" s="996"/>
      <c r="C21" s="1030"/>
      <c r="D21" s="1030"/>
      <c r="E21" s="1030"/>
      <c r="F21" s="1030"/>
      <c r="G21" s="1030"/>
      <c r="H21" s="1030"/>
      <c r="I21" s="994"/>
    </row>
    <row r="22" spans="1:9">
      <c r="A22" s="985">
        <f>A20+1</f>
        <v>11</v>
      </c>
      <c r="B22" s="998" t="s">
        <v>16</v>
      </c>
      <c r="C22" s="1029">
        <f t="shared" ref="C22:H22" si="3">C17+C20</f>
        <v>254887171.33917648</v>
      </c>
      <c r="D22" s="1029">
        <f t="shared" si="3"/>
        <v>259403284.12942499</v>
      </c>
      <c r="E22" s="1029">
        <f t="shared" si="3"/>
        <v>255133538.32325336</v>
      </c>
      <c r="F22" s="1029">
        <f t="shared" si="3"/>
        <v>276784985.96267396</v>
      </c>
      <c r="G22" s="1029">
        <f t="shared" si="3"/>
        <v>301279472.55396974</v>
      </c>
      <c r="H22" s="1029">
        <f t="shared" si="3"/>
        <v>295266253.10609698</v>
      </c>
      <c r="I22" s="992">
        <f>+IFERROR(($H22/C22)^(1/5)-1,0)</f>
        <v>2.9848088072673473E-2</v>
      </c>
    </row>
    <row r="23" spans="1:9">
      <c r="A23" s="985"/>
      <c r="B23" s="996"/>
      <c r="C23" s="996"/>
      <c r="D23" s="996"/>
      <c r="E23" s="996"/>
      <c r="F23" s="996"/>
      <c r="G23" s="996"/>
      <c r="H23" s="996"/>
      <c r="I23" s="994"/>
    </row>
    <row r="24" spans="1:9">
      <c r="A24" s="985">
        <f>A22+1</f>
        <v>12</v>
      </c>
      <c r="B24" s="379" t="s">
        <v>853</v>
      </c>
      <c r="C24" s="991">
        <v>773385</v>
      </c>
      <c r="D24" s="991">
        <v>784612</v>
      </c>
      <c r="E24" s="991">
        <v>795013</v>
      </c>
      <c r="F24" s="991">
        <v>807586</v>
      </c>
      <c r="G24" s="991">
        <v>819336</v>
      </c>
      <c r="H24" s="991">
        <v>830781</v>
      </c>
      <c r="I24" s="992">
        <f>+IFERROR(($H24/C24)^(1/5)-1,0)</f>
        <v>1.4420838953637771E-2</v>
      </c>
    </row>
    <row r="25" spans="1:9" ht="15" thickBot="1">
      <c r="A25" s="985"/>
      <c r="B25" s="379"/>
      <c r="C25" s="991"/>
      <c r="D25" s="991"/>
      <c r="E25" s="991"/>
      <c r="F25" s="991"/>
      <c r="G25" s="991"/>
      <c r="H25" s="991"/>
      <c r="I25" s="989"/>
    </row>
    <row r="26" spans="1:9">
      <c r="A26" s="1039"/>
      <c r="B26" s="982"/>
      <c r="C26" s="981"/>
      <c r="D26" s="981"/>
      <c r="E26" s="981"/>
      <c r="F26" s="981"/>
      <c r="G26" s="981"/>
      <c r="H26" s="981"/>
      <c r="I26" s="980"/>
    </row>
    <row r="27" spans="1:9" ht="15" thickBot="1">
      <c r="A27" s="1038">
        <f>A24+1</f>
        <v>13</v>
      </c>
      <c r="B27" s="978" t="s">
        <v>852</v>
      </c>
      <c r="C27" s="977">
        <f t="shared" ref="C27:H27" si="4">C17/C24</f>
        <v>170.36836693905039</v>
      </c>
      <c r="D27" s="977">
        <f t="shared" si="4"/>
        <v>172.60354000327553</v>
      </c>
      <c r="E27" s="977">
        <f t="shared" si="4"/>
        <v>159.54435952359819</v>
      </c>
      <c r="F27" s="977">
        <f t="shared" si="4"/>
        <v>174.30984550371846</v>
      </c>
      <c r="G27" s="977">
        <f t="shared" si="4"/>
        <v>187.04181918419886</v>
      </c>
      <c r="H27" s="977">
        <f t="shared" si="4"/>
        <v>183.19021816350764</v>
      </c>
      <c r="I27" s="976">
        <f>+IFERROR(($H27/C27)^(1/5)-1,0)</f>
        <v>1.4618236305336207E-2</v>
      </c>
    </row>
    <row r="28" spans="1:9" ht="15" thickBot="1">
      <c r="A28" s="988"/>
      <c r="B28" s="1025"/>
      <c r="C28" s="1025"/>
      <c r="D28" s="1025"/>
      <c r="E28" s="1025"/>
      <c r="F28" s="1025"/>
      <c r="G28" s="1041"/>
      <c r="H28" s="1041"/>
      <c r="I28" s="1040"/>
    </row>
    <row r="29" spans="1:9">
      <c r="A29" s="1039"/>
      <c r="B29" s="982"/>
      <c r="C29" s="981"/>
      <c r="D29" s="981"/>
      <c r="E29" s="981"/>
      <c r="F29" s="981"/>
      <c r="G29" s="981"/>
      <c r="H29" s="981"/>
      <c r="I29" s="980"/>
    </row>
    <row r="30" spans="1:9" ht="15" thickBot="1">
      <c r="A30" s="1038">
        <f>+A27+1</f>
        <v>14</v>
      </c>
      <c r="B30" s="978" t="s">
        <v>851</v>
      </c>
      <c r="C30" s="977">
        <f t="shared" ref="C30:H30" si="5">C20/C24</f>
        <v>159.20509432432618</v>
      </c>
      <c r="D30" s="977">
        <f t="shared" si="5"/>
        <v>158.009914964817</v>
      </c>
      <c r="E30" s="977">
        <f t="shared" si="5"/>
        <v>161.37308248458706</v>
      </c>
      <c r="F30" s="977">
        <f t="shared" si="5"/>
        <v>168.42143755799134</v>
      </c>
      <c r="G30" s="977">
        <f t="shared" si="5"/>
        <v>180.66992856516131</v>
      </c>
      <c r="H30" s="977">
        <f t="shared" si="5"/>
        <v>172.21782933167694</v>
      </c>
      <c r="I30" s="976">
        <f>+IFERROR(($H30/C30)^(1/5)-1,0)</f>
        <v>1.5837474731030587E-2</v>
      </c>
    </row>
    <row r="31" spans="1:9" ht="15" thickBot="1">
      <c r="A31" s="988"/>
      <c r="B31" s="1025"/>
      <c r="C31" s="1025"/>
      <c r="D31" s="1025"/>
      <c r="E31" s="1025"/>
      <c r="F31" s="1025"/>
      <c r="G31" s="1025"/>
      <c r="H31" s="1025"/>
      <c r="I31" s="984"/>
    </row>
    <row r="32" spans="1:9">
      <c r="A32" s="1039"/>
      <c r="B32" s="982"/>
      <c r="C32" s="981"/>
      <c r="D32" s="981"/>
      <c r="E32" s="981"/>
      <c r="F32" s="981"/>
      <c r="G32" s="981"/>
      <c r="H32" s="981"/>
      <c r="I32" s="980"/>
    </row>
    <row r="33" spans="1:9" ht="15" thickBot="1">
      <c r="A33" s="1038">
        <f>A30+1</f>
        <v>15</v>
      </c>
      <c r="B33" s="978" t="s">
        <v>850</v>
      </c>
      <c r="C33" s="977">
        <f t="shared" ref="C33:H33" si="6">C27+C30</f>
        <v>329.57346126337654</v>
      </c>
      <c r="D33" s="977">
        <f t="shared" si="6"/>
        <v>330.61345496809253</v>
      </c>
      <c r="E33" s="977">
        <f t="shared" si="6"/>
        <v>320.91744200818528</v>
      </c>
      <c r="F33" s="977">
        <f t="shared" si="6"/>
        <v>342.7312830617098</v>
      </c>
      <c r="G33" s="977">
        <f t="shared" si="6"/>
        <v>367.71174774936014</v>
      </c>
      <c r="H33" s="977">
        <f t="shared" si="6"/>
        <v>355.40804749518458</v>
      </c>
      <c r="I33" s="976">
        <f>+IFERROR(($H33/C33)^(1/5)-1,0)</f>
        <v>1.5207937895822976E-2</v>
      </c>
    </row>
  </sheetData>
  <mergeCells count="3">
    <mergeCell ref="A2:I2"/>
    <mergeCell ref="A3:I3"/>
    <mergeCell ref="A4:I4"/>
  </mergeCells>
  <pageMargins left="0.7" right="0.7" top="0.75" bottom="0.75" header="0.3" footer="0.3"/>
  <pageSetup scale="8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70C0"/>
    <pageSetUpPr fitToPage="1"/>
  </sheetPr>
  <dimension ref="A1:L131"/>
  <sheetViews>
    <sheetView workbookViewId="0">
      <pane xSplit="1" ySplit="2" topLeftCell="B9" activePane="bottomRight" state="frozen"/>
      <selection activeCell="B1" sqref="B1"/>
      <selection pane="topRight" activeCell="B1" sqref="B1"/>
      <selection pane="bottomLeft" activeCell="B1" sqref="B1"/>
      <selection pane="bottomRight" activeCell="C39" sqref="C39"/>
    </sheetView>
  </sheetViews>
  <sheetFormatPr defaultColWidth="9.109375" defaultRowHeight="13.8"/>
  <cols>
    <col min="1" max="1" width="7.44140625" style="117" customWidth="1"/>
    <col min="2" max="2" width="47.44140625" style="117" bestFit="1" customWidth="1"/>
    <col min="3" max="3" width="17" style="117" bestFit="1" customWidth="1"/>
    <col min="4" max="4" width="13.44140625" style="117" bestFit="1" customWidth="1"/>
    <col min="5" max="5" width="5" style="117" bestFit="1" customWidth="1"/>
    <col min="6" max="6" width="15.88671875" style="117" bestFit="1" customWidth="1"/>
    <col min="7" max="7" width="15.109375" style="117" bestFit="1" customWidth="1"/>
    <col min="8" max="8" width="5.5546875" style="117" customWidth="1"/>
    <col min="9" max="9" width="5.44140625" style="117" customWidth="1"/>
    <col min="10" max="10" width="15.109375" style="117" bestFit="1" customWidth="1"/>
    <col min="11" max="11" width="16.88671875" style="117" bestFit="1" customWidth="1"/>
    <col min="12" max="12" width="14.5546875" style="117" bestFit="1" customWidth="1"/>
    <col min="13" max="16384" width="9.109375" style="117"/>
  </cols>
  <sheetData>
    <row r="1" spans="1:12" ht="21">
      <c r="A1" s="97" t="s">
        <v>1132</v>
      </c>
      <c r="E1" s="224" t="s">
        <v>1374</v>
      </c>
      <c r="F1" s="223"/>
      <c r="G1" s="222"/>
    </row>
    <row r="2" spans="1:12" ht="21">
      <c r="A2" s="97" t="s">
        <v>1131</v>
      </c>
    </row>
    <row r="3" spans="1:12" ht="13.95" customHeight="1">
      <c r="A3" s="98"/>
    </row>
    <row r="4" spans="1:12">
      <c r="A4" s="115"/>
    </row>
    <row r="5" spans="1:12">
      <c r="A5" s="115" t="s">
        <v>1130</v>
      </c>
      <c r="C5" s="99" t="s">
        <v>1129</v>
      </c>
    </row>
    <row r="6" spans="1:12">
      <c r="A6" s="106">
        <v>3</v>
      </c>
      <c r="B6" s="117" t="s">
        <v>1128</v>
      </c>
      <c r="C6" s="100">
        <v>150405447.91445902</v>
      </c>
    </row>
    <row r="7" spans="1:12">
      <c r="A7" s="106">
        <v>4</v>
      </c>
      <c r="B7" s="117" t="s">
        <v>1127</v>
      </c>
      <c r="C7" s="101">
        <v>79202112.316321075</v>
      </c>
    </row>
    <row r="8" spans="1:12">
      <c r="A8" s="106">
        <v>5</v>
      </c>
      <c r="B8" s="117" t="s">
        <v>1126</v>
      </c>
      <c r="C8" s="101">
        <v>1693438871.8557312</v>
      </c>
    </row>
    <row r="9" spans="1:12">
      <c r="A9" s="106">
        <f>+A8+1</f>
        <v>6</v>
      </c>
      <c r="C9" s="102">
        <f>SUM(C6:C8)</f>
        <v>1923046432.0865114</v>
      </c>
    </row>
    <row r="10" spans="1:12">
      <c r="A10" s="106">
        <f>+A9+1</f>
        <v>7</v>
      </c>
      <c r="B10" s="107" t="s">
        <v>1125</v>
      </c>
      <c r="C10" s="36">
        <v>7.0199999999999999E-2</v>
      </c>
      <c r="D10" s="103"/>
      <c r="E10" s="103"/>
      <c r="F10" s="104" t="s">
        <v>1124</v>
      </c>
      <c r="G10" s="104" t="s">
        <v>1123</v>
      </c>
    </row>
    <row r="11" spans="1:12">
      <c r="A11" s="106">
        <f>+A10+1</f>
        <v>8</v>
      </c>
      <c r="B11" s="107"/>
      <c r="C11" s="35"/>
      <c r="D11" s="34" t="s">
        <v>1122</v>
      </c>
      <c r="E11" s="34"/>
      <c r="F11" s="104" t="s">
        <v>1121</v>
      </c>
      <c r="G11" s="104" t="s">
        <v>1121</v>
      </c>
    </row>
    <row r="12" spans="1:12">
      <c r="A12" s="106">
        <f>+A11+1</f>
        <v>9</v>
      </c>
      <c r="B12" s="107"/>
      <c r="C12" s="35"/>
      <c r="D12" s="33" t="s">
        <v>1120</v>
      </c>
      <c r="E12" s="33"/>
      <c r="F12" s="105" t="s">
        <v>1119</v>
      </c>
      <c r="G12" s="105" t="s">
        <v>1118</v>
      </c>
    </row>
    <row r="13" spans="1:12">
      <c r="A13" s="106" t="s">
        <v>1117</v>
      </c>
      <c r="B13" s="107"/>
      <c r="C13" s="34" t="s">
        <v>1116</v>
      </c>
      <c r="D13" s="32" t="s">
        <v>1115</v>
      </c>
      <c r="E13" s="32" t="s">
        <v>1114</v>
      </c>
      <c r="F13" s="32" t="s">
        <v>1113</v>
      </c>
      <c r="G13" s="32" t="s">
        <v>1112</v>
      </c>
    </row>
    <row r="14" spans="1:12">
      <c r="A14" s="31">
        <v>10</v>
      </c>
      <c r="B14" s="30" t="s">
        <v>1111</v>
      </c>
      <c r="C14" s="29">
        <f>(C6*C$10/0.79)</f>
        <v>13365142.333664587</v>
      </c>
      <c r="D14" s="28">
        <f t="shared" ref="D14:D35" si="0">C14/$C$39</f>
        <v>0.65185300142285396</v>
      </c>
      <c r="E14" s="27" t="s">
        <v>1090</v>
      </c>
      <c r="F14" s="29">
        <f>+C14</f>
        <v>13365142.333664587</v>
      </c>
      <c r="G14" s="29"/>
      <c r="K14" s="108"/>
    </row>
    <row r="15" spans="1:12">
      <c r="A15" s="31" t="s">
        <v>1110</v>
      </c>
      <c r="B15" s="30" t="s">
        <v>1109</v>
      </c>
      <c r="C15" s="26">
        <v>4733258.1026060628</v>
      </c>
      <c r="D15" s="28">
        <f t="shared" si="0"/>
        <v>0.23085339636984042</v>
      </c>
      <c r="E15" s="27" t="s">
        <v>1093</v>
      </c>
      <c r="F15" s="26"/>
      <c r="G15" s="26">
        <f>+C15</f>
        <v>4733258.1026060628</v>
      </c>
      <c r="J15" s="109"/>
      <c r="K15" s="110"/>
      <c r="L15" s="111"/>
    </row>
    <row r="16" spans="1:12">
      <c r="A16" s="31">
        <v>11</v>
      </c>
      <c r="B16" s="25" t="s">
        <v>1108</v>
      </c>
      <c r="C16" s="26">
        <f>(C7*$C$10/0.79)</f>
        <v>7037959.8539313152</v>
      </c>
      <c r="D16" s="28">
        <f t="shared" si="0"/>
        <v>0.3432597379171175</v>
      </c>
      <c r="E16" s="27" t="s">
        <v>1090</v>
      </c>
      <c r="F16" s="26">
        <f>+C16</f>
        <v>7037959.8539313152</v>
      </c>
      <c r="G16" s="26"/>
      <c r="J16" s="111"/>
    </row>
    <row r="17" spans="1:7">
      <c r="A17" s="31">
        <v>12</v>
      </c>
      <c r="B17" s="25" t="s">
        <v>1107</v>
      </c>
      <c r="C17" s="26">
        <f>(C8*$C$10/0.79)</f>
        <v>150480264.30920547</v>
      </c>
      <c r="D17" s="28">
        <f t="shared" si="0"/>
        <v>7.3393166713821589</v>
      </c>
      <c r="E17" s="27" t="s">
        <v>1090</v>
      </c>
      <c r="F17" s="26">
        <f>+C17</f>
        <v>150480264.30920547</v>
      </c>
      <c r="G17" s="26"/>
    </row>
    <row r="18" spans="1:7">
      <c r="A18" s="31">
        <v>13</v>
      </c>
      <c r="B18" s="25" t="s">
        <v>1348</v>
      </c>
      <c r="C18" s="26">
        <v>37464673.568808615</v>
      </c>
      <c r="D18" s="28">
        <f t="shared" si="0"/>
        <v>1.8272502681577685</v>
      </c>
      <c r="E18" s="27" t="s">
        <v>1093</v>
      </c>
      <c r="F18" s="26"/>
      <c r="G18" s="26">
        <f>+C18</f>
        <v>37464673.568808615</v>
      </c>
    </row>
    <row r="19" spans="1:7">
      <c r="A19" s="31">
        <v>14</v>
      </c>
      <c r="B19" s="25" t="s">
        <v>1349</v>
      </c>
      <c r="C19" s="26">
        <v>433447888.18948001</v>
      </c>
      <c r="D19" s="28">
        <f t="shared" si="0"/>
        <v>21.140388917896345</v>
      </c>
      <c r="E19" s="27" t="s">
        <v>1093</v>
      </c>
      <c r="F19" s="26"/>
      <c r="G19" s="26">
        <f>+C19</f>
        <v>433447888.18948001</v>
      </c>
    </row>
    <row r="20" spans="1:7">
      <c r="A20" s="31">
        <v>15</v>
      </c>
      <c r="B20" s="25" t="s">
        <v>1106</v>
      </c>
      <c r="C20" s="26">
        <v>8072158.7332714284</v>
      </c>
      <c r="D20" s="28">
        <f t="shared" si="0"/>
        <v>0.39370032633254676</v>
      </c>
      <c r="E20" s="27" t="s">
        <v>1090</v>
      </c>
      <c r="F20" s="26">
        <f>+C20</f>
        <v>8072158.7332714284</v>
      </c>
      <c r="G20" s="26"/>
    </row>
    <row r="21" spans="1:7">
      <c r="A21" s="31" t="s">
        <v>1105</v>
      </c>
      <c r="B21" s="24" t="s">
        <v>1104</v>
      </c>
      <c r="C21" s="26">
        <v>8840460.579817621</v>
      </c>
      <c r="D21" s="28">
        <f t="shared" si="0"/>
        <v>0.43117241994492633</v>
      </c>
      <c r="E21" s="27" t="s">
        <v>1090</v>
      </c>
      <c r="F21" s="26">
        <f>+C21</f>
        <v>8840460.579817621</v>
      </c>
      <c r="G21" s="26"/>
    </row>
    <row r="22" spans="1:7">
      <c r="A22" s="31" t="s">
        <v>1103</v>
      </c>
      <c r="B22" s="24" t="s">
        <v>1085</v>
      </c>
      <c r="C22" s="26">
        <v>3895439.2738404199</v>
      </c>
      <c r="D22" s="28">
        <f t="shared" si="0"/>
        <v>0.18999077743582118</v>
      </c>
      <c r="E22" s="27" t="s">
        <v>1090</v>
      </c>
      <c r="F22" s="26">
        <f>+C22</f>
        <v>3895439.2738404199</v>
      </c>
      <c r="G22" s="26"/>
    </row>
    <row r="23" spans="1:7">
      <c r="A23" s="31" t="s">
        <v>1102</v>
      </c>
      <c r="B23" s="24" t="s">
        <v>1082</v>
      </c>
      <c r="C23" s="26">
        <v>777635.66528346541</v>
      </c>
      <c r="D23" s="28">
        <f t="shared" si="0"/>
        <v>3.7927328402008624E-2</v>
      </c>
      <c r="E23" s="27" t="s">
        <v>1093</v>
      </c>
      <c r="F23" s="26"/>
      <c r="G23" s="26">
        <f>+C23</f>
        <v>777635.66528346541</v>
      </c>
    </row>
    <row r="24" spans="1:7">
      <c r="A24" s="31" t="s">
        <v>1101</v>
      </c>
      <c r="B24" s="24" t="s">
        <v>1100</v>
      </c>
      <c r="C24" s="26">
        <v>1989467.6013443223</v>
      </c>
      <c r="D24" s="28">
        <f t="shared" si="0"/>
        <v>9.7031546301104138E-2</v>
      </c>
      <c r="E24" s="27" t="s">
        <v>1090</v>
      </c>
      <c r="F24" s="26">
        <f>+C24</f>
        <v>1989467.6013443223</v>
      </c>
      <c r="G24" s="26"/>
    </row>
    <row r="25" spans="1:7">
      <c r="A25" s="31" t="s">
        <v>1099</v>
      </c>
      <c r="B25" s="24" t="s">
        <v>1098</v>
      </c>
      <c r="C25" s="26">
        <v>426253.88751197996</v>
      </c>
      <c r="D25" s="28">
        <f t="shared" si="0"/>
        <v>2.0789518660266949E-2</v>
      </c>
      <c r="E25" s="27" t="s">
        <v>1093</v>
      </c>
      <c r="F25" s="26"/>
      <c r="G25" s="26">
        <f>+C25</f>
        <v>426253.88751197996</v>
      </c>
    </row>
    <row r="26" spans="1:7">
      <c r="A26" s="31">
        <v>16</v>
      </c>
      <c r="B26" s="25" t="s">
        <v>1350</v>
      </c>
      <c r="C26" s="26">
        <v>143207932.26523876</v>
      </c>
      <c r="D26" s="28">
        <f t="shared" si="0"/>
        <v>6.9846259878222252</v>
      </c>
      <c r="E26" s="27" t="s">
        <v>1093</v>
      </c>
      <c r="F26" s="26"/>
      <c r="G26" s="26">
        <f>+C26</f>
        <v>143207932.26523876</v>
      </c>
    </row>
    <row r="27" spans="1:7">
      <c r="A27" s="31">
        <v>17</v>
      </c>
      <c r="B27" s="25" t="s">
        <v>1351</v>
      </c>
      <c r="C27" s="26">
        <v>112334321.32462588</v>
      </c>
      <c r="D27" s="28">
        <f t="shared" si="0"/>
        <v>5.4788391092411963</v>
      </c>
      <c r="E27" s="27" t="s">
        <v>1093</v>
      </c>
      <c r="F27" s="26"/>
      <c r="G27" s="26">
        <f>+C27</f>
        <v>112334321.32462588</v>
      </c>
    </row>
    <row r="28" spans="1:7">
      <c r="A28" s="31">
        <v>18</v>
      </c>
      <c r="B28" s="25" t="s">
        <v>1097</v>
      </c>
      <c r="C28" s="26">
        <v>-8666881.7085096519</v>
      </c>
      <c r="D28" s="28">
        <f t="shared" si="0"/>
        <v>-0.42270652370372508</v>
      </c>
      <c r="E28" s="27" t="s">
        <v>1090</v>
      </c>
      <c r="F28" s="26">
        <f>+C28</f>
        <v>-8666881.7085096519</v>
      </c>
      <c r="G28" s="26"/>
    </row>
    <row r="29" spans="1:7">
      <c r="A29" s="31">
        <v>19</v>
      </c>
      <c r="B29" s="25" t="s">
        <v>1096</v>
      </c>
      <c r="C29" s="26">
        <v>109175792.16812748</v>
      </c>
      <c r="D29" s="28">
        <f t="shared" si="0"/>
        <v>5.3247893685542556</v>
      </c>
      <c r="E29" s="27" t="s">
        <v>1090</v>
      </c>
      <c r="F29" s="26">
        <f>+C29</f>
        <v>109175792.16812748</v>
      </c>
      <c r="G29" s="26"/>
    </row>
    <row r="30" spans="1:7">
      <c r="A30" s="31">
        <v>20</v>
      </c>
      <c r="B30" s="25" t="s">
        <v>1095</v>
      </c>
      <c r="C30" s="26">
        <v>-5469488.0226491988</v>
      </c>
      <c r="D30" s="28">
        <f t="shared" si="0"/>
        <v>-0.26676125811468715</v>
      </c>
      <c r="E30" s="27" t="s">
        <v>1093</v>
      </c>
      <c r="F30" s="26"/>
      <c r="G30" s="26">
        <f>+C30</f>
        <v>-5469488.0226491988</v>
      </c>
    </row>
    <row r="31" spans="1:7">
      <c r="A31" s="31">
        <v>21</v>
      </c>
      <c r="B31" s="23" t="s">
        <v>1094</v>
      </c>
      <c r="C31" s="26">
        <v>-21415123.754653782</v>
      </c>
      <c r="D31" s="28">
        <f t="shared" si="0"/>
        <v>-1.0444716821422257</v>
      </c>
      <c r="E31" s="27" t="s">
        <v>1093</v>
      </c>
      <c r="F31" s="26"/>
      <c r="G31" s="26">
        <f>+C31</f>
        <v>-21415123.754653782</v>
      </c>
    </row>
    <row r="32" spans="1:7">
      <c r="A32" s="31">
        <v>22</v>
      </c>
      <c r="B32" s="25" t="s">
        <v>1079</v>
      </c>
      <c r="C32" s="26">
        <v>876514.03</v>
      </c>
      <c r="D32" s="28">
        <f t="shared" si="0"/>
        <v>4.274988525977641E-2</v>
      </c>
      <c r="E32" s="27" t="s">
        <v>1090</v>
      </c>
      <c r="F32" s="26">
        <f>+C32</f>
        <v>876514.03</v>
      </c>
      <c r="G32" s="26"/>
    </row>
    <row r="33" spans="1:9">
      <c r="A33" s="31">
        <v>23</v>
      </c>
      <c r="B33" s="22" t="s">
        <v>1092</v>
      </c>
      <c r="C33" s="26">
        <v>169567639.20922089</v>
      </c>
      <c r="D33" s="28">
        <f t="shared" si="0"/>
        <v>8.2702579443769508</v>
      </c>
      <c r="E33" s="27" t="s">
        <v>1090</v>
      </c>
      <c r="F33" s="26">
        <f>+C33</f>
        <v>169567639.20922089</v>
      </c>
      <c r="G33" s="26"/>
    </row>
    <row r="34" spans="1:9">
      <c r="A34" s="31">
        <v>24</v>
      </c>
      <c r="B34" s="22" t="s">
        <v>1091</v>
      </c>
      <c r="C34" s="26">
        <v>3531950.8300239993</v>
      </c>
      <c r="D34" s="28">
        <f t="shared" si="0"/>
        <v>0.17226249387781967</v>
      </c>
      <c r="E34" s="27" t="s">
        <v>1090</v>
      </c>
      <c r="F34" s="26">
        <f>+C34</f>
        <v>3531950.8300239993</v>
      </c>
      <c r="G34" s="26"/>
    </row>
    <row r="35" spans="1:9">
      <c r="A35" s="31">
        <v>25</v>
      </c>
      <c r="B35" s="22" t="s">
        <v>1352</v>
      </c>
      <c r="C35" s="26">
        <v>5068352.99318753</v>
      </c>
      <c r="D35" s="28">
        <f t="shared" si="0"/>
        <v>0.24719685196004362</v>
      </c>
      <c r="E35" s="27" t="s">
        <v>1090</v>
      </c>
      <c r="F35" s="26">
        <f>+C35</f>
        <v>5068352.99318753</v>
      </c>
      <c r="G35" s="26"/>
      <c r="H35" s="116"/>
    </row>
    <row r="36" spans="1:9" ht="14.4" thickBot="1">
      <c r="A36" s="31">
        <v>27</v>
      </c>
      <c r="B36" s="21" t="s">
        <v>1089</v>
      </c>
      <c r="C36" s="20">
        <f>SUM(C14:C35)</f>
        <v>1178741611.433377</v>
      </c>
      <c r="D36" s="19">
        <f>SUM(D14:D35)</f>
        <v>57.490316087354387</v>
      </c>
      <c r="E36" s="18"/>
      <c r="F36" s="17">
        <f>SUM(F14:F35)</f>
        <v>473234260.20712543</v>
      </c>
      <c r="G36" s="17">
        <f>SUM(G14:G35)</f>
        <v>705507351.22625172</v>
      </c>
      <c r="H36" s="112">
        <f>SUM(F36:G36)-C36</f>
        <v>0</v>
      </c>
      <c r="I36" s="113"/>
    </row>
    <row r="37" spans="1:9">
      <c r="A37" s="31">
        <v>28</v>
      </c>
      <c r="B37" s="25" t="s">
        <v>1088</v>
      </c>
      <c r="C37" s="16">
        <v>0.95111500000000004</v>
      </c>
      <c r="D37" s="15"/>
      <c r="E37" s="15"/>
      <c r="F37" s="14">
        <f>+C37</f>
        <v>0.95111500000000004</v>
      </c>
      <c r="G37" s="14">
        <f>+C37</f>
        <v>0.95111500000000004</v>
      </c>
      <c r="H37" s="116"/>
    </row>
    <row r="38" spans="1:9">
      <c r="A38" s="31">
        <v>29</v>
      </c>
      <c r="B38" s="25" t="s">
        <v>1087</v>
      </c>
      <c r="C38" s="13">
        <f>+C36/C37</f>
        <v>1239326066.1785135</v>
      </c>
      <c r="D38" s="26"/>
      <c r="E38" s="26"/>
      <c r="F38" s="13">
        <f>+F36/F37</f>
        <v>497557351.32673275</v>
      </c>
      <c r="G38" s="13">
        <f>+G36/G37</f>
        <v>741768714.85178101</v>
      </c>
      <c r="H38" s="112">
        <f>SUM(F38:G38)-C38</f>
        <v>0</v>
      </c>
      <c r="I38" s="113"/>
    </row>
    <row r="39" spans="1:9">
      <c r="A39" s="31">
        <v>30</v>
      </c>
      <c r="B39" s="25" t="s">
        <v>1086</v>
      </c>
      <c r="C39" s="26">
        <v>20503307.194246825</v>
      </c>
      <c r="D39" s="26"/>
      <c r="E39" s="26"/>
      <c r="F39" s="25"/>
      <c r="G39" s="25"/>
      <c r="H39" s="116"/>
    </row>
    <row r="40" spans="1:9">
      <c r="A40" s="31">
        <v>31</v>
      </c>
      <c r="B40" s="25"/>
      <c r="C40" s="25"/>
      <c r="D40" s="12"/>
      <c r="E40" s="12"/>
      <c r="F40" s="25"/>
      <c r="G40" s="11"/>
      <c r="H40" s="116"/>
    </row>
    <row r="41" spans="1:9">
      <c r="A41" s="31">
        <v>32</v>
      </c>
      <c r="B41" s="25"/>
      <c r="C41" s="10" t="s">
        <v>1084</v>
      </c>
      <c r="D41" s="10" t="s">
        <v>1083</v>
      </c>
      <c r="E41" s="10"/>
      <c r="F41" s="9"/>
      <c r="G41" s="8"/>
      <c r="H41" s="116"/>
    </row>
    <row r="42" spans="1:9">
      <c r="A42" s="31">
        <v>33</v>
      </c>
      <c r="B42" s="25"/>
      <c r="C42" s="7" t="s">
        <v>1081</v>
      </c>
      <c r="D42" s="7" t="s">
        <v>1081</v>
      </c>
      <c r="E42" s="7"/>
      <c r="F42" s="6"/>
      <c r="G42" s="5"/>
      <c r="H42" s="116"/>
    </row>
    <row r="43" spans="1:9">
      <c r="A43" s="31">
        <v>34</v>
      </c>
      <c r="B43" s="25"/>
      <c r="C43" s="4" t="s">
        <v>1080</v>
      </c>
      <c r="D43" s="3"/>
      <c r="E43" s="3"/>
      <c r="F43" s="10"/>
      <c r="G43" s="10"/>
      <c r="H43" s="116"/>
    </row>
    <row r="44" spans="1:9">
      <c r="A44" s="31">
        <v>35</v>
      </c>
      <c r="B44" s="25" t="s">
        <v>1076</v>
      </c>
      <c r="C44" s="28">
        <f>D36</f>
        <v>57.490316087354387</v>
      </c>
      <c r="D44" s="28">
        <f>C44/$C$37</f>
        <v>60.445178645436549</v>
      </c>
      <c r="E44" s="28"/>
      <c r="F44" s="28"/>
      <c r="G44" s="2"/>
    </row>
    <row r="45" spans="1:9">
      <c r="A45" s="31">
        <v>36</v>
      </c>
      <c r="B45" s="25" t="s">
        <v>1078</v>
      </c>
      <c r="C45" s="28">
        <f>SUM(D14,D16:D17,D20:D22,D24,D28:D29,D32:D35)</f>
        <v>23.080874501061651</v>
      </c>
      <c r="D45" s="28">
        <f>C45/C$37</f>
        <v>24.267175368973941</v>
      </c>
      <c r="E45" s="28"/>
      <c r="F45" s="25"/>
      <c r="G45" s="25"/>
    </row>
    <row r="46" spans="1:9">
      <c r="A46" s="31">
        <v>37</v>
      </c>
      <c r="B46" s="25" t="s">
        <v>1077</v>
      </c>
      <c r="C46" s="1">
        <f>SUM(D15,D18:D19,D23,D25:D27,D30:D31)</f>
        <v>34.409441586292736</v>
      </c>
      <c r="D46" s="1">
        <f>C46/C$37</f>
        <v>36.178003276462611</v>
      </c>
      <c r="E46" s="28"/>
      <c r="F46" s="25"/>
      <c r="G46" s="25"/>
    </row>
    <row r="47" spans="1:9">
      <c r="A47" s="31">
        <v>38</v>
      </c>
      <c r="B47" s="25" t="s">
        <v>1076</v>
      </c>
      <c r="C47" s="28">
        <f>SUM(C45:C46)</f>
        <v>57.490316087354387</v>
      </c>
      <c r="D47" s="28">
        <f>SUM(D45:D46)</f>
        <v>60.445178645436556</v>
      </c>
      <c r="E47" s="28"/>
      <c r="F47" s="28"/>
      <c r="G47" s="2"/>
    </row>
    <row r="48" spans="1:9">
      <c r="A48" s="115"/>
    </row>
    <row r="49" spans="1:7" ht="14.4">
      <c r="A49" s="115"/>
      <c r="E49"/>
      <c r="F49"/>
      <c r="G49"/>
    </row>
    <row r="50" spans="1:7" ht="14.4">
      <c r="A50" s="115"/>
      <c r="E50"/>
      <c r="F50"/>
      <c r="G50"/>
    </row>
    <row r="51" spans="1:7" ht="14.4">
      <c r="A51" s="115"/>
      <c r="E51"/>
      <c r="F51"/>
      <c r="G51"/>
    </row>
    <row r="52" spans="1:7" ht="14.4">
      <c r="A52" s="115"/>
      <c r="E52"/>
      <c r="F52"/>
      <c r="G52"/>
    </row>
    <row r="53" spans="1:7" ht="14.4">
      <c r="A53" s="115"/>
      <c r="E53"/>
      <c r="F53"/>
      <c r="G53"/>
    </row>
    <row r="54" spans="1:7" ht="14.4">
      <c r="A54" s="115"/>
      <c r="E54"/>
      <c r="F54"/>
      <c r="G54"/>
    </row>
    <row r="55" spans="1:7" ht="14.4">
      <c r="A55" s="115"/>
      <c r="E55"/>
      <c r="F55"/>
      <c r="G55"/>
    </row>
    <row r="56" spans="1:7" ht="14.4">
      <c r="A56" s="115"/>
      <c r="E56"/>
      <c r="F56"/>
      <c r="G56"/>
    </row>
    <row r="57" spans="1:7" ht="14.4">
      <c r="A57" s="115"/>
      <c r="B57"/>
      <c r="C57"/>
      <c r="D57"/>
      <c r="E57"/>
      <c r="F57"/>
      <c r="G57"/>
    </row>
    <row r="58" spans="1:7" ht="14.4">
      <c r="A58" s="115"/>
      <c r="B58"/>
      <c r="C58"/>
      <c r="D58"/>
      <c r="E58"/>
      <c r="F58"/>
      <c r="G58"/>
    </row>
    <row r="59" spans="1:7" ht="14.4">
      <c r="A59" s="115"/>
      <c r="B59"/>
      <c r="C59"/>
      <c r="D59"/>
    </row>
    <row r="60" spans="1:7" ht="14.4">
      <c r="A60" s="115"/>
      <c r="B60"/>
      <c r="C60"/>
      <c r="D60"/>
    </row>
    <row r="61" spans="1:7" ht="14.4">
      <c r="A61" s="115"/>
      <c r="B61"/>
      <c r="C61"/>
      <c r="D61"/>
    </row>
    <row r="62" spans="1:7" ht="14.4">
      <c r="A62" s="115"/>
      <c r="B62"/>
      <c r="C62"/>
      <c r="D62"/>
    </row>
    <row r="63" spans="1:7" ht="14.4">
      <c r="A63" s="115"/>
      <c r="B63"/>
      <c r="C63"/>
      <c r="D63"/>
    </row>
    <row r="64" spans="1:7" ht="14.4">
      <c r="A64" s="115"/>
      <c r="B64"/>
      <c r="C64"/>
      <c r="D64"/>
    </row>
    <row r="65" spans="1:4" ht="14.4">
      <c r="A65" s="115"/>
      <c r="B65"/>
      <c r="C65"/>
      <c r="D65"/>
    </row>
    <row r="66" spans="1:4" ht="14.4">
      <c r="A66" s="115"/>
      <c r="B66"/>
      <c r="C66"/>
      <c r="D66"/>
    </row>
    <row r="67" spans="1:4" ht="14.4">
      <c r="A67" s="115"/>
      <c r="B67"/>
      <c r="C67"/>
      <c r="D67"/>
    </row>
    <row r="68" spans="1:4" ht="14.4">
      <c r="A68" s="115"/>
      <c r="B68"/>
      <c r="C68"/>
      <c r="D68"/>
    </row>
    <row r="69" spans="1:4" ht="14.4">
      <c r="A69" s="115"/>
      <c r="B69"/>
      <c r="C69"/>
      <c r="D69"/>
    </row>
    <row r="70" spans="1:4" ht="14.4">
      <c r="A70" s="115"/>
      <c r="B70"/>
      <c r="C70"/>
      <c r="D70"/>
    </row>
    <row r="71" spans="1:4" ht="14.4">
      <c r="A71" s="115"/>
      <c r="B71"/>
      <c r="C71"/>
      <c r="D71"/>
    </row>
    <row r="72" spans="1:4" ht="14.4">
      <c r="A72" s="115"/>
      <c r="B72"/>
      <c r="C72"/>
      <c r="D72"/>
    </row>
    <row r="73" spans="1:4" ht="14.4">
      <c r="A73" s="115"/>
      <c r="B73"/>
      <c r="C73"/>
      <c r="D73"/>
    </row>
    <row r="74" spans="1:4" ht="14.4">
      <c r="A74" s="115"/>
      <c r="B74"/>
      <c r="C74"/>
      <c r="D74"/>
    </row>
    <row r="75" spans="1:4" ht="14.4">
      <c r="A75" s="115"/>
      <c r="B75"/>
      <c r="C75"/>
      <c r="D75"/>
    </row>
    <row r="76" spans="1:4" ht="14.4">
      <c r="A76" s="115"/>
      <c r="B76"/>
      <c r="C76"/>
      <c r="D76"/>
    </row>
    <row r="77" spans="1:4" ht="14.4">
      <c r="A77" s="115"/>
      <c r="B77"/>
      <c r="C77"/>
      <c r="D77"/>
    </row>
    <row r="78" spans="1:4" ht="14.4">
      <c r="A78" s="115"/>
      <c r="B78"/>
      <c r="C78"/>
      <c r="D78"/>
    </row>
    <row r="79" spans="1:4" ht="14.4">
      <c r="A79" s="115"/>
      <c r="B79"/>
      <c r="C79"/>
      <c r="D79"/>
    </row>
    <row r="80" spans="1:4" ht="14.4">
      <c r="A80" s="115"/>
      <c r="B80"/>
      <c r="C80"/>
      <c r="D80"/>
    </row>
    <row r="81" spans="1:4" ht="14.4">
      <c r="A81" s="115"/>
      <c r="B81"/>
      <c r="C81"/>
      <c r="D81"/>
    </row>
    <row r="82" spans="1:4" ht="14.4">
      <c r="A82" s="115"/>
      <c r="B82"/>
      <c r="C82"/>
      <c r="D82"/>
    </row>
    <row r="83" spans="1:4">
      <c r="A83" s="115"/>
      <c r="C83" s="114"/>
      <c r="D83" s="114"/>
    </row>
    <row r="84" spans="1:4">
      <c r="A84" s="115"/>
      <c r="C84" s="114"/>
      <c r="D84" s="114"/>
    </row>
    <row r="85" spans="1:4">
      <c r="A85" s="115"/>
      <c r="C85" s="114"/>
      <c r="D85" s="114"/>
    </row>
    <row r="86" spans="1:4">
      <c r="A86" s="115"/>
      <c r="C86" s="114"/>
      <c r="D86" s="114"/>
    </row>
    <row r="87" spans="1:4">
      <c r="A87" s="115"/>
      <c r="C87" s="114"/>
      <c r="D87" s="114"/>
    </row>
    <row r="88" spans="1:4">
      <c r="A88" s="115"/>
      <c r="C88" s="114"/>
      <c r="D88" s="114"/>
    </row>
    <row r="89" spans="1:4">
      <c r="A89" s="115"/>
      <c r="C89" s="114"/>
      <c r="D89" s="114"/>
    </row>
    <row r="90" spans="1:4">
      <c r="A90" s="115"/>
    </row>
    <row r="91" spans="1:4">
      <c r="A91" s="115"/>
    </row>
    <row r="92" spans="1:4">
      <c r="A92" s="115"/>
    </row>
    <row r="93" spans="1:4">
      <c r="A93" s="115"/>
    </row>
    <row r="94" spans="1:4">
      <c r="A94" s="115"/>
    </row>
    <row r="95" spans="1:4">
      <c r="A95" s="115"/>
    </row>
    <row r="96" spans="1:4">
      <c r="A96" s="115"/>
    </row>
    <row r="97" spans="1:1">
      <c r="A97" s="115"/>
    </row>
    <row r="98" spans="1:1">
      <c r="A98" s="115"/>
    </row>
    <row r="99" spans="1:1">
      <c r="A99" s="115"/>
    </row>
    <row r="100" spans="1:1">
      <c r="A100" s="115"/>
    </row>
    <row r="101" spans="1:1">
      <c r="A101" s="115"/>
    </row>
    <row r="102" spans="1:1">
      <c r="A102" s="115"/>
    </row>
    <row r="103" spans="1:1">
      <c r="A103" s="115"/>
    </row>
    <row r="104" spans="1:1">
      <c r="A104" s="115"/>
    </row>
    <row r="105" spans="1:1">
      <c r="A105" s="115"/>
    </row>
    <row r="106" spans="1:1">
      <c r="A106" s="115"/>
    </row>
    <row r="107" spans="1:1">
      <c r="A107" s="115"/>
    </row>
    <row r="108" spans="1:1">
      <c r="A108" s="115"/>
    </row>
    <row r="109" spans="1:1">
      <c r="A109" s="115"/>
    </row>
    <row r="110" spans="1:1">
      <c r="A110" s="115"/>
    </row>
    <row r="111" spans="1:1">
      <c r="A111" s="115"/>
    </row>
    <row r="112" spans="1:1">
      <c r="A112" s="115"/>
    </row>
    <row r="113" spans="1:1">
      <c r="A113" s="115"/>
    </row>
    <row r="114" spans="1:1">
      <c r="A114" s="115"/>
    </row>
    <row r="115" spans="1:1">
      <c r="A115" s="115"/>
    </row>
    <row r="116" spans="1:1">
      <c r="A116" s="115"/>
    </row>
    <row r="117" spans="1:1">
      <c r="A117" s="115"/>
    </row>
    <row r="118" spans="1:1">
      <c r="A118" s="115"/>
    </row>
    <row r="119" spans="1:1">
      <c r="A119" s="115"/>
    </row>
    <row r="120" spans="1:1">
      <c r="A120" s="115"/>
    </row>
    <row r="121" spans="1:1">
      <c r="A121" s="115"/>
    </row>
    <row r="122" spans="1:1">
      <c r="A122" s="115"/>
    </row>
    <row r="123" spans="1:1">
      <c r="A123" s="115"/>
    </row>
    <row r="124" spans="1:1">
      <c r="A124" s="115"/>
    </row>
    <row r="125" spans="1:1">
      <c r="A125" s="115"/>
    </row>
    <row r="126" spans="1:1">
      <c r="A126" s="115"/>
    </row>
    <row r="127" spans="1:1">
      <c r="A127" s="115"/>
    </row>
    <row r="128" spans="1:1">
      <c r="A128" s="115"/>
    </row>
    <row r="129" spans="1:1">
      <c r="A129" s="115"/>
    </row>
    <row r="130" spans="1:1">
      <c r="A130" s="115"/>
    </row>
    <row r="131" spans="1:1">
      <c r="A131" s="115"/>
    </row>
  </sheetData>
  <printOptions horizontalCentered="1"/>
  <pageMargins left="0.45" right="0.45" top="0.75" bottom="0.75" header="0.3" footer="0.3"/>
  <pageSetup scale="8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2" tint="-0.499984740745262"/>
    <pageSetUpPr fitToPage="1"/>
  </sheetPr>
  <dimension ref="A1:D43"/>
  <sheetViews>
    <sheetView workbookViewId="0">
      <pane xSplit="1" ySplit="7" topLeftCell="B8" activePane="bottomRight" state="frozen"/>
      <selection activeCell="B1" sqref="B1"/>
      <selection pane="topRight" activeCell="B1" sqref="B1"/>
      <selection pane="bottomLeft" activeCell="B1" sqref="B1"/>
      <selection pane="bottomRight" activeCell="C2" sqref="C2"/>
    </sheetView>
  </sheetViews>
  <sheetFormatPr defaultColWidth="9.109375" defaultRowHeight="14.4"/>
  <cols>
    <col min="1" max="1" width="55.5546875" style="96" customWidth="1"/>
    <col min="2" max="2" width="15" style="96" customWidth="1"/>
    <col min="3" max="4" width="15" style="96" bestFit="1" customWidth="1"/>
  </cols>
  <sheetData>
    <row r="1" spans="1:4">
      <c r="C1" s="224" t="s">
        <v>1375</v>
      </c>
      <c r="D1" s="222"/>
    </row>
    <row r="2" spans="1:4">
      <c r="A2" s="59" t="s">
        <v>872</v>
      </c>
      <c r="B2" s="58"/>
      <c r="C2" s="58"/>
      <c r="D2" s="58"/>
    </row>
    <row r="3" spans="1:4">
      <c r="A3" s="59" t="s">
        <v>1168</v>
      </c>
      <c r="B3" s="58"/>
      <c r="C3" s="58"/>
      <c r="D3" s="58"/>
    </row>
    <row r="4" spans="1:4">
      <c r="A4" s="59" t="s">
        <v>1167</v>
      </c>
      <c r="B4" s="59"/>
      <c r="C4" s="59"/>
      <c r="D4" s="59"/>
    </row>
    <row r="5" spans="1:4">
      <c r="A5" s="60" t="s">
        <v>1166</v>
      </c>
      <c r="B5" s="60"/>
      <c r="C5" s="60"/>
      <c r="D5" s="60"/>
    </row>
    <row r="6" spans="1:4">
      <c r="A6" s="61"/>
      <c r="B6" s="61"/>
      <c r="C6" s="61"/>
      <c r="D6" s="61"/>
    </row>
    <row r="7" spans="1:4">
      <c r="A7" s="62"/>
      <c r="B7" s="63" t="s">
        <v>786</v>
      </c>
      <c r="C7" s="64" t="s">
        <v>788</v>
      </c>
      <c r="D7" s="65" t="s">
        <v>1165</v>
      </c>
    </row>
    <row r="8" spans="1:4">
      <c r="A8" s="67" t="s">
        <v>1164</v>
      </c>
      <c r="B8" s="68"/>
      <c r="C8" s="68"/>
      <c r="D8" s="92"/>
    </row>
    <row r="9" spans="1:4">
      <c r="A9" s="75" t="s">
        <v>1163</v>
      </c>
      <c r="B9" s="73">
        <v>2165233766.8899999</v>
      </c>
      <c r="C9" s="73">
        <v>876657675.66999984</v>
      </c>
      <c r="D9" s="83">
        <f>SUM(B9:C9)</f>
        <v>3041891442.5599995</v>
      </c>
    </row>
    <row r="10" spans="1:4">
      <c r="A10" s="75" t="s">
        <v>1162</v>
      </c>
      <c r="B10" s="69">
        <v>340431.51999999897</v>
      </c>
      <c r="C10" s="69">
        <v>0</v>
      </c>
      <c r="D10" s="92">
        <f>SUM(B10:C10)</f>
        <v>340431.51999999897</v>
      </c>
    </row>
    <row r="11" spans="1:4">
      <c r="A11" s="75" t="s">
        <v>1161</v>
      </c>
      <c r="B11" s="69">
        <v>155333122.24000001</v>
      </c>
      <c r="C11" s="69">
        <v>0</v>
      </c>
      <c r="D11" s="92">
        <f>SUM(B11:C11)</f>
        <v>155333122.24000001</v>
      </c>
    </row>
    <row r="12" spans="1:4">
      <c r="A12" s="75" t="s">
        <v>1160</v>
      </c>
      <c r="B12" s="70">
        <v>122175867.17999999</v>
      </c>
      <c r="C12" s="71">
        <v>-25909998.579999998</v>
      </c>
      <c r="D12" s="66">
        <f>SUM(B12:C12)</f>
        <v>96265868.599999994</v>
      </c>
    </row>
    <row r="13" spans="1:4">
      <c r="A13" s="75" t="s">
        <v>1159</v>
      </c>
      <c r="B13" s="82">
        <f>SUM(B9:B12)</f>
        <v>2443083187.8299994</v>
      </c>
      <c r="C13" s="82">
        <f>SUM(C9:C12)</f>
        <v>850747677.08999979</v>
      </c>
      <c r="D13" s="83">
        <f>SUM(D9:D12)</f>
        <v>3293830864.9199996</v>
      </c>
    </row>
    <row r="14" spans="1:4">
      <c r="A14" s="67" t="s">
        <v>1158</v>
      </c>
      <c r="B14" s="68"/>
      <c r="C14" s="68"/>
      <c r="D14" s="92"/>
    </row>
    <row r="15" spans="1:4">
      <c r="A15" s="67" t="s">
        <v>1157</v>
      </c>
      <c r="B15" s="68"/>
      <c r="C15" s="68"/>
      <c r="D15" s="92"/>
    </row>
    <row r="16" spans="1:4">
      <c r="A16" s="67" t="s">
        <v>1156</v>
      </c>
      <c r="B16" s="68"/>
      <c r="C16" s="68"/>
      <c r="D16" s="92"/>
    </row>
    <row r="17" spans="1:4">
      <c r="A17" s="67" t="s">
        <v>1155</v>
      </c>
      <c r="B17" s="68"/>
      <c r="C17" s="68"/>
      <c r="D17" s="92"/>
    </row>
    <row r="18" spans="1:4">
      <c r="A18" s="75" t="s">
        <v>1154</v>
      </c>
      <c r="B18" s="73">
        <v>204174130.28999999</v>
      </c>
      <c r="C18" s="73">
        <v>0</v>
      </c>
      <c r="D18" s="83">
        <f>B18+C18</f>
        <v>204174130.28999999</v>
      </c>
    </row>
    <row r="19" spans="1:4">
      <c r="A19" s="75" t="s">
        <v>1153</v>
      </c>
      <c r="B19" s="69">
        <v>591842797.56999886</v>
      </c>
      <c r="C19" s="69">
        <v>296699052.05999887</v>
      </c>
      <c r="D19" s="74">
        <f>B19+C19</f>
        <v>888541849.62999773</v>
      </c>
    </row>
    <row r="20" spans="1:4">
      <c r="A20" s="75" t="s">
        <v>1152</v>
      </c>
      <c r="B20" s="69">
        <v>115807777.5999999</v>
      </c>
      <c r="C20" s="69">
        <v>0</v>
      </c>
      <c r="D20" s="74">
        <f>B20+C20</f>
        <v>115807777.5999999</v>
      </c>
    </row>
    <row r="21" spans="1:4">
      <c r="A21" s="75" t="s">
        <v>1151</v>
      </c>
      <c r="B21" s="70">
        <v>-77453659.509999901</v>
      </c>
      <c r="C21" s="71">
        <v>0</v>
      </c>
      <c r="D21" s="72">
        <f>B21+C21</f>
        <v>-77453659.509999901</v>
      </c>
    </row>
    <row r="22" spans="1:4">
      <c r="A22" s="75" t="s">
        <v>1150</v>
      </c>
      <c r="B22" s="82">
        <f>SUM(B18:B21)</f>
        <v>834371045.94999886</v>
      </c>
      <c r="C22" s="82">
        <f>SUM(C18:C21)</f>
        <v>296699052.05999887</v>
      </c>
      <c r="D22" s="83">
        <f>SUM(D18:D21)</f>
        <v>1131070098.0099976</v>
      </c>
    </row>
    <row r="23" spans="1:4">
      <c r="A23" s="81" t="s">
        <v>1149</v>
      </c>
      <c r="B23" s="85"/>
      <c r="C23" s="85"/>
      <c r="D23" s="86"/>
    </row>
    <row r="24" spans="1:4">
      <c r="A24" s="75" t="s">
        <v>1148</v>
      </c>
      <c r="B24" s="73">
        <v>127167992.89</v>
      </c>
      <c r="C24" s="73">
        <v>6042805.129999999</v>
      </c>
      <c r="D24" s="83">
        <f t="shared" ref="D24:D38" si="0">B24+C24</f>
        <v>133210798.02</v>
      </c>
    </row>
    <row r="25" spans="1:4">
      <c r="A25" s="75" t="s">
        <v>1147</v>
      </c>
      <c r="B25" s="76">
        <v>24439502.479999997</v>
      </c>
      <c r="C25" s="76">
        <v>2110.77</v>
      </c>
      <c r="D25" s="74">
        <f t="shared" si="0"/>
        <v>24441613.249999996</v>
      </c>
    </row>
    <row r="26" spans="1:4">
      <c r="A26" s="75" t="s">
        <v>1146</v>
      </c>
      <c r="B26" s="76">
        <v>83251239.00999999</v>
      </c>
      <c r="C26" s="76">
        <v>60174168.099999979</v>
      </c>
      <c r="D26" s="74">
        <f t="shared" si="0"/>
        <v>143425407.10999995</v>
      </c>
    </row>
    <row r="27" spans="1:4">
      <c r="A27" s="75" t="s">
        <v>1145</v>
      </c>
      <c r="B27" s="76">
        <v>53199861.179999992</v>
      </c>
      <c r="C27" s="76">
        <v>29807451.619999997</v>
      </c>
      <c r="D27" s="74">
        <f t="shared" si="0"/>
        <v>83007312.799999982</v>
      </c>
    </row>
    <row r="28" spans="1:4">
      <c r="A28" s="75" t="s">
        <v>1144</v>
      </c>
      <c r="B28" s="76">
        <v>22140921.049999997</v>
      </c>
      <c r="C28" s="76">
        <v>6574431.0799999991</v>
      </c>
      <c r="D28" s="74">
        <f t="shared" si="0"/>
        <v>28715352.129999995</v>
      </c>
    </row>
    <row r="29" spans="1:4">
      <c r="A29" s="75" t="s">
        <v>1143</v>
      </c>
      <c r="B29" s="76">
        <v>97087902.950000003</v>
      </c>
      <c r="C29" s="76">
        <v>14625833.34</v>
      </c>
      <c r="D29" s="74">
        <f t="shared" si="0"/>
        <v>111713736.29000001</v>
      </c>
    </row>
    <row r="30" spans="1:4">
      <c r="A30" s="75" t="s">
        <v>1142</v>
      </c>
      <c r="B30" s="76">
        <v>124825410.95999999</v>
      </c>
      <c r="C30" s="76">
        <v>57249534.549999997</v>
      </c>
      <c r="D30" s="74">
        <f t="shared" si="0"/>
        <v>182074945.50999999</v>
      </c>
    </row>
    <row r="31" spans="1:4">
      <c r="A31" s="75" t="s">
        <v>1141</v>
      </c>
      <c r="B31" s="76">
        <v>341625259.95999998</v>
      </c>
      <c r="C31" s="76">
        <v>116957730.5099999</v>
      </c>
      <c r="D31" s="74">
        <f t="shared" si="0"/>
        <v>458582990.46999991</v>
      </c>
    </row>
    <row r="32" spans="1:4">
      <c r="A32" s="75" t="s">
        <v>1140</v>
      </c>
      <c r="B32" s="76">
        <v>75292958.060000002</v>
      </c>
      <c r="C32" s="76">
        <v>26117569.960000001</v>
      </c>
      <c r="D32" s="74">
        <f t="shared" si="0"/>
        <v>101410528.02000001</v>
      </c>
    </row>
    <row r="33" spans="1:4">
      <c r="A33" s="75" t="s">
        <v>1139</v>
      </c>
      <c r="B33" s="76">
        <v>35645161.039999902</v>
      </c>
      <c r="C33" s="76">
        <v>0</v>
      </c>
      <c r="D33" s="74">
        <f t="shared" si="0"/>
        <v>35645161.039999902</v>
      </c>
    </row>
    <row r="34" spans="1:4">
      <c r="A34" s="84" t="s">
        <v>1138</v>
      </c>
      <c r="B34" s="76">
        <v>-21632953.829999994</v>
      </c>
      <c r="C34" s="76">
        <v>8769360.9199999981</v>
      </c>
      <c r="D34" s="77">
        <f t="shared" si="0"/>
        <v>-12863592.909999996</v>
      </c>
    </row>
    <row r="35" spans="1:4">
      <c r="A35" s="75" t="s">
        <v>1137</v>
      </c>
      <c r="B35" s="76">
        <v>-41661500.859999999</v>
      </c>
      <c r="C35" s="76">
        <v>0</v>
      </c>
      <c r="D35" s="77">
        <f t="shared" si="0"/>
        <v>-41661500.859999999</v>
      </c>
    </row>
    <row r="36" spans="1:4">
      <c r="A36" s="84" t="s">
        <v>1136</v>
      </c>
      <c r="B36" s="76">
        <v>234440433.30000001</v>
      </c>
      <c r="C36" s="76">
        <v>101477296.77</v>
      </c>
      <c r="D36" s="77">
        <f t="shared" si="0"/>
        <v>335917730.06999999</v>
      </c>
    </row>
    <row r="37" spans="1:4">
      <c r="A37" s="84" t="s">
        <v>1135</v>
      </c>
      <c r="B37" s="76">
        <v>22841555.030000001</v>
      </c>
      <c r="C37" s="76">
        <v>31944158.879999999</v>
      </c>
      <c r="D37" s="77">
        <f t="shared" si="0"/>
        <v>54785713.909999996</v>
      </c>
    </row>
    <row r="38" spans="1:4">
      <c r="A38" s="84" t="s">
        <v>1134</v>
      </c>
      <c r="B38" s="78">
        <v>38907707.560000002</v>
      </c>
      <c r="C38" s="79">
        <v>-9558130.5899999961</v>
      </c>
      <c r="D38" s="80">
        <f t="shared" si="0"/>
        <v>29349576.970000006</v>
      </c>
    </row>
    <row r="39" spans="1:4">
      <c r="A39" s="81" t="s">
        <v>1133</v>
      </c>
      <c r="B39" s="82">
        <f>SUM(B22:B38)</f>
        <v>2051942496.7299988</v>
      </c>
      <c r="C39" s="82">
        <f>SUM(C22:C38)</f>
        <v>746883373.09999859</v>
      </c>
      <c r="D39" s="83">
        <f>SUM(D22:D38)</f>
        <v>2798825869.8299971</v>
      </c>
    </row>
    <row r="40" spans="1:4">
      <c r="A40" s="84"/>
      <c r="B40" s="85"/>
      <c r="C40" s="85"/>
      <c r="D40" s="86"/>
    </row>
    <row r="41" spans="1:4" ht="17.399999999999999">
      <c r="A41" s="87" t="s">
        <v>47</v>
      </c>
      <c r="B41" s="88">
        <f>B13-B39</f>
        <v>391140691.10000062</v>
      </c>
      <c r="C41" s="88">
        <f>C13-C39</f>
        <v>103864303.9900012</v>
      </c>
      <c r="D41" s="89">
        <f>D13-D39</f>
        <v>495004995.09000254</v>
      </c>
    </row>
    <row r="42" spans="1:4">
      <c r="A42" s="90"/>
      <c r="B42" s="91"/>
      <c r="C42" s="91"/>
      <c r="D42" s="92"/>
    </row>
    <row r="43" spans="1:4">
      <c r="A43" s="93"/>
      <c r="B43" s="94"/>
      <c r="C43" s="94"/>
      <c r="D43" s="95"/>
    </row>
  </sheetData>
  <pageMargins left="0.7" right="0.7" top="0.75" bottom="0.75" header="0.3" footer="0.3"/>
  <pageSetup scale="90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7030A0"/>
    <pageSetUpPr fitToPage="1"/>
  </sheetPr>
  <dimension ref="A1:D212"/>
  <sheetViews>
    <sheetView topLeftCell="A139" zoomScale="90" zoomScaleNormal="90" workbookViewId="0">
      <selection activeCell="B19" sqref="B19"/>
    </sheetView>
  </sheetViews>
  <sheetFormatPr defaultRowHeight="14.4"/>
  <cols>
    <col min="1" max="1" width="53" style="117" customWidth="1"/>
    <col min="2" max="2" width="21.6640625" style="57" customWidth="1"/>
    <col min="3" max="3" width="21.33203125" style="57" customWidth="1"/>
    <col min="4" max="4" width="17.109375" style="56" bestFit="1" customWidth="1"/>
    <col min="5" max="5" width="12.33203125" bestFit="1" customWidth="1"/>
  </cols>
  <sheetData>
    <row r="1" spans="1:3" ht="15.75" customHeight="1"/>
    <row r="2" spans="1:3" ht="23.25" customHeight="1">
      <c r="A2" s="1302" t="s">
        <v>872</v>
      </c>
      <c r="B2" s="1302"/>
      <c r="C2" s="1302"/>
    </row>
    <row r="3" spans="1:3" ht="15.75" customHeight="1">
      <c r="A3" s="1286" t="s">
        <v>1169</v>
      </c>
      <c r="B3" s="1286"/>
      <c r="C3" s="1286"/>
    </row>
    <row r="4" spans="1:3" ht="20.25" customHeight="1">
      <c r="A4" s="1286" t="s">
        <v>1170</v>
      </c>
      <c r="B4" s="1286"/>
      <c r="C4" s="1286"/>
    </row>
    <row r="5" spans="1:3" ht="4.5" customHeight="1"/>
    <row r="6" spans="1:3">
      <c r="A6" s="55" t="s">
        <v>1171</v>
      </c>
      <c r="B6" s="54" t="s">
        <v>1343</v>
      </c>
      <c r="C6" s="53" t="s">
        <v>1344</v>
      </c>
    </row>
    <row r="8" spans="1:3">
      <c r="A8" s="52" t="s">
        <v>1172</v>
      </c>
    </row>
    <row r="9" spans="1:3">
      <c r="A9" s="52" t="s">
        <v>1173</v>
      </c>
    </row>
    <row r="10" spans="1:3">
      <c r="A10" s="52" t="s">
        <v>1174</v>
      </c>
    </row>
    <row r="11" spans="1:3">
      <c r="A11" s="52" t="s">
        <v>1175</v>
      </c>
      <c r="B11" s="51">
        <v>9955834379.2299995</v>
      </c>
      <c r="C11" s="51">
        <v>9813962972.7716675</v>
      </c>
    </row>
    <row r="12" spans="1:3">
      <c r="A12" s="52" t="s">
        <v>1176</v>
      </c>
      <c r="B12" s="76">
        <v>0</v>
      </c>
      <c r="C12" s="76">
        <v>0</v>
      </c>
    </row>
    <row r="13" spans="1:3">
      <c r="A13" s="52" t="s">
        <v>1177</v>
      </c>
      <c r="B13" s="76">
        <v>38572647</v>
      </c>
      <c r="C13" s="76">
        <v>48959502.124583334</v>
      </c>
    </row>
    <row r="14" spans="1:3">
      <c r="A14" s="52" t="s">
        <v>1178</v>
      </c>
      <c r="B14" s="76">
        <v>148449856.16</v>
      </c>
      <c r="C14" s="76">
        <v>92634101.347916663</v>
      </c>
    </row>
    <row r="15" spans="1:3">
      <c r="A15" s="52" t="s">
        <v>1179</v>
      </c>
      <c r="B15" s="76">
        <v>292295492.96999997</v>
      </c>
      <c r="C15" s="76">
        <v>288254223.37333333</v>
      </c>
    </row>
    <row r="16" spans="1:3">
      <c r="A16" s="52" t="s">
        <v>1180</v>
      </c>
      <c r="B16" s="79">
        <v>282791674.87</v>
      </c>
      <c r="C16" s="79">
        <v>282791674.86999995</v>
      </c>
    </row>
    <row r="17" spans="1:3">
      <c r="A17" s="52" t="s">
        <v>1181</v>
      </c>
      <c r="B17" s="76">
        <f>SUM(B11:B16)</f>
        <v>10717944050.23</v>
      </c>
      <c r="C17" s="76">
        <f>SUM(C11:C16)</f>
        <v>10526602474.487503</v>
      </c>
    </row>
    <row r="18" spans="1:3">
      <c r="A18" s="52"/>
      <c r="B18" s="50"/>
      <c r="C18" s="50"/>
    </row>
    <row r="19" spans="1:3">
      <c r="A19" s="49" t="s">
        <v>1182</v>
      </c>
      <c r="B19" s="48"/>
      <c r="C19" s="48"/>
    </row>
    <row r="20" spans="1:3">
      <c r="A20" s="49" t="s">
        <v>1183</v>
      </c>
      <c r="B20" s="76">
        <v>3906672805.0099998</v>
      </c>
      <c r="C20" s="76">
        <v>3759695449.0620837</v>
      </c>
    </row>
    <row r="21" spans="1:3">
      <c r="A21" s="49" t="s">
        <v>1184</v>
      </c>
      <c r="B21" s="76">
        <v>611314.14</v>
      </c>
      <c r="C21" s="76">
        <v>645714.02166666661</v>
      </c>
    </row>
    <row r="22" spans="1:3">
      <c r="A22" s="49" t="s">
        <v>1185</v>
      </c>
      <c r="B22" s="76">
        <v>69222472.660000011</v>
      </c>
      <c r="C22" s="76">
        <v>82426385.065416664</v>
      </c>
    </row>
    <row r="23" spans="1:3">
      <c r="A23" s="49" t="s">
        <v>1186</v>
      </c>
      <c r="B23" s="76">
        <v>179328390.75999999</v>
      </c>
      <c r="C23" s="76">
        <v>166471945.12291667</v>
      </c>
    </row>
    <row r="24" spans="1:3">
      <c r="A24" s="49" t="s">
        <v>1187</v>
      </c>
      <c r="B24" s="76">
        <v>8654564.4700000007</v>
      </c>
      <c r="C24" s="76">
        <v>8654564.4700000007</v>
      </c>
    </row>
    <row r="25" spans="1:3">
      <c r="A25" s="1151" t="s">
        <v>1188</v>
      </c>
      <c r="B25" s="79">
        <v>0</v>
      </c>
      <c r="C25" s="79">
        <v>0</v>
      </c>
    </row>
    <row r="26" spans="1:3">
      <c r="A26" s="1152" t="s">
        <v>1189</v>
      </c>
      <c r="B26" s="76">
        <f>SUM(B20:B25)</f>
        <v>4164489547.0399995</v>
      </c>
      <c r="C26" s="76">
        <f>SUM(C20:C25)</f>
        <v>4017894057.7420835</v>
      </c>
    </row>
    <row r="27" spans="1:3">
      <c r="A27" s="52"/>
      <c r="B27" s="50"/>
      <c r="C27" s="50"/>
    </row>
    <row r="28" spans="1:3">
      <c r="A28" s="52" t="s">
        <v>1190</v>
      </c>
      <c r="B28" s="48"/>
      <c r="C28" s="48"/>
    </row>
    <row r="29" spans="1:3">
      <c r="A29" s="52" t="s">
        <v>1191</v>
      </c>
      <c r="B29" s="76">
        <v>949850308.63999999</v>
      </c>
      <c r="C29" s="76">
        <v>759158599.71291649</v>
      </c>
    </row>
    <row r="30" spans="1:3">
      <c r="A30" s="52" t="s">
        <v>1192</v>
      </c>
      <c r="B30" s="76">
        <v>1314513.67</v>
      </c>
      <c r="C30" s="76">
        <v>1302809.2120833332</v>
      </c>
    </row>
    <row r="31" spans="1:3">
      <c r="A31" s="52" t="s">
        <v>1193</v>
      </c>
      <c r="B31" s="76">
        <v>352116.26</v>
      </c>
      <c r="C31" s="76">
        <v>14690.440833333334</v>
      </c>
    </row>
    <row r="32" spans="1:3">
      <c r="A32" s="52" t="s">
        <v>1194</v>
      </c>
      <c r="B32" s="76">
        <v>22184838.210000001</v>
      </c>
      <c r="C32" s="76">
        <v>18258039.377500001</v>
      </c>
    </row>
    <row r="33" spans="1:3">
      <c r="A33" s="52" t="s">
        <v>1195</v>
      </c>
      <c r="B33" s="79">
        <v>78842536.019999996</v>
      </c>
      <c r="C33" s="79">
        <v>159452869.11541668</v>
      </c>
    </row>
    <row r="34" spans="1:3">
      <c r="A34" s="52" t="s">
        <v>1196</v>
      </c>
      <c r="B34" s="76">
        <f>SUM(B29:B33)</f>
        <v>1052544312.8</v>
      </c>
      <c r="C34" s="76">
        <f>SUM(C29:C33)</f>
        <v>938187007.85874987</v>
      </c>
    </row>
    <row r="35" spans="1:3">
      <c r="A35" s="52"/>
      <c r="B35" s="50"/>
      <c r="C35" s="50"/>
    </row>
    <row r="36" spans="1:3">
      <c r="A36" s="52" t="s">
        <v>1197</v>
      </c>
      <c r="B36" s="48"/>
      <c r="C36" s="48"/>
    </row>
    <row r="37" spans="1:3">
      <c r="A37" s="52" t="s">
        <v>1198</v>
      </c>
      <c r="B37" s="76">
        <v>-5631891084.2800007</v>
      </c>
      <c r="C37" s="76">
        <v>-5469499311.9012499</v>
      </c>
    </row>
    <row r="38" spans="1:3">
      <c r="A38" s="52" t="s">
        <v>1199</v>
      </c>
      <c r="B38" s="76">
        <v>-244001487.82999998</v>
      </c>
      <c r="C38" s="76">
        <v>-211355297.58000001</v>
      </c>
    </row>
    <row r="39" spans="1:3">
      <c r="A39" s="52" t="s">
        <v>1200</v>
      </c>
      <c r="B39" s="79">
        <v>-138085918.42000002</v>
      </c>
      <c r="C39" s="79">
        <v>-133865821.83999999</v>
      </c>
    </row>
    <row r="40" spans="1:3">
      <c r="A40" s="52" t="s">
        <v>1201</v>
      </c>
      <c r="B40" s="76">
        <f>SUM(B37:B39)</f>
        <v>-6013978490.5300007</v>
      </c>
      <c r="C40" s="76">
        <f>SUM(C37:C39)</f>
        <v>-5814720431.32125</v>
      </c>
    </row>
    <row r="41" spans="1:3">
      <c r="A41" s="52"/>
      <c r="B41" s="50"/>
      <c r="C41" s="50"/>
    </row>
    <row r="42" spans="1:3">
      <c r="A42" s="52" t="s">
        <v>1202</v>
      </c>
      <c r="B42" s="76">
        <f>SUM(B40,B34,B26,B17)</f>
        <v>9920999419.539999</v>
      </c>
      <c r="C42" s="76">
        <f>SUM(C40,C34,C26,C17)</f>
        <v>9667963108.767086</v>
      </c>
    </row>
    <row r="43" spans="1:3">
      <c r="A43" s="52"/>
      <c r="B43" s="50"/>
      <c r="C43" s="50"/>
    </row>
    <row r="44" spans="1:3">
      <c r="A44" s="52" t="s">
        <v>1203</v>
      </c>
      <c r="B44" s="48"/>
      <c r="C44" s="48"/>
    </row>
    <row r="45" spans="1:3">
      <c r="A45" s="52" t="s">
        <v>1204</v>
      </c>
      <c r="B45" s="48"/>
      <c r="C45" s="48"/>
    </row>
    <row r="46" spans="1:3">
      <c r="A46" s="52" t="s">
        <v>1205</v>
      </c>
      <c r="B46" s="76">
        <v>3200905.2</v>
      </c>
      <c r="C46" s="76">
        <v>3119746.5283333338</v>
      </c>
    </row>
    <row r="47" spans="1:3">
      <c r="A47" s="52" t="s">
        <v>1206</v>
      </c>
      <c r="B47" s="76">
        <v>-20712.88</v>
      </c>
      <c r="C47" s="76">
        <v>-20712.769166666669</v>
      </c>
    </row>
    <row r="48" spans="1:3">
      <c r="A48" s="52" t="s">
        <v>1207</v>
      </c>
      <c r="B48" s="76">
        <v>24740576</v>
      </c>
      <c r="C48" s="76">
        <v>25199681.583333332</v>
      </c>
    </row>
    <row r="49" spans="1:3">
      <c r="A49" s="52" t="s">
        <v>1208</v>
      </c>
      <c r="B49" s="79">
        <v>49502086.299999997</v>
      </c>
      <c r="C49" s="79">
        <v>48842493.78125</v>
      </c>
    </row>
    <row r="50" spans="1:3">
      <c r="A50" s="52" t="s">
        <v>1209</v>
      </c>
      <c r="B50" s="76">
        <f>SUM(B46:B49)</f>
        <v>77422854.620000005</v>
      </c>
      <c r="C50" s="76">
        <f>SUM(C46:C49)</f>
        <v>77141209.123750001</v>
      </c>
    </row>
    <row r="51" spans="1:3">
      <c r="A51" s="52"/>
      <c r="B51" s="50"/>
      <c r="C51" s="50"/>
    </row>
    <row r="52" spans="1:3">
      <c r="A52" s="52" t="s">
        <v>1210</v>
      </c>
      <c r="B52" s="76">
        <f>B50</f>
        <v>77422854.620000005</v>
      </c>
      <c r="C52" s="76">
        <f>C50</f>
        <v>77141209.123750001</v>
      </c>
    </row>
    <row r="53" spans="1:3">
      <c r="A53" s="52"/>
      <c r="B53" s="50"/>
      <c r="C53" s="50"/>
    </row>
    <row r="54" spans="1:3">
      <c r="A54" s="52" t="s">
        <v>1211</v>
      </c>
      <c r="B54" s="48"/>
      <c r="C54" s="48"/>
    </row>
    <row r="55" spans="1:3">
      <c r="A55" s="52" t="s">
        <v>1212</v>
      </c>
      <c r="B55" s="48"/>
      <c r="C55" s="48"/>
    </row>
    <row r="56" spans="1:3">
      <c r="A56" s="52" t="s">
        <v>1213</v>
      </c>
      <c r="B56" s="76">
        <v>34727115.600000001</v>
      </c>
      <c r="C56" s="76">
        <v>11990264.675833335</v>
      </c>
    </row>
    <row r="57" spans="1:3">
      <c r="A57" s="52" t="s">
        <v>1214</v>
      </c>
      <c r="B57" s="76">
        <v>14058057.800000001</v>
      </c>
      <c r="C57" s="76">
        <v>6067183.7133333338</v>
      </c>
    </row>
    <row r="58" spans="1:3">
      <c r="A58" s="52" t="s">
        <v>1215</v>
      </c>
      <c r="B58" s="76">
        <v>3991806.16</v>
      </c>
      <c r="C58" s="76">
        <v>3760183.4008333329</v>
      </c>
    </row>
    <row r="59" spans="1:3">
      <c r="A59" s="52" t="s">
        <v>1216</v>
      </c>
      <c r="B59" s="79">
        <v>0</v>
      </c>
      <c r="C59" s="79">
        <v>0</v>
      </c>
    </row>
    <row r="60" spans="1:3">
      <c r="A60" s="52" t="s">
        <v>1217</v>
      </c>
      <c r="B60" s="76">
        <f>SUM(B56:B59)</f>
        <v>52776979.560000002</v>
      </c>
      <c r="C60" s="76">
        <f>SUM(C56:C59)</f>
        <v>21817631.789999999</v>
      </c>
    </row>
    <row r="61" spans="1:3">
      <c r="A61" s="52"/>
      <c r="B61" s="50"/>
      <c r="C61" s="50"/>
    </row>
    <row r="62" spans="1:3">
      <c r="A62" s="52" t="s">
        <v>1218</v>
      </c>
      <c r="B62" s="47">
        <v>0</v>
      </c>
      <c r="C62" s="47">
        <v>0</v>
      </c>
    </row>
    <row r="63" spans="1:3">
      <c r="A63" s="52" t="s">
        <v>1219</v>
      </c>
      <c r="B63" s="48">
        <f>SUM(B62)</f>
        <v>0</v>
      </c>
      <c r="C63" s="48">
        <f>SUM(C62)</f>
        <v>0</v>
      </c>
    </row>
    <row r="64" spans="1:3">
      <c r="A64" s="52"/>
      <c r="B64" s="48"/>
      <c r="C64" s="48"/>
    </row>
    <row r="65" spans="1:3">
      <c r="A65" s="52" t="s">
        <v>1220</v>
      </c>
      <c r="B65" s="48"/>
      <c r="C65" s="48"/>
    </row>
    <row r="66" spans="1:3">
      <c r="A66" s="52" t="s">
        <v>1221</v>
      </c>
      <c r="B66" s="76">
        <v>546624.54</v>
      </c>
      <c r="C66" s="76">
        <v>918546.96333333303</v>
      </c>
    </row>
    <row r="67" spans="1:3">
      <c r="A67" s="52" t="s">
        <v>1222</v>
      </c>
      <c r="B67" s="76">
        <v>187008726.55000001</v>
      </c>
      <c r="C67" s="76">
        <v>180612832.91291666</v>
      </c>
    </row>
    <row r="68" spans="1:3">
      <c r="A68" s="52" t="s">
        <v>1223</v>
      </c>
      <c r="B68" s="76">
        <v>141429898.19999999</v>
      </c>
      <c r="C68" s="76">
        <v>101109533.37958331</v>
      </c>
    </row>
    <row r="69" spans="1:3">
      <c r="A69" s="52" t="s">
        <v>1224</v>
      </c>
      <c r="B69" s="76">
        <v>8535302.2799999993</v>
      </c>
      <c r="C69" s="76">
        <v>6083056.4937499994</v>
      </c>
    </row>
    <row r="70" spans="1:3">
      <c r="A70" s="52" t="s">
        <v>1225</v>
      </c>
      <c r="B70" s="76">
        <v>0</v>
      </c>
      <c r="C70" s="76">
        <v>0</v>
      </c>
    </row>
    <row r="71" spans="1:3">
      <c r="A71" s="52" t="s">
        <v>1226</v>
      </c>
      <c r="B71" s="76">
        <v>205285105.18000001</v>
      </c>
      <c r="C71" s="76">
        <v>157186384.91374999</v>
      </c>
    </row>
    <row r="72" spans="1:3">
      <c r="A72" s="52" t="s">
        <v>1227</v>
      </c>
      <c r="B72" s="76">
        <v>190334.87</v>
      </c>
      <c r="C72" s="76">
        <v>189100.72666666665</v>
      </c>
    </row>
    <row r="73" spans="1:3">
      <c r="A73" s="52" t="s">
        <v>1228</v>
      </c>
      <c r="B73" s="79">
        <v>9921987.5899999999</v>
      </c>
      <c r="C73" s="79">
        <v>-30019107.215833332</v>
      </c>
    </row>
    <row r="74" spans="1:3">
      <c r="A74" s="52" t="s">
        <v>1229</v>
      </c>
      <c r="B74" s="76">
        <f>SUM(B66:B73)</f>
        <v>552917979.21000004</v>
      </c>
      <c r="C74" s="76">
        <f>SUM(C66:C73)</f>
        <v>416080348.17416668</v>
      </c>
    </row>
    <row r="75" spans="1:3">
      <c r="A75" s="52"/>
      <c r="B75" s="50"/>
      <c r="C75" s="50"/>
    </row>
    <row r="76" spans="1:3">
      <c r="A76" s="52" t="s">
        <v>1230</v>
      </c>
      <c r="B76" s="48"/>
      <c r="C76" s="48"/>
    </row>
    <row r="77" spans="1:3">
      <c r="A77" s="52" t="s">
        <v>1231</v>
      </c>
      <c r="B77" s="79">
        <v>-8408669.5700000003</v>
      </c>
      <c r="C77" s="79">
        <v>-7757131.9241666673</v>
      </c>
    </row>
    <row r="78" spans="1:3">
      <c r="A78" s="52" t="s">
        <v>1232</v>
      </c>
      <c r="B78" s="76">
        <f>SUM(B77)</f>
        <v>-8408669.5700000003</v>
      </c>
      <c r="C78" s="76">
        <f>SUM(C77)</f>
        <v>-7757131.9241666673</v>
      </c>
    </row>
    <row r="79" spans="1:3">
      <c r="A79" s="52"/>
      <c r="B79" s="50"/>
      <c r="C79" s="50"/>
    </row>
    <row r="80" spans="1:3">
      <c r="A80" s="52" t="s">
        <v>1233</v>
      </c>
      <c r="B80" s="48"/>
      <c r="C80" s="48"/>
    </row>
    <row r="81" spans="1:3">
      <c r="A81" s="52" t="s">
        <v>1234</v>
      </c>
      <c r="B81" s="76">
        <v>19826387.739999998</v>
      </c>
      <c r="C81" s="76">
        <v>19962250.081250004</v>
      </c>
    </row>
    <row r="82" spans="1:3">
      <c r="A82" s="52" t="s">
        <v>1235</v>
      </c>
      <c r="B82" s="76">
        <v>116613588.34</v>
      </c>
      <c r="C82" s="76">
        <v>112244594.17541666</v>
      </c>
    </row>
    <row r="83" spans="1:3">
      <c r="A83" s="52" t="s">
        <v>1236</v>
      </c>
      <c r="B83" s="76">
        <v>277440</v>
      </c>
      <c r="C83" s="76">
        <v>268403.08333333331</v>
      </c>
    </row>
    <row r="84" spans="1:3">
      <c r="A84" s="52" t="s">
        <v>1237</v>
      </c>
      <c r="B84" s="76">
        <v>22556.43</v>
      </c>
      <c r="C84" s="76">
        <v>30476.470416666667</v>
      </c>
    </row>
    <row r="85" spans="1:3">
      <c r="A85" s="52" t="s">
        <v>1238</v>
      </c>
      <c r="B85" s="76">
        <v>-456331.98</v>
      </c>
      <c r="C85" s="76">
        <v>-355467.83</v>
      </c>
    </row>
    <row r="86" spans="1:3">
      <c r="A86" s="52" t="s">
        <v>1239</v>
      </c>
      <c r="B86" s="76">
        <v>31860027.23</v>
      </c>
      <c r="C86" s="76">
        <v>27540763.139583331</v>
      </c>
    </row>
    <row r="87" spans="1:3">
      <c r="A87" s="52" t="s">
        <v>1240</v>
      </c>
      <c r="B87" s="79">
        <v>65132.639999999999</v>
      </c>
      <c r="C87" s="79">
        <v>61318.024166666648</v>
      </c>
    </row>
    <row r="88" spans="1:3">
      <c r="A88" s="52" t="s">
        <v>1241</v>
      </c>
      <c r="B88" s="76">
        <f>SUM(B81:B87)</f>
        <v>168208800.40000001</v>
      </c>
      <c r="C88" s="76">
        <f>SUM(C81:C87)</f>
        <v>159752337.14416665</v>
      </c>
    </row>
    <row r="89" spans="1:3">
      <c r="A89" s="52"/>
      <c r="B89" s="50"/>
      <c r="C89" s="50"/>
    </row>
    <row r="90" spans="1:3">
      <c r="A90" s="52" t="s">
        <v>1242</v>
      </c>
      <c r="B90" s="48"/>
      <c r="C90" s="48"/>
    </row>
    <row r="91" spans="1:3">
      <c r="A91" s="52" t="s">
        <v>1243</v>
      </c>
      <c r="B91" s="76">
        <v>46506866.049999997</v>
      </c>
      <c r="C91" s="76">
        <v>48805209.123333335</v>
      </c>
    </row>
    <row r="92" spans="1:3">
      <c r="A92" s="52" t="s">
        <v>1244</v>
      </c>
      <c r="B92" s="79">
        <v>0</v>
      </c>
      <c r="C92" s="79">
        <v>0</v>
      </c>
    </row>
    <row r="93" spans="1:3">
      <c r="A93" s="52" t="s">
        <v>1245</v>
      </c>
      <c r="B93" s="76">
        <f>SUM(B91:B92)</f>
        <v>46506866.049999997</v>
      </c>
      <c r="C93" s="76">
        <f>SUM(C91:C92)</f>
        <v>48805209.123333335</v>
      </c>
    </row>
    <row r="94" spans="1:3">
      <c r="A94" s="52"/>
      <c r="B94" s="50"/>
      <c r="C94" s="50"/>
    </row>
    <row r="95" spans="1:3">
      <c r="A95" s="52" t="s">
        <v>1246</v>
      </c>
      <c r="B95" s="48"/>
      <c r="C95" s="48"/>
    </row>
    <row r="96" spans="1:3">
      <c r="A96" s="52" t="s">
        <v>1247</v>
      </c>
      <c r="B96" s="76">
        <v>25000017.190000001</v>
      </c>
      <c r="C96" s="76">
        <v>23383717.601250004</v>
      </c>
    </row>
    <row r="97" spans="1:3">
      <c r="A97" s="52" t="s">
        <v>1248</v>
      </c>
      <c r="B97" s="76">
        <v>0</v>
      </c>
      <c r="C97" s="76">
        <v>4443575.4450000003</v>
      </c>
    </row>
    <row r="98" spans="1:3">
      <c r="A98" s="52" t="s">
        <v>1249</v>
      </c>
      <c r="B98" s="79">
        <v>0</v>
      </c>
      <c r="C98" s="79">
        <v>8231.8395833333325</v>
      </c>
    </row>
    <row r="99" spans="1:3">
      <c r="A99" s="52" t="s">
        <v>1250</v>
      </c>
      <c r="B99" s="76">
        <f>SUM(B96:B98)</f>
        <v>25000017.190000001</v>
      </c>
      <c r="C99" s="76">
        <f>SUM(C96:C98)</f>
        <v>27835524.885833338</v>
      </c>
    </row>
    <row r="100" spans="1:3">
      <c r="A100" s="52"/>
      <c r="B100" s="50"/>
      <c r="C100" s="50"/>
    </row>
    <row r="101" spans="1:3">
      <c r="A101" s="52" t="s">
        <v>1251</v>
      </c>
      <c r="B101" s="79">
        <v>1276161014.22</v>
      </c>
      <c r="C101" s="79">
        <v>1317471610.2870831</v>
      </c>
    </row>
    <row r="102" spans="1:3">
      <c r="A102" s="52" t="s">
        <v>1252</v>
      </c>
      <c r="B102" s="76">
        <f>SUM(B101)</f>
        <v>1276161014.22</v>
      </c>
      <c r="C102" s="76">
        <f>SUM(C101)</f>
        <v>1317471610.2870831</v>
      </c>
    </row>
    <row r="103" spans="1:3">
      <c r="A103" s="52"/>
      <c r="B103" s="46"/>
      <c r="C103" s="46"/>
    </row>
    <row r="104" spans="1:3">
      <c r="A104" s="52" t="s">
        <v>1253</v>
      </c>
      <c r="B104" s="76">
        <f>SUM(B102,B99,B93,B88,B78,B74,B63,B60)</f>
        <v>2113162987.0600002</v>
      </c>
      <c r="C104" s="76">
        <f>SUM(C102,C99,C93,C88,C78,C74,C63,C60)</f>
        <v>1984005529.4804165</v>
      </c>
    </row>
    <row r="105" spans="1:3">
      <c r="A105" s="52"/>
      <c r="B105" s="50"/>
      <c r="C105" s="50"/>
    </row>
    <row r="106" spans="1:3">
      <c r="A106" s="52" t="s">
        <v>1254</v>
      </c>
      <c r="B106" s="48"/>
      <c r="C106" s="48"/>
    </row>
    <row r="107" spans="1:3">
      <c r="A107" s="52" t="s">
        <v>1255</v>
      </c>
      <c r="B107" s="76">
        <v>20175530.199999999</v>
      </c>
      <c r="C107" s="76">
        <v>20171138.330000002</v>
      </c>
    </row>
    <row r="108" spans="1:3">
      <c r="A108" s="52" t="s">
        <v>1256</v>
      </c>
      <c r="B108" s="76">
        <v>10275803.66</v>
      </c>
      <c r="C108" s="76">
        <v>7998847.0320833325</v>
      </c>
    </row>
    <row r="109" spans="1:3">
      <c r="A109" s="52" t="s">
        <v>1257</v>
      </c>
      <c r="B109" s="76">
        <v>0</v>
      </c>
      <c r="C109" s="76">
        <v>0</v>
      </c>
    </row>
    <row r="110" spans="1:3">
      <c r="A110" s="52" t="s">
        <v>1258</v>
      </c>
      <c r="B110" s="76">
        <v>0</v>
      </c>
      <c r="C110" s="76">
        <v>0</v>
      </c>
    </row>
    <row r="111" spans="1:3">
      <c r="A111" s="52" t="s">
        <v>1259</v>
      </c>
      <c r="B111" s="76">
        <v>2512359.3899999997</v>
      </c>
      <c r="C111" s="76">
        <v>3502228.6729166671</v>
      </c>
    </row>
    <row r="112" spans="1:3">
      <c r="A112" s="52" t="s">
        <v>1260</v>
      </c>
      <c r="B112" s="76">
        <v>0</v>
      </c>
      <c r="C112" s="76">
        <v>0</v>
      </c>
    </row>
    <row r="113" spans="1:3">
      <c r="A113" s="52" t="s">
        <v>1261</v>
      </c>
      <c r="B113" s="76">
        <v>26727400.690000001</v>
      </c>
      <c r="C113" s="76">
        <v>26933935.635416672</v>
      </c>
    </row>
    <row r="114" spans="1:3">
      <c r="A114" s="52" t="s">
        <v>1262</v>
      </c>
      <c r="B114" s="76">
        <v>118330539.31</v>
      </c>
      <c r="C114" s="76">
        <v>119411894.64125</v>
      </c>
    </row>
    <row r="115" spans="1:3">
      <c r="A115" s="52" t="s">
        <v>1263</v>
      </c>
      <c r="B115" s="76">
        <v>0</v>
      </c>
      <c r="C115" s="76">
        <v>1874784.6933333334</v>
      </c>
    </row>
    <row r="116" spans="1:3">
      <c r="A116" s="52" t="s">
        <v>1264</v>
      </c>
      <c r="B116" s="76">
        <v>52028793.020000003</v>
      </c>
      <c r="C116" s="76">
        <v>51263482.524583332</v>
      </c>
    </row>
    <row r="117" spans="1:3">
      <c r="A117" s="52" t="s">
        <v>1265</v>
      </c>
      <c r="B117" s="76">
        <v>392042921.42000002</v>
      </c>
      <c r="C117" s="76">
        <v>410982934.36666662</v>
      </c>
    </row>
    <row r="118" spans="1:3">
      <c r="A118" s="52" t="s">
        <v>1266</v>
      </c>
      <c r="B118" s="76">
        <v>21332.5</v>
      </c>
      <c r="C118" s="76">
        <v>1949.2291666666667</v>
      </c>
    </row>
    <row r="119" spans="1:3">
      <c r="A119" s="52" t="s">
        <v>1267</v>
      </c>
      <c r="B119" s="76">
        <v>0</v>
      </c>
      <c r="C119" s="76">
        <v>120117.29916666665</v>
      </c>
    </row>
    <row r="120" spans="1:3">
      <c r="A120" s="52" t="s">
        <v>1249</v>
      </c>
      <c r="B120" s="76">
        <v>187854739.36000001</v>
      </c>
      <c r="C120" s="76">
        <v>184350146.83500001</v>
      </c>
    </row>
    <row r="121" spans="1:3">
      <c r="A121" s="52" t="s">
        <v>1268</v>
      </c>
      <c r="B121" s="76">
        <v>168103.45</v>
      </c>
      <c r="C121" s="76">
        <v>207967.02625</v>
      </c>
    </row>
    <row r="122" spans="1:3">
      <c r="A122" s="52" t="s">
        <v>1269</v>
      </c>
      <c r="B122" s="79">
        <v>42377721.100000001</v>
      </c>
      <c r="C122" s="79">
        <v>42320981.41125001</v>
      </c>
    </row>
    <row r="123" spans="1:3">
      <c r="A123" s="52" t="s">
        <v>1270</v>
      </c>
      <c r="B123" s="76">
        <f>SUM(B107:B122)</f>
        <v>852515244.10000014</v>
      </c>
      <c r="C123" s="76">
        <f>SUM(C107:C122)</f>
        <v>869140407.69708335</v>
      </c>
    </row>
    <row r="124" spans="1:3">
      <c r="A124" s="52"/>
      <c r="B124" s="50"/>
      <c r="C124" s="50"/>
    </row>
    <row r="125" spans="1:3" ht="15" thickBot="1">
      <c r="A125" s="52" t="s">
        <v>1271</v>
      </c>
      <c r="B125" s="45">
        <f>SUM(B123,B104,B52,B42)</f>
        <v>12964100505.32</v>
      </c>
      <c r="C125" s="45">
        <f>SUM(C123,C104,C52,C42)</f>
        <v>12598250255.068336</v>
      </c>
    </row>
    <row r="126" spans="1:3" ht="15" thickTop="1">
      <c r="A126" s="52"/>
      <c r="B126" s="50"/>
      <c r="C126" s="50"/>
    </row>
    <row r="127" spans="1:3">
      <c r="A127" s="52" t="s">
        <v>1272</v>
      </c>
      <c r="B127" s="48"/>
      <c r="C127" s="48"/>
    </row>
    <row r="128" spans="1:3">
      <c r="A128" s="52" t="s">
        <v>1273</v>
      </c>
      <c r="B128" s="48"/>
      <c r="C128" s="48"/>
    </row>
    <row r="129" spans="1:3">
      <c r="A129" s="52" t="s">
        <v>1274</v>
      </c>
      <c r="B129" s="51">
        <v>-5981030.79</v>
      </c>
      <c r="C129" s="51">
        <v>-6158642.3579166681</v>
      </c>
    </row>
    <row r="130" spans="1:3">
      <c r="A130" s="52" t="s">
        <v>1275</v>
      </c>
      <c r="B130" s="76">
        <v>-46661577.600000001</v>
      </c>
      <c r="C130" s="76">
        <v>-58832582.609166659</v>
      </c>
    </row>
    <row r="131" spans="1:3">
      <c r="A131" s="52" t="s">
        <v>1276</v>
      </c>
      <c r="B131" s="76">
        <v>0</v>
      </c>
      <c r="C131" s="76">
        <v>0</v>
      </c>
    </row>
    <row r="132" spans="1:3">
      <c r="A132" s="52" t="s">
        <v>1277</v>
      </c>
      <c r="B132" s="76">
        <v>-379297000</v>
      </c>
      <c r="C132" s="76">
        <v>-240409666.66666666</v>
      </c>
    </row>
    <row r="133" spans="1:3">
      <c r="A133" s="52" t="s">
        <v>1278</v>
      </c>
      <c r="B133" s="76">
        <v>-506308450.68000001</v>
      </c>
      <c r="C133" s="76">
        <v>-372222293.23458338</v>
      </c>
    </row>
    <row r="134" spans="1:3">
      <c r="A134" s="52" t="s">
        <v>1279</v>
      </c>
      <c r="B134" s="76">
        <v>0</v>
      </c>
      <c r="C134" s="76">
        <v>0</v>
      </c>
    </row>
    <row r="135" spans="1:3">
      <c r="A135" s="52" t="s">
        <v>1280</v>
      </c>
      <c r="B135" s="76">
        <v>-183621.03</v>
      </c>
      <c r="C135" s="76">
        <v>-36577.949583333335</v>
      </c>
    </row>
    <row r="136" spans="1:3">
      <c r="A136" s="52" t="s">
        <v>1281</v>
      </c>
      <c r="B136" s="76">
        <v>-42029653.710000001</v>
      </c>
      <c r="C136" s="76">
        <v>-43954549.482500002</v>
      </c>
    </row>
    <row r="137" spans="1:3">
      <c r="A137" s="52" t="s">
        <v>1282</v>
      </c>
      <c r="B137" s="76">
        <v>-117394008.76000001</v>
      </c>
      <c r="C137" s="76">
        <v>-112324192.16041666</v>
      </c>
    </row>
    <row r="138" spans="1:3">
      <c r="A138" s="52" t="s">
        <v>1283</v>
      </c>
      <c r="B138" s="76">
        <v>-43950569.609999999</v>
      </c>
      <c r="C138" s="76">
        <v>-54829381.514583327</v>
      </c>
    </row>
    <row r="139" spans="1:3">
      <c r="A139" s="52" t="s">
        <v>1284</v>
      </c>
      <c r="B139" s="76">
        <v>0</v>
      </c>
      <c r="C139" s="76">
        <v>0</v>
      </c>
    </row>
    <row r="140" spans="1:3">
      <c r="A140" s="52" t="s">
        <v>1285</v>
      </c>
      <c r="B140" s="76">
        <v>-7377211.04</v>
      </c>
      <c r="C140" s="76">
        <v>-2146850.4933333336</v>
      </c>
    </row>
    <row r="141" spans="1:3">
      <c r="A141" s="52" t="s">
        <v>1286</v>
      </c>
      <c r="B141" s="76">
        <v>-23929141.18</v>
      </c>
      <c r="C141" s="76">
        <v>-30494788.733750004</v>
      </c>
    </row>
    <row r="142" spans="1:3">
      <c r="A142" s="52" t="s">
        <v>1287</v>
      </c>
      <c r="B142" s="79">
        <v>-525359.37</v>
      </c>
      <c r="C142" s="79">
        <v>-520416.53666666662</v>
      </c>
    </row>
    <row r="143" spans="1:3">
      <c r="A143" s="52" t="s">
        <v>1288</v>
      </c>
      <c r="B143" s="76">
        <f>SUM(B129:B142)</f>
        <v>-1173637623.7699997</v>
      </c>
      <c r="C143" s="76">
        <f>SUM(C129:C142)</f>
        <v>-921929941.73916662</v>
      </c>
    </row>
    <row r="144" spans="1:3">
      <c r="A144" s="52"/>
      <c r="B144" s="50"/>
      <c r="C144" s="50"/>
    </row>
    <row r="145" spans="1:3">
      <c r="A145" s="52" t="s">
        <v>1289</v>
      </c>
      <c r="B145" s="48"/>
      <c r="C145" s="48"/>
    </row>
    <row r="146" spans="1:3">
      <c r="A146" s="52" t="s">
        <v>1290</v>
      </c>
      <c r="B146" s="48"/>
      <c r="C146" s="48"/>
    </row>
    <row r="147" spans="1:3">
      <c r="A147" s="52" t="s">
        <v>1291</v>
      </c>
      <c r="B147" s="79">
        <v>-1.46</v>
      </c>
      <c r="C147" s="79">
        <v>-776901.55375000043</v>
      </c>
    </row>
    <row r="148" spans="1:3">
      <c r="A148" s="52" t="s">
        <v>1292</v>
      </c>
      <c r="B148" s="76">
        <f>SUM(B147)</f>
        <v>-1.46</v>
      </c>
      <c r="C148" s="76">
        <f>SUM(C147)</f>
        <v>-776901.55375000043</v>
      </c>
    </row>
    <row r="149" spans="1:3">
      <c r="A149" s="52"/>
      <c r="B149" s="50"/>
      <c r="C149" s="50"/>
    </row>
    <row r="150" spans="1:3">
      <c r="A150" s="52" t="s">
        <v>1293</v>
      </c>
      <c r="B150" s="48"/>
      <c r="C150" s="48"/>
    </row>
    <row r="151" spans="1:3">
      <c r="A151" s="52" t="s">
        <v>1294</v>
      </c>
      <c r="B151" s="76">
        <v>0</v>
      </c>
      <c r="C151" s="76">
        <v>0</v>
      </c>
    </row>
    <row r="152" spans="1:3">
      <c r="A152" s="52" t="s">
        <v>1295</v>
      </c>
      <c r="B152" s="76">
        <v>-1998720900.8299999</v>
      </c>
      <c r="C152" s="76">
        <v>-2018190411.3608332</v>
      </c>
    </row>
    <row r="153" spans="1:3">
      <c r="A153" s="52" t="s">
        <v>1291</v>
      </c>
      <c r="B153" s="79">
        <v>-206030260.60999998</v>
      </c>
      <c r="C153" s="79">
        <v>-206902912.36749998</v>
      </c>
    </row>
    <row r="154" spans="1:3">
      <c r="A154" s="52" t="s">
        <v>1296</v>
      </c>
      <c r="B154" s="76">
        <f>SUM(B151:B153)</f>
        <v>-2204751161.4400001</v>
      </c>
      <c r="C154" s="76">
        <f>SUM(C151:C153)</f>
        <v>-2225093323.728333</v>
      </c>
    </row>
    <row r="155" spans="1:3">
      <c r="A155" s="52"/>
      <c r="B155" s="50"/>
      <c r="C155" s="50"/>
    </row>
    <row r="156" spans="1:3">
      <c r="A156" s="52" t="s">
        <v>1297</v>
      </c>
      <c r="B156" s="76">
        <f>SUM(B154,B148)</f>
        <v>-2204751162.9000001</v>
      </c>
      <c r="C156" s="76">
        <f>SUM(C154,C148)</f>
        <v>-2225870225.282083</v>
      </c>
    </row>
    <row r="157" spans="1:3">
      <c r="A157" s="52"/>
      <c r="B157" s="50"/>
      <c r="C157" s="50"/>
    </row>
    <row r="158" spans="1:3">
      <c r="A158" s="52" t="s">
        <v>1298</v>
      </c>
      <c r="B158" s="48"/>
      <c r="C158" s="48"/>
    </row>
    <row r="159" spans="1:3">
      <c r="A159" s="52" t="s">
        <v>1299</v>
      </c>
      <c r="B159" s="76">
        <v>-789154.3</v>
      </c>
      <c r="C159" s="76">
        <v>-779951.59124999994</v>
      </c>
    </row>
    <row r="160" spans="1:3">
      <c r="A160" s="52" t="s">
        <v>1300</v>
      </c>
      <c r="B160" s="76">
        <v>-11094245.050000001</v>
      </c>
      <c r="C160" s="76">
        <v>-14886896.938749999</v>
      </c>
    </row>
    <row r="161" spans="1:3">
      <c r="A161" s="52" t="s">
        <v>1301</v>
      </c>
      <c r="B161" s="76">
        <v>225000</v>
      </c>
      <c r="C161" s="76">
        <v>-1708616.46</v>
      </c>
    </row>
    <row r="162" spans="1:3">
      <c r="A162" s="52" t="s">
        <v>1302</v>
      </c>
      <c r="B162" s="76">
        <v>-101089891.76000001</v>
      </c>
      <c r="C162" s="76">
        <v>-55179980.277500004</v>
      </c>
    </row>
    <row r="163" spans="1:3">
      <c r="A163" s="52" t="s">
        <v>1303</v>
      </c>
      <c r="B163" s="76">
        <v>-140915093.31</v>
      </c>
      <c r="C163" s="76">
        <v>-137964738.39666668</v>
      </c>
    </row>
    <row r="164" spans="1:3">
      <c r="A164" s="52" t="s">
        <v>1304</v>
      </c>
      <c r="B164" s="76">
        <v>-34578500</v>
      </c>
      <c r="C164" s="76">
        <v>-28396833.5</v>
      </c>
    </row>
    <row r="165" spans="1:3">
      <c r="A165" s="52" t="s">
        <v>1305</v>
      </c>
      <c r="B165" s="76">
        <v>-174508018.20000002</v>
      </c>
      <c r="C165" s="76">
        <v>-183846331.10833335</v>
      </c>
    </row>
    <row r="166" spans="1:3">
      <c r="A166" s="52" t="s">
        <v>1306</v>
      </c>
      <c r="B166" s="76">
        <v>-93054782.489999995</v>
      </c>
      <c r="C166" s="76">
        <v>-92221176.209999979</v>
      </c>
    </row>
    <row r="167" spans="1:3">
      <c r="A167" s="52" t="s">
        <v>1307</v>
      </c>
      <c r="B167" s="76">
        <v>-314584369.99000001</v>
      </c>
      <c r="C167" s="76">
        <v>-320254099.08124995</v>
      </c>
    </row>
    <row r="168" spans="1:3">
      <c r="A168" s="52" t="s">
        <v>1308</v>
      </c>
      <c r="B168" s="76">
        <v>-1088713708.95</v>
      </c>
      <c r="C168" s="76">
        <v>-1117759687.3866668</v>
      </c>
    </row>
    <row r="169" spans="1:3">
      <c r="A169" s="52" t="s">
        <v>1309</v>
      </c>
      <c r="B169" s="76">
        <v>-1674793.87</v>
      </c>
      <c r="C169" s="76">
        <v>-1958174.4633333336</v>
      </c>
    </row>
    <row r="170" spans="1:3">
      <c r="A170" s="52" t="s">
        <v>1310</v>
      </c>
      <c r="B170" s="79">
        <v>0</v>
      </c>
      <c r="C170" s="79">
        <v>0</v>
      </c>
    </row>
    <row r="171" spans="1:3">
      <c r="A171" s="52" t="s">
        <v>1311</v>
      </c>
      <c r="B171" s="76">
        <f>SUM(B159:B170)</f>
        <v>-1960777557.9200001</v>
      </c>
      <c r="C171" s="76">
        <f>SUM(C159:C170)</f>
        <v>-1954956485.4137502</v>
      </c>
    </row>
    <row r="172" spans="1:3">
      <c r="A172" s="52"/>
      <c r="B172" s="50"/>
      <c r="C172" s="50"/>
    </row>
    <row r="173" spans="1:3">
      <c r="A173" s="52" t="s">
        <v>1312</v>
      </c>
      <c r="B173" s="48"/>
      <c r="C173" s="48"/>
    </row>
    <row r="174" spans="1:3">
      <c r="A174" s="52" t="s">
        <v>1313</v>
      </c>
      <c r="B174" s="48"/>
      <c r="C174" s="48"/>
    </row>
    <row r="175" spans="1:3">
      <c r="A175" s="52" t="s">
        <v>1314</v>
      </c>
      <c r="B175" s="48"/>
      <c r="C175" s="48"/>
    </row>
    <row r="176" spans="1:3">
      <c r="A176" s="52" t="s">
        <v>1315</v>
      </c>
      <c r="B176" s="76">
        <v>-859037.91</v>
      </c>
      <c r="C176" s="76">
        <v>-859037.91</v>
      </c>
    </row>
    <row r="177" spans="1:3">
      <c r="A177" s="52" t="s">
        <v>1316</v>
      </c>
      <c r="B177" s="76">
        <v>-478145249.87</v>
      </c>
      <c r="C177" s="76">
        <v>-478145249.86999995</v>
      </c>
    </row>
    <row r="178" spans="1:3">
      <c r="A178" s="52" t="s">
        <v>1317</v>
      </c>
      <c r="B178" s="76">
        <v>-2804096691.4699998</v>
      </c>
      <c r="C178" s="76">
        <v>-2804096691.4700003</v>
      </c>
    </row>
    <row r="179" spans="1:3">
      <c r="A179" s="52" t="s">
        <v>1318</v>
      </c>
      <c r="B179" s="76">
        <v>7133879.4000000004</v>
      </c>
      <c r="C179" s="76">
        <v>7133879.4000000013</v>
      </c>
    </row>
    <row r="180" spans="1:3">
      <c r="A180" s="52" t="s">
        <v>1319</v>
      </c>
      <c r="B180" s="76">
        <v>-28782379.620000001</v>
      </c>
      <c r="C180" s="76">
        <v>-24889874.857500002</v>
      </c>
    </row>
    <row r="181" spans="1:3">
      <c r="A181" s="52" t="s">
        <v>1320</v>
      </c>
      <c r="B181" s="76">
        <v>-448883555.27999997</v>
      </c>
      <c r="C181" s="76">
        <v>-448472379.63958329</v>
      </c>
    </row>
    <row r="182" spans="1:3">
      <c r="A182" s="52" t="s">
        <v>1321</v>
      </c>
      <c r="B182" s="76">
        <v>19756868</v>
      </c>
      <c r="C182" s="76">
        <v>19297762.416666668</v>
      </c>
    </row>
    <row r="183" spans="1:3">
      <c r="A183" s="52" t="s">
        <v>1322</v>
      </c>
      <c r="B183" s="76">
        <v>190884862.81</v>
      </c>
      <c r="C183" s="76">
        <v>145319349.42208335</v>
      </c>
    </row>
    <row r="184" spans="1:3">
      <c r="A184" s="52" t="s">
        <v>1323</v>
      </c>
      <c r="B184" s="76">
        <v>-317163808.49000001</v>
      </c>
      <c r="C184" s="76">
        <v>-202474175.68916667</v>
      </c>
    </row>
    <row r="185" spans="1:3">
      <c r="A185" s="52" t="s">
        <v>1324</v>
      </c>
      <c r="B185" s="76">
        <v>173716006.09999999</v>
      </c>
      <c r="C185" s="76">
        <v>100260148.97083335</v>
      </c>
    </row>
    <row r="186" spans="1:3">
      <c r="A186" s="52" t="s">
        <v>1325</v>
      </c>
      <c r="B186" s="79">
        <v>-21484570.550000001</v>
      </c>
      <c r="C186" s="79">
        <v>-15790157.935416669</v>
      </c>
    </row>
    <row r="187" spans="1:3">
      <c r="A187" s="52" t="s">
        <v>1326</v>
      </c>
      <c r="B187" s="76">
        <f>SUM(B176:B186)</f>
        <v>-3707923676.8800006</v>
      </c>
      <c r="C187" s="76">
        <f>SUM(C176:C186)</f>
        <v>-3702716427.1620831</v>
      </c>
    </row>
    <row r="188" spans="1:3">
      <c r="A188" s="52"/>
      <c r="B188" s="46"/>
      <c r="C188" s="46"/>
    </row>
    <row r="189" spans="1:3">
      <c r="A189" s="52" t="s">
        <v>1327</v>
      </c>
      <c r="B189" s="76">
        <f>SUM(B187)</f>
        <v>-3707923676.8800006</v>
      </c>
      <c r="C189" s="76">
        <f>SUM(C187)</f>
        <v>-3702716427.1620831</v>
      </c>
    </row>
    <row r="190" spans="1:3">
      <c r="A190" s="52"/>
      <c r="B190" s="50"/>
      <c r="C190" s="50"/>
    </row>
    <row r="191" spans="1:3">
      <c r="A191" s="52" t="s">
        <v>1328</v>
      </c>
      <c r="B191" s="48"/>
      <c r="C191" s="48"/>
    </row>
    <row r="192" spans="1:3">
      <c r="A192" s="52" t="s">
        <v>1329</v>
      </c>
      <c r="B192" s="47">
        <v>0</v>
      </c>
      <c r="C192" s="47">
        <v>0</v>
      </c>
    </row>
    <row r="193" spans="1:3">
      <c r="A193" s="52" t="s">
        <v>1330</v>
      </c>
      <c r="B193" s="48">
        <f>SUM(B192)</f>
        <v>0</v>
      </c>
      <c r="C193" s="48">
        <f>SUM(C192)</f>
        <v>0</v>
      </c>
    </row>
    <row r="194" spans="1:3">
      <c r="A194" s="52"/>
      <c r="B194" s="48"/>
      <c r="C194" s="48"/>
    </row>
    <row r="195" spans="1:3">
      <c r="A195" s="52" t="s">
        <v>1331</v>
      </c>
      <c r="B195" s="48"/>
      <c r="C195" s="48"/>
    </row>
    <row r="196" spans="1:3">
      <c r="A196" s="52" t="s">
        <v>1332</v>
      </c>
      <c r="B196" s="47">
        <v>0</v>
      </c>
      <c r="C196" s="47">
        <v>0</v>
      </c>
    </row>
    <row r="197" spans="1:3">
      <c r="A197" s="52" t="s">
        <v>1333</v>
      </c>
      <c r="B197" s="48">
        <f>SUM(B196)</f>
        <v>0</v>
      </c>
      <c r="C197" s="48">
        <f>SUM(C196)</f>
        <v>0</v>
      </c>
    </row>
    <row r="198" spans="1:3">
      <c r="A198" s="52"/>
      <c r="B198" s="48"/>
      <c r="C198" s="48"/>
    </row>
    <row r="199" spans="1:3">
      <c r="A199" s="52" t="s">
        <v>1334</v>
      </c>
      <c r="B199" s="48"/>
      <c r="C199" s="48"/>
    </row>
    <row r="200" spans="1:3">
      <c r="A200" s="52" t="s">
        <v>1335</v>
      </c>
      <c r="B200" s="76">
        <v>0</v>
      </c>
      <c r="C200" s="76">
        <v>-56796083.333333336</v>
      </c>
    </row>
    <row r="201" spans="1:3">
      <c r="A201" s="52" t="s">
        <v>1336</v>
      </c>
      <c r="B201" s="76">
        <v>-3923860000</v>
      </c>
      <c r="C201" s="76">
        <v>-3740526666.6666665</v>
      </c>
    </row>
    <row r="202" spans="1:3">
      <c r="A202" s="52" t="s">
        <v>1337</v>
      </c>
      <c r="B202" s="79">
        <v>6849516.1500000004</v>
      </c>
      <c r="C202" s="79">
        <v>4545574.5287499996</v>
      </c>
    </row>
    <row r="203" spans="1:3">
      <c r="A203" s="52" t="s">
        <v>1338</v>
      </c>
      <c r="B203" s="76">
        <f>SUM(B200:B202)</f>
        <v>-3917010483.8499999</v>
      </c>
      <c r="C203" s="76">
        <f>SUM(C200:C202)</f>
        <v>-3792777175.4712501</v>
      </c>
    </row>
    <row r="204" spans="1:3">
      <c r="A204" s="52"/>
      <c r="B204" s="46"/>
      <c r="C204" s="46"/>
    </row>
    <row r="205" spans="1:3">
      <c r="A205" s="52" t="s">
        <v>1339</v>
      </c>
      <c r="B205" s="76">
        <f>SUM(B203)</f>
        <v>-3917010483.8499999</v>
      </c>
      <c r="C205" s="76">
        <f>SUM(C203)</f>
        <v>-3792777175.4712501</v>
      </c>
    </row>
    <row r="206" spans="1:3">
      <c r="A206" s="52"/>
      <c r="B206" s="46"/>
      <c r="C206" s="46"/>
    </row>
    <row r="207" spans="1:3">
      <c r="A207" s="52" t="s">
        <v>1340</v>
      </c>
      <c r="B207" s="76">
        <f>SUM(B205)</f>
        <v>-3917010483.8499999</v>
      </c>
      <c r="C207" s="76">
        <f>SUM(C205)</f>
        <v>-3792777175.4712501</v>
      </c>
    </row>
    <row r="208" spans="1:3">
      <c r="A208" s="52"/>
      <c r="B208" s="46"/>
      <c r="C208" s="46"/>
    </row>
    <row r="209" spans="1:3">
      <c r="A209" s="52" t="s">
        <v>1341</v>
      </c>
      <c r="B209" s="79">
        <f>SUM(B207,B189)</f>
        <v>-7624934160.7300005</v>
      </c>
      <c r="C209" s="79">
        <f>SUM(C207,C189)</f>
        <v>-7495493602.6333332</v>
      </c>
    </row>
    <row r="210" spans="1:3">
      <c r="A210" s="52"/>
      <c r="B210" s="46"/>
      <c r="C210" s="46"/>
    </row>
    <row r="211" spans="1:3" ht="15" thickBot="1">
      <c r="A211" s="52" t="s">
        <v>1342</v>
      </c>
      <c r="B211" s="45">
        <f>SUM(B209,B171,B156,B143)</f>
        <v>-12964100505.320002</v>
      </c>
      <c r="C211" s="45">
        <f>SUM(C209,C171,C156,C143)</f>
        <v>-12598250255.068333</v>
      </c>
    </row>
    <row r="212" spans="1:3" ht="15" thickTop="1">
      <c r="B212" s="46"/>
      <c r="C212" s="46"/>
    </row>
  </sheetData>
  <mergeCells count="3">
    <mergeCell ref="A2:C2"/>
    <mergeCell ref="A3:C3"/>
    <mergeCell ref="A4:C4"/>
  </mergeCells>
  <pageMargins left="0.7" right="0.7" top="0.75" bottom="0.75" header="0.3" footer="0.3"/>
  <pageSetup scale="94" fitToHeight="0" orientation="portrait" r:id="rId1"/>
  <headerFooter>
    <oddHeader>&amp;RExh. SJK-4
Page &amp;P of &amp;N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3:C9"/>
  <sheetViews>
    <sheetView workbookViewId="0">
      <selection activeCell="G13" sqref="G13"/>
    </sheetView>
  </sheetViews>
  <sheetFormatPr defaultRowHeight="14.4"/>
  <cols>
    <col min="2" max="2" width="15.88671875" bestFit="1" customWidth="1"/>
    <col min="3" max="3" width="23.5546875" bestFit="1" customWidth="1"/>
  </cols>
  <sheetData>
    <row r="3" spans="2:3">
      <c r="B3" t="s">
        <v>607</v>
      </c>
      <c r="C3" s="673">
        <v>0.21</v>
      </c>
    </row>
    <row r="4" spans="2:3">
      <c r="B4" t="s">
        <v>606</v>
      </c>
      <c r="C4" t="s">
        <v>456</v>
      </c>
    </row>
    <row r="5" spans="2:3">
      <c r="B5" t="s">
        <v>605</v>
      </c>
      <c r="C5" t="s">
        <v>457</v>
      </c>
    </row>
    <row r="6" spans="2:3">
      <c r="B6" t="s">
        <v>604</v>
      </c>
      <c r="C6" t="s">
        <v>768</v>
      </c>
    </row>
    <row r="7" spans="2:3">
      <c r="B7" t="s">
        <v>602</v>
      </c>
      <c r="C7" t="s">
        <v>601</v>
      </c>
    </row>
    <row r="8" spans="2:3">
      <c r="B8" t="s">
        <v>600</v>
      </c>
      <c r="C8" t="s">
        <v>767</v>
      </c>
    </row>
    <row r="9" spans="2:3">
      <c r="B9" t="s">
        <v>598</v>
      </c>
      <c r="C9" t="s">
        <v>597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3:C9"/>
  <sheetViews>
    <sheetView workbookViewId="0">
      <selection activeCell="C4" sqref="C4"/>
    </sheetView>
  </sheetViews>
  <sheetFormatPr defaultRowHeight="14.4"/>
  <cols>
    <col min="2" max="2" width="15.88671875" bestFit="1" customWidth="1"/>
    <col min="3" max="3" width="23.5546875" bestFit="1" customWidth="1"/>
  </cols>
  <sheetData>
    <row r="3" spans="2:3">
      <c r="B3" t="s">
        <v>607</v>
      </c>
      <c r="C3" s="673">
        <v>0.21</v>
      </c>
    </row>
    <row r="4" spans="2:3">
      <c r="B4" t="s">
        <v>606</v>
      </c>
      <c r="C4" t="s">
        <v>456</v>
      </c>
    </row>
    <row r="5" spans="2:3">
      <c r="B5" t="s">
        <v>605</v>
      </c>
      <c r="C5" t="s">
        <v>457</v>
      </c>
    </row>
    <row r="6" spans="2:3">
      <c r="B6" t="s">
        <v>604</v>
      </c>
      <c r="C6" t="s">
        <v>603</v>
      </c>
    </row>
    <row r="7" spans="2:3">
      <c r="B7" t="s">
        <v>602</v>
      </c>
      <c r="C7" t="s">
        <v>601</v>
      </c>
    </row>
    <row r="8" spans="2:3">
      <c r="B8" t="s">
        <v>600</v>
      </c>
      <c r="C8" t="s">
        <v>599</v>
      </c>
    </row>
    <row r="9" spans="2:3">
      <c r="B9" t="s">
        <v>598</v>
      </c>
      <c r="C9" t="s">
        <v>597</v>
      </c>
    </row>
  </sheetData>
  <pageMargins left="0.7" right="0.7" top="0.75" bottom="0.75" header="0.3" footer="0.3"/>
  <customProperties>
    <customPr name="_pios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59999389629810485"/>
  </sheetPr>
  <dimension ref="A1:I74"/>
  <sheetViews>
    <sheetView zoomScale="90" zoomScaleNormal="90" workbookViewId="0">
      <pane xSplit="2" ySplit="11" topLeftCell="C19" activePane="bottomRight" state="frozen"/>
      <selection activeCell="C4" sqref="C4"/>
      <selection pane="topRight" activeCell="C4" sqref="C4"/>
      <selection pane="bottomLeft" activeCell="C4" sqref="C4"/>
      <selection pane="bottomRight" activeCell="C45" sqref="C45"/>
    </sheetView>
  </sheetViews>
  <sheetFormatPr defaultColWidth="9.109375" defaultRowHeight="13.8"/>
  <cols>
    <col min="1" max="1" width="4.5546875" style="272" bestFit="1" customWidth="1"/>
    <col min="2" max="2" width="52.5546875" style="272" customWidth="1"/>
    <col min="3" max="3" width="17.33203125" style="273" bestFit="1" customWidth="1"/>
    <col min="4" max="4" width="15.33203125" style="273" customWidth="1"/>
    <col min="5" max="5" width="17" style="273" customWidth="1"/>
    <col min="6" max="6" width="15.33203125" style="273" customWidth="1"/>
    <col min="7" max="7" width="17" style="272" customWidth="1"/>
    <col min="8" max="8" width="15.33203125" style="273" customWidth="1"/>
    <col min="9" max="9" width="17.109375" style="272" customWidth="1"/>
    <col min="10" max="16384" width="9.109375" style="272"/>
  </cols>
  <sheetData>
    <row r="1" spans="1:9">
      <c r="A1" s="297" t="s">
        <v>32</v>
      </c>
      <c r="C1" s="297"/>
    </row>
    <row r="2" spans="1:9">
      <c r="A2" s="297" t="s">
        <v>100</v>
      </c>
      <c r="C2" s="297"/>
      <c r="H2" s="270" t="s">
        <v>99</v>
      </c>
      <c r="I2" s="268"/>
    </row>
    <row r="3" spans="1:9">
      <c r="A3" s="297" t="s">
        <v>98</v>
      </c>
      <c r="C3" s="297"/>
    </row>
    <row r="4" spans="1:9">
      <c r="A4" s="297" t="str">
        <f>CASE_E</f>
        <v>2019 GENERAL RATE CASE</v>
      </c>
      <c r="C4" s="297"/>
    </row>
    <row r="5" spans="1:9">
      <c r="A5" s="297" t="str">
        <f>TESTYEAR_E</f>
        <v>12 MONTHS ENDED DECEMBER 31, 2018</v>
      </c>
      <c r="C5" s="297"/>
    </row>
    <row r="6" spans="1:9">
      <c r="C6" s="296"/>
      <c r="D6" s="296"/>
      <c r="E6" s="296"/>
      <c r="F6" s="296"/>
    </row>
    <row r="7" spans="1:9">
      <c r="G7" s="273"/>
      <c r="I7" s="273"/>
    </row>
    <row r="9" spans="1:9">
      <c r="C9" s="262" t="s">
        <v>97</v>
      </c>
      <c r="D9" s="262"/>
      <c r="E9" s="262" t="s">
        <v>96</v>
      </c>
      <c r="F9" s="262"/>
      <c r="G9" s="262" t="s">
        <v>95</v>
      </c>
      <c r="H9" s="262" t="s">
        <v>94</v>
      </c>
      <c r="I9" s="262" t="s">
        <v>93</v>
      </c>
    </row>
    <row r="10" spans="1:9" ht="13.5" customHeight="1">
      <c r="A10" s="262" t="s">
        <v>26</v>
      </c>
      <c r="B10" s="262" t="s">
        <v>22</v>
      </c>
      <c r="C10" s="262" t="s">
        <v>90</v>
      </c>
      <c r="D10" s="262" t="s">
        <v>92</v>
      </c>
      <c r="E10" s="262" t="s">
        <v>90</v>
      </c>
      <c r="F10" s="262" t="s">
        <v>91</v>
      </c>
      <c r="G10" s="262" t="s">
        <v>90</v>
      </c>
      <c r="H10" s="262" t="s">
        <v>89</v>
      </c>
      <c r="I10" s="262" t="s">
        <v>88</v>
      </c>
    </row>
    <row r="11" spans="1:9">
      <c r="A11" s="262" t="s">
        <v>23</v>
      </c>
      <c r="C11" s="262" t="s">
        <v>87</v>
      </c>
      <c r="D11" s="262" t="s">
        <v>86</v>
      </c>
      <c r="E11" s="262" t="s">
        <v>85</v>
      </c>
      <c r="F11" s="262" t="s">
        <v>86</v>
      </c>
      <c r="G11" s="295" t="s">
        <v>85</v>
      </c>
      <c r="H11" s="295" t="s">
        <v>84</v>
      </c>
      <c r="I11" s="295" t="str">
        <f>IF(H18&lt;0,"DECREASE","INCREASE")</f>
        <v>INCREASE</v>
      </c>
    </row>
    <row r="12" spans="1:9">
      <c r="C12" s="294" t="s">
        <v>83</v>
      </c>
      <c r="D12" s="294" t="s">
        <v>82</v>
      </c>
      <c r="E12" s="294" t="s">
        <v>81</v>
      </c>
      <c r="F12" s="294" t="s">
        <v>80</v>
      </c>
      <c r="G12" s="263" t="s">
        <v>79</v>
      </c>
      <c r="H12" s="294" t="s">
        <v>78</v>
      </c>
      <c r="I12" s="263" t="s">
        <v>77</v>
      </c>
    </row>
    <row r="13" spans="1:9">
      <c r="A13" s="233">
        <v>1</v>
      </c>
      <c r="B13" s="247" t="s">
        <v>76</v>
      </c>
    </row>
    <row r="14" spans="1:9">
      <c r="A14" s="233">
        <f t="shared" ref="A14:A45" si="0">A13+1</f>
        <v>2</v>
      </c>
      <c r="B14" s="247" t="s">
        <v>75</v>
      </c>
      <c r="C14" s="293">
        <f>+'SEF-4E p 2-7'!C14</f>
        <v>2165233766.8899999</v>
      </c>
      <c r="D14" s="293">
        <f>+'SEF-4E p 2-7'!AF14</f>
        <v>-159861470.62876797</v>
      </c>
      <c r="E14" s="293">
        <f>SUM(C14:D14)</f>
        <v>2005372296.2612319</v>
      </c>
      <c r="F14" s="293">
        <f>+'SEF-4E p 2-7'!BJ14</f>
        <v>-8697272.4800000004</v>
      </c>
      <c r="G14" s="293">
        <f>SUM(E14:F14)</f>
        <v>1996675023.7812319</v>
      </c>
      <c r="H14" s="293">
        <f>'SEF-3E'!C21-H15</f>
        <v>104147719.89056832</v>
      </c>
      <c r="I14" s="293">
        <f>SUM(G14:H14)</f>
        <v>2100822743.6718001</v>
      </c>
    </row>
    <row r="15" spans="1:9">
      <c r="A15" s="233">
        <f t="shared" si="0"/>
        <v>3</v>
      </c>
      <c r="B15" s="247" t="s">
        <v>74</v>
      </c>
      <c r="C15" s="280">
        <f>+'SEF-4E p 2-7'!C15</f>
        <v>340431.51999999897</v>
      </c>
      <c r="D15" s="280">
        <f>+'SEF-4E p 2-7'!AF15</f>
        <v>-13071.359999999999</v>
      </c>
      <c r="E15" s="280">
        <f>SUM(C15:D15)</f>
        <v>327360.15999999898</v>
      </c>
      <c r="F15" s="280">
        <f>+'SEF-4E p 2-7'!BJ15</f>
        <v>0</v>
      </c>
      <c r="G15" s="280">
        <f>SUM(E15:F15)</f>
        <v>327360.15999999898</v>
      </c>
      <c r="H15" s="280">
        <f>'SEF-3E'!C40</f>
        <v>354912.10943168448</v>
      </c>
      <c r="I15" s="280">
        <f>SUM(G15:H15)</f>
        <v>682272.26943168347</v>
      </c>
    </row>
    <row r="16" spans="1:9">
      <c r="A16" s="233">
        <f t="shared" si="0"/>
        <v>4</v>
      </c>
      <c r="B16" s="247" t="s">
        <v>73</v>
      </c>
      <c r="C16" s="280">
        <f>+'SEF-4E p 2-7'!C16</f>
        <v>155333122.24000001</v>
      </c>
      <c r="D16" s="280">
        <f>+'SEF-4E p 2-7'!AF16</f>
        <v>0</v>
      </c>
      <c r="E16" s="280">
        <f>SUM(C16:D16)</f>
        <v>155333122.24000001</v>
      </c>
      <c r="F16" s="280">
        <f>+'SEF-4E p 2-7'!BJ16</f>
        <v>-149863634.21735081</v>
      </c>
      <c r="G16" s="280">
        <f>SUM(E16:F16)</f>
        <v>5469488.0226491988</v>
      </c>
      <c r="H16" s="280"/>
      <c r="I16" s="280">
        <f>SUM(G16:H16)</f>
        <v>5469488.0226491988</v>
      </c>
    </row>
    <row r="17" spans="1:9">
      <c r="A17" s="233">
        <f t="shared" si="0"/>
        <v>5</v>
      </c>
      <c r="B17" s="247" t="s">
        <v>72</v>
      </c>
      <c r="C17" s="280">
        <f>+'SEF-4E p 2-7'!C17</f>
        <v>122175867.17999999</v>
      </c>
      <c r="D17" s="280">
        <f>+'SEF-4E p 2-7'!AF17</f>
        <v>17627311.820000004</v>
      </c>
      <c r="E17" s="280">
        <f>SUM(C17:D17)</f>
        <v>139803179</v>
      </c>
      <c r="F17" s="280">
        <f>+'SEF-4E p 2-7'!BJ17</f>
        <v>-62972000.016836591</v>
      </c>
      <c r="G17" s="280">
        <f>SUM(E17:F17)</f>
        <v>76831178.983163416</v>
      </c>
      <c r="H17" s="280"/>
      <c r="I17" s="280">
        <f>SUM(G17:H17)</f>
        <v>76831178.983163416</v>
      </c>
    </row>
    <row r="18" spans="1:9">
      <c r="A18" s="233">
        <f t="shared" si="0"/>
        <v>6</v>
      </c>
      <c r="B18" s="247" t="s">
        <v>71</v>
      </c>
      <c r="C18" s="290">
        <f t="shared" ref="C18:I18" si="1">SUM(C14:C17)</f>
        <v>2443083187.8299994</v>
      </c>
      <c r="D18" s="290">
        <f t="shared" si="1"/>
        <v>-142247230.16876799</v>
      </c>
      <c r="E18" s="290">
        <f t="shared" si="1"/>
        <v>2300835957.661232</v>
      </c>
      <c r="F18" s="290">
        <f t="shared" si="1"/>
        <v>-221532906.71418738</v>
      </c>
      <c r="G18" s="290">
        <f t="shared" si="1"/>
        <v>2079303050.9470446</v>
      </c>
      <c r="H18" s="290">
        <f t="shared" si="1"/>
        <v>104502632</v>
      </c>
      <c r="I18" s="290">
        <f t="shared" si="1"/>
        <v>2183805682.9470444</v>
      </c>
    </row>
    <row r="19" spans="1:9" s="291" customFormat="1">
      <c r="A19" s="233">
        <f t="shared" si="0"/>
        <v>7</v>
      </c>
      <c r="B19" s="292"/>
      <c r="C19" s="280"/>
      <c r="D19" s="280"/>
      <c r="E19" s="280"/>
      <c r="F19" s="280"/>
      <c r="G19" s="280"/>
      <c r="H19" s="280"/>
      <c r="I19" s="280"/>
    </row>
    <row r="20" spans="1:9">
      <c r="A20" s="233">
        <f t="shared" si="0"/>
        <v>8</v>
      </c>
      <c r="B20" s="247" t="s">
        <v>70</v>
      </c>
      <c r="G20" s="273"/>
      <c r="I20" s="273"/>
    </row>
    <row r="21" spans="1:9">
      <c r="A21" s="233">
        <f t="shared" si="0"/>
        <v>9</v>
      </c>
      <c r="B21" s="245"/>
      <c r="G21" s="273"/>
      <c r="I21" s="273"/>
    </row>
    <row r="22" spans="1:9">
      <c r="A22" s="233">
        <f t="shared" si="0"/>
        <v>10</v>
      </c>
      <c r="B22" s="247" t="s">
        <v>69</v>
      </c>
      <c r="G22" s="273"/>
      <c r="I22" s="273"/>
    </row>
    <row r="23" spans="1:9">
      <c r="A23" s="233">
        <f t="shared" si="0"/>
        <v>11</v>
      </c>
      <c r="B23" s="247" t="s">
        <v>68</v>
      </c>
      <c r="C23" s="282">
        <f>+'SEF-4E p 2-7'!C23</f>
        <v>204174130.28999999</v>
      </c>
      <c r="D23" s="282">
        <f>+'SEF-4E p 2-7'!AF23</f>
        <v>1063362.3599999994</v>
      </c>
      <c r="E23" s="282">
        <f>SUM(C23:D23)</f>
        <v>205237492.64999998</v>
      </c>
      <c r="F23" s="282">
        <f>+'SEF-4E p 2-7'!BJ23</f>
        <v>-24564886.815952644</v>
      </c>
      <c r="G23" s="282">
        <f>SUM(E23:F23)</f>
        <v>180672605.83404732</v>
      </c>
      <c r="H23" s="289"/>
      <c r="I23" s="282">
        <f>SUM(G23:H23)</f>
        <v>180672605.83404732</v>
      </c>
    </row>
    <row r="24" spans="1:9">
      <c r="A24" s="233">
        <f t="shared" si="0"/>
        <v>12</v>
      </c>
      <c r="B24" s="247" t="s">
        <v>67</v>
      </c>
      <c r="C24" s="280">
        <f>+'SEF-4E p 2-7'!C24</f>
        <v>591842797.56999886</v>
      </c>
      <c r="D24" s="280">
        <f>+'SEF-4E p 2-7'!AF24</f>
        <v>8537087.6701091882</v>
      </c>
      <c r="E24" s="280">
        <f>SUM(C24:D24)</f>
        <v>600379885.24010801</v>
      </c>
      <c r="F24" s="280">
        <f>+'SEF-4E p 2-7'!BJ24</f>
        <v>-153700326.32723856</v>
      </c>
      <c r="G24" s="280">
        <f>SUM(E24:F24)</f>
        <v>446679558.91286945</v>
      </c>
      <c r="H24" s="287"/>
      <c r="I24" s="280">
        <f>SUM(G24:H24)</f>
        <v>446679558.91286945</v>
      </c>
    </row>
    <row r="25" spans="1:9">
      <c r="A25" s="233">
        <f t="shared" si="0"/>
        <v>13</v>
      </c>
      <c r="B25" s="247" t="s">
        <v>66</v>
      </c>
      <c r="C25" s="280">
        <f>+'SEF-4E p 2-7'!C25</f>
        <v>115807777.5999999</v>
      </c>
      <c r="D25" s="280">
        <f>+'SEF-4E p 2-7'!AF25</f>
        <v>0</v>
      </c>
      <c r="E25" s="280">
        <f>SUM(C25:D25)</f>
        <v>115807777.5999999</v>
      </c>
      <c r="F25" s="280">
        <f>+'SEF-4E p 2-7'!BJ25</f>
        <v>-3473456.2753740251</v>
      </c>
      <c r="G25" s="280">
        <f>SUM(E25:F25)</f>
        <v>112334321.32462588</v>
      </c>
      <c r="H25" s="287"/>
      <c r="I25" s="280">
        <f>SUM(G25:H25)</f>
        <v>112334321.32462588</v>
      </c>
    </row>
    <row r="26" spans="1:9">
      <c r="A26" s="233">
        <f t="shared" si="0"/>
        <v>14</v>
      </c>
      <c r="B26" s="245" t="s">
        <v>65</v>
      </c>
      <c r="C26" s="280">
        <f>+'SEF-4E p 2-7'!C26</f>
        <v>-77453659.509999901</v>
      </c>
      <c r="D26" s="280">
        <f>+'SEF-4E p 2-7'!AF26</f>
        <v>77453659.510000005</v>
      </c>
      <c r="E26" s="280">
        <f>SUM(C26:D26)</f>
        <v>0</v>
      </c>
      <c r="F26" s="280">
        <f>+'SEF-4E p 2-7'!BJ26</f>
        <v>0</v>
      </c>
      <c r="G26" s="280">
        <f>SUM(E26:F26)</f>
        <v>0</v>
      </c>
      <c r="H26" s="287"/>
      <c r="I26" s="280">
        <f>SUM(G26:H26)</f>
        <v>0</v>
      </c>
    </row>
    <row r="27" spans="1:9">
      <c r="A27" s="233">
        <f t="shared" si="0"/>
        <v>15</v>
      </c>
      <c r="B27" s="247" t="s">
        <v>64</v>
      </c>
      <c r="C27" s="286">
        <f t="shared" ref="C27:I27" si="2">SUM(C22:C26)</f>
        <v>834371045.94999886</v>
      </c>
      <c r="D27" s="286">
        <f t="shared" si="2"/>
        <v>87054109.540109187</v>
      </c>
      <c r="E27" s="286">
        <f t="shared" si="2"/>
        <v>921425155.49010789</v>
      </c>
      <c r="F27" s="286">
        <f t="shared" si="2"/>
        <v>-181738669.41856524</v>
      </c>
      <c r="G27" s="286">
        <f t="shared" si="2"/>
        <v>739686486.07154262</v>
      </c>
      <c r="H27" s="290">
        <f t="shared" si="2"/>
        <v>0</v>
      </c>
      <c r="I27" s="286">
        <f t="shared" si="2"/>
        <v>739686486.07154262</v>
      </c>
    </row>
    <row r="28" spans="1:9">
      <c r="A28" s="233">
        <f t="shared" si="0"/>
        <v>16</v>
      </c>
      <c r="B28" s="247"/>
      <c r="C28" s="282"/>
      <c r="D28" s="282"/>
      <c r="E28" s="282"/>
      <c r="F28" s="282"/>
      <c r="G28" s="282"/>
      <c r="H28" s="289"/>
      <c r="I28" s="282"/>
    </row>
    <row r="29" spans="1:9">
      <c r="A29" s="233">
        <f t="shared" si="0"/>
        <v>17</v>
      </c>
      <c r="B29" s="288" t="s">
        <v>63</v>
      </c>
      <c r="C29" s="282">
        <f>+'SEF-4E p 2-7'!C29</f>
        <v>127167992.89</v>
      </c>
      <c r="D29" s="282">
        <f>+'SEF-4E p 2-7'!AF29</f>
        <v>-35955.199816429289</v>
      </c>
      <c r="E29" s="282">
        <f t="shared" ref="E29:E43" si="3">SUM(C29:D29)</f>
        <v>127132037.69018357</v>
      </c>
      <c r="F29" s="282">
        <f>+'SEF-4E p 2-7'!BJ29</f>
        <v>-17956245.52205608</v>
      </c>
      <c r="G29" s="282">
        <f t="shared" ref="G29:G43" si="4">SUM(E29:F29)</f>
        <v>109175792.16812748</v>
      </c>
      <c r="H29" s="289"/>
      <c r="I29" s="282">
        <f t="shared" ref="I29:I43" si="5">SUM(G29:H29)</f>
        <v>109175792.16812748</v>
      </c>
    </row>
    <row r="30" spans="1:9">
      <c r="A30" s="233">
        <f t="shared" si="0"/>
        <v>18</v>
      </c>
      <c r="B30" s="247" t="s">
        <v>62</v>
      </c>
      <c r="C30" s="280">
        <f>+'SEF-4E p 2-7'!C30</f>
        <v>24439502.479999997</v>
      </c>
      <c r="D30" s="280">
        <f>+'SEF-4E p 2-7'!AF30</f>
        <v>-119633.45425329165</v>
      </c>
      <c r="E30" s="280">
        <f t="shared" si="3"/>
        <v>24319869.025746707</v>
      </c>
      <c r="F30" s="280">
        <f>+'SEF-4E p 2-7'!BJ30</f>
        <v>488386.45716514532</v>
      </c>
      <c r="G30" s="280">
        <f t="shared" si="4"/>
        <v>24808255.482911851</v>
      </c>
      <c r="H30" s="287"/>
      <c r="I30" s="280">
        <f t="shared" si="5"/>
        <v>24808255.482911851</v>
      </c>
    </row>
    <row r="31" spans="1:9">
      <c r="A31" s="233">
        <f t="shared" si="0"/>
        <v>19</v>
      </c>
      <c r="B31" s="247" t="s">
        <v>61</v>
      </c>
      <c r="C31" s="280">
        <f>+'SEF-4E p 2-7'!C31</f>
        <v>83251239.00999999</v>
      </c>
      <c r="D31" s="280">
        <f>+'SEF-4E p 2-7'!AF31</f>
        <v>70205.134423830081</v>
      </c>
      <c r="E31" s="280">
        <f t="shared" si="3"/>
        <v>83321444.144423828</v>
      </c>
      <c r="F31" s="280">
        <f>+'SEF-4E p 2-7'!BJ31</f>
        <v>2247362.7262155674</v>
      </c>
      <c r="G31" s="280">
        <f t="shared" si="4"/>
        <v>85568806.870639399</v>
      </c>
      <c r="H31" s="287"/>
      <c r="I31" s="280">
        <f t="shared" si="5"/>
        <v>85568806.870639399</v>
      </c>
    </row>
    <row r="32" spans="1:9">
      <c r="A32" s="233">
        <f t="shared" si="0"/>
        <v>20</v>
      </c>
      <c r="B32" s="247" t="s">
        <v>60</v>
      </c>
      <c r="C32" s="280">
        <f>+'SEF-4E p 2-7'!C32</f>
        <v>53199861.179999992</v>
      </c>
      <c r="D32" s="280">
        <f>+'SEF-4E p 2-7'!AF32</f>
        <v>-785610.69141446229</v>
      </c>
      <c r="E32" s="280">
        <f t="shared" si="3"/>
        <v>52414250.488585532</v>
      </c>
      <c r="F32" s="280">
        <f>+'SEF-4E p 2-7'!BJ32</f>
        <v>-326705.24962682935</v>
      </c>
      <c r="G32" s="280">
        <f t="shared" si="4"/>
        <v>52087545.238958701</v>
      </c>
      <c r="H32" s="287">
        <f>'SEF-3E'!C21*'SEF-3E'!M12</f>
        <v>886077.81672800006</v>
      </c>
      <c r="I32" s="280">
        <f t="shared" si="5"/>
        <v>52973623.055686705</v>
      </c>
    </row>
    <row r="33" spans="1:9">
      <c r="A33" s="233">
        <f t="shared" si="0"/>
        <v>21</v>
      </c>
      <c r="B33" s="247" t="s">
        <v>59</v>
      </c>
      <c r="C33" s="280">
        <f>+'SEF-4E p 2-7'!C33</f>
        <v>22140921.049999997</v>
      </c>
      <c r="D33" s="280">
        <f>+'SEF-4E p 2-7'!AF33</f>
        <v>-18125239.842409734</v>
      </c>
      <c r="E33" s="280">
        <f t="shared" si="3"/>
        <v>4015681.2075902633</v>
      </c>
      <c r="F33" s="280">
        <f>+'SEF-4E p 2-7'!BJ33</f>
        <v>67858.879361970816</v>
      </c>
      <c r="G33" s="280">
        <f t="shared" si="4"/>
        <v>4083540.0869522342</v>
      </c>
      <c r="H33" s="287"/>
      <c r="I33" s="280">
        <f t="shared" si="5"/>
        <v>4083540.0869522342</v>
      </c>
    </row>
    <row r="34" spans="1:9">
      <c r="A34" s="233">
        <f t="shared" si="0"/>
        <v>22</v>
      </c>
      <c r="B34" s="247" t="s">
        <v>58</v>
      </c>
      <c r="C34" s="280">
        <f>+'SEF-4E p 2-7'!C34</f>
        <v>97087902.950000003</v>
      </c>
      <c r="D34" s="280">
        <f>+'SEF-4E p 2-7'!AF34</f>
        <v>-97087902.950000003</v>
      </c>
      <c r="E34" s="280">
        <f t="shared" si="3"/>
        <v>0</v>
      </c>
      <c r="F34" s="280">
        <f>+'SEF-4E p 2-7'!BJ34</f>
        <v>0</v>
      </c>
      <c r="G34" s="280">
        <f t="shared" si="4"/>
        <v>0</v>
      </c>
      <c r="H34" s="287"/>
      <c r="I34" s="280">
        <f t="shared" si="5"/>
        <v>0</v>
      </c>
    </row>
    <row r="35" spans="1:9">
      <c r="A35" s="233">
        <f t="shared" si="0"/>
        <v>23</v>
      </c>
      <c r="B35" s="247" t="s">
        <v>57</v>
      </c>
      <c r="C35" s="280">
        <f>+'SEF-4E p 2-7'!C35</f>
        <v>124825410.95999999</v>
      </c>
      <c r="D35" s="280">
        <f>+'SEF-4E p 2-7'!AF35</f>
        <v>749855.96168914204</v>
      </c>
      <c r="E35" s="280">
        <f t="shared" si="3"/>
        <v>125575266.92168914</v>
      </c>
      <c r="F35" s="280">
        <f>+'SEF-4E p 2-7'!BJ35</f>
        <v>2214731.8075384717</v>
      </c>
      <c r="G35" s="280">
        <f t="shared" si="4"/>
        <v>127789998.7292276</v>
      </c>
      <c r="H35" s="287">
        <f>'SEF-3E'!C21*'SEF-3E'!M13</f>
        <v>209005.264</v>
      </c>
      <c r="I35" s="280">
        <f t="shared" si="5"/>
        <v>127999003.9932276</v>
      </c>
    </row>
    <row r="36" spans="1:9">
      <c r="A36" s="233">
        <f t="shared" si="0"/>
        <v>24</v>
      </c>
      <c r="B36" s="247" t="s">
        <v>56</v>
      </c>
      <c r="C36" s="280">
        <f>+'SEF-4E p 2-7'!C36</f>
        <v>341625259.95999998</v>
      </c>
      <c r="D36" s="280">
        <f>+'SEF-4E p 2-7'!AF36</f>
        <v>3138498.764109659</v>
      </c>
      <c r="E36" s="280">
        <f t="shared" si="3"/>
        <v>344763758.72410965</v>
      </c>
      <c r="F36" s="280">
        <f>+'SEF-4E p 2-7'!BJ36</f>
        <v>2034599.9561757615</v>
      </c>
      <c r="G36" s="280">
        <f t="shared" si="4"/>
        <v>346798358.68028539</v>
      </c>
      <c r="H36" s="287"/>
      <c r="I36" s="280">
        <f t="shared" si="5"/>
        <v>346798358.68028539</v>
      </c>
    </row>
    <row r="37" spans="1:9">
      <c r="A37" s="233">
        <f t="shared" si="0"/>
        <v>25</v>
      </c>
      <c r="B37" s="247" t="s">
        <v>55</v>
      </c>
      <c r="C37" s="280">
        <f>+'SEF-4E p 2-7'!C37</f>
        <v>75292958.060000002</v>
      </c>
      <c r="D37" s="280">
        <f>+'SEF-4E p 2-7'!AF37</f>
        <v>15699257.697837964</v>
      </c>
      <c r="E37" s="280">
        <f t="shared" si="3"/>
        <v>90992215.757837966</v>
      </c>
      <c r="F37" s="280">
        <f>+'SEF-4E p 2-7'!BJ37</f>
        <v>3351444.016629471</v>
      </c>
      <c r="G37" s="280">
        <f t="shared" si="4"/>
        <v>94343659.774467438</v>
      </c>
      <c r="H37" s="287"/>
      <c r="I37" s="280">
        <f t="shared" si="5"/>
        <v>94343659.774467438</v>
      </c>
    </row>
    <row r="38" spans="1:9">
      <c r="A38" s="233">
        <f t="shared" si="0"/>
        <v>26</v>
      </c>
      <c r="B38" s="288" t="s">
        <v>54</v>
      </c>
      <c r="C38" s="280">
        <f>+'SEF-4E p 2-7'!C38</f>
        <v>35645161.039999902</v>
      </c>
      <c r="D38" s="280">
        <f>+'SEF-4E p 2-7'!AF38</f>
        <v>0</v>
      </c>
      <c r="E38" s="280">
        <f t="shared" si="3"/>
        <v>35645161.039999902</v>
      </c>
      <c r="F38" s="280">
        <f>+'SEF-4E p 2-7'!BJ38</f>
        <v>7505238.283406239</v>
      </c>
      <c r="G38" s="280">
        <f t="shared" si="4"/>
        <v>43150399.323406145</v>
      </c>
      <c r="H38" s="287"/>
      <c r="I38" s="280">
        <f t="shared" si="5"/>
        <v>43150399.323406145</v>
      </c>
    </row>
    <row r="39" spans="1:9">
      <c r="A39" s="233">
        <f t="shared" si="0"/>
        <v>27</v>
      </c>
      <c r="B39" s="247" t="s">
        <v>53</v>
      </c>
      <c r="C39" s="280">
        <f>+'SEF-4E p 2-7'!C39</f>
        <v>-21632953.829999994</v>
      </c>
      <c r="D39" s="280">
        <f>+'SEF-4E p 2-7'!AF39</f>
        <v>31433177.98</v>
      </c>
      <c r="E39" s="280">
        <f t="shared" si="3"/>
        <v>9800224.150000006</v>
      </c>
      <c r="F39" s="280">
        <f>+'SEF-4E p 2-7'!BJ39</f>
        <v>6974342.3038131092</v>
      </c>
      <c r="G39" s="280">
        <f t="shared" si="4"/>
        <v>16774566.453813115</v>
      </c>
      <c r="H39" s="287"/>
      <c r="I39" s="280">
        <f t="shared" si="5"/>
        <v>16774566.453813115</v>
      </c>
    </row>
    <row r="40" spans="1:9">
      <c r="A40" s="233">
        <f t="shared" si="0"/>
        <v>28</v>
      </c>
      <c r="B40" s="245" t="s">
        <v>52</v>
      </c>
      <c r="C40" s="280">
        <f>+'SEF-4E p 2-7'!C40</f>
        <v>-41661500.859999999</v>
      </c>
      <c r="D40" s="280">
        <f>+'SEF-4E p 2-7'!AF40</f>
        <v>41661500.859999999</v>
      </c>
      <c r="E40" s="280">
        <f t="shared" si="3"/>
        <v>0</v>
      </c>
      <c r="F40" s="280">
        <f>+'SEF-4E p 2-7'!BJ40</f>
        <v>0</v>
      </c>
      <c r="G40" s="280">
        <f t="shared" si="4"/>
        <v>0</v>
      </c>
      <c r="H40" s="287"/>
      <c r="I40" s="280">
        <f t="shared" si="5"/>
        <v>0</v>
      </c>
    </row>
    <row r="41" spans="1:9">
      <c r="A41" s="233">
        <f t="shared" si="0"/>
        <v>29</v>
      </c>
      <c r="B41" s="247" t="s">
        <v>51</v>
      </c>
      <c r="C41" s="280">
        <f>+'SEF-4E p 2-7'!C41</f>
        <v>234440433.30000001</v>
      </c>
      <c r="D41" s="280">
        <f>+'SEF-4E p 2-7'!AF41</f>
        <v>-146669918.51362866</v>
      </c>
      <c r="E41" s="280">
        <f t="shared" si="3"/>
        <v>87770514.78637135</v>
      </c>
      <c r="F41" s="280">
        <f>+'SEF-4E p 2-7'!BJ41</f>
        <v>-1274952.2814230258</v>
      </c>
      <c r="G41" s="280">
        <f t="shared" si="4"/>
        <v>86495562.504948318</v>
      </c>
      <c r="H41" s="287">
        <f>'SEF-3E'!C21*'SEF-3E'!M14</f>
        <v>4013528.0845920001</v>
      </c>
      <c r="I41" s="280">
        <f t="shared" si="5"/>
        <v>90509090.589540318</v>
      </c>
    </row>
    <row r="42" spans="1:9">
      <c r="A42" s="233">
        <f t="shared" si="0"/>
        <v>30</v>
      </c>
      <c r="B42" s="247" t="s">
        <v>50</v>
      </c>
      <c r="C42" s="280">
        <f>+'SEF-4E p 2-7'!C42</f>
        <v>22841555.030000001</v>
      </c>
      <c r="D42" s="280">
        <f>+'SEF-4E p 2-7'!AF42</f>
        <v>60464594.667635463</v>
      </c>
      <c r="E42" s="280">
        <f t="shared" si="3"/>
        <v>83306149.697635472</v>
      </c>
      <c r="F42" s="280">
        <f>+'SEF-4E p 2-7'!BJ42</f>
        <v>-9088016.8868542295</v>
      </c>
      <c r="G42" s="280">
        <f t="shared" si="4"/>
        <v>74218132.81078124</v>
      </c>
      <c r="H42" s="287">
        <f>'SEF-3E'!C21*'SEF-3E'!M19</f>
        <v>20872728.699887998</v>
      </c>
      <c r="I42" s="280">
        <f t="shared" si="5"/>
        <v>95090861.510669231</v>
      </c>
    </row>
    <row r="43" spans="1:9">
      <c r="A43" s="233">
        <f t="shared" si="0"/>
        <v>31</v>
      </c>
      <c r="B43" s="245" t="s">
        <v>49</v>
      </c>
      <c r="C43" s="280">
        <f>+'SEF-4E p 2-7'!C43</f>
        <v>38907707.560000002</v>
      </c>
      <c r="D43" s="280">
        <f>+'SEF-4E p 2-7'!AF43</f>
        <v>-90716508.465295345</v>
      </c>
      <c r="E43" s="280">
        <f t="shared" si="3"/>
        <v>-51808800.905295342</v>
      </c>
      <c r="F43" s="280">
        <f>+'SEF-4E p 2-7'!BJ43</f>
        <v>-9006372.2399999984</v>
      </c>
      <c r="G43" s="280">
        <f t="shared" si="4"/>
        <v>-60815173.145295337</v>
      </c>
      <c r="H43" s="280"/>
      <c r="I43" s="280">
        <f t="shared" si="5"/>
        <v>-60815173.145295337</v>
      </c>
    </row>
    <row r="44" spans="1:9">
      <c r="A44" s="233">
        <f t="shared" si="0"/>
        <v>32</v>
      </c>
      <c r="B44" s="247" t="s">
        <v>48</v>
      </c>
      <c r="C44" s="286">
        <f t="shared" ref="C44:I44" si="6">SUM(C27:C43)</f>
        <v>2051942496.7299988</v>
      </c>
      <c r="D44" s="286">
        <f t="shared" si="6"/>
        <v>-113269568.51101267</v>
      </c>
      <c r="E44" s="286">
        <f t="shared" si="6"/>
        <v>1938672928.2189858</v>
      </c>
      <c r="F44" s="286">
        <f t="shared" si="6"/>
        <v>-194506997.16821969</v>
      </c>
      <c r="G44" s="286">
        <f t="shared" si="6"/>
        <v>1744165931.0507662</v>
      </c>
      <c r="H44" s="286">
        <f t="shared" si="6"/>
        <v>25981339.865208</v>
      </c>
      <c r="I44" s="286">
        <f t="shared" si="6"/>
        <v>1770147270.9159741</v>
      </c>
    </row>
    <row r="45" spans="1:9">
      <c r="A45" s="233">
        <f t="shared" si="0"/>
        <v>33</v>
      </c>
      <c r="B45" s="245"/>
      <c r="C45" s="285"/>
      <c r="D45" s="285"/>
      <c r="E45" s="285"/>
      <c r="F45" s="285"/>
      <c r="G45" s="285"/>
      <c r="H45" s="285"/>
      <c r="I45" s="285"/>
    </row>
    <row r="46" spans="1:9" ht="14.4" thickBot="1">
      <c r="A46" s="233">
        <f t="shared" ref="A46:A64" si="7">A45+1</f>
        <v>34</v>
      </c>
      <c r="B46" s="245" t="s">
        <v>47</v>
      </c>
      <c r="C46" s="284">
        <f t="shared" ref="C46:I46" si="8">+C18-C44</f>
        <v>391140691.10000062</v>
      </c>
      <c r="D46" s="284">
        <f t="shared" si="8"/>
        <v>-28977661.657755315</v>
      </c>
      <c r="E46" s="284">
        <f t="shared" si="8"/>
        <v>362163029.4422462</v>
      </c>
      <c r="F46" s="284">
        <f t="shared" si="8"/>
        <v>-27025909.545967698</v>
      </c>
      <c r="G46" s="284">
        <f t="shared" si="8"/>
        <v>335137119.89627838</v>
      </c>
      <c r="H46" s="284">
        <f t="shared" si="8"/>
        <v>78521292.134792</v>
      </c>
      <c r="I46" s="284">
        <f t="shared" si="8"/>
        <v>413658412.03107023</v>
      </c>
    </row>
    <row r="47" spans="1:9" ht="14.4" thickTop="1">
      <c r="A47" s="233">
        <f t="shared" si="7"/>
        <v>35</v>
      </c>
      <c r="G47" s="273"/>
      <c r="I47" s="273"/>
    </row>
    <row r="48" spans="1:9" s="276" customFormat="1">
      <c r="A48" s="233">
        <f t="shared" si="7"/>
        <v>36</v>
      </c>
      <c r="B48" s="247" t="s">
        <v>46</v>
      </c>
      <c r="C48" s="282">
        <f>C59</f>
        <v>5208778506.3049917</v>
      </c>
      <c r="D48" s="282">
        <f>D59</f>
        <v>153279510.50530368</v>
      </c>
      <c r="E48" s="282">
        <f>E59</f>
        <v>5362058016.8102951</v>
      </c>
      <c r="F48" s="282">
        <f>F59</f>
        <v>66530063.71872431</v>
      </c>
      <c r="G48" s="282">
        <f>G59</f>
        <v>5428588080.5290194</v>
      </c>
      <c r="H48" s="282"/>
      <c r="I48" s="282">
        <f>I59</f>
        <v>5428588080.5290194</v>
      </c>
    </row>
    <row r="49" spans="1:9">
      <c r="A49" s="233">
        <f t="shared" si="7"/>
        <v>37</v>
      </c>
      <c r="B49" s="245"/>
      <c r="G49" s="273"/>
      <c r="I49" s="273"/>
    </row>
    <row r="50" spans="1:9">
      <c r="A50" s="233">
        <f t="shared" si="7"/>
        <v>38</v>
      </c>
      <c r="B50" s="247" t="s">
        <v>18</v>
      </c>
      <c r="C50" s="283">
        <f>+C46/C48</f>
        <v>7.5092594286077327E-2</v>
      </c>
      <c r="D50" s="283"/>
      <c r="E50" s="283">
        <f>+E46/E48</f>
        <v>6.7541796136268706E-2</v>
      </c>
      <c r="F50" s="283"/>
      <c r="G50" s="283">
        <f>+G46/G48</f>
        <v>6.1735595872217858E-2</v>
      </c>
      <c r="H50" s="280"/>
      <c r="I50" s="283">
        <f>+I46/I48</f>
        <v>7.6200000054297543E-2</v>
      </c>
    </row>
    <row r="51" spans="1:9">
      <c r="A51" s="233">
        <f t="shared" si="7"/>
        <v>39</v>
      </c>
      <c r="B51" s="245"/>
      <c r="C51" s="280"/>
      <c r="D51" s="280"/>
      <c r="E51" s="280"/>
      <c r="F51" s="280" t="s">
        <v>45</v>
      </c>
      <c r="G51" s="280"/>
      <c r="H51" s="280"/>
      <c r="I51" s="280"/>
    </row>
    <row r="52" spans="1:9">
      <c r="A52" s="233">
        <f t="shared" si="7"/>
        <v>40</v>
      </c>
      <c r="B52" s="245" t="s">
        <v>44</v>
      </c>
      <c r="C52" s="280"/>
      <c r="D52" s="280"/>
      <c r="E52" s="280"/>
      <c r="F52" s="280"/>
      <c r="G52" s="280"/>
      <c r="H52" s="280"/>
      <c r="I52" s="280"/>
    </row>
    <row r="53" spans="1:9">
      <c r="A53" s="233">
        <f t="shared" si="7"/>
        <v>41</v>
      </c>
      <c r="B53" s="281" t="s">
        <v>43</v>
      </c>
      <c r="C53" s="282">
        <f>+'SEF-4E p 2-7'!C53</f>
        <v>10572466950.394854</v>
      </c>
      <c r="D53" s="282">
        <f>+'SEF-4E p 2-7'!AF53</f>
        <v>321539876.75844002</v>
      </c>
      <c r="E53" s="282">
        <f t="shared" ref="E53:E58" si="9">SUM(C53:D53)</f>
        <v>10894006827.153294</v>
      </c>
      <c r="F53" s="282">
        <f>+'SEF-4E p 2-7'!BJ53</f>
        <v>71874912.325701013</v>
      </c>
      <c r="G53" s="282">
        <f t="shared" ref="G53:G58" si="10">SUM(E53:F53)</f>
        <v>10965881739.478994</v>
      </c>
      <c r="H53" s="282"/>
      <c r="I53" s="282">
        <f t="shared" ref="I53:I58" si="11">SUM(G53:H53)</f>
        <v>10965881739.478994</v>
      </c>
    </row>
    <row r="54" spans="1:9">
      <c r="A54" s="233">
        <f t="shared" si="7"/>
        <v>42</v>
      </c>
      <c r="B54" s="281" t="s">
        <v>42</v>
      </c>
      <c r="C54" s="280">
        <f>+'SEF-4E p 2-7'!C54</f>
        <v>-4244925258.0010071</v>
      </c>
      <c r="D54" s="280">
        <f>+'SEF-4E p 2-7'!AF54</f>
        <v>-179466335.93937823</v>
      </c>
      <c r="E54" s="280">
        <f t="shared" si="9"/>
        <v>-4424391593.9403849</v>
      </c>
      <c r="F54" s="280">
        <f>+'SEF-4E p 2-7'!BJ54</f>
        <v>-5847455.7677531959</v>
      </c>
      <c r="G54" s="280">
        <f t="shared" si="10"/>
        <v>-4430239049.7081385</v>
      </c>
      <c r="H54" s="280"/>
      <c r="I54" s="280">
        <f t="shared" si="11"/>
        <v>-4430239049.7081385</v>
      </c>
    </row>
    <row r="55" spans="1:9">
      <c r="A55" s="233">
        <f t="shared" si="7"/>
        <v>43</v>
      </c>
      <c r="B55" s="245" t="s">
        <v>41</v>
      </c>
      <c r="C55" s="280">
        <f>+'SEF-4E p 2-7'!C55</f>
        <v>285841342.02833331</v>
      </c>
      <c r="D55" s="280">
        <f>+'SEF-4E p 2-7'!AF55</f>
        <v>-12697238.698333323</v>
      </c>
      <c r="E55" s="280">
        <f t="shared" si="9"/>
        <v>273144103.32999998</v>
      </c>
      <c r="F55" s="280">
        <f>+'SEF-4E p 2-7'!BJ55</f>
        <v>-18238254.926652256</v>
      </c>
      <c r="G55" s="280">
        <f t="shared" si="10"/>
        <v>254905848.40334773</v>
      </c>
      <c r="H55" s="280"/>
      <c r="I55" s="280">
        <f t="shared" si="11"/>
        <v>254905848.40334773</v>
      </c>
    </row>
    <row r="56" spans="1:9">
      <c r="A56" s="233">
        <f t="shared" si="7"/>
        <v>44</v>
      </c>
      <c r="B56" s="245" t="s">
        <v>40</v>
      </c>
      <c r="C56" s="280">
        <f>+'SEF-4E p 2-7'!C56</f>
        <v>-1443684469.5857882</v>
      </c>
      <c r="D56" s="280">
        <f>+'SEF-4E p 2-7'!AF56</f>
        <v>33698713.398487836</v>
      </c>
      <c r="E56" s="280">
        <f t="shared" si="9"/>
        <v>-1409985756.1873004</v>
      </c>
      <c r="F56" s="280">
        <f>+'SEF-4E p 2-7'!BJ56</f>
        <v>18740862.087428745</v>
      </c>
      <c r="G56" s="280">
        <f t="shared" si="10"/>
        <v>-1391244894.0998716</v>
      </c>
      <c r="H56" s="280"/>
      <c r="I56" s="280">
        <f t="shared" si="11"/>
        <v>-1391244894.0998716</v>
      </c>
    </row>
    <row r="57" spans="1:9">
      <c r="A57" s="233">
        <f t="shared" si="7"/>
        <v>45</v>
      </c>
      <c r="B57" s="245" t="s">
        <v>39</v>
      </c>
      <c r="C57" s="280">
        <f>+'SEF-4E p 2-7'!C57</f>
        <v>145303204.9988502</v>
      </c>
      <c r="D57" s="280">
        <f>+'SEF-4E p 2-7'!AF57</f>
        <v>-7927989.0496875346</v>
      </c>
      <c r="E57" s="280">
        <f t="shared" si="9"/>
        <v>137375215.94916266</v>
      </c>
      <c r="F57" s="280">
        <f>+'SEF-4E p 2-7'!BJ57</f>
        <v>0</v>
      </c>
      <c r="G57" s="280">
        <f t="shared" si="10"/>
        <v>137375215.94916266</v>
      </c>
      <c r="H57" s="280"/>
      <c r="I57" s="280">
        <f t="shared" si="11"/>
        <v>137375215.94916266</v>
      </c>
    </row>
    <row r="58" spans="1:9">
      <c r="A58" s="233">
        <f t="shared" si="7"/>
        <v>46</v>
      </c>
      <c r="B58" s="245" t="s">
        <v>38</v>
      </c>
      <c r="C58" s="280">
        <f>+'SEF-4E p 2-7'!C58</f>
        <v>-106223263.53024991</v>
      </c>
      <c r="D58" s="280">
        <f>+'SEF-4E p 2-7'!AF58</f>
        <v>-1867515.9642250985</v>
      </c>
      <c r="E58" s="280">
        <f t="shared" si="9"/>
        <v>-108090779.49447501</v>
      </c>
      <c r="F58" s="280">
        <f>+'SEF-4E p 2-7'!BJ58</f>
        <v>0</v>
      </c>
      <c r="G58" s="280">
        <f t="shared" si="10"/>
        <v>-108090779.49447501</v>
      </c>
      <c r="H58" s="280"/>
      <c r="I58" s="280">
        <f t="shared" si="11"/>
        <v>-108090779.49447501</v>
      </c>
    </row>
    <row r="59" spans="1:9" ht="14.4" thickBot="1">
      <c r="A59" s="233">
        <f t="shared" si="7"/>
        <v>47</v>
      </c>
      <c r="B59" s="245" t="s">
        <v>37</v>
      </c>
      <c r="C59" s="279">
        <f>SUM(C53:C58)</f>
        <v>5208778506.3049917</v>
      </c>
      <c r="D59" s="279">
        <f>SUM(D53:D58)</f>
        <v>153279510.50530368</v>
      </c>
      <c r="E59" s="279">
        <f>SUM(E53:E58)</f>
        <v>5362058016.8102951</v>
      </c>
      <c r="F59" s="279">
        <f>SUM(F53:F58)</f>
        <v>66530063.71872431</v>
      </c>
      <c r="G59" s="279">
        <f>SUM(G53:G58)</f>
        <v>5428588080.5290194</v>
      </c>
      <c r="H59" s="279"/>
      <c r="I59" s="279">
        <f>SUM(I53:I58)</f>
        <v>5428588080.5290194</v>
      </c>
    </row>
    <row r="60" spans="1:9" ht="14.4" thickTop="1">
      <c r="A60" s="233">
        <f t="shared" si="7"/>
        <v>48</v>
      </c>
    </row>
    <row r="61" spans="1:9">
      <c r="A61" s="233">
        <f t="shared" si="7"/>
        <v>49</v>
      </c>
      <c r="B61" s="245" t="s">
        <v>36</v>
      </c>
      <c r="C61" s="278">
        <f>+'SEF-3E'!$C$13</f>
        <v>7.6200000000000004E-2</v>
      </c>
      <c r="D61" s="278">
        <f>+'SEF-3E'!$C$13</f>
        <v>7.6200000000000004E-2</v>
      </c>
      <c r="E61" s="278">
        <f>+'SEF-3E'!$C$13</f>
        <v>7.6200000000000004E-2</v>
      </c>
      <c r="F61" s="278">
        <f>+'SEF-3E'!$C$13</f>
        <v>7.6200000000000004E-2</v>
      </c>
      <c r="G61" s="278">
        <f>+'SEF-3E'!$C$13</f>
        <v>7.6200000000000004E-2</v>
      </c>
      <c r="H61" s="278">
        <f>+'SEF-3E'!$C$13</f>
        <v>7.6200000000000004E-2</v>
      </c>
      <c r="I61" s="278">
        <f>+'SEF-3E'!$C$13</f>
        <v>7.6200000000000004E-2</v>
      </c>
    </row>
    <row r="62" spans="1:9">
      <c r="A62" s="233">
        <f t="shared" si="7"/>
        <v>50</v>
      </c>
      <c r="B62" s="245" t="s">
        <v>35</v>
      </c>
      <c r="C62" s="277">
        <f>+'SEF-3E'!$M$20</f>
        <v>0.75138099999999997</v>
      </c>
      <c r="D62" s="277">
        <f>+'SEF-3E'!$M$20</f>
        <v>0.75138099999999997</v>
      </c>
      <c r="E62" s="277">
        <f>+'SEF-3E'!$M$20</f>
        <v>0.75138099999999997</v>
      </c>
      <c r="F62" s="277">
        <f>+'SEF-3E'!$M$20</f>
        <v>0.75138099999999997</v>
      </c>
      <c r="G62" s="277">
        <f>+'SEF-3E'!$M$20</f>
        <v>0.75138099999999997</v>
      </c>
      <c r="H62" s="277">
        <f>+'SEF-3E'!$M$20</f>
        <v>0.75138099999999997</v>
      </c>
      <c r="I62" s="277">
        <f>+'SEF-3E'!$M$20</f>
        <v>0.75138099999999997</v>
      </c>
    </row>
    <row r="63" spans="1:9">
      <c r="A63" s="233">
        <f t="shared" si="7"/>
        <v>51</v>
      </c>
      <c r="B63" s="245" t="s">
        <v>1345</v>
      </c>
      <c r="C63" s="276">
        <f t="shared" ref="C63:I63" si="12">+C46-(C59*C61)</f>
        <v>-5768231.0804397464</v>
      </c>
      <c r="D63" s="276">
        <f t="shared" si="12"/>
        <v>-40657560.358259454</v>
      </c>
      <c r="E63" s="276">
        <f t="shared" si="12"/>
        <v>-46425791.438698292</v>
      </c>
      <c r="F63" s="276">
        <f t="shared" si="12"/>
        <v>-32095500.401334491</v>
      </c>
      <c r="G63" s="276">
        <f t="shared" si="12"/>
        <v>-78521291.840032935</v>
      </c>
      <c r="H63" s="276">
        <f t="shared" si="12"/>
        <v>78521292.134792</v>
      </c>
      <c r="I63" s="276">
        <f t="shared" si="12"/>
        <v>0.29475891590118408</v>
      </c>
    </row>
    <row r="64" spans="1:9">
      <c r="A64" s="233">
        <f t="shared" si="7"/>
        <v>52</v>
      </c>
      <c r="B64" s="245" t="s">
        <v>1346</v>
      </c>
      <c r="C64" s="276">
        <f t="shared" ref="C64:I64" si="13">-C63/C62</f>
        <v>7676839.1540905964</v>
      </c>
      <c r="D64" s="276">
        <f t="shared" si="13"/>
        <v>54110445.111414127</v>
      </c>
      <c r="E64" s="276">
        <f t="shared" si="13"/>
        <v>61787284.265503511</v>
      </c>
      <c r="F64" s="276">
        <f t="shared" si="13"/>
        <v>42715347.342206538</v>
      </c>
      <c r="G64" s="276">
        <f t="shared" si="13"/>
        <v>104502631.60771026</v>
      </c>
      <c r="H64" s="276">
        <f t="shared" si="13"/>
        <v>-104502632</v>
      </c>
      <c r="I64" s="276">
        <f t="shared" si="13"/>
        <v>-0.39228955203975624</v>
      </c>
    </row>
    <row r="67" spans="3:8">
      <c r="C67" s="272"/>
      <c r="D67" s="274"/>
      <c r="E67" s="274"/>
      <c r="F67" s="274"/>
      <c r="H67" s="272"/>
    </row>
    <row r="68" spans="3:8">
      <c r="C68" s="272"/>
      <c r="D68" s="274"/>
      <c r="E68" s="274"/>
      <c r="F68" s="274"/>
      <c r="H68" s="272"/>
    </row>
    <row r="69" spans="3:8">
      <c r="C69" s="272"/>
      <c r="D69" s="275"/>
      <c r="E69" s="275"/>
      <c r="F69" s="275"/>
      <c r="H69" s="272"/>
    </row>
    <row r="70" spans="3:8">
      <c r="C70" s="272"/>
      <c r="D70" s="244"/>
      <c r="E70" s="244"/>
      <c r="F70" s="244"/>
      <c r="H70" s="272"/>
    </row>
    <row r="71" spans="3:8">
      <c r="C71" s="272"/>
      <c r="D71" s="274"/>
      <c r="E71" s="274"/>
      <c r="F71" s="274"/>
      <c r="H71" s="272"/>
    </row>
    <row r="72" spans="3:8" ht="15" customHeight="1">
      <c r="C72" s="272"/>
      <c r="D72" s="244"/>
      <c r="E72" s="244"/>
      <c r="F72" s="244"/>
      <c r="H72" s="272"/>
    </row>
    <row r="73" spans="3:8" ht="15.75" customHeight="1">
      <c r="C73" s="272"/>
      <c r="D73" s="244"/>
      <c r="E73" s="244"/>
      <c r="F73" s="244"/>
      <c r="H73" s="272"/>
    </row>
    <row r="74" spans="3:8">
      <c r="H74" s="272"/>
    </row>
  </sheetData>
  <printOptions horizontalCentered="1"/>
  <pageMargins left="0.2" right="0.2" top="0.25" bottom="0.25" header="0.05" footer="0.05"/>
  <pageSetup scale="62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</sheetPr>
  <dimension ref="A1:BV94"/>
  <sheetViews>
    <sheetView zoomScale="90" zoomScaleNormal="90" workbookViewId="0">
      <pane xSplit="2" ySplit="11" topLeftCell="AZ42" activePane="bottomRight" state="frozen"/>
      <selection activeCell="C4" sqref="C4"/>
      <selection pane="topRight" activeCell="C4" sqref="C4"/>
      <selection pane="bottomLeft" activeCell="C4" sqref="C4"/>
      <selection pane="bottomRight" activeCell="BK12" sqref="BK12"/>
    </sheetView>
  </sheetViews>
  <sheetFormatPr defaultColWidth="9.109375" defaultRowHeight="13.2" outlineLevelCol="1"/>
  <cols>
    <col min="1" max="1" width="4.5546875" style="230" bestFit="1" customWidth="1"/>
    <col min="2" max="2" width="41.6640625" style="230" customWidth="1"/>
    <col min="3" max="3" width="17.33203125" style="230" customWidth="1"/>
    <col min="4" max="6" width="15.33203125" style="230" customWidth="1"/>
    <col min="7" max="7" width="14.109375" style="230" bestFit="1" customWidth="1"/>
    <col min="8" max="8" width="17.5546875" style="230" bestFit="1" customWidth="1"/>
    <col min="9" max="21" width="15.33203125" style="230" customWidth="1"/>
    <col min="22" max="22" width="16" style="230" bestFit="1" customWidth="1"/>
    <col min="23" max="28" width="15.33203125" style="230" customWidth="1"/>
    <col min="29" max="29" width="16.88671875" style="230" bestFit="1" customWidth="1"/>
    <col min="30" max="31" width="15.33203125" style="230" hidden="1" customWidth="1" outlineLevel="1"/>
    <col min="32" max="32" width="15.33203125" style="230" customWidth="1" collapsed="1"/>
    <col min="33" max="33" width="17.109375" style="230" customWidth="1"/>
    <col min="34" max="34" width="15.33203125" style="230" customWidth="1"/>
    <col min="35" max="35" width="14.88671875" style="230" customWidth="1"/>
    <col min="36" max="44" width="15.33203125" style="230" customWidth="1"/>
    <col min="45" max="45" width="16" style="230" customWidth="1"/>
    <col min="46" max="46" width="15.33203125" style="230" customWidth="1"/>
    <col min="47" max="47" width="16" style="230" customWidth="1"/>
    <col min="48" max="50" width="15.33203125" style="230" customWidth="1"/>
    <col min="51" max="51" width="18.109375" style="230" customWidth="1"/>
    <col min="52" max="52" width="15.33203125" style="230" customWidth="1"/>
    <col min="53" max="53" width="16" style="230" customWidth="1"/>
    <col min="54" max="59" width="15.33203125" style="230" customWidth="1"/>
    <col min="60" max="61" width="15.33203125" style="230" hidden="1" customWidth="1" outlineLevel="1"/>
    <col min="62" max="62" width="16.33203125" style="230" bestFit="1" customWidth="1" collapsed="1"/>
    <col min="63" max="63" width="17.33203125" style="230" bestFit="1" customWidth="1"/>
    <col min="64" max="64" width="15.88671875" style="230" bestFit="1" customWidth="1"/>
    <col min="65" max="70" width="9.109375" style="230"/>
    <col min="71" max="71" width="11.5546875" style="230" bestFit="1" customWidth="1"/>
    <col min="72" max="16384" width="9.109375" style="230"/>
  </cols>
  <sheetData>
    <row r="1" spans="1:63">
      <c r="A1" s="265" t="s">
        <v>32</v>
      </c>
      <c r="C1" s="265"/>
      <c r="M1" s="265"/>
      <c r="AH1" s="265"/>
      <c r="AI1" s="265"/>
      <c r="AJ1" s="265"/>
      <c r="AK1" s="265"/>
      <c r="AL1" s="265"/>
      <c r="AN1" s="265"/>
      <c r="AO1" s="265"/>
      <c r="AP1" s="265"/>
      <c r="AQ1" s="265"/>
      <c r="AS1" s="265"/>
      <c r="AT1" s="265"/>
      <c r="AV1" s="265"/>
      <c r="AW1" s="265"/>
      <c r="AX1" s="265"/>
      <c r="AY1" s="265"/>
      <c r="AZ1" s="265"/>
      <c r="BA1" s="265"/>
      <c r="BB1" s="265"/>
      <c r="BE1" s="265"/>
      <c r="BF1" s="265"/>
      <c r="BG1" s="265"/>
      <c r="BH1" s="265"/>
      <c r="BI1" s="265"/>
      <c r="BK1" s="265"/>
    </row>
    <row r="2" spans="1:63" ht="13.8">
      <c r="A2" s="265" t="s">
        <v>100</v>
      </c>
      <c r="C2" s="265"/>
      <c r="K2" s="270" t="s">
        <v>245</v>
      </c>
      <c r="L2" s="268"/>
      <c r="U2" s="270" t="s">
        <v>244</v>
      </c>
      <c r="V2" s="268"/>
      <c r="AG2" s="270" t="s">
        <v>243</v>
      </c>
      <c r="AH2" s="268"/>
      <c r="AL2" s="265"/>
      <c r="AM2" s="265"/>
      <c r="AN2" s="265"/>
      <c r="AO2" s="265"/>
      <c r="AP2" s="265"/>
      <c r="AQ2" s="270" t="s">
        <v>242</v>
      </c>
      <c r="AR2" s="268"/>
      <c r="AW2" s="265"/>
      <c r="AX2" s="265"/>
      <c r="AY2" s="265"/>
      <c r="AZ2" s="265"/>
      <c r="BA2" s="270" t="s">
        <v>241</v>
      </c>
      <c r="BB2" s="268"/>
      <c r="BG2" s="265"/>
      <c r="BH2" s="265"/>
      <c r="BI2" s="265"/>
      <c r="BJ2" s="270" t="s">
        <v>240</v>
      </c>
      <c r="BK2" s="268"/>
    </row>
    <row r="3" spans="1:63">
      <c r="A3" s="265" t="s">
        <v>98</v>
      </c>
      <c r="C3" s="265"/>
    </row>
    <row r="4" spans="1:63">
      <c r="A4" s="265" t="str">
        <f>CASE_E</f>
        <v>2019 GENERAL RATE CASE</v>
      </c>
      <c r="C4" s="265"/>
      <c r="BA4" s="234"/>
    </row>
    <row r="5" spans="1:63">
      <c r="A5" s="265" t="str">
        <f>TESTYEAR_E</f>
        <v>12 MONTHS ENDED DECEMBER 31, 2018</v>
      </c>
      <c r="C5" s="265"/>
      <c r="T5" s="250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265"/>
      <c r="AW5" s="265"/>
      <c r="AX5" s="265"/>
      <c r="AY5" s="265"/>
      <c r="AZ5" s="265"/>
      <c r="BA5" s="265"/>
      <c r="BB5" s="265"/>
      <c r="BC5" s="265"/>
      <c r="BD5" s="265"/>
      <c r="BE5" s="265"/>
      <c r="BF5" s="265"/>
      <c r="BG5" s="265"/>
      <c r="BH5" s="265"/>
      <c r="BI5" s="265"/>
    </row>
    <row r="6" spans="1:63">
      <c r="D6" s="343" t="s">
        <v>239</v>
      </c>
      <c r="E6" s="343" t="s">
        <v>239</v>
      </c>
      <c r="F6" s="343" t="s">
        <v>239</v>
      </c>
      <c r="G6" s="343" t="s">
        <v>239</v>
      </c>
      <c r="H6" s="343" t="s">
        <v>239</v>
      </c>
      <c r="I6" s="343" t="s">
        <v>239</v>
      </c>
      <c r="J6" s="343" t="s">
        <v>239</v>
      </c>
      <c r="K6" s="343" t="s">
        <v>239</v>
      </c>
      <c r="L6" s="343" t="s">
        <v>239</v>
      </c>
      <c r="M6" s="343" t="s">
        <v>239</v>
      </c>
      <c r="N6" s="343" t="s">
        <v>239</v>
      </c>
      <c r="O6" s="343" t="s">
        <v>239</v>
      </c>
      <c r="P6" s="343" t="s">
        <v>239</v>
      </c>
      <c r="Q6" s="343" t="s">
        <v>239</v>
      </c>
      <c r="R6" s="343" t="s">
        <v>239</v>
      </c>
      <c r="S6" s="343" t="s">
        <v>239</v>
      </c>
      <c r="T6" s="344" t="s">
        <v>239</v>
      </c>
      <c r="U6" s="343" t="s">
        <v>239</v>
      </c>
      <c r="V6" s="343" t="s">
        <v>239</v>
      </c>
      <c r="W6" s="343" t="s">
        <v>239</v>
      </c>
      <c r="X6" s="342" t="s">
        <v>238</v>
      </c>
      <c r="Y6" s="342" t="s">
        <v>238</v>
      </c>
      <c r="Z6" s="342" t="s">
        <v>238</v>
      </c>
      <c r="AA6" s="342" t="s">
        <v>238</v>
      </c>
      <c r="AB6" s="342" t="s">
        <v>238</v>
      </c>
      <c r="AC6" s="342" t="s">
        <v>238</v>
      </c>
      <c r="AD6" s="342" t="s">
        <v>238</v>
      </c>
      <c r="AE6" s="342" t="s">
        <v>238</v>
      </c>
      <c r="AH6" s="343" t="s">
        <v>239</v>
      </c>
      <c r="AI6" s="343" t="s">
        <v>239</v>
      </c>
      <c r="AJ6" s="343" t="s">
        <v>239</v>
      </c>
      <c r="AK6" s="343" t="s">
        <v>239</v>
      </c>
      <c r="AL6" s="343" t="s">
        <v>239</v>
      </c>
      <c r="AM6" s="343" t="s">
        <v>239</v>
      </c>
      <c r="AN6" s="343" t="s">
        <v>239</v>
      </c>
      <c r="AO6" s="343" t="s">
        <v>239</v>
      </c>
      <c r="AP6" s="343" t="s">
        <v>239</v>
      </c>
      <c r="AQ6" s="343" t="s">
        <v>239</v>
      </c>
      <c r="AR6" s="343" t="s">
        <v>239</v>
      </c>
      <c r="AS6" s="343" t="s">
        <v>239</v>
      </c>
      <c r="AT6" s="343" t="s">
        <v>239</v>
      </c>
      <c r="AU6" s="343" t="s">
        <v>239</v>
      </c>
      <c r="AV6" s="343" t="s">
        <v>239</v>
      </c>
      <c r="AW6" s="343" t="s">
        <v>239</v>
      </c>
      <c r="AX6" s="343" t="s">
        <v>239</v>
      </c>
      <c r="AY6" s="343" t="s">
        <v>239</v>
      </c>
      <c r="AZ6" s="343" t="s">
        <v>239</v>
      </c>
      <c r="BA6" s="342" t="s">
        <v>238</v>
      </c>
      <c r="BB6" s="342" t="s">
        <v>238</v>
      </c>
      <c r="BC6" s="342" t="s">
        <v>238</v>
      </c>
      <c r="BD6" s="342" t="s">
        <v>238</v>
      </c>
      <c r="BE6" s="342" t="s">
        <v>238</v>
      </c>
      <c r="BF6" s="342" t="s">
        <v>238</v>
      </c>
      <c r="BG6" s="342" t="s">
        <v>238</v>
      </c>
      <c r="BH6" s="342" t="s">
        <v>238</v>
      </c>
      <c r="BI6" s="342" t="s">
        <v>238</v>
      </c>
    </row>
    <row r="7" spans="1:63">
      <c r="D7" s="341" t="s">
        <v>222</v>
      </c>
      <c r="E7" s="341" t="s">
        <v>222</v>
      </c>
      <c r="F7" s="341" t="s">
        <v>222</v>
      </c>
      <c r="G7" s="341" t="s">
        <v>222</v>
      </c>
      <c r="H7" s="341" t="s">
        <v>222</v>
      </c>
      <c r="I7" s="341" t="s">
        <v>222</v>
      </c>
      <c r="J7" s="341" t="s">
        <v>222</v>
      </c>
      <c r="K7" s="341" t="s">
        <v>222</v>
      </c>
      <c r="L7" s="341" t="s">
        <v>222</v>
      </c>
      <c r="M7" s="341" t="s">
        <v>222</v>
      </c>
      <c r="N7" s="341" t="s">
        <v>222</v>
      </c>
      <c r="O7" s="341" t="s">
        <v>222</v>
      </c>
      <c r="P7" s="341" t="s">
        <v>222</v>
      </c>
      <c r="Q7" s="341" t="s">
        <v>222</v>
      </c>
      <c r="R7" s="341" t="s">
        <v>222</v>
      </c>
      <c r="S7" s="341" t="s">
        <v>222</v>
      </c>
      <c r="T7" s="339" t="s">
        <v>222</v>
      </c>
      <c r="U7" s="341" t="s">
        <v>222</v>
      </c>
      <c r="V7" s="341" t="s">
        <v>222</v>
      </c>
      <c r="W7" s="341" t="s">
        <v>222</v>
      </c>
      <c r="X7" s="341" t="s">
        <v>222</v>
      </c>
      <c r="Y7" s="341" t="s">
        <v>222</v>
      </c>
      <c r="Z7" s="341" t="s">
        <v>222</v>
      </c>
      <c r="AA7" s="341" t="s">
        <v>222</v>
      </c>
      <c r="AB7" s="341" t="s">
        <v>222</v>
      </c>
      <c r="AC7" s="341" t="s">
        <v>222</v>
      </c>
      <c r="AD7" s="341" t="s">
        <v>222</v>
      </c>
      <c r="AE7" s="341" t="s">
        <v>222</v>
      </c>
      <c r="AF7" s="340"/>
      <c r="AG7" s="340"/>
      <c r="AH7" s="339" t="s">
        <v>91</v>
      </c>
      <c r="AI7" s="339" t="s">
        <v>91</v>
      </c>
      <c r="AJ7" s="339" t="s">
        <v>91</v>
      </c>
      <c r="AK7" s="339" t="s">
        <v>91</v>
      </c>
      <c r="AL7" s="339" t="s">
        <v>91</v>
      </c>
      <c r="AM7" s="339" t="s">
        <v>91</v>
      </c>
      <c r="AN7" s="339" t="s">
        <v>91</v>
      </c>
      <c r="AO7" s="339" t="s">
        <v>91</v>
      </c>
      <c r="AP7" s="339" t="s">
        <v>91</v>
      </c>
      <c r="AQ7" s="339" t="s">
        <v>91</v>
      </c>
      <c r="AR7" s="339" t="s">
        <v>91</v>
      </c>
      <c r="AS7" s="339" t="s">
        <v>91</v>
      </c>
      <c r="AT7" s="339" t="s">
        <v>91</v>
      </c>
      <c r="AU7" s="339" t="s">
        <v>91</v>
      </c>
      <c r="AV7" s="339" t="s">
        <v>91</v>
      </c>
      <c r="AW7" s="339" t="s">
        <v>91</v>
      </c>
      <c r="AX7" s="339" t="s">
        <v>91</v>
      </c>
      <c r="AY7" s="339" t="s">
        <v>91</v>
      </c>
      <c r="AZ7" s="339" t="s">
        <v>91</v>
      </c>
      <c r="BA7" s="339" t="s">
        <v>91</v>
      </c>
      <c r="BB7" s="339" t="s">
        <v>91</v>
      </c>
      <c r="BC7" s="339" t="s">
        <v>91</v>
      </c>
      <c r="BD7" s="339" t="s">
        <v>91</v>
      </c>
      <c r="BE7" s="339" t="s">
        <v>91</v>
      </c>
      <c r="BF7" s="339" t="s">
        <v>91</v>
      </c>
      <c r="BG7" s="339" t="s">
        <v>91</v>
      </c>
      <c r="BH7" s="339" t="s">
        <v>91</v>
      </c>
      <c r="BI7" s="339" t="s">
        <v>91</v>
      </c>
    </row>
    <row r="8" spans="1:63">
      <c r="T8" s="250"/>
      <c r="U8" s="262"/>
      <c r="AK8" s="314" t="s">
        <v>237</v>
      </c>
      <c r="AL8" s="314" t="s">
        <v>237</v>
      </c>
    </row>
    <row r="9" spans="1:63">
      <c r="C9" s="262" t="s">
        <v>97</v>
      </c>
      <c r="D9" s="338">
        <v>6.01</v>
      </c>
      <c r="E9" s="338">
        <f t="shared" ref="E9:P9" si="0">+D9+0.01</f>
        <v>6.02</v>
      </c>
      <c r="F9" s="338">
        <f t="shared" si="0"/>
        <v>6.0299999999999994</v>
      </c>
      <c r="G9" s="338">
        <f t="shared" si="0"/>
        <v>6.0399999999999991</v>
      </c>
      <c r="H9" s="338">
        <f t="shared" si="0"/>
        <v>6.0499999999999989</v>
      </c>
      <c r="I9" s="338">
        <f t="shared" si="0"/>
        <v>6.0599999999999987</v>
      </c>
      <c r="J9" s="338">
        <f t="shared" si="0"/>
        <v>6.0699999999999985</v>
      </c>
      <c r="K9" s="338">
        <f t="shared" si="0"/>
        <v>6.0799999999999983</v>
      </c>
      <c r="L9" s="338">
        <f t="shared" si="0"/>
        <v>6.0899999999999981</v>
      </c>
      <c r="M9" s="338">
        <f t="shared" si="0"/>
        <v>6.0999999999999979</v>
      </c>
      <c r="N9" s="338">
        <f t="shared" si="0"/>
        <v>6.1099999999999977</v>
      </c>
      <c r="O9" s="338">
        <f t="shared" si="0"/>
        <v>6.1199999999999974</v>
      </c>
      <c r="P9" s="338">
        <f t="shared" si="0"/>
        <v>6.1299999999999972</v>
      </c>
      <c r="Q9" s="338">
        <v>6.14</v>
      </c>
      <c r="R9" s="338">
        <v>6.15</v>
      </c>
      <c r="S9" s="338">
        <v>6.16</v>
      </c>
      <c r="T9" s="338">
        <v>6.17</v>
      </c>
      <c r="U9" s="338">
        <v>6.18</v>
      </c>
      <c r="V9" s="338">
        <f>+U9+0.01</f>
        <v>6.1899999999999995</v>
      </c>
      <c r="W9" s="338">
        <v>6.23</v>
      </c>
      <c r="X9" s="338">
        <v>7.01</v>
      </c>
      <c r="Y9" s="338">
        <f>+X9+0.01</f>
        <v>7.02</v>
      </c>
      <c r="Z9" s="338">
        <f>+Y9+0.01</f>
        <v>7.0299999999999994</v>
      </c>
      <c r="AA9" s="338">
        <f>+Z9+0.01</f>
        <v>7.0399999999999991</v>
      </c>
      <c r="AB9" s="338">
        <f>+AA9+0.01</f>
        <v>7.0499999999999989</v>
      </c>
      <c r="AC9" s="338">
        <f>AB9+0.02</f>
        <v>7.0699999999999985</v>
      </c>
      <c r="AD9" s="338">
        <f>AC9+0.01</f>
        <v>7.0799999999999983</v>
      </c>
      <c r="AE9" s="338">
        <f>+AD9+0.01</f>
        <v>7.0899999999999981</v>
      </c>
      <c r="AF9" s="337" t="s">
        <v>16</v>
      </c>
      <c r="AG9" s="337" t="s">
        <v>96</v>
      </c>
      <c r="AH9" s="336">
        <f>+D9</f>
        <v>6.01</v>
      </c>
      <c r="AI9" s="336">
        <f>+E9</f>
        <v>6.02</v>
      </c>
      <c r="AJ9" s="336">
        <f>+G9</f>
        <v>6.0399999999999991</v>
      </c>
      <c r="AK9" s="336">
        <f>+L9</f>
        <v>6.0899999999999981</v>
      </c>
      <c r="AL9" s="336">
        <f>+M9</f>
        <v>6.0999999999999979</v>
      </c>
      <c r="AM9" s="336">
        <v>6.14</v>
      </c>
      <c r="AN9" s="336">
        <v>6.15</v>
      </c>
      <c r="AO9" s="336">
        <f>+AN9+0.01</f>
        <v>6.16</v>
      </c>
      <c r="AP9" s="336">
        <f>+AO9+0.01</f>
        <v>6.17</v>
      </c>
      <c r="AQ9" s="336">
        <v>6.2</v>
      </c>
      <c r="AR9" s="336">
        <v>6.21</v>
      </c>
      <c r="AS9" s="336">
        <f t="shared" ref="AS9:AZ9" si="1">+AR9+0.01</f>
        <v>6.22</v>
      </c>
      <c r="AT9" s="336">
        <f t="shared" si="1"/>
        <v>6.2299999999999995</v>
      </c>
      <c r="AU9" s="336">
        <f t="shared" si="1"/>
        <v>6.2399999999999993</v>
      </c>
      <c r="AV9" s="336">
        <f t="shared" si="1"/>
        <v>6.2499999999999991</v>
      </c>
      <c r="AW9" s="336">
        <f t="shared" si="1"/>
        <v>6.2599999999999989</v>
      </c>
      <c r="AX9" s="336">
        <f t="shared" si="1"/>
        <v>6.2699999999999987</v>
      </c>
      <c r="AY9" s="336">
        <f t="shared" si="1"/>
        <v>6.2799999999999985</v>
      </c>
      <c r="AZ9" s="336">
        <f t="shared" si="1"/>
        <v>6.2899999999999983</v>
      </c>
      <c r="BA9" s="336">
        <f>+'SEF-4E p 2-7'!X9</f>
        <v>7.01</v>
      </c>
      <c r="BB9" s="336">
        <f>+'SEF-4E p 2-7'!Y9</f>
        <v>7.02</v>
      </c>
      <c r="BC9" s="336">
        <f>+AB9</f>
        <v>7.0499999999999989</v>
      </c>
      <c r="BD9" s="336">
        <f>+BC9+0.01</f>
        <v>7.0599999999999987</v>
      </c>
      <c r="BE9" s="336">
        <v>7.08</v>
      </c>
      <c r="BF9" s="336">
        <v>7.09</v>
      </c>
      <c r="BG9" s="336">
        <v>7.1</v>
      </c>
      <c r="BH9" s="336">
        <v>7.12</v>
      </c>
      <c r="BI9" s="336">
        <v>7.12</v>
      </c>
      <c r="BJ9" s="335" t="s">
        <v>16</v>
      </c>
      <c r="BK9" s="335" t="s">
        <v>91</v>
      </c>
    </row>
    <row r="10" spans="1:63" ht="13.5" customHeight="1">
      <c r="A10" s="262" t="s">
        <v>26</v>
      </c>
      <c r="B10" s="262" t="s">
        <v>22</v>
      </c>
      <c r="C10" s="262" t="s">
        <v>90</v>
      </c>
      <c r="D10" s="262" t="s">
        <v>221</v>
      </c>
      <c r="E10" s="262" t="s">
        <v>220</v>
      </c>
      <c r="F10" s="262" t="s">
        <v>236</v>
      </c>
      <c r="G10" s="262" t="s">
        <v>219</v>
      </c>
      <c r="H10" s="262" t="s">
        <v>235</v>
      </c>
      <c r="I10" s="262" t="s">
        <v>234</v>
      </c>
      <c r="J10" s="334" t="s">
        <v>233</v>
      </c>
      <c r="K10" s="262" t="s">
        <v>232</v>
      </c>
      <c r="L10" s="262" t="s">
        <v>218</v>
      </c>
      <c r="M10" s="262" t="s">
        <v>217</v>
      </c>
      <c r="N10" s="262" t="s">
        <v>231</v>
      </c>
      <c r="O10" s="262" t="s">
        <v>230</v>
      </c>
      <c r="P10" s="262" t="s">
        <v>229</v>
      </c>
      <c r="Q10" s="262" t="s">
        <v>228</v>
      </c>
      <c r="R10" s="262" t="s">
        <v>227</v>
      </c>
      <c r="S10" s="262" t="s">
        <v>214</v>
      </c>
      <c r="T10" s="262" t="s">
        <v>213</v>
      </c>
      <c r="U10" s="262" t="s">
        <v>226</v>
      </c>
      <c r="V10" s="262" t="s">
        <v>226</v>
      </c>
      <c r="W10" s="262" t="s">
        <v>209</v>
      </c>
      <c r="X10" s="262" t="s">
        <v>203</v>
      </c>
      <c r="Y10" s="262" t="s">
        <v>202</v>
      </c>
      <c r="Z10" s="262" t="s">
        <v>225</v>
      </c>
      <c r="AA10" s="262" t="s">
        <v>224</v>
      </c>
      <c r="AB10" s="262" t="s">
        <v>201</v>
      </c>
      <c r="AC10" s="262" t="s">
        <v>223</v>
      </c>
      <c r="AD10" s="262" t="s">
        <v>158</v>
      </c>
      <c r="AE10" s="262" t="s">
        <v>158</v>
      </c>
      <c r="AF10" s="331" t="s">
        <v>222</v>
      </c>
      <c r="AG10" s="331" t="s">
        <v>90</v>
      </c>
      <c r="AH10" s="262" t="s">
        <v>221</v>
      </c>
      <c r="AI10" s="262" t="s">
        <v>220</v>
      </c>
      <c r="AJ10" s="262" t="s">
        <v>219</v>
      </c>
      <c r="AK10" s="262" t="s">
        <v>218</v>
      </c>
      <c r="AL10" s="262" t="s">
        <v>217</v>
      </c>
      <c r="AM10" s="262" t="s">
        <v>216</v>
      </c>
      <c r="AN10" s="262" t="s">
        <v>215</v>
      </c>
      <c r="AO10" s="262" t="s">
        <v>214</v>
      </c>
      <c r="AP10" s="262" t="s">
        <v>213</v>
      </c>
      <c r="AQ10" s="262" t="s">
        <v>212</v>
      </c>
      <c r="AR10" s="262" t="s">
        <v>211</v>
      </c>
      <c r="AS10" s="262" t="s">
        <v>210</v>
      </c>
      <c r="AT10" s="262" t="s">
        <v>209</v>
      </c>
      <c r="AU10" s="262" t="s">
        <v>208</v>
      </c>
      <c r="AV10" s="262" t="s">
        <v>207</v>
      </c>
      <c r="AW10" s="262" t="s">
        <v>206</v>
      </c>
      <c r="AX10" s="262" t="s">
        <v>205</v>
      </c>
      <c r="AY10" s="262" t="s">
        <v>204</v>
      </c>
      <c r="AZ10" s="262"/>
      <c r="BA10" s="262" t="s">
        <v>203</v>
      </c>
      <c r="BB10" s="262" t="s">
        <v>202</v>
      </c>
      <c r="BC10" s="262" t="s">
        <v>201</v>
      </c>
      <c r="BD10" s="262" t="s">
        <v>200</v>
      </c>
      <c r="BE10" s="262" t="s">
        <v>199</v>
      </c>
      <c r="BF10" s="262" t="s">
        <v>198</v>
      </c>
      <c r="BG10" s="262" t="s">
        <v>197</v>
      </c>
      <c r="BH10" s="262"/>
      <c r="BI10" s="262"/>
      <c r="BJ10" s="331" t="s">
        <v>196</v>
      </c>
      <c r="BK10" s="331" t="s">
        <v>90</v>
      </c>
    </row>
    <row r="11" spans="1:63">
      <c r="A11" s="262" t="s">
        <v>23</v>
      </c>
      <c r="C11" s="262" t="s">
        <v>87</v>
      </c>
      <c r="D11" s="262" t="s">
        <v>182</v>
      </c>
      <c r="E11" s="262" t="s">
        <v>181</v>
      </c>
      <c r="F11" s="333" t="s">
        <v>195</v>
      </c>
      <c r="G11" s="333" t="s">
        <v>180</v>
      </c>
      <c r="H11" s="262" t="s">
        <v>194</v>
      </c>
      <c r="I11" s="262" t="s">
        <v>193</v>
      </c>
      <c r="J11" s="334" t="s">
        <v>192</v>
      </c>
      <c r="K11" s="262" t="s">
        <v>191</v>
      </c>
      <c r="L11" s="333" t="s">
        <v>179</v>
      </c>
      <c r="M11" s="333" t="s">
        <v>175</v>
      </c>
      <c r="N11" s="333" t="s">
        <v>190</v>
      </c>
      <c r="O11" s="262" t="s">
        <v>189</v>
      </c>
      <c r="P11" s="262" t="s">
        <v>176</v>
      </c>
      <c r="Q11" s="262" t="s">
        <v>188</v>
      </c>
      <c r="R11" s="262" t="s">
        <v>187</v>
      </c>
      <c r="S11" s="262" t="s">
        <v>176</v>
      </c>
      <c r="T11" s="262" t="s">
        <v>186</v>
      </c>
      <c r="U11" s="262" t="s">
        <v>21</v>
      </c>
      <c r="V11" s="262" t="s">
        <v>56</v>
      </c>
      <c r="W11" s="262" t="s">
        <v>171</v>
      </c>
      <c r="X11" s="262" t="s">
        <v>185</v>
      </c>
      <c r="Y11" s="262" t="s">
        <v>164</v>
      </c>
      <c r="Z11" s="262" t="s">
        <v>184</v>
      </c>
      <c r="AA11" s="262" t="s">
        <v>183</v>
      </c>
      <c r="AB11" s="262" t="s">
        <v>163</v>
      </c>
      <c r="AC11" s="332" t="s">
        <v>56</v>
      </c>
      <c r="AD11" s="262" t="s">
        <v>172</v>
      </c>
      <c r="AE11" s="262" t="s">
        <v>172</v>
      </c>
      <c r="AF11" s="331" t="s">
        <v>86</v>
      </c>
      <c r="AG11" s="331" t="s">
        <v>85</v>
      </c>
      <c r="AH11" s="262" t="s">
        <v>182</v>
      </c>
      <c r="AI11" s="262" t="s">
        <v>181</v>
      </c>
      <c r="AJ11" s="333" t="s">
        <v>180</v>
      </c>
      <c r="AK11" s="333" t="s">
        <v>179</v>
      </c>
      <c r="AL11" s="333" t="s">
        <v>175</v>
      </c>
      <c r="AM11" s="332" t="s">
        <v>178</v>
      </c>
      <c r="AN11" s="262" t="s">
        <v>177</v>
      </c>
      <c r="AO11" s="262" t="s">
        <v>176</v>
      </c>
      <c r="AP11" s="262" t="s">
        <v>175</v>
      </c>
      <c r="AQ11" s="262" t="s">
        <v>174</v>
      </c>
      <c r="AR11" s="262" t="s">
        <v>173</v>
      </c>
      <c r="AS11" s="262" t="s">
        <v>172</v>
      </c>
      <c r="AT11" s="262" t="s">
        <v>171</v>
      </c>
      <c r="AU11" s="262" t="s">
        <v>170</v>
      </c>
      <c r="AV11" s="262" t="s">
        <v>169</v>
      </c>
      <c r="AW11" s="262" t="s">
        <v>168</v>
      </c>
      <c r="AX11" s="262" t="s">
        <v>167</v>
      </c>
      <c r="AY11" s="262" t="s">
        <v>166</v>
      </c>
      <c r="AZ11" s="262" t="s">
        <v>165</v>
      </c>
      <c r="BA11" s="262" t="s">
        <v>24</v>
      </c>
      <c r="BB11" s="262" t="s">
        <v>164</v>
      </c>
      <c r="BC11" s="262" t="s">
        <v>163</v>
      </c>
      <c r="BD11" s="262" t="s">
        <v>162</v>
      </c>
      <c r="BE11" s="262" t="s">
        <v>161</v>
      </c>
      <c r="BF11" s="262" t="s">
        <v>160</v>
      </c>
      <c r="BG11" s="262" t="s">
        <v>159</v>
      </c>
      <c r="BH11" s="262" t="s">
        <v>158</v>
      </c>
      <c r="BI11" s="262" t="s">
        <v>158</v>
      </c>
      <c r="BJ11" s="331" t="s">
        <v>86</v>
      </c>
      <c r="BK11" s="331" t="s">
        <v>85</v>
      </c>
    </row>
    <row r="12" spans="1:63">
      <c r="C12" s="233" t="s">
        <v>83</v>
      </c>
      <c r="D12" s="314" t="s">
        <v>82</v>
      </c>
      <c r="E12" s="314" t="s">
        <v>157</v>
      </c>
      <c r="F12" s="314" t="s">
        <v>80</v>
      </c>
      <c r="G12" s="314" t="s">
        <v>156</v>
      </c>
      <c r="H12" s="314" t="s">
        <v>78</v>
      </c>
      <c r="I12" s="314" t="s">
        <v>155</v>
      </c>
      <c r="J12" s="314" t="s">
        <v>154</v>
      </c>
      <c r="K12" s="314" t="s">
        <v>153</v>
      </c>
      <c r="L12" s="314" t="s">
        <v>152</v>
      </c>
      <c r="M12" s="314" t="s">
        <v>151</v>
      </c>
      <c r="N12" s="314" t="s">
        <v>150</v>
      </c>
      <c r="O12" s="314" t="s">
        <v>149</v>
      </c>
      <c r="P12" s="314" t="s">
        <v>148</v>
      </c>
      <c r="Q12" s="314" t="s">
        <v>147</v>
      </c>
      <c r="R12" s="314" t="s">
        <v>146</v>
      </c>
      <c r="S12" s="314" t="s">
        <v>145</v>
      </c>
      <c r="T12" s="314" t="s">
        <v>144</v>
      </c>
      <c r="U12" s="314" t="s">
        <v>143</v>
      </c>
      <c r="V12" s="330" t="s">
        <v>142</v>
      </c>
      <c r="W12" s="314" t="s">
        <v>141</v>
      </c>
      <c r="X12" s="314" t="s">
        <v>140</v>
      </c>
      <c r="Y12" s="314" t="s">
        <v>139</v>
      </c>
      <c r="Z12" s="314" t="s">
        <v>138</v>
      </c>
      <c r="AA12" s="314" t="s">
        <v>137</v>
      </c>
      <c r="AB12" s="314" t="s">
        <v>136</v>
      </c>
      <c r="AC12" s="314" t="s">
        <v>135</v>
      </c>
      <c r="AD12" s="314" t="s">
        <v>134</v>
      </c>
      <c r="AE12" s="314" t="s">
        <v>133</v>
      </c>
      <c r="AF12" s="329" t="s">
        <v>132</v>
      </c>
      <c r="AG12" s="329" t="s">
        <v>131</v>
      </c>
      <c r="AH12" s="314" t="s">
        <v>130</v>
      </c>
      <c r="AI12" s="314" t="s">
        <v>129</v>
      </c>
      <c r="AJ12" s="314" t="s">
        <v>128</v>
      </c>
      <c r="AK12" s="314" t="s">
        <v>127</v>
      </c>
      <c r="AL12" s="314" t="s">
        <v>126</v>
      </c>
      <c r="AM12" s="314" t="s">
        <v>125</v>
      </c>
      <c r="AN12" s="314" t="s">
        <v>124</v>
      </c>
      <c r="AO12" s="314" t="s">
        <v>123</v>
      </c>
      <c r="AP12" s="314" t="s">
        <v>122</v>
      </c>
      <c r="AQ12" s="314" t="s">
        <v>121</v>
      </c>
      <c r="AR12" s="314" t="s">
        <v>120</v>
      </c>
      <c r="AS12" s="314" t="s">
        <v>119</v>
      </c>
      <c r="AT12" s="314" t="s">
        <v>118</v>
      </c>
      <c r="AU12" s="314" t="s">
        <v>117</v>
      </c>
      <c r="AV12" s="314" t="s">
        <v>116</v>
      </c>
      <c r="AW12" s="314" t="s">
        <v>115</v>
      </c>
      <c r="AX12" s="314" t="s">
        <v>114</v>
      </c>
      <c r="AY12" s="314" t="s">
        <v>113</v>
      </c>
      <c r="AZ12" s="314" t="s">
        <v>112</v>
      </c>
      <c r="BA12" s="314" t="s">
        <v>111</v>
      </c>
      <c r="BB12" s="314" t="s">
        <v>110</v>
      </c>
      <c r="BC12" s="314" t="s">
        <v>109</v>
      </c>
      <c r="BD12" s="314" t="s">
        <v>108</v>
      </c>
      <c r="BE12" s="314" t="s">
        <v>107</v>
      </c>
      <c r="BF12" s="314" t="s">
        <v>106</v>
      </c>
      <c r="BG12" s="314" t="s">
        <v>105</v>
      </c>
      <c r="BH12" s="314" t="s">
        <v>104</v>
      </c>
      <c r="BI12" s="314" t="s">
        <v>103</v>
      </c>
      <c r="BJ12" s="329" t="s">
        <v>102</v>
      </c>
      <c r="BK12" s="329" t="s">
        <v>1476</v>
      </c>
    </row>
    <row r="13" spans="1:63">
      <c r="A13" s="233">
        <v>1</v>
      </c>
      <c r="B13" s="247" t="s">
        <v>76</v>
      </c>
      <c r="T13" s="250"/>
      <c r="X13" s="250"/>
      <c r="AF13" s="313"/>
      <c r="AG13" s="313"/>
      <c r="BJ13" s="313"/>
      <c r="BK13" s="313"/>
    </row>
    <row r="14" spans="1:63">
      <c r="A14" s="233">
        <f t="shared" ref="A14:A45" si="2">A13+1</f>
        <v>2</v>
      </c>
      <c r="B14" s="247" t="s">
        <v>75</v>
      </c>
      <c r="C14" s="293">
        <f>+'SJK-3'!B9</f>
        <v>2165233766.8899999</v>
      </c>
      <c r="D14" s="293">
        <f>'SEF-6E'!F23-'SEF-4E p 2-7'!D15</f>
        <v>41299982.399803981</v>
      </c>
      <c r="E14" s="293">
        <f>'SEF-6E'!N31</f>
        <v>5274141</v>
      </c>
      <c r="F14" s="293"/>
      <c r="G14" s="293"/>
      <c r="H14" s="293">
        <f>SUM('SEF-6E'!AL15:AL21,'SEF-6E'!AL23,'SEF-6E'!AL25,'SEF-6E'!AL27,-'SEF-6E'!AL18)</f>
        <v>-206435594.02857196</v>
      </c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328">
        <f>SUM(D14:AE14)</f>
        <v>-159861470.62876797</v>
      </c>
      <c r="AG14" s="328">
        <f>+AF14+C14</f>
        <v>2005372296.2612319</v>
      </c>
      <c r="AH14" s="293">
        <f>'SEF-6E'!H23-'SEF-4E p 2-7'!AH15</f>
        <v>-17806218.48</v>
      </c>
      <c r="AI14" s="293">
        <f>'SEF-6E'!P31</f>
        <v>9108946</v>
      </c>
      <c r="AJ14" s="293"/>
      <c r="AK14" s="293"/>
      <c r="AL14" s="293"/>
      <c r="AM14" s="293"/>
      <c r="AN14" s="293"/>
      <c r="AO14" s="293"/>
      <c r="AP14" s="293"/>
      <c r="AQ14" s="293"/>
      <c r="AR14" s="293"/>
      <c r="AS14" s="293"/>
      <c r="AT14" s="293"/>
      <c r="AU14" s="293"/>
      <c r="AV14" s="293"/>
      <c r="AW14" s="293"/>
      <c r="AX14" s="293"/>
      <c r="AY14" s="293"/>
      <c r="AZ14" s="293"/>
      <c r="BA14" s="293"/>
      <c r="BB14" s="293"/>
      <c r="BC14" s="293"/>
      <c r="BD14" s="293"/>
      <c r="BE14" s="293"/>
      <c r="BF14" s="293"/>
      <c r="BG14" s="293"/>
      <c r="BH14" s="293"/>
      <c r="BI14" s="293"/>
      <c r="BJ14" s="328">
        <f>SUM(AH14:BI14)</f>
        <v>-8697272.4800000004</v>
      </c>
      <c r="BK14" s="328">
        <f>+BJ14+AG14</f>
        <v>1996675023.7812319</v>
      </c>
    </row>
    <row r="15" spans="1:63">
      <c r="A15" s="233">
        <f t="shared" si="2"/>
        <v>3</v>
      </c>
      <c r="B15" s="247" t="s">
        <v>74</v>
      </c>
      <c r="C15" s="280">
        <f>+'SJK-3'!B10</f>
        <v>340431.51999999897</v>
      </c>
      <c r="D15" s="280">
        <f>'SEF-6E'!F21</f>
        <v>114.23000000000138</v>
      </c>
      <c r="E15" s="280">
        <f>'SEF-6E'!N30</f>
        <v>3019</v>
      </c>
      <c r="F15" s="280"/>
      <c r="G15" s="280"/>
      <c r="H15" s="280">
        <f>'SEF-6E'!AL18</f>
        <v>-16204.59</v>
      </c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309">
        <f>SUM(D15:AE15)</f>
        <v>-13071.359999999999</v>
      </c>
      <c r="AG15" s="309">
        <f>+AF15+C15</f>
        <v>327360.15999999898</v>
      </c>
      <c r="AH15" s="280"/>
      <c r="AI15" s="280">
        <f>'SEF-6E'!P30</f>
        <v>0</v>
      </c>
      <c r="AJ15" s="280"/>
      <c r="AK15" s="280"/>
      <c r="AL15" s="280"/>
      <c r="AM15" s="280"/>
      <c r="AN15" s="280"/>
      <c r="AO15" s="280"/>
      <c r="AP15" s="280"/>
      <c r="AQ15" s="280"/>
      <c r="AR15" s="280"/>
      <c r="AS15" s="280"/>
      <c r="AT15" s="280"/>
      <c r="AU15" s="280"/>
      <c r="AV15" s="280"/>
      <c r="AW15" s="280"/>
      <c r="AX15" s="280"/>
      <c r="AY15" s="280"/>
      <c r="AZ15" s="280"/>
      <c r="BA15" s="280"/>
      <c r="BB15" s="280"/>
      <c r="BC15" s="280"/>
      <c r="BD15" s="280"/>
      <c r="BE15" s="280"/>
      <c r="BF15" s="280"/>
      <c r="BG15" s="280"/>
      <c r="BH15" s="280"/>
      <c r="BI15" s="280"/>
      <c r="BJ15" s="309">
        <f>SUM(AH15:BI15)</f>
        <v>0</v>
      </c>
      <c r="BK15" s="309">
        <f>+BJ15+AG15</f>
        <v>327360.15999999898</v>
      </c>
    </row>
    <row r="16" spans="1:63">
      <c r="A16" s="233">
        <f t="shared" si="2"/>
        <v>4</v>
      </c>
      <c r="B16" s="247" t="s">
        <v>73</v>
      </c>
      <c r="C16" s="280">
        <f>+'SJK-3'!B11</f>
        <v>155333122.24000001</v>
      </c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309">
        <f>SUM(D16:AE16)</f>
        <v>0</v>
      </c>
      <c r="AG16" s="309">
        <f>+AF16+C16</f>
        <v>155333122.24000001</v>
      </c>
      <c r="AH16" s="280"/>
      <c r="AI16" s="280"/>
      <c r="AJ16" s="280"/>
      <c r="AK16" s="280"/>
      <c r="AL16" s="280"/>
      <c r="AM16" s="280"/>
      <c r="AN16" s="280"/>
      <c r="AO16" s="280"/>
      <c r="AP16" s="280"/>
      <c r="AQ16" s="280"/>
      <c r="AR16" s="280"/>
      <c r="AS16" s="280"/>
      <c r="AT16" s="280"/>
      <c r="AU16" s="280"/>
      <c r="AV16" s="280"/>
      <c r="AW16" s="280"/>
      <c r="AX16" s="280"/>
      <c r="AY16" s="280"/>
      <c r="AZ16" s="280"/>
      <c r="BA16" s="280">
        <f>-'SEF-7E'!H22</f>
        <v>-149863634.21735081</v>
      </c>
      <c r="BB16" s="280"/>
      <c r="BC16" s="280"/>
      <c r="BD16" s="280"/>
      <c r="BE16" s="280"/>
      <c r="BF16" s="280"/>
      <c r="BG16" s="280"/>
      <c r="BH16" s="280"/>
      <c r="BI16" s="280"/>
      <c r="BJ16" s="309">
        <f>SUM(AH16:BI16)</f>
        <v>-149863634.21735081</v>
      </c>
      <c r="BK16" s="309">
        <f>+BJ16+AG16</f>
        <v>5469488.0226491988</v>
      </c>
    </row>
    <row r="17" spans="1:71">
      <c r="A17" s="233">
        <f t="shared" si="2"/>
        <v>5</v>
      </c>
      <c r="B17" s="247" t="s">
        <v>72</v>
      </c>
      <c r="C17" s="280">
        <f>+'SJK-3'!B12</f>
        <v>122175867.17999999</v>
      </c>
      <c r="D17" s="280">
        <f>'SEF-6E'!F31</f>
        <v>2744403.99</v>
      </c>
      <c r="E17" s="280"/>
      <c r="F17" s="280"/>
      <c r="G17" s="280"/>
      <c r="H17" s="280">
        <f>+'SEF-6E'!AL22+'SEF-6E'!AL24+'SEF-6E'!AL26</f>
        <v>15741473.960000001</v>
      </c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>
        <f>-'SEF-6E'!FZ17-'SEF-6E'!FZ22</f>
        <v>-858566.13</v>
      </c>
      <c r="X17" s="280"/>
      <c r="Y17" s="280"/>
      <c r="Z17" s="280"/>
      <c r="AA17" s="280"/>
      <c r="AB17" s="280"/>
      <c r="AC17" s="280"/>
      <c r="AD17" s="280"/>
      <c r="AE17" s="280"/>
      <c r="AF17" s="309">
        <f>SUM(D17:AE17)</f>
        <v>17627311.820000004</v>
      </c>
      <c r="AG17" s="309">
        <f>+AF17+C17</f>
        <v>139803179</v>
      </c>
      <c r="AH17" s="280">
        <f>'SEF-6E'!H31</f>
        <v>-16381468.550000004</v>
      </c>
      <c r="AI17" s="280"/>
      <c r="AJ17" s="280"/>
      <c r="AK17" s="280"/>
      <c r="AL17" s="280"/>
      <c r="AM17" s="280"/>
      <c r="AN17" s="280"/>
      <c r="AO17" s="280"/>
      <c r="AP17" s="280"/>
      <c r="AQ17" s="280"/>
      <c r="AR17" s="280"/>
      <c r="AS17" s="280"/>
      <c r="AT17" s="280"/>
      <c r="AU17" s="280"/>
      <c r="AV17" s="280"/>
      <c r="AW17" s="280"/>
      <c r="AX17" s="280"/>
      <c r="AY17" s="280"/>
      <c r="AZ17" s="280"/>
      <c r="BA17" s="280">
        <f>-SUM('SEF-7E'!H23+'SEF-7E'!H29)</f>
        <v>-46590531.466836587</v>
      </c>
      <c r="BB17" s="280"/>
      <c r="BC17" s="280"/>
      <c r="BD17" s="280"/>
      <c r="BE17" s="280"/>
      <c r="BF17" s="280"/>
      <c r="BG17" s="280"/>
      <c r="BH17" s="280"/>
      <c r="BI17" s="280"/>
      <c r="BJ17" s="309">
        <f>SUM(AH17:BI17)</f>
        <v>-62972000.016836591</v>
      </c>
      <c r="BK17" s="309">
        <f>+BJ17+AG17</f>
        <v>76831178.983163416</v>
      </c>
    </row>
    <row r="18" spans="1:71">
      <c r="A18" s="233">
        <f t="shared" si="2"/>
        <v>6</v>
      </c>
      <c r="B18" s="247" t="s">
        <v>71</v>
      </c>
      <c r="C18" s="253">
        <f t="shared" ref="C18:AH18" si="3">SUM(C14:C17)</f>
        <v>2443083187.8299994</v>
      </c>
      <c r="D18" s="253">
        <f t="shared" si="3"/>
        <v>44044500.61980398</v>
      </c>
      <c r="E18" s="253">
        <f t="shared" si="3"/>
        <v>5277160</v>
      </c>
      <c r="F18" s="253">
        <f t="shared" si="3"/>
        <v>0</v>
      </c>
      <c r="G18" s="253">
        <f t="shared" si="3"/>
        <v>0</v>
      </c>
      <c r="H18" s="253">
        <f t="shared" si="3"/>
        <v>-190710324.65857196</v>
      </c>
      <c r="I18" s="253">
        <f t="shared" si="3"/>
        <v>0</v>
      </c>
      <c r="J18" s="253">
        <f t="shared" si="3"/>
        <v>0</v>
      </c>
      <c r="K18" s="253">
        <f t="shared" si="3"/>
        <v>0</v>
      </c>
      <c r="L18" s="253">
        <f t="shared" si="3"/>
        <v>0</v>
      </c>
      <c r="M18" s="253">
        <f t="shared" si="3"/>
        <v>0</v>
      </c>
      <c r="N18" s="253">
        <f t="shared" si="3"/>
        <v>0</v>
      </c>
      <c r="O18" s="253">
        <f t="shared" si="3"/>
        <v>0</v>
      </c>
      <c r="P18" s="253">
        <f t="shared" si="3"/>
        <v>0</v>
      </c>
      <c r="Q18" s="253">
        <f t="shared" si="3"/>
        <v>0</v>
      </c>
      <c r="R18" s="253">
        <f t="shared" si="3"/>
        <v>0</v>
      </c>
      <c r="S18" s="253">
        <f t="shared" si="3"/>
        <v>0</v>
      </c>
      <c r="T18" s="253">
        <f t="shared" si="3"/>
        <v>0</v>
      </c>
      <c r="U18" s="253">
        <f t="shared" si="3"/>
        <v>0</v>
      </c>
      <c r="V18" s="253">
        <f t="shared" si="3"/>
        <v>0</v>
      </c>
      <c r="W18" s="253">
        <f t="shared" si="3"/>
        <v>-858566.13</v>
      </c>
      <c r="X18" s="253">
        <f t="shared" si="3"/>
        <v>0</v>
      </c>
      <c r="Y18" s="253">
        <f t="shared" si="3"/>
        <v>0</v>
      </c>
      <c r="Z18" s="253">
        <f t="shared" si="3"/>
        <v>0</v>
      </c>
      <c r="AA18" s="253">
        <f t="shared" si="3"/>
        <v>0</v>
      </c>
      <c r="AB18" s="253">
        <f t="shared" si="3"/>
        <v>0</v>
      </c>
      <c r="AC18" s="253">
        <f t="shared" si="3"/>
        <v>0</v>
      </c>
      <c r="AD18" s="253">
        <f t="shared" si="3"/>
        <v>0</v>
      </c>
      <c r="AE18" s="253">
        <f t="shared" si="3"/>
        <v>0</v>
      </c>
      <c r="AF18" s="327">
        <f t="shared" si="3"/>
        <v>-142247230.16876799</v>
      </c>
      <c r="AG18" s="327">
        <f t="shared" si="3"/>
        <v>2300835957.661232</v>
      </c>
      <c r="AH18" s="253">
        <f t="shared" si="3"/>
        <v>-34187687.030000001</v>
      </c>
      <c r="AI18" s="253">
        <f t="shared" ref="AI18:BK18" si="4">SUM(AI14:AI17)</f>
        <v>9108946</v>
      </c>
      <c r="AJ18" s="253">
        <f t="shared" si="4"/>
        <v>0</v>
      </c>
      <c r="AK18" s="253">
        <f t="shared" si="4"/>
        <v>0</v>
      </c>
      <c r="AL18" s="253">
        <f t="shared" si="4"/>
        <v>0</v>
      </c>
      <c r="AM18" s="253">
        <f t="shared" si="4"/>
        <v>0</v>
      </c>
      <c r="AN18" s="253">
        <f t="shared" si="4"/>
        <v>0</v>
      </c>
      <c r="AO18" s="253">
        <f t="shared" si="4"/>
        <v>0</v>
      </c>
      <c r="AP18" s="253">
        <f t="shared" si="4"/>
        <v>0</v>
      </c>
      <c r="AQ18" s="253">
        <f t="shared" si="4"/>
        <v>0</v>
      </c>
      <c r="AR18" s="253">
        <f t="shared" si="4"/>
        <v>0</v>
      </c>
      <c r="AS18" s="253">
        <f t="shared" si="4"/>
        <v>0</v>
      </c>
      <c r="AT18" s="253">
        <f t="shared" si="4"/>
        <v>0</v>
      </c>
      <c r="AU18" s="253">
        <f t="shared" si="4"/>
        <v>0</v>
      </c>
      <c r="AV18" s="253">
        <f t="shared" si="4"/>
        <v>0</v>
      </c>
      <c r="AW18" s="253">
        <f t="shared" si="4"/>
        <v>0</v>
      </c>
      <c r="AX18" s="253">
        <f t="shared" si="4"/>
        <v>0</v>
      </c>
      <c r="AY18" s="253">
        <f t="shared" si="4"/>
        <v>0</v>
      </c>
      <c r="AZ18" s="253">
        <f t="shared" si="4"/>
        <v>0</v>
      </c>
      <c r="BA18" s="253">
        <f t="shared" si="4"/>
        <v>-196454165.68418741</v>
      </c>
      <c r="BB18" s="253">
        <f t="shared" si="4"/>
        <v>0</v>
      </c>
      <c r="BC18" s="253">
        <f t="shared" si="4"/>
        <v>0</v>
      </c>
      <c r="BD18" s="253">
        <f t="shared" si="4"/>
        <v>0</v>
      </c>
      <c r="BE18" s="253">
        <f t="shared" si="4"/>
        <v>0</v>
      </c>
      <c r="BF18" s="253">
        <f t="shared" si="4"/>
        <v>0</v>
      </c>
      <c r="BG18" s="253">
        <f t="shared" si="4"/>
        <v>0</v>
      </c>
      <c r="BH18" s="253">
        <f t="shared" si="4"/>
        <v>0</v>
      </c>
      <c r="BI18" s="253">
        <f t="shared" si="4"/>
        <v>0</v>
      </c>
      <c r="BJ18" s="327">
        <f t="shared" si="4"/>
        <v>-221532906.71418738</v>
      </c>
      <c r="BK18" s="327">
        <f t="shared" si="4"/>
        <v>2079303050.9470446</v>
      </c>
    </row>
    <row r="19" spans="1:71" s="326" customFormat="1">
      <c r="A19" s="233">
        <f t="shared" si="2"/>
        <v>7</v>
      </c>
      <c r="B19" s="292"/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309"/>
      <c r="AG19" s="309"/>
      <c r="AH19" s="280"/>
      <c r="AI19" s="280"/>
      <c r="AJ19" s="280"/>
      <c r="AK19" s="280"/>
      <c r="AL19" s="280"/>
      <c r="AM19" s="280"/>
      <c r="AN19" s="280"/>
      <c r="AO19" s="280"/>
      <c r="AP19" s="280"/>
      <c r="AQ19" s="280"/>
      <c r="AR19" s="280"/>
      <c r="AS19" s="280"/>
      <c r="AT19" s="280"/>
      <c r="AU19" s="280"/>
      <c r="AV19" s="280"/>
      <c r="AW19" s="280"/>
      <c r="AX19" s="280"/>
      <c r="AY19" s="280"/>
      <c r="AZ19" s="280"/>
      <c r="BA19" s="280"/>
      <c r="BB19" s="280"/>
      <c r="BC19" s="280"/>
      <c r="BD19" s="280"/>
      <c r="BE19" s="280"/>
      <c r="BF19" s="280"/>
      <c r="BG19" s="280"/>
      <c r="BH19" s="280"/>
      <c r="BI19" s="280"/>
      <c r="BJ19" s="309"/>
      <c r="BK19" s="309"/>
    </row>
    <row r="20" spans="1:71">
      <c r="A20" s="233">
        <f t="shared" si="2"/>
        <v>8</v>
      </c>
      <c r="B20" s="247" t="s">
        <v>70</v>
      </c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313"/>
      <c r="AG20" s="313"/>
      <c r="AH20" s="250"/>
      <c r="AI20" s="250"/>
      <c r="AJ20" s="250"/>
      <c r="AK20" s="250"/>
      <c r="AL20" s="250"/>
      <c r="AM20" s="250"/>
      <c r="AN20" s="250"/>
      <c r="AO20" s="250"/>
      <c r="AP20" s="250"/>
      <c r="AQ20" s="250"/>
      <c r="AR20" s="250"/>
      <c r="AS20" s="250"/>
      <c r="AT20" s="250"/>
      <c r="AU20" s="250"/>
      <c r="AV20" s="250"/>
      <c r="AW20" s="250"/>
      <c r="AX20" s="250"/>
      <c r="AY20" s="250"/>
      <c r="AZ20" s="250"/>
      <c r="BA20" s="250"/>
      <c r="BB20" s="250"/>
      <c r="BC20" s="250"/>
      <c r="BD20" s="250"/>
      <c r="BE20" s="250"/>
      <c r="BF20" s="250"/>
      <c r="BG20" s="250"/>
      <c r="BH20" s="250"/>
      <c r="BI20" s="250"/>
      <c r="BJ20" s="313"/>
      <c r="BK20" s="313"/>
    </row>
    <row r="21" spans="1:71">
      <c r="A21" s="233">
        <f t="shared" si="2"/>
        <v>9</v>
      </c>
      <c r="B21" s="245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313"/>
      <c r="AG21" s="313"/>
      <c r="AH21" s="250"/>
      <c r="AI21" s="250"/>
      <c r="AJ21" s="250"/>
      <c r="AK21" s="250"/>
      <c r="AL21" s="250"/>
      <c r="AM21" s="250"/>
      <c r="AN21" s="250"/>
      <c r="AO21" s="250"/>
      <c r="AP21" s="250"/>
      <c r="AQ21" s="250"/>
      <c r="AR21" s="250"/>
      <c r="AS21" s="250"/>
      <c r="AT21" s="250"/>
      <c r="AU21" s="250"/>
      <c r="AV21" s="250"/>
      <c r="AW21" s="250"/>
      <c r="AX21" s="250"/>
      <c r="AY21" s="250"/>
      <c r="AZ21" s="250"/>
      <c r="BA21" s="250"/>
      <c r="BB21" s="250"/>
      <c r="BC21" s="250"/>
      <c r="BD21" s="250"/>
      <c r="BE21" s="250"/>
      <c r="BF21" s="250"/>
      <c r="BG21" s="250"/>
      <c r="BH21" s="250"/>
      <c r="BI21" s="250"/>
      <c r="BJ21" s="313"/>
      <c r="BK21" s="313"/>
    </row>
    <row r="22" spans="1:71">
      <c r="A22" s="233">
        <f t="shared" si="2"/>
        <v>10</v>
      </c>
      <c r="B22" s="247" t="s">
        <v>69</v>
      </c>
      <c r="C22" s="293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313"/>
      <c r="AG22" s="313"/>
      <c r="AH22" s="250"/>
      <c r="AI22" s="250"/>
      <c r="AJ22" s="250"/>
      <c r="AK22" s="250"/>
      <c r="AL22" s="250"/>
      <c r="AM22" s="250"/>
      <c r="AN22" s="250"/>
      <c r="AO22" s="250"/>
      <c r="AP22" s="250"/>
      <c r="AQ22" s="250"/>
      <c r="AR22" s="250"/>
      <c r="AS22" s="250"/>
      <c r="AT22" s="250"/>
      <c r="AU22" s="250"/>
      <c r="AV22" s="250"/>
      <c r="AW22" s="250"/>
      <c r="AX22" s="250"/>
      <c r="AY22" s="250"/>
      <c r="AZ22" s="250"/>
      <c r="BA22" s="250"/>
      <c r="BB22" s="250"/>
      <c r="BC22" s="250"/>
      <c r="BD22" s="250"/>
      <c r="BE22" s="250"/>
      <c r="BF22" s="250"/>
      <c r="BG22" s="250"/>
      <c r="BH22" s="250"/>
      <c r="BI22" s="250"/>
      <c r="BJ22" s="313"/>
      <c r="BK22" s="313"/>
    </row>
    <row r="23" spans="1:71">
      <c r="A23" s="233">
        <f t="shared" si="2"/>
        <v>11</v>
      </c>
      <c r="B23" s="247" t="s">
        <v>68</v>
      </c>
      <c r="C23" s="318">
        <f>+'SJK-3'!B18</f>
        <v>204174130.28999999</v>
      </c>
      <c r="D23" s="318"/>
      <c r="E23" s="318"/>
      <c r="F23" s="318"/>
      <c r="G23" s="318"/>
      <c r="H23" s="318"/>
      <c r="I23" s="318"/>
      <c r="J23" s="318"/>
      <c r="K23" s="318"/>
      <c r="L23" s="318"/>
      <c r="M23" s="318"/>
      <c r="N23" s="318"/>
      <c r="O23" s="318"/>
      <c r="P23" s="318"/>
      <c r="Q23" s="318"/>
      <c r="R23" s="318"/>
      <c r="S23" s="318"/>
      <c r="T23" s="318"/>
      <c r="U23" s="318"/>
      <c r="V23" s="318"/>
      <c r="W23" s="318"/>
      <c r="X23" s="318">
        <f>SUM('SEF-7E'!F16:F17)</f>
        <v>1063362.3599999994</v>
      </c>
      <c r="Y23" s="318"/>
      <c r="Z23" s="318"/>
      <c r="AA23" s="318"/>
      <c r="AB23" s="318"/>
      <c r="AC23" s="318"/>
      <c r="AD23" s="318"/>
      <c r="AE23" s="318"/>
      <c r="AF23" s="320">
        <f>SUM(D23:AE23)</f>
        <v>1063362.3599999994</v>
      </c>
      <c r="AG23" s="320">
        <f>+AF23+C23</f>
        <v>205237492.64999998</v>
      </c>
      <c r="AH23" s="318"/>
      <c r="AI23" s="318"/>
      <c r="AJ23" s="318"/>
      <c r="AK23" s="318"/>
      <c r="AL23" s="318"/>
      <c r="AM23" s="318"/>
      <c r="AN23" s="318"/>
      <c r="AO23" s="318"/>
      <c r="AP23" s="318"/>
      <c r="AQ23" s="318"/>
      <c r="AR23" s="318"/>
      <c r="AS23" s="318"/>
      <c r="AT23" s="318"/>
      <c r="AU23" s="318"/>
      <c r="AV23" s="318"/>
      <c r="AW23" s="318"/>
      <c r="AX23" s="318"/>
      <c r="AY23" s="318"/>
      <c r="AZ23" s="318"/>
      <c r="BA23" s="318">
        <f>SUM('SEF-7E'!H16:H17)</f>
        <v>-24564886.815952644</v>
      </c>
      <c r="BB23" s="318"/>
      <c r="BC23" s="318"/>
      <c r="BD23" s="318"/>
      <c r="BE23" s="318"/>
      <c r="BF23" s="318"/>
      <c r="BG23" s="318"/>
      <c r="BH23" s="318"/>
      <c r="BI23" s="318"/>
      <c r="BJ23" s="320">
        <f>SUM(AH23:BI23)</f>
        <v>-24564886.815952644</v>
      </c>
      <c r="BK23" s="320">
        <f>+BJ23+AG23</f>
        <v>180672605.83404732</v>
      </c>
    </row>
    <row r="24" spans="1:71">
      <c r="A24" s="233">
        <f t="shared" si="2"/>
        <v>12</v>
      </c>
      <c r="B24" s="247" t="s">
        <v>67</v>
      </c>
      <c r="C24" s="280">
        <f>+'SJK-3'!B19</f>
        <v>591842797.56999886</v>
      </c>
      <c r="D24" s="280"/>
      <c r="E24" s="280"/>
      <c r="F24" s="280"/>
      <c r="G24" s="280"/>
      <c r="H24" s="280">
        <f>+'SEF-6E'!AL43</f>
        <v>0</v>
      </c>
      <c r="I24" s="280"/>
      <c r="J24" s="280"/>
      <c r="K24" s="280">
        <f>'SEF-6E'!BJ15</f>
        <v>-12929.322150284017</v>
      </c>
      <c r="L24" s="280"/>
      <c r="M24" s="280"/>
      <c r="N24" s="280"/>
      <c r="O24" s="280"/>
      <c r="P24" s="280"/>
      <c r="Q24" s="280"/>
      <c r="R24" s="280">
        <f>+'SEF-6E'!DN15</f>
        <v>6341.1377968182787</v>
      </c>
      <c r="S24" s="280"/>
      <c r="T24" s="280"/>
      <c r="U24" s="280"/>
      <c r="V24" s="280"/>
      <c r="W24" s="280"/>
      <c r="X24" s="280">
        <f>SUM('SEF-7E'!F18:F19,'SEF-7E'!F30)</f>
        <v>8543675.8544626534</v>
      </c>
      <c r="Y24" s="280"/>
      <c r="Z24" s="280"/>
      <c r="AA24" s="280"/>
      <c r="AB24" s="280"/>
      <c r="AC24" s="280"/>
      <c r="AD24" s="280"/>
      <c r="AE24" s="280"/>
      <c r="AF24" s="309">
        <f>SUM(D24:AE24)</f>
        <v>8537087.6701091882</v>
      </c>
      <c r="AG24" s="309">
        <f>+AF24+C24</f>
        <v>600379885.24010801</v>
      </c>
      <c r="AH24" s="280"/>
      <c r="AI24" s="280"/>
      <c r="AJ24" s="280"/>
      <c r="AK24" s="280"/>
      <c r="AL24" s="280"/>
      <c r="AM24" s="280"/>
      <c r="AN24" s="280">
        <f>+'SEF-6E'!DP15</f>
        <v>245950.53762489464</v>
      </c>
      <c r="AO24" s="280"/>
      <c r="AP24" s="280"/>
      <c r="AQ24" s="280"/>
      <c r="AR24" s="280"/>
      <c r="AS24" s="280"/>
      <c r="AT24" s="280"/>
      <c r="AU24" s="280"/>
      <c r="AV24" s="280"/>
      <c r="AW24" s="280"/>
      <c r="AX24" s="280"/>
      <c r="AY24" s="280"/>
      <c r="AZ24" s="280"/>
      <c r="BA24" s="280">
        <f>SUM('SEF-7E'!H18:H20,'SEF-7E'!H30)</f>
        <v>-153946276.86486346</v>
      </c>
      <c r="BB24" s="280"/>
      <c r="BC24" s="280"/>
      <c r="BD24" s="280"/>
      <c r="BE24" s="280"/>
      <c r="BF24" s="280"/>
      <c r="BG24" s="280"/>
      <c r="BH24" s="280"/>
      <c r="BI24" s="280"/>
      <c r="BJ24" s="309">
        <f>SUM(AH24:BI24)</f>
        <v>-153700326.32723856</v>
      </c>
      <c r="BK24" s="309">
        <f>+BJ24+AG24</f>
        <v>446679558.91286945</v>
      </c>
    </row>
    <row r="25" spans="1:71">
      <c r="A25" s="233">
        <f t="shared" si="2"/>
        <v>13</v>
      </c>
      <c r="B25" s="247" t="s">
        <v>66</v>
      </c>
      <c r="C25" s="280">
        <f>+'SJK-3'!B20</f>
        <v>115807777.5999999</v>
      </c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309">
        <f>SUM(D25:AE25)</f>
        <v>0</v>
      </c>
      <c r="AG25" s="309">
        <f>+AF25+C25</f>
        <v>115807777.5999999</v>
      </c>
      <c r="AH25" s="280"/>
      <c r="AI25" s="280"/>
      <c r="AJ25" s="280"/>
      <c r="AK25" s="280"/>
      <c r="AL25" s="280"/>
      <c r="AM25" s="280"/>
      <c r="AN25" s="280"/>
      <c r="AO25" s="280"/>
      <c r="AP25" s="280"/>
      <c r="AQ25" s="280"/>
      <c r="AR25" s="280"/>
      <c r="AS25" s="280"/>
      <c r="AT25" s="280"/>
      <c r="AU25" s="280"/>
      <c r="AV25" s="280"/>
      <c r="AW25" s="280"/>
      <c r="AX25" s="280"/>
      <c r="AY25" s="280"/>
      <c r="AZ25" s="280"/>
      <c r="BA25" s="280">
        <f>+'SEF-7E'!H21</f>
        <v>-3473456.2753740251</v>
      </c>
      <c r="BB25" s="280"/>
      <c r="BC25" s="280"/>
      <c r="BD25" s="280"/>
      <c r="BE25" s="280"/>
      <c r="BF25" s="280"/>
      <c r="BG25" s="280"/>
      <c r="BH25" s="280"/>
      <c r="BI25" s="280"/>
      <c r="BJ25" s="309">
        <f>SUM(AH25:BI25)</f>
        <v>-3473456.2753740251</v>
      </c>
      <c r="BK25" s="309">
        <f>+BJ25+AG25</f>
        <v>112334321.32462588</v>
      </c>
    </row>
    <row r="26" spans="1:71">
      <c r="A26" s="233">
        <f t="shared" si="2"/>
        <v>14</v>
      </c>
      <c r="B26" s="245" t="s">
        <v>65</v>
      </c>
      <c r="C26" s="280">
        <f>+'SJK-3'!B21</f>
        <v>-77453659.509999901</v>
      </c>
      <c r="D26" s="280"/>
      <c r="E26" s="280"/>
      <c r="F26" s="280"/>
      <c r="G26" s="280"/>
      <c r="H26" s="280">
        <f>+'SEF-6E'!AL41</f>
        <v>77453659.510000005</v>
      </c>
      <c r="I26" s="280"/>
      <c r="J26" s="280"/>
      <c r="K26" s="280"/>
      <c r="L26" s="280"/>
      <c r="M26" s="280"/>
      <c r="N26" s="280"/>
      <c r="O26" s="280"/>
      <c r="P26" s="280"/>
      <c r="Q26" s="280"/>
      <c r="R26" s="280"/>
      <c r="S26" s="280"/>
      <c r="T26" s="280"/>
      <c r="U26" s="280"/>
      <c r="V26" s="280"/>
      <c r="W26" s="280"/>
      <c r="X26" s="280"/>
      <c r="Y26" s="280"/>
      <c r="Z26" s="280"/>
      <c r="AA26" s="280"/>
      <c r="AB26" s="280"/>
      <c r="AC26" s="280"/>
      <c r="AD26" s="280"/>
      <c r="AE26" s="280"/>
      <c r="AF26" s="309">
        <f>SUM(D26:AE26)</f>
        <v>77453659.510000005</v>
      </c>
      <c r="AG26" s="309">
        <f>+AF26+C26</f>
        <v>0</v>
      </c>
      <c r="AH26" s="280"/>
      <c r="AI26" s="280"/>
      <c r="AJ26" s="280"/>
      <c r="AK26" s="280"/>
      <c r="AL26" s="280"/>
      <c r="AM26" s="280"/>
      <c r="AN26" s="280"/>
      <c r="AO26" s="280"/>
      <c r="AP26" s="280"/>
      <c r="AQ26" s="280"/>
      <c r="AR26" s="280"/>
      <c r="AS26" s="280"/>
      <c r="AT26" s="280"/>
      <c r="AU26" s="280"/>
      <c r="AV26" s="280"/>
      <c r="AW26" s="280"/>
      <c r="AX26" s="280"/>
      <c r="AY26" s="280"/>
      <c r="AZ26" s="280"/>
      <c r="BA26" s="280"/>
      <c r="BB26" s="280"/>
      <c r="BC26" s="280"/>
      <c r="BD26" s="280"/>
      <c r="BE26" s="280"/>
      <c r="BF26" s="280"/>
      <c r="BG26" s="280"/>
      <c r="BH26" s="280"/>
      <c r="BI26" s="280"/>
      <c r="BJ26" s="309">
        <f>SUM(AH26:BI26)</f>
        <v>0</v>
      </c>
      <c r="BK26" s="309">
        <f>+BJ26+AG26</f>
        <v>0</v>
      </c>
    </row>
    <row r="27" spans="1:71">
      <c r="A27" s="233">
        <f t="shared" si="2"/>
        <v>15</v>
      </c>
      <c r="B27" s="247" t="s">
        <v>64</v>
      </c>
      <c r="C27" s="325">
        <f t="shared" ref="C27:AH27" si="5">SUM(C22:C26)</f>
        <v>834371045.94999886</v>
      </c>
      <c r="D27" s="325">
        <f t="shared" si="5"/>
        <v>0</v>
      </c>
      <c r="E27" s="325">
        <f t="shared" si="5"/>
        <v>0</v>
      </c>
      <c r="F27" s="325">
        <f t="shared" si="5"/>
        <v>0</v>
      </c>
      <c r="G27" s="325">
        <f t="shared" si="5"/>
        <v>0</v>
      </c>
      <c r="H27" s="325">
        <f t="shared" si="5"/>
        <v>77453659.510000005</v>
      </c>
      <c r="I27" s="325">
        <f t="shared" si="5"/>
        <v>0</v>
      </c>
      <c r="J27" s="325">
        <f t="shared" si="5"/>
        <v>0</v>
      </c>
      <c r="K27" s="325">
        <f t="shared" si="5"/>
        <v>-12929.322150284017</v>
      </c>
      <c r="L27" s="325">
        <f t="shared" si="5"/>
        <v>0</v>
      </c>
      <c r="M27" s="325">
        <f t="shared" si="5"/>
        <v>0</v>
      </c>
      <c r="N27" s="325">
        <f t="shared" si="5"/>
        <v>0</v>
      </c>
      <c r="O27" s="325">
        <f t="shared" si="5"/>
        <v>0</v>
      </c>
      <c r="P27" s="325">
        <f t="shared" si="5"/>
        <v>0</v>
      </c>
      <c r="Q27" s="325">
        <f t="shared" si="5"/>
        <v>0</v>
      </c>
      <c r="R27" s="325">
        <f t="shared" si="5"/>
        <v>6341.1377968182787</v>
      </c>
      <c r="S27" s="325">
        <f t="shared" si="5"/>
        <v>0</v>
      </c>
      <c r="T27" s="325">
        <f t="shared" si="5"/>
        <v>0</v>
      </c>
      <c r="U27" s="325">
        <f t="shared" si="5"/>
        <v>0</v>
      </c>
      <c r="V27" s="325">
        <f t="shared" si="5"/>
        <v>0</v>
      </c>
      <c r="W27" s="325">
        <f t="shared" si="5"/>
        <v>0</v>
      </c>
      <c r="X27" s="325">
        <f t="shared" si="5"/>
        <v>9607038.2144626528</v>
      </c>
      <c r="Y27" s="325">
        <f t="shared" si="5"/>
        <v>0</v>
      </c>
      <c r="Z27" s="325">
        <f t="shared" si="5"/>
        <v>0</v>
      </c>
      <c r="AA27" s="325">
        <f t="shared" si="5"/>
        <v>0</v>
      </c>
      <c r="AB27" s="325">
        <f t="shared" si="5"/>
        <v>0</v>
      </c>
      <c r="AC27" s="325">
        <f t="shared" si="5"/>
        <v>0</v>
      </c>
      <c r="AD27" s="325">
        <f t="shared" si="5"/>
        <v>0</v>
      </c>
      <c r="AE27" s="325">
        <f t="shared" si="5"/>
        <v>0</v>
      </c>
      <c r="AF27" s="324">
        <f t="shared" si="5"/>
        <v>87054109.540109187</v>
      </c>
      <c r="AG27" s="324">
        <f t="shared" si="5"/>
        <v>921425155.49010789</v>
      </c>
      <c r="AH27" s="325">
        <f t="shared" si="5"/>
        <v>0</v>
      </c>
      <c r="AI27" s="325">
        <f t="shared" ref="AI27:BK27" si="6">SUM(AI22:AI26)</f>
        <v>0</v>
      </c>
      <c r="AJ27" s="325">
        <f t="shared" si="6"/>
        <v>0</v>
      </c>
      <c r="AK27" s="325">
        <f t="shared" si="6"/>
        <v>0</v>
      </c>
      <c r="AL27" s="325">
        <f t="shared" si="6"/>
        <v>0</v>
      </c>
      <c r="AM27" s="325">
        <f t="shared" si="6"/>
        <v>0</v>
      </c>
      <c r="AN27" s="325">
        <f t="shared" si="6"/>
        <v>245950.53762489464</v>
      </c>
      <c r="AO27" s="325">
        <f t="shared" si="6"/>
        <v>0</v>
      </c>
      <c r="AP27" s="325">
        <f t="shared" si="6"/>
        <v>0</v>
      </c>
      <c r="AQ27" s="325">
        <f t="shared" si="6"/>
        <v>0</v>
      </c>
      <c r="AR27" s="325">
        <f t="shared" si="6"/>
        <v>0</v>
      </c>
      <c r="AS27" s="325">
        <f t="shared" si="6"/>
        <v>0</v>
      </c>
      <c r="AT27" s="325">
        <f t="shared" si="6"/>
        <v>0</v>
      </c>
      <c r="AU27" s="325">
        <f t="shared" si="6"/>
        <v>0</v>
      </c>
      <c r="AV27" s="325">
        <f t="shared" si="6"/>
        <v>0</v>
      </c>
      <c r="AW27" s="325">
        <f t="shared" si="6"/>
        <v>0</v>
      </c>
      <c r="AX27" s="325">
        <f t="shared" si="6"/>
        <v>0</v>
      </c>
      <c r="AY27" s="325">
        <f t="shared" si="6"/>
        <v>0</v>
      </c>
      <c r="AZ27" s="325">
        <f t="shared" si="6"/>
        <v>0</v>
      </c>
      <c r="BA27" s="325">
        <f t="shared" si="6"/>
        <v>-181984619.95619014</v>
      </c>
      <c r="BB27" s="325">
        <f t="shared" si="6"/>
        <v>0</v>
      </c>
      <c r="BC27" s="325">
        <f t="shared" si="6"/>
        <v>0</v>
      </c>
      <c r="BD27" s="325">
        <f t="shared" si="6"/>
        <v>0</v>
      </c>
      <c r="BE27" s="325">
        <f t="shared" si="6"/>
        <v>0</v>
      </c>
      <c r="BF27" s="325">
        <f t="shared" si="6"/>
        <v>0</v>
      </c>
      <c r="BG27" s="325">
        <f t="shared" si="6"/>
        <v>0</v>
      </c>
      <c r="BH27" s="325">
        <f t="shared" si="6"/>
        <v>0</v>
      </c>
      <c r="BI27" s="325">
        <f t="shared" si="6"/>
        <v>0</v>
      </c>
      <c r="BJ27" s="324">
        <f t="shared" si="6"/>
        <v>-181738669.41856524</v>
      </c>
      <c r="BK27" s="324">
        <f t="shared" si="6"/>
        <v>739686486.07154262</v>
      </c>
    </row>
    <row r="28" spans="1:71">
      <c r="A28" s="233">
        <f t="shared" si="2"/>
        <v>16</v>
      </c>
      <c r="B28" s="247"/>
      <c r="C28" s="318"/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318"/>
      <c r="V28" s="318"/>
      <c r="W28" s="318"/>
      <c r="X28" s="318"/>
      <c r="Y28" s="318"/>
      <c r="Z28" s="318"/>
      <c r="AA28" s="318"/>
      <c r="AB28" s="318"/>
      <c r="AC28" s="318"/>
      <c r="AD28" s="318"/>
      <c r="AE28" s="318"/>
      <c r="AF28" s="320"/>
      <c r="AG28" s="320"/>
      <c r="AH28" s="318"/>
      <c r="AI28" s="318"/>
      <c r="AJ28" s="318"/>
      <c r="AK28" s="318"/>
      <c r="AL28" s="318"/>
      <c r="AM28" s="318"/>
      <c r="AN28" s="318"/>
      <c r="AO28" s="318"/>
      <c r="AP28" s="318"/>
      <c r="AQ28" s="318"/>
      <c r="AR28" s="318"/>
      <c r="AS28" s="318"/>
      <c r="AT28" s="318"/>
      <c r="AU28" s="318"/>
      <c r="AV28" s="318"/>
      <c r="AW28" s="318"/>
      <c r="AX28" s="318"/>
      <c r="AY28" s="318"/>
      <c r="AZ28" s="318"/>
      <c r="BA28" s="318"/>
      <c r="BB28" s="318"/>
      <c r="BC28" s="318"/>
      <c r="BD28" s="318"/>
      <c r="BE28" s="318"/>
      <c r="BF28" s="318"/>
      <c r="BG28" s="318"/>
      <c r="BH28" s="318"/>
      <c r="BI28" s="318"/>
      <c r="BJ28" s="320"/>
      <c r="BK28" s="320"/>
    </row>
    <row r="29" spans="1:71">
      <c r="A29" s="233">
        <f t="shared" si="2"/>
        <v>17</v>
      </c>
      <c r="B29" s="288" t="s">
        <v>63</v>
      </c>
      <c r="C29" s="318">
        <f>+'SJK-3'!B24</f>
        <v>127167992.89</v>
      </c>
      <c r="D29" s="318"/>
      <c r="E29" s="318"/>
      <c r="F29" s="318"/>
      <c r="G29" s="318"/>
      <c r="H29" s="318"/>
      <c r="I29" s="318"/>
      <c r="J29" s="318"/>
      <c r="K29" s="280">
        <f>'SEF-6E'!BJ16</f>
        <v>-43337.161375397118</v>
      </c>
      <c r="L29" s="318"/>
      <c r="M29" s="318"/>
      <c r="N29" s="318"/>
      <c r="O29" s="318"/>
      <c r="P29" s="318"/>
      <c r="Q29" s="318"/>
      <c r="R29" s="280">
        <f>'SEF-6E'!DN16</f>
        <v>7381.9615589678288</v>
      </c>
      <c r="S29" s="318"/>
      <c r="T29" s="318"/>
      <c r="U29" s="318"/>
      <c r="V29" s="318"/>
      <c r="W29" s="318"/>
      <c r="X29" s="318"/>
      <c r="Y29" s="318"/>
      <c r="Z29" s="318"/>
      <c r="AA29" s="318"/>
      <c r="AB29" s="318"/>
      <c r="AC29" s="318"/>
      <c r="AD29" s="318"/>
      <c r="AE29" s="318"/>
      <c r="AF29" s="309">
        <f t="shared" ref="AF29:AF43" si="7">SUM(D29:AE29)</f>
        <v>-35955.199816429289</v>
      </c>
      <c r="AG29" s="320">
        <f t="shared" ref="AG29:AG43" si="8">+AF29+C29</f>
        <v>127132037.69018357</v>
      </c>
      <c r="AH29" s="318"/>
      <c r="AI29" s="318"/>
      <c r="AJ29" s="318"/>
      <c r="AK29" s="318"/>
      <c r="AL29" s="318"/>
      <c r="AM29" s="318"/>
      <c r="AN29" s="280">
        <f>+'SEF-6E'!DP16</f>
        <v>691614.88958714157</v>
      </c>
      <c r="AO29" s="318"/>
      <c r="AP29" s="318"/>
      <c r="AQ29" s="318"/>
      <c r="AR29" s="318"/>
      <c r="AS29" s="318"/>
      <c r="AT29" s="318"/>
      <c r="AU29" s="318"/>
      <c r="AV29" s="318"/>
      <c r="AW29" s="318"/>
      <c r="AX29" s="318"/>
      <c r="AY29" s="318"/>
      <c r="AZ29" s="318"/>
      <c r="BA29" s="318">
        <f>+'SEF-7E'!H27</f>
        <v>-18647860.411643222</v>
      </c>
      <c r="BB29" s="318"/>
      <c r="BC29" s="318"/>
      <c r="BD29" s="318"/>
      <c r="BE29" s="318"/>
      <c r="BF29" s="318"/>
      <c r="BG29" s="318"/>
      <c r="BH29" s="318"/>
      <c r="BI29" s="318"/>
      <c r="BJ29" s="309">
        <f t="shared" ref="BJ29:BJ43" si="9">SUM(AH29:BI29)</f>
        <v>-17956245.52205608</v>
      </c>
      <c r="BK29" s="320">
        <f t="shared" ref="BK29:BK43" si="10">+BJ29+AG29</f>
        <v>109175792.16812748</v>
      </c>
    </row>
    <row r="30" spans="1:71">
      <c r="A30" s="233">
        <f t="shared" si="2"/>
        <v>18</v>
      </c>
      <c r="B30" s="247" t="s">
        <v>62</v>
      </c>
      <c r="C30" s="317">
        <f>+'SJK-3'!B25</f>
        <v>24439502.479999997</v>
      </c>
      <c r="D30" s="280"/>
      <c r="E30" s="280"/>
      <c r="F30" s="280"/>
      <c r="G30" s="280"/>
      <c r="H30" s="280"/>
      <c r="I30" s="280"/>
      <c r="J30" s="280"/>
      <c r="K30" s="280">
        <f>'SEF-6E'!BJ17</f>
        <v>-18706.718945487402</v>
      </c>
      <c r="L30" s="280"/>
      <c r="M30" s="280"/>
      <c r="N30" s="280"/>
      <c r="O30" s="280"/>
      <c r="P30" s="280"/>
      <c r="Q30" s="280"/>
      <c r="R30" s="280">
        <f>+'SEF-6E'!DN17</f>
        <v>6417.9413588624448</v>
      </c>
      <c r="S30" s="280"/>
      <c r="T30" s="280"/>
      <c r="U30" s="280"/>
      <c r="V30" s="280"/>
      <c r="W30" s="280"/>
      <c r="X30" s="280"/>
      <c r="Y30" s="280"/>
      <c r="Z30" s="280"/>
      <c r="AA30" s="280"/>
      <c r="AB30" s="280">
        <f>+'SEF-7E'!AL17</f>
        <v>-107344.6766666667</v>
      </c>
      <c r="AC30" s="280"/>
      <c r="AD30" s="280"/>
      <c r="AE30" s="280"/>
      <c r="AF30" s="309">
        <f t="shared" si="7"/>
        <v>-119633.45425329165</v>
      </c>
      <c r="AG30" s="309">
        <f t="shared" si="8"/>
        <v>24319869.025746707</v>
      </c>
      <c r="AH30" s="280"/>
      <c r="AI30" s="280"/>
      <c r="AJ30" s="280"/>
      <c r="AK30" s="280"/>
      <c r="AL30" s="280"/>
      <c r="AM30" s="280"/>
      <c r="AN30" s="280">
        <f>+'SEF-6E'!DP17</f>
        <v>329177.9771651458</v>
      </c>
      <c r="AO30" s="280"/>
      <c r="AP30" s="280"/>
      <c r="AQ30" s="280"/>
      <c r="AR30" s="280"/>
      <c r="AS30" s="280"/>
      <c r="AT30" s="280"/>
      <c r="AU30" s="280"/>
      <c r="AV30" s="280"/>
      <c r="AW30" s="280"/>
      <c r="AX30" s="280"/>
      <c r="AY30" s="280">
        <f>'SEF-6E'!HP14</f>
        <v>159208.47999999952</v>
      </c>
      <c r="AZ30" s="280"/>
      <c r="BA30" s="280"/>
      <c r="BB30" s="280"/>
      <c r="BC30" s="280"/>
      <c r="BD30" s="280"/>
      <c r="BE30" s="280"/>
      <c r="BF30" s="280"/>
      <c r="BG30" s="280"/>
      <c r="BH30" s="280"/>
      <c r="BI30" s="280"/>
      <c r="BJ30" s="309">
        <f t="shared" si="9"/>
        <v>488386.45716514532</v>
      </c>
      <c r="BK30" s="309">
        <f t="shared" si="10"/>
        <v>24808255.482911851</v>
      </c>
    </row>
    <row r="31" spans="1:71">
      <c r="A31" s="233">
        <f t="shared" si="2"/>
        <v>19</v>
      </c>
      <c r="B31" s="247" t="s">
        <v>61</v>
      </c>
      <c r="C31" s="317">
        <f>+'SJK-3'!B26</f>
        <v>83251239.00999999</v>
      </c>
      <c r="D31" s="280"/>
      <c r="E31" s="280"/>
      <c r="F31" s="280"/>
      <c r="G31" s="280"/>
      <c r="H31" s="280"/>
      <c r="I31" s="280"/>
      <c r="J31" s="280"/>
      <c r="K31" s="280">
        <f>'SEF-6E'!BJ18</f>
        <v>-56877.492170206737</v>
      </c>
      <c r="L31" s="280"/>
      <c r="M31" s="280"/>
      <c r="N31" s="280"/>
      <c r="O31" s="280"/>
      <c r="P31" s="280"/>
      <c r="Q31" s="280"/>
      <c r="R31" s="280">
        <f>+'SEF-6E'!DN18</f>
        <v>5812.8265940360725</v>
      </c>
      <c r="S31" s="280"/>
      <c r="T31" s="280"/>
      <c r="U31" s="280"/>
      <c r="V31" s="280"/>
      <c r="W31" s="280"/>
      <c r="X31" s="280"/>
      <c r="Y31" s="280"/>
      <c r="Z31" s="280"/>
      <c r="AA31" s="280"/>
      <c r="AB31" s="280">
        <f>+'SEF-7E'!AL15</f>
        <v>121269.80000000075</v>
      </c>
      <c r="AC31" s="280"/>
      <c r="AD31" s="280"/>
      <c r="AE31" s="280"/>
      <c r="AF31" s="309">
        <f t="shared" si="7"/>
        <v>70205.134423830081</v>
      </c>
      <c r="AG31" s="309">
        <f t="shared" si="8"/>
        <v>83321444.144423828</v>
      </c>
      <c r="AH31" s="280"/>
      <c r="AI31" s="280"/>
      <c r="AJ31" s="280"/>
      <c r="AK31" s="280"/>
      <c r="AL31" s="280"/>
      <c r="AM31" s="280"/>
      <c r="AN31" s="280">
        <f>+'SEF-6E'!DP18</f>
        <v>869408.50621556863</v>
      </c>
      <c r="AO31" s="280"/>
      <c r="AP31" s="280"/>
      <c r="AQ31" s="280"/>
      <c r="AR31" s="280"/>
      <c r="AS31" s="280"/>
      <c r="AT31" s="280"/>
      <c r="AU31" s="280"/>
      <c r="AV31" s="280"/>
      <c r="AW31" s="280"/>
      <c r="AX31" s="280"/>
      <c r="AY31" s="280">
        <f>'SEF-6E'!HP15</f>
        <v>1377954.2199999988</v>
      </c>
      <c r="AZ31" s="280"/>
      <c r="BA31" s="280"/>
      <c r="BB31" s="280"/>
      <c r="BC31" s="280"/>
      <c r="BD31" s="280"/>
      <c r="BE31" s="280"/>
      <c r="BF31" s="280"/>
      <c r="BG31" s="280"/>
      <c r="BH31" s="280"/>
      <c r="BI31" s="280"/>
      <c r="BJ31" s="309">
        <f t="shared" si="9"/>
        <v>2247362.7262155674</v>
      </c>
      <c r="BK31" s="309">
        <f t="shared" si="10"/>
        <v>85568806.870639399</v>
      </c>
    </row>
    <row r="32" spans="1:71">
      <c r="A32" s="233">
        <f t="shared" si="2"/>
        <v>20</v>
      </c>
      <c r="B32" s="247" t="s">
        <v>60</v>
      </c>
      <c r="C32" s="317">
        <f>+'SJK-3'!B27</f>
        <v>53199861.179999992</v>
      </c>
      <c r="D32" s="280">
        <f>'SEF-6E'!F42</f>
        <v>373453.32075531798</v>
      </c>
      <c r="E32" s="280">
        <f>'SEF-6E'!N20</f>
        <v>44745.039640000003</v>
      </c>
      <c r="F32" s="280"/>
      <c r="G32" s="280"/>
      <c r="H32" s="280">
        <f>+'SEF-6E'!AL31</f>
        <v>-1605619.9023454485</v>
      </c>
      <c r="I32" s="280"/>
      <c r="J32" s="280">
        <f>+'SEF-6E'!BB15</f>
        <v>-383738.93548899889</v>
      </c>
      <c r="K32" s="280">
        <f>'SEF-6E'!BJ19</f>
        <v>-22040.633999859798</v>
      </c>
      <c r="L32" s="280"/>
      <c r="M32" s="280"/>
      <c r="N32" s="280">
        <f>+'SEF-6E'!CH14</f>
        <v>803909.33835699933</v>
      </c>
      <c r="O32" s="280"/>
      <c r="P32" s="280"/>
      <c r="Q32" s="280"/>
      <c r="R32" s="280">
        <f>+'SEF-6E'!DN19</f>
        <v>3681.0816675275564</v>
      </c>
      <c r="S32" s="280"/>
      <c r="T32" s="280"/>
      <c r="U32" s="280"/>
      <c r="V32" s="280"/>
      <c r="W32" s="280"/>
      <c r="X32" s="280"/>
      <c r="Y32" s="280"/>
      <c r="Z32" s="280"/>
      <c r="AA32" s="280"/>
      <c r="AB32" s="280"/>
      <c r="AC32" s="280"/>
      <c r="AD32" s="280"/>
      <c r="AE32" s="280"/>
      <c r="AF32" s="309">
        <f t="shared" si="7"/>
        <v>-785610.69141446229</v>
      </c>
      <c r="AG32" s="309">
        <f t="shared" si="8"/>
        <v>52414250.488585532</v>
      </c>
      <c r="AH32" s="280">
        <f>'SEF-6E'!H42</f>
        <v>-289877.39832737</v>
      </c>
      <c r="AI32" s="280">
        <f>'SEF-6E'!P20</f>
        <v>77234.753134000115</v>
      </c>
      <c r="AJ32" s="280"/>
      <c r="AK32" s="280"/>
      <c r="AL32" s="280"/>
      <c r="AM32" s="280"/>
      <c r="AN32" s="280">
        <f>+'SEF-6E'!DP19</f>
        <v>344111.48429154046</v>
      </c>
      <c r="AO32" s="280"/>
      <c r="AP32" s="280"/>
      <c r="AQ32" s="280"/>
      <c r="AR32" s="280"/>
      <c r="AS32" s="280"/>
      <c r="AT32" s="280"/>
      <c r="AU32" s="280"/>
      <c r="AV32" s="280">
        <f>'SEF-6E'!GR15</f>
        <v>-604216.168725</v>
      </c>
      <c r="AW32" s="280"/>
      <c r="AX32" s="280"/>
      <c r="AY32" s="280">
        <f>'SEF-6E'!HP16</f>
        <v>146042.08000000007</v>
      </c>
      <c r="AZ32" s="280"/>
      <c r="BA32" s="280"/>
      <c r="BB32" s="280"/>
      <c r="BC32" s="280"/>
      <c r="BD32" s="280"/>
      <c r="BE32" s="280"/>
      <c r="BF32" s="280"/>
      <c r="BG32" s="280"/>
      <c r="BH32" s="280"/>
      <c r="BI32" s="280"/>
      <c r="BJ32" s="309">
        <f t="shared" si="9"/>
        <v>-326705.24962682935</v>
      </c>
      <c r="BK32" s="309">
        <f t="shared" si="10"/>
        <v>52087545.238958701</v>
      </c>
      <c r="BS32" s="310"/>
    </row>
    <row r="33" spans="1:74">
      <c r="A33" s="233">
        <f t="shared" si="2"/>
        <v>21</v>
      </c>
      <c r="B33" s="247" t="s">
        <v>59</v>
      </c>
      <c r="C33" s="317">
        <f>+'SJK-3'!B28</f>
        <v>22140921.049999997</v>
      </c>
      <c r="D33" s="280"/>
      <c r="E33" s="280"/>
      <c r="F33" s="280"/>
      <c r="G33" s="280"/>
      <c r="H33" s="280">
        <f>+'SEF-6E'!AL40+'SEF-6E'!AL44</f>
        <v>-18123263</v>
      </c>
      <c r="I33" s="280"/>
      <c r="J33" s="280"/>
      <c r="K33" s="280">
        <f>'SEF-6E'!BJ20+'SEF-6E'!BJ21</f>
        <v>-3608.3649412231462</v>
      </c>
      <c r="L33" s="280"/>
      <c r="M33" s="280"/>
      <c r="N33" s="280"/>
      <c r="O33" s="280"/>
      <c r="P33" s="280"/>
      <c r="Q33" s="280"/>
      <c r="R33" s="280">
        <f>+'SEF-6E'!DN20+'SEF-6E'!DN21</f>
        <v>1631.5225314904237</v>
      </c>
      <c r="S33" s="280"/>
      <c r="T33" s="280"/>
      <c r="U33" s="280"/>
      <c r="V33" s="280"/>
      <c r="W33" s="280"/>
      <c r="X33" s="280"/>
      <c r="Y33" s="280"/>
      <c r="Z33" s="280"/>
      <c r="AA33" s="280"/>
      <c r="AB33" s="280"/>
      <c r="AC33" s="280"/>
      <c r="AD33" s="280"/>
      <c r="AE33" s="280"/>
      <c r="AF33" s="309">
        <f t="shared" si="7"/>
        <v>-18125239.842409734</v>
      </c>
      <c r="AG33" s="309">
        <f t="shared" si="8"/>
        <v>4015681.2075902633</v>
      </c>
      <c r="AH33" s="280"/>
      <c r="AI33" s="280"/>
      <c r="AJ33" s="280"/>
      <c r="AK33" s="280"/>
      <c r="AL33" s="280"/>
      <c r="AM33" s="280"/>
      <c r="AN33" s="280">
        <f>+'SEF-6E'!DP20+'SEF-6E'!DP21</f>
        <v>67858.879361970816</v>
      </c>
      <c r="AO33" s="280"/>
      <c r="AP33" s="280"/>
      <c r="AQ33" s="280"/>
      <c r="AR33" s="280"/>
      <c r="AS33" s="280"/>
      <c r="AT33" s="280"/>
      <c r="AU33" s="280"/>
      <c r="AV33" s="280"/>
      <c r="AW33" s="280"/>
      <c r="AX33" s="280"/>
      <c r="AY33" s="280"/>
      <c r="AZ33" s="280"/>
      <c r="BA33" s="280"/>
      <c r="BB33" s="280"/>
      <c r="BC33" s="280"/>
      <c r="BD33" s="280"/>
      <c r="BE33" s="280"/>
      <c r="BF33" s="280"/>
      <c r="BG33" s="280"/>
      <c r="BH33" s="280"/>
      <c r="BI33" s="280"/>
      <c r="BJ33" s="309">
        <f t="shared" si="9"/>
        <v>67858.879361970816</v>
      </c>
      <c r="BK33" s="309">
        <f t="shared" si="10"/>
        <v>4083540.0869522342</v>
      </c>
      <c r="BS33" s="310"/>
    </row>
    <row r="34" spans="1:74">
      <c r="A34" s="233">
        <f t="shared" si="2"/>
        <v>22</v>
      </c>
      <c r="B34" s="247" t="s">
        <v>58</v>
      </c>
      <c r="C34" s="317">
        <f>+'SJK-3'!B29</f>
        <v>97087902.950000003</v>
      </c>
      <c r="D34" s="280"/>
      <c r="E34" s="280"/>
      <c r="F34" s="280"/>
      <c r="G34" s="280"/>
      <c r="H34" s="280">
        <f>+'SEF-6E'!AL37</f>
        <v>-97087902.950000003</v>
      </c>
      <c r="I34" s="280"/>
      <c r="J34" s="280"/>
      <c r="K34" s="280"/>
      <c r="L34" s="280"/>
      <c r="M34" s="280"/>
      <c r="N34" s="280"/>
      <c r="O34" s="280"/>
      <c r="P34" s="280"/>
      <c r="Q34" s="280"/>
      <c r="R34" s="280"/>
      <c r="S34" s="280"/>
      <c r="T34" s="280"/>
      <c r="U34" s="280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309">
        <f t="shared" si="7"/>
        <v>-97087902.950000003</v>
      </c>
      <c r="AG34" s="309">
        <f t="shared" si="8"/>
        <v>0</v>
      </c>
      <c r="AH34" s="280"/>
      <c r="AI34" s="280"/>
      <c r="AJ34" s="280"/>
      <c r="AK34" s="280"/>
      <c r="AL34" s="280"/>
      <c r="AM34" s="280"/>
      <c r="AN34" s="318"/>
      <c r="AO34" s="280"/>
      <c r="AP34" s="280"/>
      <c r="AQ34" s="280"/>
      <c r="AR34" s="280"/>
      <c r="AS34" s="280"/>
      <c r="AT34" s="280"/>
      <c r="AU34" s="280"/>
      <c r="AV34" s="280"/>
      <c r="AW34" s="280"/>
      <c r="AX34" s="280"/>
      <c r="AY34" s="280"/>
      <c r="AZ34" s="280"/>
      <c r="BA34" s="280"/>
      <c r="BB34" s="280"/>
      <c r="BC34" s="280"/>
      <c r="BD34" s="280"/>
      <c r="BE34" s="280"/>
      <c r="BF34" s="280"/>
      <c r="BG34" s="280"/>
      <c r="BH34" s="280"/>
      <c r="BI34" s="280"/>
      <c r="BJ34" s="309">
        <f t="shared" si="9"/>
        <v>0</v>
      </c>
      <c r="BK34" s="309">
        <f t="shared" si="10"/>
        <v>0</v>
      </c>
      <c r="BS34" s="310"/>
    </row>
    <row r="35" spans="1:74">
      <c r="A35" s="233">
        <f t="shared" si="2"/>
        <v>23</v>
      </c>
      <c r="B35" s="247" t="s">
        <v>57</v>
      </c>
      <c r="C35" s="317">
        <f>+'SJK-3'!B30</f>
        <v>124825410.95999999</v>
      </c>
      <c r="D35" s="280">
        <f>'SEF-6E'!F43</f>
        <v>88089.001239607955</v>
      </c>
      <c r="E35" s="280">
        <f>'SEF-6E'!N21</f>
        <v>10554.32</v>
      </c>
      <c r="F35" s="280"/>
      <c r="G35" s="280"/>
      <c r="H35" s="280">
        <f>+'SEF-6E'!AL32+'SEF-6E'!AL45</f>
        <v>-408082.83062400005</v>
      </c>
      <c r="I35" s="280">
        <f>+'SEF-6E'!AT16</f>
        <v>-84300.474512874614</v>
      </c>
      <c r="J35" s="280"/>
      <c r="K35" s="280">
        <f>+'SEF-6E'!BJ22</f>
        <v>-56643.756348991301</v>
      </c>
      <c r="L35" s="280">
        <f>+'SEF-6E'!BR14</f>
        <v>14061.997781991959</v>
      </c>
      <c r="M35" s="280">
        <f>+'SEF-6E'!BZ16</f>
        <v>-6710.549906840708</v>
      </c>
      <c r="N35" s="280"/>
      <c r="O35" s="280">
        <f>+'SEF-6E'!CP20</f>
        <v>628553.90760300006</v>
      </c>
      <c r="P35" s="280">
        <f>'SEF-6E'!CX15</f>
        <v>2184999.0024255933</v>
      </c>
      <c r="Q35" s="280">
        <f>'SEF-6E'!DF16</f>
        <v>-404994.8982088333</v>
      </c>
      <c r="R35" s="280">
        <f>+'SEF-6E'!DN22</f>
        <v>27562.31451934576</v>
      </c>
      <c r="S35" s="280">
        <f>+'SEF-6E'!DV28</f>
        <v>16653.918911919929</v>
      </c>
      <c r="T35" s="280">
        <f>'SEF-6E'!ED21</f>
        <v>30190.192556923255</v>
      </c>
      <c r="U35" s="280"/>
      <c r="V35" s="280"/>
      <c r="W35" s="280">
        <f>+'SEF-6E'!FZ29-'SEF-6E'!FZ22-'SEF-6E'!FZ17</f>
        <v>-1290076.1837477004</v>
      </c>
      <c r="X35" s="280"/>
      <c r="Y35" s="280"/>
      <c r="Z35" s="280"/>
      <c r="AA35" s="280"/>
      <c r="AB35" s="280"/>
      <c r="AC35" s="280"/>
      <c r="AD35" s="280"/>
      <c r="AE35" s="280"/>
      <c r="AF35" s="309">
        <f t="shared" si="7"/>
        <v>749855.96168914204</v>
      </c>
      <c r="AG35" s="309">
        <f t="shared" si="8"/>
        <v>125575266.92168914</v>
      </c>
      <c r="AH35" s="280">
        <f>'SEF-6E'!H43</f>
        <v>-68375.374060000002</v>
      </c>
      <c r="AI35" s="280">
        <f>'SEF-6E'!P21</f>
        <v>18217.891999999993</v>
      </c>
      <c r="AJ35" s="280"/>
      <c r="AK35" s="280">
        <f>+'SEF-6E'!BT14</f>
        <v>-14061.997781991959</v>
      </c>
      <c r="AL35" s="280">
        <f>+'SEF-6E'!CB18</f>
        <v>6710.549906840708</v>
      </c>
      <c r="AM35" s="280">
        <f>'SEF-6E'!DH16</f>
        <v>560238.98010113928</v>
      </c>
      <c r="AN35" s="280">
        <f>+'SEF-6E'!DP22</f>
        <v>1071660.7177337781</v>
      </c>
      <c r="AO35" s="280">
        <f>+'SEF-6E'!DX28</f>
        <v>263515.60003291816</v>
      </c>
      <c r="AP35" s="280">
        <f>'SEF-6E'!EF21</f>
        <v>874996.06141313724</v>
      </c>
      <c r="AQ35" s="280"/>
      <c r="AR35" s="280"/>
      <c r="AS35" s="280"/>
      <c r="AT35" s="280">
        <f>+'SEF-6E'!GB29</f>
        <v>-499429.07517434994</v>
      </c>
      <c r="AU35" s="280"/>
      <c r="AV35" s="280"/>
      <c r="AW35" s="280"/>
      <c r="AX35" s="280"/>
      <c r="AY35" s="280">
        <f>'SEF-6E'!HP17</f>
        <v>1258.4533669999946</v>
      </c>
      <c r="AZ35" s="280"/>
      <c r="BA35" s="280"/>
      <c r="BB35" s="280"/>
      <c r="BC35" s="280"/>
      <c r="BD35" s="280"/>
      <c r="BE35" s="280"/>
      <c r="BF35" s="280"/>
      <c r="BG35" s="280"/>
      <c r="BH35" s="280"/>
      <c r="BI35" s="280"/>
      <c r="BJ35" s="309">
        <f t="shared" si="9"/>
        <v>2214731.8075384717</v>
      </c>
      <c r="BK35" s="309">
        <f t="shared" si="10"/>
        <v>127789998.7292276</v>
      </c>
    </row>
    <row r="36" spans="1:74">
      <c r="A36" s="233">
        <f t="shared" si="2"/>
        <v>24</v>
      </c>
      <c r="B36" s="247" t="s">
        <v>56</v>
      </c>
      <c r="C36" s="317">
        <f>+'SJK-3'!B31</f>
        <v>341625259.95999998</v>
      </c>
      <c r="D36" s="280"/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80"/>
      <c r="P36" s="280"/>
      <c r="Q36" s="280"/>
      <c r="R36" s="280"/>
      <c r="S36" s="280"/>
      <c r="T36" s="280"/>
      <c r="U36" s="280"/>
      <c r="V36" s="280">
        <f>+'SEF-6E'!ET14+'SEF-6E'!ET15+'SEF-6E'!ET19</f>
        <v>5699417.5924432306</v>
      </c>
      <c r="W36" s="280"/>
      <c r="X36" s="280"/>
      <c r="Y36" s="280"/>
      <c r="Z36" s="280">
        <f>'SEF-7E'!V24</f>
        <v>-212064</v>
      </c>
      <c r="AA36" s="280"/>
      <c r="AB36" s="280"/>
      <c r="AC36" s="231">
        <f>'SEF-7E'!BB26+'SEF-7E'!BB18</f>
        <v>-2348854.8283335716</v>
      </c>
      <c r="AD36" s="280"/>
      <c r="AE36" s="280"/>
      <c r="AF36" s="309">
        <f t="shared" si="7"/>
        <v>3138498.764109659</v>
      </c>
      <c r="AG36" s="309">
        <f t="shared" si="8"/>
        <v>344763758.72410965</v>
      </c>
      <c r="AH36" s="280"/>
      <c r="AI36" s="280"/>
      <c r="AJ36" s="280"/>
      <c r="AK36" s="280"/>
      <c r="AL36" s="280"/>
      <c r="AM36" s="280"/>
      <c r="AN36" s="280"/>
      <c r="AO36" s="280"/>
      <c r="AP36" s="280"/>
      <c r="AQ36" s="280"/>
      <c r="AR36" s="280"/>
      <c r="AS36" s="280">
        <f>SUM('SEF-6E'!FS29:FS30)</f>
        <v>1288993.5097277348</v>
      </c>
      <c r="AT36" s="280">
        <f>+'SEF-6E'!GB22</f>
        <v>0</v>
      </c>
      <c r="AV36" s="280"/>
      <c r="AW36" s="280"/>
      <c r="AX36" s="280">
        <f>+'SEF-6E'!HH24</f>
        <v>375013.99657122983</v>
      </c>
      <c r="AY36" s="280"/>
      <c r="BA36" s="280"/>
      <c r="BB36" s="280"/>
      <c r="BC36" s="280"/>
      <c r="BD36" s="280"/>
      <c r="BE36" s="280"/>
      <c r="BF36" s="280">
        <f>'SEF-7E'!BT24</f>
        <v>370592.44987679686</v>
      </c>
      <c r="BH36" s="280"/>
      <c r="BI36" s="280"/>
      <c r="BJ36" s="309">
        <f t="shared" si="9"/>
        <v>2034599.9561757615</v>
      </c>
      <c r="BK36" s="309">
        <f t="shared" si="10"/>
        <v>346798358.68028539</v>
      </c>
    </row>
    <row r="37" spans="1:74">
      <c r="A37" s="233">
        <f t="shared" si="2"/>
        <v>25</v>
      </c>
      <c r="B37" s="247" t="s">
        <v>55</v>
      </c>
      <c r="C37" s="317">
        <f>+'SJK-3'!B32</f>
        <v>75292958.060000002</v>
      </c>
      <c r="D37" s="280"/>
      <c r="E37" s="280"/>
      <c r="F37" s="280"/>
      <c r="G37" s="280"/>
      <c r="H37" s="280"/>
      <c r="I37" s="280"/>
      <c r="J37" s="280"/>
      <c r="K37" s="280"/>
      <c r="L37" s="280"/>
      <c r="M37" s="280"/>
      <c r="N37" s="280"/>
      <c r="O37" s="280"/>
      <c r="P37" s="280"/>
      <c r="Q37" s="280"/>
      <c r="R37" s="280"/>
      <c r="S37" s="280"/>
      <c r="T37" s="280"/>
      <c r="U37" s="280"/>
      <c r="V37" s="280">
        <f>+'SEF-6E'!ET16+'SEF-6E'!ET17+'SEF-6E'!ET20</f>
        <v>15699257.697837964</v>
      </c>
      <c r="W37" s="280"/>
      <c r="X37" s="280"/>
      <c r="Y37" s="280"/>
      <c r="Z37" s="280"/>
      <c r="AA37" s="280"/>
      <c r="AB37" s="280"/>
      <c r="AC37" s="280"/>
      <c r="AD37" s="280"/>
      <c r="AE37" s="280"/>
      <c r="AF37" s="309">
        <f t="shared" si="7"/>
        <v>15699257.697837964</v>
      </c>
      <c r="AG37" s="309">
        <f t="shared" si="8"/>
        <v>90992215.757837966</v>
      </c>
      <c r="AH37" s="280"/>
      <c r="AI37" s="280"/>
      <c r="AJ37" s="280"/>
      <c r="AK37" s="280"/>
      <c r="AL37" s="280"/>
      <c r="AM37" s="280"/>
      <c r="AN37" s="280"/>
      <c r="AO37" s="280"/>
      <c r="AP37" s="280"/>
      <c r="AQ37" s="280"/>
      <c r="AR37" s="280"/>
      <c r="AS37" s="280"/>
      <c r="AT37" s="280"/>
      <c r="AU37" s="280">
        <f>'SEF-6E'!GJ30</f>
        <v>5248913.9956294717</v>
      </c>
      <c r="AV37" s="280"/>
      <c r="AW37" s="280"/>
      <c r="AX37" s="280"/>
      <c r="AY37" s="280"/>
      <c r="AZ37" s="280">
        <f>'SEF-6E'!HX25</f>
        <v>681757.00000000012</v>
      </c>
      <c r="BA37" s="280"/>
      <c r="BB37" s="280"/>
      <c r="BC37" s="280"/>
      <c r="BD37" s="280"/>
      <c r="BE37" s="280">
        <f>'SEF-7E'!BL25</f>
        <v>-5669283.3340000007</v>
      </c>
      <c r="BF37" s="280"/>
      <c r="BG37" s="280">
        <f>'SEF-7E'!CB24</f>
        <v>3090056.355</v>
      </c>
      <c r="BH37" s="280"/>
      <c r="BI37" s="280"/>
      <c r="BJ37" s="309">
        <f t="shared" si="9"/>
        <v>3351444.016629471</v>
      </c>
      <c r="BK37" s="309">
        <f t="shared" si="10"/>
        <v>94343659.774467438</v>
      </c>
    </row>
    <row r="38" spans="1:74">
      <c r="A38" s="233">
        <f t="shared" si="2"/>
        <v>26</v>
      </c>
      <c r="B38" s="288" t="s">
        <v>54</v>
      </c>
      <c r="C38" s="317">
        <f>+'SJK-3'!B33</f>
        <v>35645161.039999902</v>
      </c>
      <c r="D38" s="280"/>
      <c r="E38" s="280"/>
      <c r="F38" s="280"/>
      <c r="G38" s="280"/>
      <c r="H38" s="280"/>
      <c r="I38" s="280"/>
      <c r="J38" s="280"/>
      <c r="K38" s="280"/>
      <c r="L38" s="280"/>
      <c r="M38" s="280"/>
      <c r="N38" s="280"/>
      <c r="O38" s="280"/>
      <c r="P38" s="280"/>
      <c r="Q38" s="280"/>
      <c r="R38" s="280"/>
      <c r="S38" s="280"/>
      <c r="T38" s="280"/>
      <c r="U38" s="280"/>
      <c r="V38" s="280"/>
      <c r="W38" s="280"/>
      <c r="X38" s="280"/>
      <c r="Y38" s="280"/>
      <c r="Z38" s="280"/>
      <c r="AA38" s="280"/>
      <c r="AB38" s="280"/>
      <c r="AC38" s="280"/>
      <c r="AD38" s="280"/>
      <c r="AE38" s="280"/>
      <c r="AF38" s="309">
        <f t="shared" si="7"/>
        <v>0</v>
      </c>
      <c r="AG38" s="309">
        <f t="shared" si="8"/>
        <v>35645161.039999902</v>
      </c>
      <c r="AH38" s="280"/>
      <c r="AI38" s="280"/>
      <c r="AJ38" s="280"/>
      <c r="AK38" s="280"/>
      <c r="AL38" s="280"/>
      <c r="AM38" s="280"/>
      <c r="AN38" s="280"/>
      <c r="AO38" s="280"/>
      <c r="AP38" s="280"/>
      <c r="AQ38" s="280"/>
      <c r="AR38" s="280"/>
      <c r="AS38" s="280"/>
      <c r="AT38" s="280"/>
      <c r="AU38" s="280"/>
      <c r="AV38" s="280"/>
      <c r="AW38" s="280"/>
      <c r="AX38" s="280"/>
      <c r="AY38" s="280"/>
      <c r="AZ38" s="280"/>
      <c r="BA38" s="280"/>
      <c r="BB38" s="280"/>
      <c r="BC38" s="280">
        <f>+'SEF-7E'!AN21</f>
        <v>13521271.800000004</v>
      </c>
      <c r="BD38" s="280">
        <f>'SEF-7E'!AV48+'SEF-7E'!AV47</f>
        <v>-6016033.5165937655</v>
      </c>
      <c r="BE38" s="280"/>
      <c r="BF38" s="280"/>
      <c r="BG38" s="280"/>
      <c r="BH38" s="280"/>
      <c r="BI38" s="280"/>
      <c r="BJ38" s="309">
        <f t="shared" si="9"/>
        <v>7505238.283406239</v>
      </c>
      <c r="BK38" s="309">
        <f t="shared" si="10"/>
        <v>43150399.323406145</v>
      </c>
    </row>
    <row r="39" spans="1:74">
      <c r="A39" s="233">
        <f t="shared" si="2"/>
        <v>27</v>
      </c>
      <c r="B39" s="247" t="s">
        <v>53</v>
      </c>
      <c r="C39" s="317">
        <f>+'SJK-3'!B34</f>
        <v>-21632953.829999994</v>
      </c>
      <c r="D39" s="280">
        <f>'SEF-6E'!F39</f>
        <v>31349866.02</v>
      </c>
      <c r="E39" s="280"/>
      <c r="F39" s="280"/>
      <c r="G39" s="280"/>
      <c r="H39" s="280">
        <f>+'SEF-6E'!AL42</f>
        <v>83311.960000000006</v>
      </c>
      <c r="I39" s="280"/>
      <c r="J39" s="280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309">
        <f t="shared" si="7"/>
        <v>31433177.98</v>
      </c>
      <c r="AG39" s="309">
        <f t="shared" si="8"/>
        <v>9800224.150000006</v>
      </c>
      <c r="AH39" s="280"/>
      <c r="AI39" s="280"/>
      <c r="AJ39" s="280"/>
      <c r="AK39" s="280"/>
      <c r="AL39" s="280"/>
      <c r="AM39" s="280"/>
      <c r="AN39" s="280"/>
      <c r="AO39" s="280"/>
      <c r="AP39" s="280"/>
      <c r="AQ39" s="280">
        <f>+'SEF-6E'!FD17</f>
        <v>519036.00666666706</v>
      </c>
      <c r="AR39" s="280">
        <f>'SEF-6E'!FL15</f>
        <v>152047.66032121028</v>
      </c>
      <c r="AS39" s="280">
        <f>SUM('SEF-6E'!FS31:FS32)</f>
        <v>4868445.0880221995</v>
      </c>
      <c r="AT39" s="280"/>
      <c r="AU39" s="280">
        <f>'SEF-6E'!GJ31+'SEF-6E'!GJ32</f>
        <v>6937913.5512456754</v>
      </c>
      <c r="AV39" s="280"/>
      <c r="AW39" s="280"/>
      <c r="AX39" s="280"/>
      <c r="AY39" s="280"/>
      <c r="AZ39" s="280"/>
      <c r="BA39" s="280"/>
      <c r="BB39" s="280"/>
      <c r="BC39" s="280"/>
      <c r="BD39" s="280">
        <f>'SEF-7E'!AV51-BD38</f>
        <v>-5503100.002442643</v>
      </c>
      <c r="BE39" s="280"/>
      <c r="BF39" s="280"/>
      <c r="BG39" s="280"/>
      <c r="BH39" s="280"/>
      <c r="BI39" s="280"/>
      <c r="BJ39" s="309">
        <f t="shared" si="9"/>
        <v>6974342.3038131092</v>
      </c>
      <c r="BK39" s="309">
        <f t="shared" si="10"/>
        <v>16774566.453813115</v>
      </c>
    </row>
    <row r="40" spans="1:74">
      <c r="A40" s="233">
        <f t="shared" si="2"/>
        <v>28</v>
      </c>
      <c r="B40" s="245" t="s">
        <v>52</v>
      </c>
      <c r="C40" s="317">
        <f>+'SJK-3'!B35</f>
        <v>-41661500.859999999</v>
      </c>
      <c r="D40" s="280"/>
      <c r="E40" s="280"/>
      <c r="F40" s="280"/>
      <c r="G40" s="280"/>
      <c r="H40" s="280"/>
      <c r="I40" s="280"/>
      <c r="J40" s="280"/>
      <c r="K40" s="280"/>
      <c r="L40" s="280"/>
      <c r="M40" s="280"/>
      <c r="N40" s="280"/>
      <c r="O40" s="280"/>
      <c r="P40" s="280"/>
      <c r="Q40" s="280"/>
      <c r="R40" s="280"/>
      <c r="S40" s="280"/>
      <c r="T40" s="280"/>
      <c r="U40" s="280"/>
      <c r="V40" s="280"/>
      <c r="W40" s="280"/>
      <c r="X40" s="280"/>
      <c r="Y40" s="280"/>
      <c r="Z40" s="280"/>
      <c r="AA40" s="280">
        <f>+'SEF-7E'!AD15</f>
        <v>41661500.859999999</v>
      </c>
      <c r="AB40" s="280"/>
      <c r="AC40" s="280"/>
      <c r="AD40" s="280"/>
      <c r="AE40" s="280"/>
      <c r="AF40" s="309">
        <f t="shared" si="7"/>
        <v>41661500.859999999</v>
      </c>
      <c r="AG40" s="309">
        <f t="shared" si="8"/>
        <v>0</v>
      </c>
      <c r="AH40" s="280"/>
      <c r="AI40" s="280"/>
      <c r="AJ40" s="280"/>
      <c r="AK40" s="280"/>
      <c r="AL40" s="280"/>
      <c r="AM40" s="280"/>
      <c r="AN40" s="280"/>
      <c r="AO40" s="280"/>
      <c r="AP40" s="280"/>
      <c r="AQ40" s="280"/>
      <c r="AR40" s="280"/>
      <c r="AS40" s="280"/>
      <c r="AT40" s="280"/>
      <c r="AU40" s="280"/>
      <c r="AV40" s="280"/>
      <c r="AW40" s="280"/>
      <c r="AX40" s="280"/>
      <c r="AY40" s="280"/>
      <c r="AZ40" s="280"/>
      <c r="BA40" s="280"/>
      <c r="BB40" s="280"/>
      <c r="BC40" s="280"/>
      <c r="BD40" s="280"/>
      <c r="BE40" s="280"/>
      <c r="BF40" s="280"/>
      <c r="BG40" s="280"/>
      <c r="BH40" s="280"/>
      <c r="BI40" s="280"/>
      <c r="BJ40" s="309">
        <f t="shared" si="9"/>
        <v>0</v>
      </c>
      <c r="BK40" s="309">
        <f t="shared" si="10"/>
        <v>0</v>
      </c>
    </row>
    <row r="41" spans="1:74">
      <c r="A41" s="233">
        <f t="shared" si="2"/>
        <v>29</v>
      </c>
      <c r="B41" s="247" t="s">
        <v>51</v>
      </c>
      <c r="C41" s="317">
        <f>+'SJK-3'!B36</f>
        <v>234440433.30000001</v>
      </c>
      <c r="D41" s="280">
        <f>'SEF-6E'!F44</f>
        <v>1691573.0908041918</v>
      </c>
      <c r="E41" s="280">
        <f>'SEF-6E'!N22</f>
        <v>202674.60696</v>
      </c>
      <c r="F41" s="280"/>
      <c r="G41" s="280"/>
      <c r="H41" s="280">
        <f>+'SEF-6E'!AL33+'SEF-6E'!AL38+'SEF-6E'!AL39+'SEF-6E'!AL46</f>
        <v>-148546495.51061568</v>
      </c>
      <c r="I41" s="280"/>
      <c r="J41" s="280"/>
      <c r="K41" s="280">
        <f>+'SEF-6E'!BJ25</f>
        <v>-18951.694391689729</v>
      </c>
      <c r="L41" s="280">
        <f>+'SEF-6E'!BR15</f>
        <v>-104992.07986000087</v>
      </c>
      <c r="M41" s="280"/>
      <c r="N41" s="280"/>
      <c r="O41" s="280"/>
      <c r="P41" s="280"/>
      <c r="Q41" s="280"/>
      <c r="R41" s="280">
        <f>+'SEF-6E'!DN25</f>
        <v>19412.258474519269</v>
      </c>
      <c r="S41" s="280"/>
      <c r="T41" s="280"/>
      <c r="U41" s="280"/>
      <c r="V41" s="280"/>
      <c r="W41" s="280"/>
      <c r="X41" s="280">
        <f>-'SEF-7E'!F33</f>
        <v>0</v>
      </c>
      <c r="Y41" s="280">
        <f>+'SEF-7E'!N19</f>
        <v>86860.814999999944</v>
      </c>
      <c r="Z41" s="280"/>
      <c r="AA41" s="280"/>
      <c r="AB41" s="280"/>
      <c r="AC41" s="280"/>
      <c r="AD41" s="280"/>
      <c r="AE41" s="280"/>
      <c r="AF41" s="309">
        <f t="shared" si="7"/>
        <v>-146669918.51362866</v>
      </c>
      <c r="AG41" s="309">
        <f t="shared" si="8"/>
        <v>87770514.78637135</v>
      </c>
      <c r="AH41" s="280">
        <f>'SEF-6E'!H44</f>
        <v>-1313012.30807418</v>
      </c>
      <c r="AI41" s="280">
        <f>'SEF-6E'!P22</f>
        <v>349838.18007599935</v>
      </c>
      <c r="AJ41" s="280"/>
      <c r="AK41" s="280">
        <f>+'SEF-6E'!BT15</f>
        <v>104992.07986000087</v>
      </c>
      <c r="AL41" s="280"/>
      <c r="AM41" s="280"/>
      <c r="AN41" s="280">
        <f>+'SEF-6E'!DP25</f>
        <v>182188.09454757578</v>
      </c>
      <c r="AO41" s="280"/>
      <c r="AP41" s="280"/>
      <c r="AQ41" s="280"/>
      <c r="AR41" s="280"/>
      <c r="AS41" s="280"/>
      <c r="AT41" s="280"/>
      <c r="AU41" s="280"/>
      <c r="AV41" s="280"/>
      <c r="AW41" s="280"/>
      <c r="AX41" s="280"/>
      <c r="AY41" s="280"/>
      <c r="AZ41" s="280"/>
      <c r="BA41" s="280">
        <f>+'SEF-7E'!H33</f>
        <v>56751.381884112845</v>
      </c>
      <c r="BB41" s="280">
        <f>+'SEF-7E'!P19</f>
        <v>-655709.70971653459</v>
      </c>
      <c r="BC41" s="280"/>
      <c r="BD41" s="280"/>
      <c r="BE41" s="280"/>
      <c r="BF41" s="280"/>
      <c r="BG41" s="280"/>
      <c r="BH41" s="280"/>
      <c r="BI41" s="280"/>
      <c r="BJ41" s="309">
        <f t="shared" si="9"/>
        <v>-1274952.2814230258</v>
      </c>
      <c r="BK41" s="309">
        <f t="shared" si="10"/>
        <v>86495562.504948318</v>
      </c>
    </row>
    <row r="42" spans="1:74">
      <c r="A42" s="233">
        <f t="shared" si="2"/>
        <v>30</v>
      </c>
      <c r="B42" s="247" t="s">
        <v>50</v>
      </c>
      <c r="C42" s="317">
        <f>+'SJK-3'!B37</f>
        <v>22841555.030000001</v>
      </c>
      <c r="D42" s="280">
        <f>'SEF-6E'!F49</f>
        <v>2213719.029271021</v>
      </c>
      <c r="E42" s="280">
        <f>'SEF-6E'!N27</f>
        <v>1054029.0670139999</v>
      </c>
      <c r="F42" s="280">
        <f>+'SEF-6E'!V14</f>
        <v>96903246.731522843</v>
      </c>
      <c r="G42" s="280">
        <f>+'SEF-6E'!AD21</f>
        <v>-33105346.195786756</v>
      </c>
      <c r="H42" s="280">
        <f>+'SEF-6E'!AL50</f>
        <v>-519945.70634724048</v>
      </c>
      <c r="I42" s="280">
        <f>+'SEF-6E'!AT19</f>
        <v>17703.099647703668</v>
      </c>
      <c r="J42" s="280">
        <f>+'SEF-6E'!BB18</f>
        <v>80585.176452689804</v>
      </c>
      <c r="K42" s="280">
        <f>+'SEF-6E'!BJ28</f>
        <v>48949.980307859136</v>
      </c>
      <c r="L42" s="280">
        <f>+'SEF-6E'!BR19</f>
        <v>19095.317236382514</v>
      </c>
      <c r="M42" s="280">
        <f>+'SEF-6E'!BZ20</f>
        <v>1409.2154804365487</v>
      </c>
      <c r="N42" s="280"/>
      <c r="O42" s="280">
        <f>+'SEF-6E'!CP22</f>
        <v>-131996.32059662999</v>
      </c>
      <c r="P42" s="280">
        <f>+'SEF-6E'!CX17</f>
        <v>-458849.79050937446</v>
      </c>
      <c r="Q42" s="280">
        <f>'SEF-6E'!DF18</f>
        <v>85048.928623854881</v>
      </c>
      <c r="R42" s="280">
        <f>+'SEF-6E'!DN29</f>
        <v>-16430.619345331426</v>
      </c>
      <c r="S42" s="280">
        <f>+'SEF-6E'!DV32</f>
        <v>-3497.3229715031848</v>
      </c>
      <c r="T42" s="280">
        <f>'SEF-6E'!ED23</f>
        <v>-6339.9404369538834</v>
      </c>
      <c r="U42" s="280"/>
      <c r="V42" s="280">
        <f>'SEF-6E'!ET25</f>
        <v>-4493721.8109590504</v>
      </c>
      <c r="W42" s="280">
        <f>+'SEF-6E'!FZ31</f>
        <v>90617.111287017076</v>
      </c>
      <c r="X42" s="280">
        <f>'SEF-7E'!F36</f>
        <v>-2017478.0250371571</v>
      </c>
      <c r="Y42" s="280">
        <f>+'SEF-7E'!N21</f>
        <v>-18240.771149999986</v>
      </c>
      <c r="Z42" s="280">
        <f>'SEF-7E'!V26</f>
        <v>44533.439999999995</v>
      </c>
      <c r="AA42" s="280"/>
      <c r="AB42" s="280">
        <f>'SEF-7E'!AL25</f>
        <v>-2924.2759000001502</v>
      </c>
      <c r="AC42" s="234">
        <f>'SEF-7E'!BB27+'SEF-7E'!BB28+'SEF-7E'!BB19+'SEF-7E'!BB20</f>
        <v>680428.34983163839</v>
      </c>
      <c r="AD42" s="280"/>
      <c r="AE42" s="280"/>
      <c r="AF42" s="309">
        <f t="shared" si="7"/>
        <v>60464594.667635463</v>
      </c>
      <c r="AG42" s="309">
        <f t="shared" si="8"/>
        <v>83306149.697635472</v>
      </c>
      <c r="AH42" s="280">
        <f>'SEF-6E'!H49</f>
        <v>-6828448.6094030747</v>
      </c>
      <c r="AI42" s="280">
        <f>'SEF-6E'!P27</f>
        <v>1819367.5867059231</v>
      </c>
      <c r="AJ42" s="280">
        <f>+'SEF-6E'!AF21</f>
        <v>387245.83443835971</v>
      </c>
      <c r="AK42" s="280">
        <f>+'SEF-6E'!BT19</f>
        <v>-19095.31723638187</v>
      </c>
      <c r="AL42" s="280">
        <f>+'SEF-6E'!CB20</f>
        <v>-1409.2154804365487</v>
      </c>
      <c r="AM42" s="280">
        <f>'SEF-6E'!DH18</f>
        <v>-117650.18582123914</v>
      </c>
      <c r="AN42" s="280">
        <f>+'SEF-6E'!DP29</f>
        <v>-798413.9281708037</v>
      </c>
      <c r="AO42" s="280">
        <f>+'SEF-6E'!DX32</f>
        <v>-55338.276006912813</v>
      </c>
      <c r="AP42" s="280">
        <f>'SEF-6E'!EF23</f>
        <v>-183749.17289675883</v>
      </c>
      <c r="AQ42" s="280">
        <f>+'SEF-6E'!FD19</f>
        <v>-108997.56140000008</v>
      </c>
      <c r="AR42" s="280">
        <f>'SEF-6E'!FL18</f>
        <v>-31930.008667454156</v>
      </c>
      <c r="AS42" s="280">
        <f>+'SEF-6E'!FS37</f>
        <v>-1293062.105527486</v>
      </c>
      <c r="AT42" s="280">
        <f>+'SEF-6E'!GB31</f>
        <v>104880.10578661348</v>
      </c>
      <c r="AU42" s="280">
        <f>'SEF-6E'!GJ37</f>
        <v>-2559233.7848437806</v>
      </c>
      <c r="AV42" s="280">
        <f>'SEF-6E'!GR19</f>
        <v>126885.39543224999</v>
      </c>
      <c r="AW42" s="280"/>
      <c r="AX42" s="280">
        <f>+'SEF-6E'!HH26</f>
        <v>-78752.939279958257</v>
      </c>
      <c r="AY42" s="280">
        <f>'SEF-6E'!HP20</f>
        <v>-353737.27900707163</v>
      </c>
      <c r="AZ42" s="280">
        <f>'SEF-6E'!HX30</f>
        <v>-143168.97000000003</v>
      </c>
      <c r="BA42" s="280">
        <f>+'SEF-7E'!H36</f>
        <v>865528.29336999159</v>
      </c>
      <c r="BB42" s="280">
        <f>+'SEF-7E'!P21</f>
        <v>137699.03904047227</v>
      </c>
      <c r="BC42" s="280">
        <f>+'SEF-7E'!AN25</f>
        <v>-2839467.0780000007</v>
      </c>
      <c r="BD42" s="280">
        <f>'SEF-7E'!AV53</f>
        <v>2419018.0389976455</v>
      </c>
      <c r="BE42" s="280">
        <f>'SEF-7E'!BI27</f>
        <v>1190549.5001400001</v>
      </c>
      <c r="BF42" s="280">
        <f>'SEF-7E'!BT28</f>
        <v>-77824.414474127334</v>
      </c>
      <c r="BG42" s="280">
        <f>'SEF-7E'!CB28</f>
        <v>-648911.83455000003</v>
      </c>
      <c r="BH42" s="280"/>
      <c r="BI42" s="280"/>
      <c r="BJ42" s="309">
        <f t="shared" si="9"/>
        <v>-9088016.8868542295</v>
      </c>
      <c r="BK42" s="309">
        <f t="shared" si="10"/>
        <v>74218132.81078124</v>
      </c>
    </row>
    <row r="43" spans="1:74">
      <c r="A43" s="233">
        <f t="shared" si="2"/>
        <v>31</v>
      </c>
      <c r="B43" s="245" t="s">
        <v>49</v>
      </c>
      <c r="C43" s="317">
        <f>+'SJK-3'!B38</f>
        <v>38907707.560000002</v>
      </c>
      <c r="D43" s="280"/>
      <c r="E43" s="280"/>
      <c r="F43" s="280">
        <f>+'SEF-6E'!V15</f>
        <v>-81967593.284695342</v>
      </c>
      <c r="G43" s="280"/>
      <c r="H43" s="280"/>
      <c r="I43" s="280"/>
      <c r="J43" s="280"/>
      <c r="K43" s="280"/>
      <c r="L43" s="280"/>
      <c r="M43" s="280"/>
      <c r="N43" s="280"/>
      <c r="O43" s="280"/>
      <c r="P43" s="280"/>
      <c r="Q43" s="280"/>
      <c r="R43" s="280"/>
      <c r="S43" s="280"/>
      <c r="T43" s="280"/>
      <c r="U43" s="280"/>
      <c r="V43" s="280"/>
      <c r="W43" s="280"/>
      <c r="X43" s="280"/>
      <c r="Y43" s="280"/>
      <c r="Z43" s="280"/>
      <c r="AA43" s="280">
        <f>+'SEF-7E'!AD21</f>
        <v>-8748915.1805999987</v>
      </c>
      <c r="AB43" s="280"/>
      <c r="AC43" s="280"/>
      <c r="AD43" s="280"/>
      <c r="AE43" s="280"/>
      <c r="AF43" s="309">
        <f t="shared" si="7"/>
        <v>-90716508.465295345</v>
      </c>
      <c r="AG43" s="309">
        <f t="shared" si="8"/>
        <v>-51808800.905295342</v>
      </c>
      <c r="AH43" s="280"/>
      <c r="AI43" s="280"/>
      <c r="AJ43" s="280"/>
      <c r="AK43" s="280"/>
      <c r="AL43" s="280"/>
      <c r="AM43" s="280"/>
      <c r="AN43" s="280"/>
      <c r="AO43" s="280"/>
      <c r="AP43" s="280"/>
      <c r="AQ43" s="280"/>
      <c r="AR43" s="280"/>
      <c r="AS43" s="280"/>
      <c r="AT43" s="280"/>
      <c r="AU43" s="280"/>
      <c r="AV43" s="280"/>
      <c r="AW43" s="280">
        <f>'SEF-6E'!GY19</f>
        <v>-9006372.2399999984</v>
      </c>
      <c r="AX43" s="280"/>
      <c r="AY43" s="280"/>
      <c r="AZ43" s="280"/>
      <c r="BA43" s="280"/>
      <c r="BB43" s="280"/>
      <c r="BC43" s="280"/>
      <c r="BD43" s="280"/>
      <c r="BE43" s="280"/>
      <c r="BF43" s="280"/>
      <c r="BG43" s="280"/>
      <c r="BH43" s="280"/>
      <c r="BI43" s="280"/>
      <c r="BJ43" s="309">
        <f t="shared" si="9"/>
        <v>-9006372.2399999984</v>
      </c>
      <c r="BK43" s="309">
        <f t="shared" si="10"/>
        <v>-60815173.145295337</v>
      </c>
    </row>
    <row r="44" spans="1:74">
      <c r="A44" s="233">
        <f t="shared" si="2"/>
        <v>32</v>
      </c>
      <c r="B44" s="247" t="s">
        <v>48</v>
      </c>
      <c r="C44" s="325">
        <f t="shared" ref="C44:AH44" si="11">SUM(C27:C43)</f>
        <v>2051942496.7299988</v>
      </c>
      <c r="D44" s="325">
        <f t="shared" si="11"/>
        <v>35716700.462070137</v>
      </c>
      <c r="E44" s="325">
        <f t="shared" si="11"/>
        <v>1312003.0336139998</v>
      </c>
      <c r="F44" s="325">
        <f t="shared" si="11"/>
        <v>14935653.446827501</v>
      </c>
      <c r="G44" s="325">
        <f t="shared" si="11"/>
        <v>-33105346.195786756</v>
      </c>
      <c r="H44" s="325">
        <f t="shared" si="11"/>
        <v>-188754338.42993236</v>
      </c>
      <c r="I44" s="325">
        <f t="shared" si="11"/>
        <v>-66597.374865170947</v>
      </c>
      <c r="J44" s="325">
        <f t="shared" si="11"/>
        <v>-303153.75903630909</v>
      </c>
      <c r="K44" s="325">
        <f t="shared" si="11"/>
        <v>-184145.16401528011</v>
      </c>
      <c r="L44" s="325">
        <f t="shared" si="11"/>
        <v>-71834.764841626398</v>
      </c>
      <c r="M44" s="325">
        <f t="shared" si="11"/>
        <v>-5301.3344264041589</v>
      </c>
      <c r="N44" s="325">
        <f t="shared" si="11"/>
        <v>803909.33835699933</v>
      </c>
      <c r="O44" s="325">
        <f t="shared" si="11"/>
        <v>496557.58700637007</v>
      </c>
      <c r="P44" s="325">
        <f t="shared" si="11"/>
        <v>1726149.211916219</v>
      </c>
      <c r="Q44" s="325">
        <f t="shared" si="11"/>
        <v>-319945.96958497842</v>
      </c>
      <c r="R44" s="325">
        <f t="shared" si="11"/>
        <v>61810.425156236211</v>
      </c>
      <c r="S44" s="325">
        <f t="shared" si="11"/>
        <v>13156.595940416744</v>
      </c>
      <c r="T44" s="325">
        <f t="shared" si="11"/>
        <v>23850.252119969373</v>
      </c>
      <c r="U44" s="325">
        <f t="shared" si="11"/>
        <v>0</v>
      </c>
      <c r="V44" s="325">
        <f t="shared" si="11"/>
        <v>16904953.479322143</v>
      </c>
      <c r="W44" s="325">
        <f t="shared" si="11"/>
        <v>-1199459.0724606833</v>
      </c>
      <c r="X44" s="325">
        <f t="shared" si="11"/>
        <v>7589560.1894254955</v>
      </c>
      <c r="Y44" s="325">
        <f t="shared" si="11"/>
        <v>68620.043849999958</v>
      </c>
      <c r="Z44" s="325">
        <f t="shared" si="11"/>
        <v>-167530.56</v>
      </c>
      <c r="AA44" s="325">
        <f t="shared" si="11"/>
        <v>32912585.679400001</v>
      </c>
      <c r="AB44" s="325">
        <f t="shared" si="11"/>
        <v>11000.8474333339</v>
      </c>
      <c r="AC44" s="325">
        <f t="shared" si="11"/>
        <v>-1668426.4785019332</v>
      </c>
      <c r="AD44" s="325">
        <f t="shared" si="11"/>
        <v>0</v>
      </c>
      <c r="AE44" s="325">
        <f t="shared" si="11"/>
        <v>0</v>
      </c>
      <c r="AF44" s="324">
        <f t="shared" si="11"/>
        <v>-113269568.51101267</v>
      </c>
      <c r="AG44" s="324">
        <f t="shared" si="11"/>
        <v>1938672928.2189858</v>
      </c>
      <c r="AH44" s="325">
        <f t="shared" si="11"/>
        <v>-8499713.6898646243</v>
      </c>
      <c r="AI44" s="325">
        <f t="shared" ref="AI44:BK44" si="12">SUM(AI27:AI43)</f>
        <v>2264658.4119159225</v>
      </c>
      <c r="AJ44" s="325">
        <f t="shared" si="12"/>
        <v>387245.83443835971</v>
      </c>
      <c r="AK44" s="325">
        <f t="shared" si="12"/>
        <v>71834.764841627039</v>
      </c>
      <c r="AL44" s="325">
        <f t="shared" si="12"/>
        <v>5301.3344264041589</v>
      </c>
      <c r="AM44" s="325">
        <f t="shared" si="12"/>
        <v>442588.79427990015</v>
      </c>
      <c r="AN44" s="325">
        <f t="shared" si="12"/>
        <v>3003557.1583568119</v>
      </c>
      <c r="AO44" s="325">
        <f t="shared" si="12"/>
        <v>208177.32402600534</v>
      </c>
      <c r="AP44" s="325">
        <f t="shared" si="12"/>
        <v>691246.88851637836</v>
      </c>
      <c r="AQ44" s="325">
        <f t="shared" si="12"/>
        <v>410038.445266667</v>
      </c>
      <c r="AR44" s="325">
        <f t="shared" si="12"/>
        <v>120117.65165375613</v>
      </c>
      <c r="AS44" s="325">
        <f t="shared" si="12"/>
        <v>4864376.4922224488</v>
      </c>
      <c r="AT44" s="325">
        <f t="shared" si="12"/>
        <v>-394548.96938773646</v>
      </c>
      <c r="AU44" s="325">
        <f t="shared" si="12"/>
        <v>9627593.762031367</v>
      </c>
      <c r="AV44" s="325">
        <f t="shared" si="12"/>
        <v>-477330.77329275</v>
      </c>
      <c r="AW44" s="325">
        <f t="shared" si="12"/>
        <v>-9006372.2399999984</v>
      </c>
      <c r="AX44" s="325">
        <f t="shared" si="12"/>
        <v>296261.05729127157</v>
      </c>
      <c r="AY44" s="325">
        <f t="shared" si="12"/>
        <v>1330725.9543599267</v>
      </c>
      <c r="AZ44" s="325">
        <f t="shared" si="12"/>
        <v>538588.03</v>
      </c>
      <c r="BA44" s="325">
        <f t="shared" si="12"/>
        <v>-199710200.6925793</v>
      </c>
      <c r="BB44" s="325">
        <f t="shared" si="12"/>
        <v>-518010.67067606235</v>
      </c>
      <c r="BC44" s="325">
        <f t="shared" si="12"/>
        <v>10681804.722000003</v>
      </c>
      <c r="BD44" s="325">
        <f t="shared" si="12"/>
        <v>-9100115.4800387621</v>
      </c>
      <c r="BE44" s="325">
        <f t="shared" si="12"/>
        <v>-4478733.8338600006</v>
      </c>
      <c r="BF44" s="325">
        <f t="shared" si="12"/>
        <v>292768.03540266951</v>
      </c>
      <c r="BG44" s="325">
        <f t="shared" si="12"/>
        <v>2441144.5204499997</v>
      </c>
      <c r="BH44" s="325">
        <f t="shared" si="12"/>
        <v>0</v>
      </c>
      <c r="BI44" s="325">
        <f t="shared" si="12"/>
        <v>0</v>
      </c>
      <c r="BJ44" s="324">
        <f t="shared" si="12"/>
        <v>-194506997.16821969</v>
      </c>
      <c r="BK44" s="324">
        <f t="shared" si="12"/>
        <v>1744165931.0507662</v>
      </c>
    </row>
    <row r="45" spans="1:74">
      <c r="A45" s="233">
        <f t="shared" si="2"/>
        <v>33</v>
      </c>
      <c r="B45" s="245"/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  <c r="U45" s="257"/>
      <c r="V45" s="257"/>
      <c r="W45" s="257"/>
      <c r="X45" s="257"/>
      <c r="Y45" s="257"/>
      <c r="Z45" s="257"/>
      <c r="AA45" s="257"/>
      <c r="AB45" s="257"/>
      <c r="AC45" s="257"/>
      <c r="AD45" s="257"/>
      <c r="AE45" s="257"/>
      <c r="AF45" s="323"/>
      <c r="AG45" s="323"/>
      <c r="AH45" s="257"/>
      <c r="AI45" s="257"/>
      <c r="AJ45" s="257"/>
      <c r="AK45" s="257">
        <f>+L45</f>
        <v>0</v>
      </c>
      <c r="AL45" s="257">
        <f>+M45</f>
        <v>0</v>
      </c>
      <c r="AM45" s="257"/>
      <c r="AN45" s="257"/>
      <c r="AO45" s="257"/>
      <c r="AP45" s="257"/>
      <c r="AQ45" s="257"/>
      <c r="AR45" s="257"/>
      <c r="AS45" s="257"/>
      <c r="AT45" s="257"/>
      <c r="AU45" s="257"/>
      <c r="AV45" s="257"/>
      <c r="AW45" s="257"/>
      <c r="AX45" s="257"/>
      <c r="AY45" s="257"/>
      <c r="AZ45" s="257"/>
      <c r="BA45" s="257"/>
      <c r="BB45" s="257"/>
      <c r="BC45" s="257"/>
      <c r="BD45" s="257"/>
      <c r="BE45" s="257"/>
      <c r="BF45" s="257"/>
      <c r="BG45" s="257"/>
      <c r="BH45" s="257"/>
      <c r="BI45" s="257"/>
      <c r="BJ45" s="323"/>
      <c r="BK45" s="323"/>
    </row>
    <row r="46" spans="1:74" ht="13.8" thickBot="1">
      <c r="A46" s="233">
        <f t="shared" ref="A46:A64" si="13">A45+1</f>
        <v>34</v>
      </c>
      <c r="B46" s="245" t="s">
        <v>47</v>
      </c>
      <c r="C46" s="284">
        <f t="shared" ref="C46:AH46" si="14">+C18-C44</f>
        <v>391140691.10000062</v>
      </c>
      <c r="D46" s="284">
        <f t="shared" si="14"/>
        <v>8327800.1577338427</v>
      </c>
      <c r="E46" s="284">
        <f t="shared" si="14"/>
        <v>3965156.9663860002</v>
      </c>
      <c r="F46" s="284">
        <f t="shared" si="14"/>
        <v>-14935653.446827501</v>
      </c>
      <c r="G46" s="284">
        <f t="shared" si="14"/>
        <v>33105346.195786756</v>
      </c>
      <c r="H46" s="284">
        <f t="shared" si="14"/>
        <v>-1955986.2286396027</v>
      </c>
      <c r="I46" s="284">
        <f t="shared" si="14"/>
        <v>66597.374865170947</v>
      </c>
      <c r="J46" s="284">
        <f t="shared" si="14"/>
        <v>303153.75903630909</v>
      </c>
      <c r="K46" s="284">
        <f t="shared" si="14"/>
        <v>184145.16401528011</v>
      </c>
      <c r="L46" s="284">
        <f t="shared" si="14"/>
        <v>71834.764841626398</v>
      </c>
      <c r="M46" s="284">
        <f t="shared" si="14"/>
        <v>5301.3344264041589</v>
      </c>
      <c r="N46" s="284">
        <f t="shared" si="14"/>
        <v>-803909.33835699933</v>
      </c>
      <c r="O46" s="284">
        <f t="shared" si="14"/>
        <v>-496557.58700637007</v>
      </c>
      <c r="P46" s="284">
        <f t="shared" si="14"/>
        <v>-1726149.211916219</v>
      </c>
      <c r="Q46" s="284">
        <f t="shared" si="14"/>
        <v>319945.96958497842</v>
      </c>
      <c r="R46" s="284">
        <f t="shared" si="14"/>
        <v>-61810.425156236211</v>
      </c>
      <c r="S46" s="284">
        <f t="shared" si="14"/>
        <v>-13156.595940416744</v>
      </c>
      <c r="T46" s="284">
        <f t="shared" si="14"/>
        <v>-23850.252119969373</v>
      </c>
      <c r="U46" s="284">
        <f t="shared" si="14"/>
        <v>0</v>
      </c>
      <c r="V46" s="284">
        <f t="shared" si="14"/>
        <v>-16904953.479322143</v>
      </c>
      <c r="W46" s="284">
        <f t="shared" si="14"/>
        <v>340892.94246068329</v>
      </c>
      <c r="X46" s="284">
        <f t="shared" si="14"/>
        <v>-7589560.1894254955</v>
      </c>
      <c r="Y46" s="284">
        <f t="shared" si="14"/>
        <v>-68620.043849999958</v>
      </c>
      <c r="Z46" s="284">
        <f t="shared" si="14"/>
        <v>167530.56</v>
      </c>
      <c r="AA46" s="284">
        <f t="shared" si="14"/>
        <v>-32912585.679400001</v>
      </c>
      <c r="AB46" s="284">
        <f t="shared" si="14"/>
        <v>-11000.8474333339</v>
      </c>
      <c r="AC46" s="284">
        <f t="shared" si="14"/>
        <v>1668426.4785019332</v>
      </c>
      <c r="AD46" s="284">
        <f t="shared" si="14"/>
        <v>0</v>
      </c>
      <c r="AE46" s="284">
        <f t="shared" si="14"/>
        <v>0</v>
      </c>
      <c r="AF46" s="322">
        <f t="shared" si="14"/>
        <v>-28977661.657755315</v>
      </c>
      <c r="AG46" s="322">
        <f t="shared" si="14"/>
        <v>362163029.4422462</v>
      </c>
      <c r="AH46" s="284">
        <f t="shared" si="14"/>
        <v>-25687973.340135377</v>
      </c>
      <c r="AI46" s="284">
        <f t="shared" ref="AI46:BK46" si="15">+AI18-AI44</f>
        <v>6844287.5880840775</v>
      </c>
      <c r="AJ46" s="284">
        <f t="shared" si="15"/>
        <v>-387245.83443835971</v>
      </c>
      <c r="AK46" s="284">
        <f t="shared" si="15"/>
        <v>-71834.764841627039</v>
      </c>
      <c r="AL46" s="284">
        <f t="shared" si="15"/>
        <v>-5301.3344264041589</v>
      </c>
      <c r="AM46" s="284">
        <f t="shared" si="15"/>
        <v>-442588.79427990015</v>
      </c>
      <c r="AN46" s="284">
        <f t="shared" si="15"/>
        <v>-3003557.1583568119</v>
      </c>
      <c r="AO46" s="284">
        <f t="shared" si="15"/>
        <v>-208177.32402600534</v>
      </c>
      <c r="AP46" s="284">
        <f t="shared" si="15"/>
        <v>-691246.88851637836</v>
      </c>
      <c r="AQ46" s="284">
        <f t="shared" si="15"/>
        <v>-410038.445266667</v>
      </c>
      <c r="AR46" s="284">
        <f t="shared" si="15"/>
        <v>-120117.65165375613</v>
      </c>
      <c r="AS46" s="284">
        <f t="shared" si="15"/>
        <v>-4864376.4922224488</v>
      </c>
      <c r="AT46" s="284">
        <f t="shared" si="15"/>
        <v>394548.96938773646</v>
      </c>
      <c r="AU46" s="284">
        <f t="shared" si="15"/>
        <v>-9627593.762031367</v>
      </c>
      <c r="AV46" s="284">
        <f t="shared" si="15"/>
        <v>477330.77329275</v>
      </c>
      <c r="AW46" s="284">
        <f t="shared" si="15"/>
        <v>9006372.2399999984</v>
      </c>
      <c r="AX46" s="284">
        <f t="shared" si="15"/>
        <v>-296261.05729127157</v>
      </c>
      <c r="AY46" s="284">
        <f t="shared" si="15"/>
        <v>-1330725.9543599267</v>
      </c>
      <c r="AZ46" s="284">
        <f t="shared" si="15"/>
        <v>-538588.03</v>
      </c>
      <c r="BA46" s="284">
        <f t="shared" si="15"/>
        <v>3256035.0083918869</v>
      </c>
      <c r="BB46" s="284">
        <f t="shared" si="15"/>
        <v>518010.67067606235</v>
      </c>
      <c r="BC46" s="284">
        <f t="shared" si="15"/>
        <v>-10681804.722000003</v>
      </c>
      <c r="BD46" s="284">
        <f t="shared" si="15"/>
        <v>9100115.4800387621</v>
      </c>
      <c r="BE46" s="284">
        <f t="shared" si="15"/>
        <v>4478733.8338600006</v>
      </c>
      <c r="BF46" s="284">
        <f t="shared" si="15"/>
        <v>-292768.03540266951</v>
      </c>
      <c r="BG46" s="284">
        <f t="shared" si="15"/>
        <v>-2441144.5204499997</v>
      </c>
      <c r="BH46" s="284">
        <f t="shared" si="15"/>
        <v>0</v>
      </c>
      <c r="BI46" s="284">
        <f t="shared" si="15"/>
        <v>0</v>
      </c>
      <c r="BJ46" s="322">
        <f t="shared" si="15"/>
        <v>-27025909.545967698</v>
      </c>
      <c r="BK46" s="322">
        <f t="shared" si="15"/>
        <v>335137119.89627838</v>
      </c>
    </row>
    <row r="47" spans="1:74" ht="13.8" thickTop="1">
      <c r="A47" s="233">
        <f t="shared" si="13"/>
        <v>35</v>
      </c>
      <c r="B47" s="43"/>
      <c r="C47" s="317"/>
      <c r="D47" s="317"/>
      <c r="E47" s="317"/>
      <c r="F47" s="317"/>
      <c r="G47" s="317"/>
      <c r="H47" s="317"/>
      <c r="I47" s="317"/>
      <c r="J47" s="317"/>
      <c r="K47" s="317"/>
      <c r="L47" s="317"/>
      <c r="M47" s="317"/>
      <c r="N47" s="317"/>
      <c r="O47" s="317"/>
      <c r="P47" s="317"/>
      <c r="Q47" s="318"/>
      <c r="R47" s="318"/>
      <c r="S47" s="318"/>
      <c r="T47" s="318"/>
      <c r="U47" s="318"/>
      <c r="V47" s="318"/>
      <c r="W47" s="318"/>
      <c r="X47" s="318"/>
      <c r="Y47" s="318"/>
      <c r="Z47" s="318"/>
      <c r="AA47" s="318"/>
      <c r="AB47" s="318"/>
      <c r="AC47" s="318"/>
      <c r="AD47" s="318"/>
      <c r="AE47" s="318"/>
      <c r="AF47" s="42"/>
      <c r="AG47" s="42"/>
      <c r="AH47" s="250"/>
      <c r="AI47" s="250"/>
      <c r="AJ47" s="250"/>
      <c r="AK47" s="250"/>
      <c r="AL47" s="250"/>
      <c r="AM47" s="250"/>
      <c r="AN47" s="250"/>
      <c r="AO47" s="250"/>
      <c r="AP47" s="250"/>
      <c r="AQ47" s="250"/>
      <c r="AR47" s="250"/>
      <c r="AS47" s="250"/>
      <c r="AT47" s="250"/>
      <c r="AU47" s="250"/>
      <c r="AV47" s="250"/>
      <c r="AW47" s="250"/>
      <c r="AX47" s="250"/>
      <c r="AY47" s="250"/>
      <c r="AZ47" s="250"/>
      <c r="BA47" s="250"/>
      <c r="BB47" s="250"/>
      <c r="BC47" s="250"/>
      <c r="BD47" s="250"/>
      <c r="BE47" s="250"/>
      <c r="BF47" s="250"/>
      <c r="BG47" s="250"/>
      <c r="BH47" s="250"/>
      <c r="BI47" s="250"/>
      <c r="BJ47" s="42"/>
      <c r="BK47" s="42"/>
      <c r="BL47" s="250"/>
      <c r="BM47" s="250"/>
      <c r="BN47" s="250"/>
      <c r="BO47" s="250"/>
      <c r="BP47" s="250"/>
      <c r="BQ47" s="250"/>
      <c r="BR47" s="250"/>
      <c r="BS47" s="250"/>
      <c r="BT47" s="250"/>
      <c r="BU47" s="250"/>
      <c r="BV47" s="250"/>
    </row>
    <row r="48" spans="1:74" s="310" customFormat="1">
      <c r="A48" s="233">
        <f t="shared" si="13"/>
        <v>36</v>
      </c>
      <c r="B48" s="247" t="s">
        <v>46</v>
      </c>
      <c r="C48" s="318">
        <f t="shared" ref="C48:AD48" si="16">C59</f>
        <v>5208778506.3049917</v>
      </c>
      <c r="D48" s="318">
        <f t="shared" si="16"/>
        <v>0</v>
      </c>
      <c r="E48" s="318">
        <f t="shared" si="16"/>
        <v>0</v>
      </c>
      <c r="F48" s="318">
        <f t="shared" si="16"/>
        <v>0</v>
      </c>
      <c r="G48" s="318">
        <f t="shared" si="16"/>
        <v>0</v>
      </c>
      <c r="H48" s="318">
        <f t="shared" si="16"/>
        <v>0</v>
      </c>
      <c r="I48" s="318">
        <f t="shared" si="16"/>
        <v>0</v>
      </c>
      <c r="J48" s="318">
        <f t="shared" si="16"/>
        <v>0</v>
      </c>
      <c r="K48" s="318">
        <f t="shared" si="16"/>
        <v>0</v>
      </c>
      <c r="L48" s="318">
        <f t="shared" si="16"/>
        <v>0</v>
      </c>
      <c r="M48" s="318">
        <f t="shared" si="16"/>
        <v>0</v>
      </c>
      <c r="N48" s="318">
        <f t="shared" si="16"/>
        <v>0</v>
      </c>
      <c r="O48" s="318">
        <f t="shared" si="16"/>
        <v>0</v>
      </c>
      <c r="P48" s="318">
        <f t="shared" si="16"/>
        <v>0</v>
      </c>
      <c r="Q48" s="318">
        <f t="shared" si="16"/>
        <v>0</v>
      </c>
      <c r="R48" s="318">
        <f t="shared" si="16"/>
        <v>0</v>
      </c>
      <c r="S48" s="318">
        <f t="shared" si="16"/>
        <v>0</v>
      </c>
      <c r="T48" s="318">
        <f t="shared" si="16"/>
        <v>0</v>
      </c>
      <c r="U48" s="318">
        <f t="shared" si="16"/>
        <v>182818242.10345364</v>
      </c>
      <c r="V48" s="318">
        <f t="shared" si="16"/>
        <v>-16904953.479322143</v>
      </c>
      <c r="W48" s="318">
        <f t="shared" si="16"/>
        <v>0</v>
      </c>
      <c r="X48" s="318">
        <f t="shared" si="16"/>
        <v>0</v>
      </c>
      <c r="Y48" s="318">
        <f t="shared" si="16"/>
        <v>0</v>
      </c>
      <c r="Z48" s="318">
        <f t="shared" si="16"/>
        <v>-1615371.4300000002</v>
      </c>
      <c r="AA48" s="318">
        <f t="shared" si="16"/>
        <v>0</v>
      </c>
      <c r="AB48" s="318">
        <f t="shared" si="16"/>
        <v>0</v>
      </c>
      <c r="AC48" s="318">
        <f t="shared" si="16"/>
        <v>-11018406.688827798</v>
      </c>
      <c r="AD48" s="318">
        <f t="shared" si="16"/>
        <v>0</v>
      </c>
      <c r="AE48" s="318">
        <f>'SEF-7E'!DF84+'SEF-7E'!DF104</f>
        <v>0</v>
      </c>
      <c r="AF48" s="320">
        <f t="shared" ref="AF48:BK48" si="17">AF59</f>
        <v>153279510.50530368</v>
      </c>
      <c r="AG48" s="320">
        <f t="shared" si="17"/>
        <v>5362058016.8102951</v>
      </c>
      <c r="AH48" s="318">
        <f t="shared" si="17"/>
        <v>0</v>
      </c>
      <c r="AI48" s="318">
        <f t="shared" si="17"/>
        <v>0</v>
      </c>
      <c r="AJ48" s="318">
        <f t="shared" si="17"/>
        <v>0</v>
      </c>
      <c r="AK48" s="318">
        <f t="shared" si="17"/>
        <v>0</v>
      </c>
      <c r="AL48" s="318">
        <f t="shared" si="17"/>
        <v>0</v>
      </c>
      <c r="AM48" s="318">
        <f t="shared" si="17"/>
        <v>0</v>
      </c>
      <c r="AN48" s="318">
        <f t="shared" si="17"/>
        <v>0</v>
      </c>
      <c r="AO48" s="318">
        <f t="shared" si="17"/>
        <v>0</v>
      </c>
      <c r="AP48" s="318">
        <f t="shared" si="17"/>
        <v>0</v>
      </c>
      <c r="AQ48" s="318">
        <f t="shared" si="17"/>
        <v>0</v>
      </c>
      <c r="AR48" s="318">
        <f t="shared" si="17"/>
        <v>0</v>
      </c>
      <c r="AS48" s="318">
        <f t="shared" si="17"/>
        <v>28244978.592898086</v>
      </c>
      <c r="AT48" s="318">
        <f t="shared" si="17"/>
        <v>0</v>
      </c>
      <c r="AU48" s="318">
        <f t="shared" si="17"/>
        <v>25877605.564484786</v>
      </c>
      <c r="AV48" s="318">
        <f t="shared" si="17"/>
        <v>0</v>
      </c>
      <c r="AW48" s="318">
        <f t="shared" si="17"/>
        <v>4503186.1200000085</v>
      </c>
      <c r="AX48" s="318">
        <f t="shared" si="17"/>
        <v>12855303.339327645</v>
      </c>
      <c r="AY48" s="318">
        <f t="shared" si="17"/>
        <v>0</v>
      </c>
      <c r="AZ48" s="318">
        <f t="shared" si="17"/>
        <v>5481049.5432116631</v>
      </c>
      <c r="BA48" s="318">
        <f t="shared" si="17"/>
        <v>0</v>
      </c>
      <c r="BB48" s="318">
        <f t="shared" si="17"/>
        <v>0</v>
      </c>
      <c r="BC48" s="318">
        <f t="shared" si="17"/>
        <v>0</v>
      </c>
      <c r="BD48" s="318">
        <f t="shared" si="17"/>
        <v>-23391891.903797138</v>
      </c>
      <c r="BE48" s="318">
        <f t="shared" si="17"/>
        <v>-3321469.9169705859</v>
      </c>
      <c r="BF48" s="318">
        <f t="shared" si="17"/>
        <v>11899759.55273651</v>
      </c>
      <c r="BG48" s="318">
        <f t="shared" si="17"/>
        <v>4381542.8268333329</v>
      </c>
      <c r="BH48" s="318">
        <f t="shared" si="17"/>
        <v>0</v>
      </c>
      <c r="BI48" s="318">
        <f t="shared" si="17"/>
        <v>0</v>
      </c>
      <c r="BJ48" s="320">
        <f t="shared" si="17"/>
        <v>66530063.71872431</v>
      </c>
      <c r="BK48" s="320">
        <f t="shared" si="17"/>
        <v>5428588080.5290194</v>
      </c>
    </row>
    <row r="49" spans="1:63">
      <c r="A49" s="233">
        <f t="shared" si="13"/>
        <v>37</v>
      </c>
      <c r="B49" s="245"/>
      <c r="C49" s="250"/>
      <c r="D49" s="250"/>
      <c r="E49" s="250"/>
      <c r="F49" s="317"/>
      <c r="G49" s="317"/>
      <c r="H49" s="317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  <c r="Y49" s="250"/>
      <c r="Z49" s="250"/>
      <c r="AA49" s="250"/>
      <c r="AB49" s="250"/>
      <c r="AC49" s="250"/>
      <c r="AD49" s="250"/>
      <c r="AE49" s="250"/>
      <c r="AF49" s="313"/>
      <c r="AG49" s="313"/>
      <c r="AH49" s="250"/>
      <c r="AI49" s="250"/>
      <c r="AJ49" s="250"/>
      <c r="AK49" s="250"/>
      <c r="AL49" s="250"/>
      <c r="AM49" s="250"/>
      <c r="AN49" s="250"/>
      <c r="AO49" s="250"/>
      <c r="AP49" s="250"/>
      <c r="AQ49" s="250"/>
      <c r="AR49" s="250"/>
      <c r="AS49" s="250"/>
      <c r="AT49" s="250"/>
      <c r="AU49" s="250"/>
      <c r="AV49" s="250"/>
      <c r="AW49" s="250"/>
      <c r="AX49" s="250"/>
      <c r="AY49" s="250"/>
      <c r="AZ49" s="250"/>
      <c r="BA49" s="250"/>
      <c r="BB49" s="250"/>
      <c r="BC49" s="250"/>
      <c r="BD49" s="250"/>
      <c r="BE49" s="250"/>
      <c r="BF49" s="250"/>
      <c r="BG49" s="250"/>
      <c r="BH49" s="250"/>
      <c r="BI49" s="250"/>
      <c r="BJ49" s="313"/>
      <c r="BK49" s="313"/>
    </row>
    <row r="50" spans="1:63">
      <c r="A50" s="233">
        <f t="shared" si="13"/>
        <v>38</v>
      </c>
      <c r="B50" s="247" t="s">
        <v>18</v>
      </c>
      <c r="C50" s="283">
        <f>+C46/C48</f>
        <v>7.5092594286077327E-2</v>
      </c>
      <c r="D50" s="280"/>
      <c r="E50" s="280"/>
      <c r="F50" s="317"/>
      <c r="G50" s="317"/>
      <c r="H50" s="317"/>
      <c r="I50" s="280"/>
      <c r="J50" s="280"/>
      <c r="K50" s="280"/>
      <c r="L50" s="280"/>
      <c r="M50" s="280"/>
      <c r="N50" s="280"/>
      <c r="O50" s="280"/>
      <c r="P50" s="280"/>
      <c r="Q50" s="280"/>
      <c r="R50" s="280"/>
      <c r="S50" s="280"/>
      <c r="T50" s="280"/>
      <c r="U50" s="280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309"/>
      <c r="AG50" s="321">
        <f>+AG46/AG48</f>
        <v>6.7541796136268706E-2</v>
      </c>
      <c r="AH50" s="280"/>
      <c r="AI50" s="280"/>
      <c r="AJ50" s="280"/>
      <c r="AK50" s="280"/>
      <c r="AL50" s="280"/>
      <c r="AM50" s="280"/>
      <c r="AN50" s="280"/>
      <c r="AO50" s="280"/>
      <c r="AP50" s="280"/>
      <c r="AQ50" s="280"/>
      <c r="AR50" s="280"/>
      <c r="AS50" s="280"/>
      <c r="AT50" s="280"/>
      <c r="AU50" s="280"/>
      <c r="AV50" s="280"/>
      <c r="AW50" s="280"/>
      <c r="AX50" s="280"/>
      <c r="AY50" s="280"/>
      <c r="AZ50" s="280"/>
      <c r="BA50" s="280"/>
      <c r="BB50" s="280"/>
      <c r="BC50" s="280"/>
      <c r="BD50" s="280"/>
      <c r="BE50" s="280"/>
      <c r="BF50" s="280"/>
      <c r="BG50" s="280"/>
      <c r="BH50" s="280"/>
      <c r="BI50" s="280"/>
      <c r="BJ50" s="309"/>
      <c r="BK50" s="321">
        <f>+BK46/BK48</f>
        <v>6.1735595872217858E-2</v>
      </c>
    </row>
    <row r="51" spans="1:63">
      <c r="A51" s="233">
        <f t="shared" si="13"/>
        <v>39</v>
      </c>
      <c r="B51" s="245"/>
      <c r="C51" s="280"/>
      <c r="D51" s="280"/>
      <c r="E51" s="280"/>
      <c r="F51" s="317"/>
      <c r="G51" s="317"/>
      <c r="H51" s="317"/>
      <c r="I51" s="280"/>
      <c r="J51" s="280"/>
      <c r="K51" s="280"/>
      <c r="L51" s="280"/>
      <c r="M51" s="280"/>
      <c r="N51" s="280"/>
      <c r="O51" s="280"/>
      <c r="P51" s="280"/>
      <c r="Q51" s="280"/>
      <c r="R51" s="280"/>
      <c r="S51" s="280"/>
      <c r="T51" s="280"/>
      <c r="U51" s="280"/>
      <c r="V51" s="280"/>
      <c r="W51" s="280"/>
      <c r="X51" s="280"/>
      <c r="Y51" s="280"/>
      <c r="Z51" s="280"/>
      <c r="AA51" s="280"/>
      <c r="AB51" s="280"/>
      <c r="AC51" s="280"/>
      <c r="AD51" s="280"/>
      <c r="AE51" s="280"/>
      <c r="AF51" s="309"/>
      <c r="AG51" s="309"/>
      <c r="AH51" s="280"/>
      <c r="AI51" s="280"/>
      <c r="AJ51" s="280"/>
      <c r="AK51" s="280"/>
      <c r="AL51" s="280"/>
      <c r="AM51" s="280"/>
      <c r="AN51" s="280"/>
      <c r="AO51" s="280"/>
      <c r="AP51" s="280"/>
      <c r="AQ51" s="280"/>
      <c r="AR51" s="280"/>
      <c r="AS51" s="280"/>
      <c r="AT51" s="280"/>
      <c r="AU51" s="280"/>
      <c r="AV51" s="280"/>
      <c r="AW51" s="280"/>
      <c r="AX51" s="280"/>
      <c r="AY51" s="280"/>
      <c r="AZ51" s="280"/>
      <c r="BA51" s="280"/>
      <c r="BB51" s="280"/>
      <c r="BC51" s="280"/>
      <c r="BD51" s="280"/>
      <c r="BE51" s="280"/>
      <c r="BF51" s="280"/>
      <c r="BG51" s="280"/>
      <c r="BH51" s="280"/>
      <c r="BI51" s="280"/>
      <c r="BJ51" s="309"/>
      <c r="BK51" s="309"/>
    </row>
    <row r="52" spans="1:63">
      <c r="A52" s="233">
        <f t="shared" si="13"/>
        <v>40</v>
      </c>
      <c r="B52" s="245" t="s">
        <v>44</v>
      </c>
      <c r="C52" s="280"/>
      <c r="D52" s="280"/>
      <c r="E52" s="280"/>
      <c r="F52" s="317"/>
      <c r="G52" s="317"/>
      <c r="H52" s="317"/>
      <c r="I52" s="280"/>
      <c r="J52" s="280"/>
      <c r="K52" s="280"/>
      <c r="L52" s="280"/>
      <c r="M52" s="280"/>
      <c r="N52" s="280"/>
      <c r="O52" s="280"/>
      <c r="P52" s="280"/>
      <c r="Q52" s="280"/>
      <c r="R52" s="280"/>
      <c r="S52" s="280"/>
      <c r="T52" s="280"/>
      <c r="U52" s="280"/>
      <c r="V52" s="280"/>
      <c r="W52" s="280"/>
      <c r="X52" s="280"/>
      <c r="Y52" s="280"/>
      <c r="Z52" s="280"/>
      <c r="AA52" s="280"/>
      <c r="AB52" s="280"/>
      <c r="AC52" s="280"/>
      <c r="AD52" s="280"/>
      <c r="AE52" s="280"/>
      <c r="AF52" s="309"/>
      <c r="AG52" s="309"/>
      <c r="AH52" s="280"/>
      <c r="AI52" s="280"/>
      <c r="AJ52" s="280"/>
      <c r="AK52" s="280"/>
      <c r="AL52" s="280"/>
      <c r="AM52" s="280"/>
      <c r="AN52" s="280"/>
      <c r="AO52" s="280"/>
      <c r="AP52" s="280"/>
      <c r="AQ52" s="280"/>
      <c r="AR52" s="280"/>
      <c r="AS52" s="280"/>
      <c r="AT52" s="280"/>
      <c r="AU52" s="280"/>
      <c r="AV52" s="280"/>
      <c r="AW52" s="280"/>
      <c r="AX52" s="280"/>
      <c r="AY52" s="280"/>
      <c r="AZ52" s="280"/>
      <c r="BA52" s="280"/>
      <c r="BB52" s="280"/>
      <c r="BC52" s="280"/>
      <c r="BD52" s="280"/>
      <c r="BE52" s="280"/>
      <c r="BF52" s="280"/>
      <c r="BG52" s="280"/>
      <c r="BH52" s="280"/>
      <c r="BI52" s="280"/>
      <c r="BJ52" s="309"/>
      <c r="BK52" s="309"/>
    </row>
    <row r="53" spans="1:63">
      <c r="A53" s="233">
        <f t="shared" si="13"/>
        <v>41</v>
      </c>
      <c r="B53" s="281" t="s">
        <v>43</v>
      </c>
      <c r="C53" s="318">
        <f>'SEF-5E p 1-2'!D92</f>
        <v>10572466950.394854</v>
      </c>
      <c r="D53" s="318"/>
      <c r="E53" s="318"/>
      <c r="F53" s="318"/>
      <c r="G53" s="318"/>
      <c r="H53" s="318"/>
      <c r="I53" s="318"/>
      <c r="J53" s="318"/>
      <c r="K53" s="318"/>
      <c r="L53" s="318"/>
      <c r="M53" s="318"/>
      <c r="N53" s="318"/>
      <c r="O53" s="318"/>
      <c r="P53" s="318"/>
      <c r="Q53" s="318"/>
      <c r="R53" s="318"/>
      <c r="S53" s="318"/>
      <c r="T53" s="318"/>
      <c r="U53" s="318">
        <f>'SEF-6E'!EL14</f>
        <v>326078876.75844002</v>
      </c>
      <c r="X53" s="318"/>
      <c r="Y53" s="318"/>
      <c r="Z53" s="318">
        <f>'SEF-7E'!V16</f>
        <v>-4539000</v>
      </c>
      <c r="AA53" s="318"/>
      <c r="AB53" s="318"/>
      <c r="AC53" s="318"/>
      <c r="AD53" s="318"/>
      <c r="AE53" s="318"/>
      <c r="AF53" s="320">
        <f t="shared" ref="AF53:AF58" si="18">SUM(D53:AE53)</f>
        <v>321539876.75844002</v>
      </c>
      <c r="AG53" s="320">
        <f t="shared" ref="AG53:AG58" si="19">+AF53+C53</f>
        <v>10894006827.153294</v>
      </c>
      <c r="AH53" s="318"/>
      <c r="AI53" s="318"/>
      <c r="AJ53" s="318"/>
      <c r="AK53" s="318"/>
      <c r="AL53" s="318"/>
      <c r="AM53" s="318"/>
      <c r="AN53" s="318"/>
      <c r="AO53" s="318"/>
      <c r="AP53" s="318"/>
      <c r="AQ53" s="318"/>
      <c r="AR53" s="318"/>
      <c r="AS53" s="318">
        <f>+'SEF-6E'!FS16</f>
        <v>24644867.610000003</v>
      </c>
      <c r="AT53" s="318">
        <f>+'SEF-6E'!GB37</f>
        <v>0</v>
      </c>
      <c r="AU53" s="318">
        <f>'SEF-6E'!GJ16</f>
        <v>21484686.755701002</v>
      </c>
      <c r="AV53" s="318"/>
      <c r="AW53" s="318"/>
      <c r="AX53" s="318">
        <f>+'SEF-6E'!HH15</f>
        <v>13639436.15</v>
      </c>
      <c r="AY53" s="318"/>
      <c r="AZ53" s="318">
        <f>'SEF-6E'!HX16</f>
        <v>6817570</v>
      </c>
      <c r="BA53" s="318"/>
      <c r="BB53" s="318"/>
      <c r="BC53" s="318"/>
      <c r="BD53" s="318"/>
      <c r="BE53" s="318">
        <f>'SEF-7E'!BL17</f>
        <v>-16990239.199999999</v>
      </c>
      <c r="BF53" s="318">
        <f>'SEF-7E'!BT17</f>
        <v>12619474.160000008</v>
      </c>
      <c r="BG53" s="318">
        <f>'SEF-7E'!CB17</f>
        <v>9659116.8499999996</v>
      </c>
      <c r="BH53" s="318"/>
      <c r="BI53" s="318"/>
      <c r="BJ53" s="320">
        <f t="shared" ref="BJ53:BJ58" si="20">SUM(AH53:BI53)</f>
        <v>71874912.325701013</v>
      </c>
      <c r="BK53" s="320">
        <f t="shared" ref="BK53:BK58" si="21">+BJ53+AG53</f>
        <v>10965881739.478994</v>
      </c>
    </row>
    <row r="54" spans="1:63">
      <c r="A54" s="233">
        <f t="shared" si="13"/>
        <v>42</v>
      </c>
      <c r="B54" s="281" t="s">
        <v>42</v>
      </c>
      <c r="C54" s="317">
        <f>'SEF-5E p 1-2'!D93</f>
        <v>-4244925258.0010071</v>
      </c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>
        <f>'SEF-6E'!EL15</f>
        <v>-143742277.5314436</v>
      </c>
      <c r="V54" s="317">
        <f>'SEF-6E'!ET30</f>
        <v>-21398675.290281195</v>
      </c>
      <c r="W54" s="317"/>
      <c r="X54" s="317"/>
      <c r="Y54" s="317"/>
      <c r="Z54" s="318">
        <f>'SEF-7E'!V17</f>
        <v>2120000</v>
      </c>
      <c r="AA54" s="317"/>
      <c r="AB54" s="317"/>
      <c r="AC54" s="317">
        <f>'SEF-7E'!BB32</f>
        <v>-16445383.11765343</v>
      </c>
      <c r="AD54" s="317"/>
      <c r="AE54" s="317"/>
      <c r="AF54" s="309">
        <f t="shared" si="18"/>
        <v>-179466335.93937823</v>
      </c>
      <c r="AG54" s="309">
        <f t="shared" si="19"/>
        <v>-4424391593.9403849</v>
      </c>
      <c r="AH54" s="280"/>
      <c r="AI54" s="280"/>
      <c r="AJ54" s="280"/>
      <c r="AK54" s="280"/>
      <c r="AL54" s="280"/>
      <c r="AM54" s="280"/>
      <c r="AN54" s="280"/>
      <c r="AO54" s="280"/>
      <c r="AP54" s="280"/>
      <c r="AQ54" s="280"/>
      <c r="AR54" s="280"/>
      <c r="AS54" s="280">
        <f>+'SEF-6E'!FS17</f>
        <v>-2140347.6892875</v>
      </c>
      <c r="AT54" s="280">
        <f>+'SEF-6E'!GB38</f>
        <v>0</v>
      </c>
      <c r="AU54" s="280">
        <f>'SEF-6E'!GJ17</f>
        <v>-8848582.893215416</v>
      </c>
      <c r="AV54" s="280"/>
      <c r="AW54" s="280"/>
      <c r="AX54" s="318">
        <f>+'SEF-6E'!HH16</f>
        <v>-671553.6085628313</v>
      </c>
      <c r="AY54" s="280"/>
      <c r="AZ54" s="280">
        <f>'SEF-6E'!HX17</f>
        <v>-965822.41666666651</v>
      </c>
      <c r="BA54" s="280"/>
      <c r="BB54" s="280"/>
      <c r="BC54" s="280"/>
      <c r="BD54" s="280"/>
      <c r="BE54" s="280">
        <f>'SEF-7E'!BL18</f>
        <v>12688074.934416663</v>
      </c>
      <c r="BF54" s="280">
        <f>'SEF-7E'!BT18</f>
        <v>-631650.07127077854</v>
      </c>
      <c r="BG54" s="280">
        <f>'SEF-7E'!CB18</f>
        <v>-5277574.0231666667</v>
      </c>
      <c r="BH54" s="280"/>
      <c r="BI54" s="280"/>
      <c r="BJ54" s="309">
        <f t="shared" si="20"/>
        <v>-5847455.7677531959</v>
      </c>
      <c r="BK54" s="309">
        <f t="shared" si="21"/>
        <v>-4430239049.7081385</v>
      </c>
    </row>
    <row r="55" spans="1:63">
      <c r="A55" s="233">
        <f t="shared" si="13"/>
        <v>43</v>
      </c>
      <c r="B55" s="245" t="s">
        <v>41</v>
      </c>
      <c r="C55" s="317">
        <f>'SEF-5E p 1-2'!D94</f>
        <v>285841342.02833331</v>
      </c>
      <c r="D55" s="317"/>
      <c r="E55" s="317"/>
      <c r="F55" s="317"/>
      <c r="G55" s="317"/>
      <c r="H55" s="317"/>
      <c r="I55" s="317"/>
      <c r="J55" s="317"/>
      <c r="K55" s="317"/>
      <c r="L55" s="317"/>
      <c r="M55" s="317"/>
      <c r="N55" s="317"/>
      <c r="O55" s="317"/>
      <c r="P55" s="317"/>
      <c r="Q55" s="317"/>
      <c r="R55" s="317"/>
      <c r="S55" s="317"/>
      <c r="T55" s="317"/>
      <c r="U55" s="317">
        <f>'SEF-6E'!EL16</f>
        <v>-12697238.698333323</v>
      </c>
      <c r="V55" s="317"/>
      <c r="W55" s="317"/>
      <c r="X55" s="317"/>
      <c r="Y55" s="317"/>
      <c r="Z55" s="318"/>
      <c r="AA55" s="317"/>
      <c r="AB55" s="317"/>
      <c r="AC55" s="317"/>
      <c r="AD55" s="317"/>
      <c r="AE55" s="317"/>
      <c r="AF55" s="309">
        <f t="shared" si="18"/>
        <v>-12697238.698333323</v>
      </c>
      <c r="AG55" s="309">
        <f t="shared" si="19"/>
        <v>273144103.32999998</v>
      </c>
      <c r="AH55" s="280"/>
      <c r="AI55" s="280"/>
      <c r="AJ55" s="280"/>
      <c r="AK55" s="280"/>
      <c r="AL55" s="280"/>
      <c r="AM55" s="280"/>
      <c r="AN55" s="280"/>
      <c r="AO55" s="280"/>
      <c r="AP55" s="280"/>
      <c r="AQ55" s="280"/>
      <c r="AR55" s="280"/>
      <c r="AS55" s="280">
        <f>+'SEF-6E'!FS18+'SEF-6E'!FS23</f>
        <v>-3679667.3302051304</v>
      </c>
      <c r="AT55" s="280"/>
      <c r="AU55" s="280">
        <f>'SEF-6E'!GJ22+'SEF-6E'!GI23</f>
        <v>16851957.74198458</v>
      </c>
      <c r="AV55" s="280"/>
      <c r="AW55" s="280"/>
      <c r="AX55" s="318"/>
      <c r="AY55" s="280"/>
      <c r="AZ55" s="280">
        <f>'SEF-6E'!HX18</f>
        <v>-370698.04012167035</v>
      </c>
      <c r="BA55" s="280"/>
      <c r="BB55" s="280"/>
      <c r="BC55" s="280"/>
      <c r="BD55" s="280">
        <f>'SEF-7E'!AR61</f>
        <v>-31039847.298310034</v>
      </c>
      <c r="BE55" s="280"/>
      <c r="BF55" s="280"/>
      <c r="BG55" s="280"/>
      <c r="BH55" s="280"/>
      <c r="BI55" s="280"/>
      <c r="BJ55" s="309">
        <f t="shared" si="20"/>
        <v>-18238254.926652256</v>
      </c>
      <c r="BK55" s="309">
        <f t="shared" si="21"/>
        <v>254905848.40334773</v>
      </c>
    </row>
    <row r="56" spans="1:63">
      <c r="A56" s="233">
        <f t="shared" si="13"/>
        <v>44</v>
      </c>
      <c r="B56" s="245" t="s">
        <v>40</v>
      </c>
      <c r="C56" s="317">
        <f>'SEF-5E p 1-2'!D95</f>
        <v>-1443684469.5857882</v>
      </c>
      <c r="D56" s="317"/>
      <c r="E56" s="317"/>
      <c r="F56" s="317"/>
      <c r="G56" s="317"/>
      <c r="H56" s="317"/>
      <c r="I56" s="317"/>
      <c r="J56" s="317"/>
      <c r="K56" s="317"/>
      <c r="L56" s="317"/>
      <c r="M56" s="317"/>
      <c r="N56" s="317"/>
      <c r="O56" s="317"/>
      <c r="P56" s="317"/>
      <c r="Q56" s="317"/>
      <c r="R56" s="317"/>
      <c r="S56" s="317"/>
      <c r="T56" s="317"/>
      <c r="U56" s="317">
        <f>'SEF-6E'!EL17</f>
        <v>22974386.588703156</v>
      </c>
      <c r="V56" s="317">
        <f>'SEF-6E'!ET31</f>
        <v>4493721.8109590504</v>
      </c>
      <c r="W56" s="317"/>
      <c r="X56" s="317"/>
      <c r="Y56" s="317"/>
      <c r="Z56" s="318">
        <f>'SEF-7E'!V18</f>
        <v>803628.57</v>
      </c>
      <c r="AA56" s="317"/>
      <c r="AB56" s="317"/>
      <c r="AC56" s="319">
        <f>SUM('SEF-7E'!BB33:'SEF-7E'!BB34)</f>
        <v>5426976.4288256317</v>
      </c>
      <c r="AD56" s="317"/>
      <c r="AE56" s="317"/>
      <c r="AF56" s="309">
        <f t="shared" si="18"/>
        <v>33698713.398487836</v>
      </c>
      <c r="AG56" s="309">
        <f t="shared" si="19"/>
        <v>-1409985756.1873004</v>
      </c>
      <c r="AH56" s="280"/>
      <c r="AI56" s="280"/>
      <c r="AJ56" s="280"/>
      <c r="AK56" s="280"/>
      <c r="AL56" s="280"/>
      <c r="AM56" s="280"/>
      <c r="AN56" s="280"/>
      <c r="AO56" s="280"/>
      <c r="AP56" s="280"/>
      <c r="AQ56" s="280"/>
      <c r="AR56" s="280"/>
      <c r="AS56" s="280">
        <f>+'SEF-6E'!FS21+'SEF-6E'!FS22</f>
        <v>9420126.0023907125</v>
      </c>
      <c r="AT56" s="280">
        <f>+'SEF-6E'!GB39</f>
        <v>0</v>
      </c>
      <c r="AU56" s="280">
        <f>'SEF-6E'!GJ18+'SEF-6E'!GJ24</f>
        <v>-3610456.0399853778</v>
      </c>
      <c r="AV56" s="280"/>
      <c r="AW56" s="280">
        <f>'SEF-6E'!GZ16</f>
        <v>4503186.1200000085</v>
      </c>
      <c r="AX56" s="318">
        <f>+'SEF-6E'!HH17</f>
        <v>-112579.20210952556</v>
      </c>
      <c r="AY56" s="280"/>
      <c r="AZ56" s="280"/>
      <c r="BA56" s="280"/>
      <c r="BB56" s="280"/>
      <c r="BC56" s="280"/>
      <c r="BD56" s="280">
        <f>'SEF-7E'!AR62</f>
        <v>7647955.3945128955</v>
      </c>
      <c r="BE56" s="280">
        <f>'SEF-7E'!BL19</f>
        <v>980694.34861275041</v>
      </c>
      <c r="BF56" s="280">
        <f>'SEF-7E'!BT19</f>
        <v>-88064.535992719757</v>
      </c>
      <c r="BG56" s="280"/>
      <c r="BH56" s="280"/>
      <c r="BI56" s="280"/>
      <c r="BJ56" s="309">
        <f t="shared" si="20"/>
        <v>18740862.087428745</v>
      </c>
      <c r="BK56" s="309">
        <f t="shared" si="21"/>
        <v>-1391244894.0998716</v>
      </c>
    </row>
    <row r="57" spans="1:63">
      <c r="A57" s="233">
        <f t="shared" si="13"/>
        <v>45</v>
      </c>
      <c r="B57" s="245" t="s">
        <v>39</v>
      </c>
      <c r="C57" s="317">
        <f>'SEF-5E p 1-2'!D96</f>
        <v>145303204.9988502</v>
      </c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>
        <f>'SEF-6E'!EL18</f>
        <v>-7927989.0496875346</v>
      </c>
      <c r="V57" s="317"/>
      <c r="W57" s="317"/>
      <c r="X57" s="317"/>
      <c r="Y57" s="317"/>
      <c r="Z57" s="317"/>
      <c r="AA57" s="317"/>
      <c r="AB57" s="317"/>
      <c r="AC57" s="317"/>
      <c r="AD57" s="317"/>
      <c r="AE57" s="317"/>
      <c r="AF57" s="309">
        <f t="shared" si="18"/>
        <v>-7927989.0496875346</v>
      </c>
      <c r="AG57" s="309">
        <f t="shared" si="19"/>
        <v>137375215.94916266</v>
      </c>
      <c r="AH57" s="280"/>
      <c r="AI57" s="280"/>
      <c r="AJ57" s="280"/>
      <c r="AK57" s="280"/>
      <c r="AL57" s="280"/>
      <c r="AM57" s="280"/>
      <c r="AN57" s="280"/>
      <c r="AO57" s="280"/>
      <c r="AP57" s="280"/>
      <c r="AQ57" s="280"/>
      <c r="AR57" s="280"/>
      <c r="AS57" s="280"/>
      <c r="AT57" s="280"/>
      <c r="AU57" s="280"/>
      <c r="AV57" s="280"/>
      <c r="AW57" s="280"/>
      <c r="AX57" s="280"/>
      <c r="AY57" s="280"/>
      <c r="AZ57" s="280"/>
      <c r="BA57" s="280"/>
      <c r="BB57" s="280"/>
      <c r="BC57" s="280"/>
      <c r="BD57" s="280"/>
      <c r="BE57" s="280"/>
      <c r="BF57" s="280"/>
      <c r="BG57" s="280"/>
      <c r="BH57" s="280"/>
      <c r="BI57" s="280"/>
      <c r="BJ57" s="309">
        <f t="shared" si="20"/>
        <v>0</v>
      </c>
      <c r="BK57" s="309">
        <f t="shared" si="21"/>
        <v>137375215.94916266</v>
      </c>
    </row>
    <row r="58" spans="1:63">
      <c r="A58" s="233">
        <f t="shared" si="13"/>
        <v>46</v>
      </c>
      <c r="B58" s="245" t="s">
        <v>38</v>
      </c>
      <c r="C58" s="317">
        <f>'SEF-5E p 1-2'!D97</f>
        <v>-106223263.53024991</v>
      </c>
      <c r="D58" s="317"/>
      <c r="E58" s="317"/>
      <c r="F58" s="317"/>
      <c r="G58" s="317"/>
      <c r="H58" s="317"/>
      <c r="I58" s="317"/>
      <c r="J58" s="317"/>
      <c r="K58" s="317"/>
      <c r="L58" s="317"/>
      <c r="M58" s="317"/>
      <c r="N58" s="317"/>
      <c r="O58" s="317"/>
      <c r="P58" s="317"/>
      <c r="Q58" s="317"/>
      <c r="R58" s="317"/>
      <c r="S58" s="317"/>
      <c r="T58" s="317"/>
      <c r="U58" s="317">
        <f>'SEF-6E'!EL19</f>
        <v>-1867515.9642250985</v>
      </c>
      <c r="V58" s="317"/>
      <c r="W58" s="317"/>
      <c r="X58" s="317"/>
      <c r="Y58" s="317"/>
      <c r="Z58" s="317"/>
      <c r="AA58" s="317"/>
      <c r="AB58" s="317"/>
      <c r="AC58" s="317"/>
      <c r="AD58" s="317"/>
      <c r="AE58" s="317"/>
      <c r="AF58" s="309">
        <f t="shared" si="18"/>
        <v>-1867515.9642250985</v>
      </c>
      <c r="AG58" s="309">
        <f t="shared" si="19"/>
        <v>-108090779.49447501</v>
      </c>
      <c r="AH58" s="280"/>
      <c r="AI58" s="280"/>
      <c r="AJ58" s="280"/>
      <c r="AK58" s="280"/>
      <c r="AL58" s="280"/>
      <c r="AM58" s="280"/>
      <c r="AN58" s="280"/>
      <c r="AO58" s="280"/>
      <c r="AP58" s="280"/>
      <c r="AQ58" s="280"/>
      <c r="AR58" s="280"/>
      <c r="AS58" s="280"/>
      <c r="AT58" s="280"/>
      <c r="AU58" s="280"/>
      <c r="AV58" s="280"/>
      <c r="AW58" s="280"/>
      <c r="AX58" s="280"/>
      <c r="AY58" s="280"/>
      <c r="AZ58" s="280"/>
      <c r="BA58" s="280"/>
      <c r="BB58" s="280"/>
      <c r="BC58" s="280"/>
      <c r="BD58" s="280"/>
      <c r="BE58" s="280"/>
      <c r="BF58" s="280"/>
      <c r="BG58" s="280"/>
      <c r="BH58" s="280"/>
      <c r="BI58" s="280"/>
      <c r="BJ58" s="309">
        <f t="shared" si="20"/>
        <v>0</v>
      </c>
      <c r="BK58" s="309">
        <f t="shared" si="21"/>
        <v>-108090779.49447501</v>
      </c>
    </row>
    <row r="59" spans="1:63" ht="13.8" thickBot="1">
      <c r="A59" s="233">
        <f t="shared" si="13"/>
        <v>47</v>
      </c>
      <c r="B59" s="245" t="s">
        <v>37</v>
      </c>
      <c r="C59" s="316">
        <f t="shared" ref="C59:AH59" si="22">SUM(C53:C58)</f>
        <v>5208778506.3049917</v>
      </c>
      <c r="D59" s="316">
        <f t="shared" si="22"/>
        <v>0</v>
      </c>
      <c r="E59" s="316">
        <f t="shared" si="22"/>
        <v>0</v>
      </c>
      <c r="F59" s="316">
        <f t="shared" si="22"/>
        <v>0</v>
      </c>
      <c r="G59" s="316">
        <f t="shared" si="22"/>
        <v>0</v>
      </c>
      <c r="H59" s="316">
        <f t="shared" si="22"/>
        <v>0</v>
      </c>
      <c r="I59" s="316">
        <f t="shared" si="22"/>
        <v>0</v>
      </c>
      <c r="J59" s="316">
        <f t="shared" si="22"/>
        <v>0</v>
      </c>
      <c r="K59" s="316">
        <f t="shared" si="22"/>
        <v>0</v>
      </c>
      <c r="L59" s="316">
        <f t="shared" si="22"/>
        <v>0</v>
      </c>
      <c r="M59" s="316">
        <f t="shared" si="22"/>
        <v>0</v>
      </c>
      <c r="N59" s="316">
        <f t="shared" si="22"/>
        <v>0</v>
      </c>
      <c r="O59" s="316">
        <f t="shared" si="22"/>
        <v>0</v>
      </c>
      <c r="P59" s="316">
        <f t="shared" si="22"/>
        <v>0</v>
      </c>
      <c r="Q59" s="316">
        <f t="shared" si="22"/>
        <v>0</v>
      </c>
      <c r="R59" s="316">
        <f t="shared" si="22"/>
        <v>0</v>
      </c>
      <c r="S59" s="316">
        <f t="shared" si="22"/>
        <v>0</v>
      </c>
      <c r="T59" s="316">
        <f t="shared" si="22"/>
        <v>0</v>
      </c>
      <c r="U59" s="316">
        <f t="shared" si="22"/>
        <v>182818242.10345364</v>
      </c>
      <c r="V59" s="316">
        <f t="shared" si="22"/>
        <v>-16904953.479322143</v>
      </c>
      <c r="W59" s="316">
        <f t="shared" si="22"/>
        <v>0</v>
      </c>
      <c r="X59" s="316">
        <f t="shared" si="22"/>
        <v>0</v>
      </c>
      <c r="Y59" s="316">
        <f t="shared" si="22"/>
        <v>0</v>
      </c>
      <c r="Z59" s="316">
        <f t="shared" si="22"/>
        <v>-1615371.4300000002</v>
      </c>
      <c r="AA59" s="316">
        <f t="shared" si="22"/>
        <v>0</v>
      </c>
      <c r="AB59" s="316">
        <f t="shared" si="22"/>
        <v>0</v>
      </c>
      <c r="AC59" s="316">
        <f t="shared" si="22"/>
        <v>-11018406.688827798</v>
      </c>
      <c r="AD59" s="316">
        <f t="shared" si="22"/>
        <v>0</v>
      </c>
      <c r="AE59" s="316">
        <f t="shared" si="22"/>
        <v>0</v>
      </c>
      <c r="AF59" s="315">
        <f t="shared" si="22"/>
        <v>153279510.50530368</v>
      </c>
      <c r="AG59" s="315">
        <f t="shared" si="22"/>
        <v>5362058016.8102951</v>
      </c>
      <c r="AH59" s="316">
        <f t="shared" si="22"/>
        <v>0</v>
      </c>
      <c r="AI59" s="316">
        <f t="shared" ref="AI59:BK59" si="23">SUM(AI53:AI58)</f>
        <v>0</v>
      </c>
      <c r="AJ59" s="316">
        <f t="shared" si="23"/>
        <v>0</v>
      </c>
      <c r="AK59" s="316">
        <f t="shared" si="23"/>
        <v>0</v>
      </c>
      <c r="AL59" s="316">
        <f t="shared" si="23"/>
        <v>0</v>
      </c>
      <c r="AM59" s="316">
        <f t="shared" si="23"/>
        <v>0</v>
      </c>
      <c r="AN59" s="316">
        <f t="shared" si="23"/>
        <v>0</v>
      </c>
      <c r="AO59" s="316">
        <f t="shared" si="23"/>
        <v>0</v>
      </c>
      <c r="AP59" s="316">
        <f t="shared" si="23"/>
        <v>0</v>
      </c>
      <c r="AQ59" s="316">
        <f t="shared" si="23"/>
        <v>0</v>
      </c>
      <c r="AR59" s="316">
        <f t="shared" si="23"/>
        <v>0</v>
      </c>
      <c r="AS59" s="316">
        <f t="shared" si="23"/>
        <v>28244978.592898086</v>
      </c>
      <c r="AT59" s="316">
        <f t="shared" si="23"/>
        <v>0</v>
      </c>
      <c r="AU59" s="316">
        <f t="shared" si="23"/>
        <v>25877605.564484786</v>
      </c>
      <c r="AV59" s="316">
        <f t="shared" si="23"/>
        <v>0</v>
      </c>
      <c r="AW59" s="316">
        <f t="shared" si="23"/>
        <v>4503186.1200000085</v>
      </c>
      <c r="AX59" s="316">
        <f t="shared" si="23"/>
        <v>12855303.339327645</v>
      </c>
      <c r="AY59" s="316">
        <f t="shared" si="23"/>
        <v>0</v>
      </c>
      <c r="AZ59" s="316">
        <f t="shared" si="23"/>
        <v>5481049.5432116631</v>
      </c>
      <c r="BA59" s="316">
        <f t="shared" si="23"/>
        <v>0</v>
      </c>
      <c r="BB59" s="316">
        <f t="shared" si="23"/>
        <v>0</v>
      </c>
      <c r="BC59" s="316">
        <f t="shared" si="23"/>
        <v>0</v>
      </c>
      <c r="BD59" s="316">
        <f t="shared" si="23"/>
        <v>-23391891.903797138</v>
      </c>
      <c r="BE59" s="316">
        <f t="shared" si="23"/>
        <v>-3321469.9169705859</v>
      </c>
      <c r="BF59" s="316">
        <f t="shared" si="23"/>
        <v>11899759.55273651</v>
      </c>
      <c r="BG59" s="316">
        <f t="shared" si="23"/>
        <v>4381542.8268333329</v>
      </c>
      <c r="BH59" s="316">
        <f t="shared" si="23"/>
        <v>0</v>
      </c>
      <c r="BI59" s="316">
        <f t="shared" si="23"/>
        <v>0</v>
      </c>
      <c r="BJ59" s="315">
        <f t="shared" si="23"/>
        <v>66530063.71872431</v>
      </c>
      <c r="BK59" s="315">
        <f t="shared" si="23"/>
        <v>5428588080.5290194</v>
      </c>
    </row>
    <row r="60" spans="1:63" ht="13.8" thickTop="1">
      <c r="A60" s="233">
        <f t="shared" si="13"/>
        <v>48</v>
      </c>
      <c r="G60" s="314"/>
      <c r="X60" s="250"/>
      <c r="AF60" s="313"/>
      <c r="AG60" s="313"/>
      <c r="BJ60" s="313"/>
      <c r="BK60" s="313"/>
    </row>
    <row r="61" spans="1:63">
      <c r="A61" s="233">
        <f t="shared" si="13"/>
        <v>49</v>
      </c>
      <c r="B61" s="245" t="s">
        <v>36</v>
      </c>
      <c r="C61" s="278">
        <f>+'SEF-3E'!$C$13</f>
        <v>7.6200000000000004E-2</v>
      </c>
      <c r="D61" s="278">
        <f>+'SEF-3E'!$C$13</f>
        <v>7.6200000000000004E-2</v>
      </c>
      <c r="E61" s="278">
        <f>+'SEF-3E'!$C$13</f>
        <v>7.6200000000000004E-2</v>
      </c>
      <c r="F61" s="278">
        <f>+'SEF-3E'!$C$13</f>
        <v>7.6200000000000004E-2</v>
      </c>
      <c r="G61" s="278">
        <f>+'SEF-5E p 5 &amp; SEF-5G p 4'!E14</f>
        <v>7.5999999999999998E-2</v>
      </c>
      <c r="H61" s="278">
        <f>+'SEF-3E'!$C$13</f>
        <v>7.6200000000000004E-2</v>
      </c>
      <c r="I61" s="278">
        <f>+'SEF-3E'!$C$13</f>
        <v>7.6200000000000004E-2</v>
      </c>
      <c r="J61" s="278">
        <f>+'SEF-3E'!$C$13</f>
        <v>7.6200000000000004E-2</v>
      </c>
      <c r="K61" s="278">
        <f>+'SEF-3E'!$C$13</f>
        <v>7.6200000000000004E-2</v>
      </c>
      <c r="L61" s="278">
        <f>+'SEF-3E'!$C$13</f>
        <v>7.6200000000000004E-2</v>
      </c>
      <c r="M61" s="278">
        <f>+'SEF-3E'!$C$13</f>
        <v>7.6200000000000004E-2</v>
      </c>
      <c r="N61" s="278">
        <f>+'SEF-3E'!$C$13</f>
        <v>7.6200000000000004E-2</v>
      </c>
      <c r="O61" s="278">
        <f>+'SEF-3E'!$C$13</f>
        <v>7.6200000000000004E-2</v>
      </c>
      <c r="P61" s="278">
        <f>+'SEF-3E'!$C$13</f>
        <v>7.6200000000000004E-2</v>
      </c>
      <c r="Q61" s="278">
        <f>+'SEF-3E'!$C$13</f>
        <v>7.6200000000000004E-2</v>
      </c>
      <c r="R61" s="278">
        <f>+'SEF-3E'!$C$13</f>
        <v>7.6200000000000004E-2</v>
      </c>
      <c r="S61" s="278">
        <f>+'SEF-3E'!$C$13</f>
        <v>7.6200000000000004E-2</v>
      </c>
      <c r="T61" s="278">
        <f>+'SEF-3E'!$C$13</f>
        <v>7.6200000000000004E-2</v>
      </c>
      <c r="U61" s="278">
        <f>+'SEF-3E'!$C$13</f>
        <v>7.6200000000000004E-2</v>
      </c>
      <c r="V61" s="278">
        <f>+'SEF-3E'!$C$13</f>
        <v>7.6200000000000004E-2</v>
      </c>
      <c r="W61" s="278">
        <f>+'SEF-3E'!$C$13</f>
        <v>7.6200000000000004E-2</v>
      </c>
      <c r="X61" s="278">
        <f>+'SEF-3E'!$C$13</f>
        <v>7.6200000000000004E-2</v>
      </c>
      <c r="Y61" s="278">
        <f>+'SEF-3E'!$C$13</f>
        <v>7.6200000000000004E-2</v>
      </c>
      <c r="Z61" s="278">
        <f>+'SEF-3E'!$C$13</f>
        <v>7.6200000000000004E-2</v>
      </c>
      <c r="AA61" s="278">
        <f>+'SEF-3E'!$C$13</f>
        <v>7.6200000000000004E-2</v>
      </c>
      <c r="AB61" s="278">
        <f>+'SEF-3E'!$C$13</f>
        <v>7.6200000000000004E-2</v>
      </c>
      <c r="AC61" s="278">
        <f>+'SEF-3E'!$C$13</f>
        <v>7.6200000000000004E-2</v>
      </c>
      <c r="AD61" s="278">
        <f>+'SEF-3E'!$C$13</f>
        <v>7.6200000000000004E-2</v>
      </c>
      <c r="AE61" s="278">
        <f>+'SEF-3E'!$C$13</f>
        <v>7.6200000000000004E-2</v>
      </c>
      <c r="AF61" s="312">
        <f>+'SEF-3E'!$C$13</f>
        <v>7.6200000000000004E-2</v>
      </c>
      <c r="AG61" s="312">
        <f>+'SEF-3E'!$C$13</f>
        <v>7.6200000000000004E-2</v>
      </c>
      <c r="AH61" s="278">
        <f>+'SEF-3E'!$C$13</f>
        <v>7.6200000000000004E-2</v>
      </c>
      <c r="AI61" s="278">
        <f>+'SEF-3E'!$C$13</f>
        <v>7.6200000000000004E-2</v>
      </c>
      <c r="AJ61" s="278">
        <f>+'SEF-3E'!$C$13</f>
        <v>7.6200000000000004E-2</v>
      </c>
      <c r="AK61" s="278">
        <f>+'SEF-3E'!$C$13</f>
        <v>7.6200000000000004E-2</v>
      </c>
      <c r="AL61" s="278">
        <f>+'SEF-3E'!$C$13</f>
        <v>7.6200000000000004E-2</v>
      </c>
      <c r="AM61" s="278">
        <f>+'SEF-3E'!$C$13</f>
        <v>7.6200000000000004E-2</v>
      </c>
      <c r="AN61" s="278">
        <f>+'SEF-3E'!$C$13</f>
        <v>7.6200000000000004E-2</v>
      </c>
      <c r="AO61" s="278">
        <f>+'SEF-3E'!$C$13</f>
        <v>7.6200000000000004E-2</v>
      </c>
      <c r="AP61" s="278">
        <f>+'SEF-3E'!$C$13</f>
        <v>7.6200000000000004E-2</v>
      </c>
      <c r="AQ61" s="278">
        <f>+'SEF-3E'!$C$13</f>
        <v>7.6200000000000004E-2</v>
      </c>
      <c r="AR61" s="278">
        <f>+'SEF-3E'!$C$13</f>
        <v>7.6200000000000004E-2</v>
      </c>
      <c r="AS61" s="278">
        <f>+'SEF-3E'!$C$13</f>
        <v>7.6200000000000004E-2</v>
      </c>
      <c r="AT61" s="278">
        <f>+'SEF-3E'!$C$13</f>
        <v>7.6200000000000004E-2</v>
      </c>
      <c r="AU61" s="278">
        <f>+'SEF-3E'!$C$13</f>
        <v>7.6200000000000004E-2</v>
      </c>
      <c r="AV61" s="278">
        <f>+'SEF-3E'!$C$13</f>
        <v>7.6200000000000004E-2</v>
      </c>
      <c r="AW61" s="278">
        <f>+'SEF-3E'!$C$13</f>
        <v>7.6200000000000004E-2</v>
      </c>
      <c r="AX61" s="278">
        <f>+'SEF-3E'!$C$13</f>
        <v>7.6200000000000004E-2</v>
      </c>
      <c r="AY61" s="278">
        <f>+'SEF-3E'!$C$13</f>
        <v>7.6200000000000004E-2</v>
      </c>
      <c r="AZ61" s="278">
        <f>+'SEF-3E'!$C$13</f>
        <v>7.6200000000000004E-2</v>
      </c>
      <c r="BA61" s="278">
        <f>+'SEF-3E'!$C$13</f>
        <v>7.6200000000000004E-2</v>
      </c>
      <c r="BB61" s="278">
        <f>+'SEF-3E'!$C$13</f>
        <v>7.6200000000000004E-2</v>
      </c>
      <c r="BC61" s="278">
        <f>+'SEF-3E'!$C$13</f>
        <v>7.6200000000000004E-2</v>
      </c>
      <c r="BD61" s="278">
        <f>+'SEF-3E'!$C$13</f>
        <v>7.6200000000000004E-2</v>
      </c>
      <c r="BE61" s="278">
        <f>+'SEF-3E'!$C$13</f>
        <v>7.6200000000000004E-2</v>
      </c>
      <c r="BF61" s="278">
        <f>+'SEF-3E'!$C$13</f>
        <v>7.6200000000000004E-2</v>
      </c>
      <c r="BG61" s="278">
        <f>+'SEF-3E'!$C$13</f>
        <v>7.6200000000000004E-2</v>
      </c>
      <c r="BH61" s="278">
        <f>+'SEF-3E'!$C$13</f>
        <v>7.6200000000000004E-2</v>
      </c>
      <c r="BI61" s="278">
        <f>+'SEF-3E'!$C$13</f>
        <v>7.6200000000000004E-2</v>
      </c>
      <c r="BJ61" s="312">
        <f>+'SEF-3E'!$C$13</f>
        <v>7.6200000000000004E-2</v>
      </c>
      <c r="BK61" s="312">
        <f>+'SEF-3E'!$C$13</f>
        <v>7.6200000000000004E-2</v>
      </c>
    </row>
    <row r="62" spans="1:63">
      <c r="A62" s="233">
        <f t="shared" si="13"/>
        <v>50</v>
      </c>
      <c r="B62" s="245" t="s">
        <v>35</v>
      </c>
      <c r="C62" s="277">
        <f>+'SEF-3E'!$M$20</f>
        <v>0.75138099999999997</v>
      </c>
      <c r="D62" s="277">
        <f>+'SEF-3E'!$M$20</f>
        <v>0.75138099999999997</v>
      </c>
      <c r="E62" s="277">
        <f>+'SEF-3E'!$M$20</f>
        <v>0.75138099999999997</v>
      </c>
      <c r="F62" s="277">
        <f>+'SEF-3E'!$M$20</f>
        <v>0.75138099999999997</v>
      </c>
      <c r="G62" s="277">
        <f>+'SEF-3E'!$M$20</f>
        <v>0.75138099999999997</v>
      </c>
      <c r="H62" s="277">
        <f>+'SEF-3E'!$M$20</f>
        <v>0.75138099999999997</v>
      </c>
      <c r="I62" s="277">
        <f>+'SEF-3E'!$M$20</f>
        <v>0.75138099999999997</v>
      </c>
      <c r="J62" s="277">
        <f>+'SEF-3E'!$M$20</f>
        <v>0.75138099999999997</v>
      </c>
      <c r="K62" s="277">
        <f>+'SEF-3E'!$M$20</f>
        <v>0.75138099999999997</v>
      </c>
      <c r="L62" s="277">
        <f>+'SEF-3E'!$M$20</f>
        <v>0.75138099999999997</v>
      </c>
      <c r="M62" s="277">
        <f>+'SEF-3E'!$M$20</f>
        <v>0.75138099999999997</v>
      </c>
      <c r="N62" s="277">
        <f>+'SEF-3E'!$M$20</f>
        <v>0.75138099999999997</v>
      </c>
      <c r="O62" s="277">
        <f>+'SEF-3E'!$M$20</f>
        <v>0.75138099999999997</v>
      </c>
      <c r="P62" s="277">
        <f>+'SEF-3E'!$M$20</f>
        <v>0.75138099999999997</v>
      </c>
      <c r="Q62" s="277">
        <f>+'SEF-3E'!$M$20</f>
        <v>0.75138099999999997</v>
      </c>
      <c r="R62" s="277">
        <f>+'SEF-3E'!$M$20</f>
        <v>0.75138099999999997</v>
      </c>
      <c r="S62" s="277">
        <f>+'SEF-3E'!$M$20</f>
        <v>0.75138099999999997</v>
      </c>
      <c r="T62" s="277">
        <f>+'SEF-3E'!$M$20</f>
        <v>0.75138099999999997</v>
      </c>
      <c r="U62" s="277">
        <f>+'SEF-3E'!$M$20</f>
        <v>0.75138099999999997</v>
      </c>
      <c r="V62" s="277">
        <f>+'SEF-3E'!$M$20</f>
        <v>0.75138099999999997</v>
      </c>
      <c r="W62" s="277">
        <f>+'SEF-3E'!$M$20</f>
        <v>0.75138099999999997</v>
      </c>
      <c r="X62" s="277">
        <f>+'SEF-3E'!$M$20</f>
        <v>0.75138099999999997</v>
      </c>
      <c r="Y62" s="277">
        <f>+'SEF-3E'!$M$20</f>
        <v>0.75138099999999997</v>
      </c>
      <c r="Z62" s="277">
        <f>+'SEF-3E'!$M$20</f>
        <v>0.75138099999999997</v>
      </c>
      <c r="AA62" s="277">
        <f>+'SEF-3E'!$M$20</f>
        <v>0.75138099999999997</v>
      </c>
      <c r="AB62" s="277">
        <f>+'SEF-3E'!$M$20</f>
        <v>0.75138099999999997</v>
      </c>
      <c r="AC62" s="277">
        <f>+'SEF-3E'!$M$20</f>
        <v>0.75138099999999997</v>
      </c>
      <c r="AD62" s="277">
        <f>+'SEF-3E'!$M$20</f>
        <v>0.75138099999999997</v>
      </c>
      <c r="AE62" s="277">
        <f>+'SEF-3E'!$M$20</f>
        <v>0.75138099999999997</v>
      </c>
      <c r="AF62" s="311">
        <f>+'SEF-3E'!$M$20</f>
        <v>0.75138099999999997</v>
      </c>
      <c r="AG62" s="311">
        <f>+'SEF-3E'!$M$20</f>
        <v>0.75138099999999997</v>
      </c>
      <c r="AH62" s="277">
        <f>+'SEF-3E'!$M$20</f>
        <v>0.75138099999999997</v>
      </c>
      <c r="AI62" s="277">
        <f>+'SEF-3E'!$M$20</f>
        <v>0.75138099999999997</v>
      </c>
      <c r="AJ62" s="277">
        <f>+'SEF-3E'!$M$20</f>
        <v>0.75138099999999997</v>
      </c>
      <c r="AK62" s="277">
        <f>+'SEF-3E'!$M$20</f>
        <v>0.75138099999999997</v>
      </c>
      <c r="AL62" s="277">
        <f>+'SEF-3E'!$M$20</f>
        <v>0.75138099999999997</v>
      </c>
      <c r="AM62" s="277">
        <f>+'SEF-3E'!$M$20</f>
        <v>0.75138099999999997</v>
      </c>
      <c r="AN62" s="277">
        <f>+'SEF-3E'!$M$20</f>
        <v>0.75138099999999997</v>
      </c>
      <c r="AO62" s="277">
        <f>+'SEF-3E'!$M$20</f>
        <v>0.75138099999999997</v>
      </c>
      <c r="AP62" s="277">
        <f>+'SEF-3E'!$M$20</f>
        <v>0.75138099999999997</v>
      </c>
      <c r="AQ62" s="277">
        <f>+'SEF-3E'!$M$20</f>
        <v>0.75138099999999997</v>
      </c>
      <c r="AR62" s="277">
        <f>+'SEF-3E'!$M$20</f>
        <v>0.75138099999999997</v>
      </c>
      <c r="AS62" s="277">
        <f>+'SEF-3E'!$M$20</f>
        <v>0.75138099999999997</v>
      </c>
      <c r="AT62" s="277">
        <f>+'SEF-3E'!$M$20</f>
        <v>0.75138099999999997</v>
      </c>
      <c r="AU62" s="277">
        <f>+'SEF-3E'!$M$20</f>
        <v>0.75138099999999997</v>
      </c>
      <c r="AV62" s="277">
        <f>+'SEF-3E'!$M$20</f>
        <v>0.75138099999999997</v>
      </c>
      <c r="AW62" s="277">
        <f>+'SEF-3E'!$M$20</f>
        <v>0.75138099999999997</v>
      </c>
      <c r="AX62" s="277">
        <f>+'SEF-3E'!$M$20</f>
        <v>0.75138099999999997</v>
      </c>
      <c r="AY62" s="277">
        <f>+'SEF-3E'!$M$20</f>
        <v>0.75138099999999997</v>
      </c>
      <c r="AZ62" s="277">
        <f>+'SEF-3E'!$M$20</f>
        <v>0.75138099999999997</v>
      </c>
      <c r="BA62" s="277">
        <f>+'SEF-3E'!$M$20</f>
        <v>0.75138099999999997</v>
      </c>
      <c r="BB62" s="277">
        <f>+'SEF-3E'!$M$20</f>
        <v>0.75138099999999997</v>
      </c>
      <c r="BC62" s="277">
        <f>+'SEF-3E'!$M$20</f>
        <v>0.75138099999999997</v>
      </c>
      <c r="BD62" s="277">
        <f>+'SEF-3E'!$M$20</f>
        <v>0.75138099999999997</v>
      </c>
      <c r="BE62" s="277">
        <f>+'SEF-3E'!$M$20</f>
        <v>0.75138099999999997</v>
      </c>
      <c r="BF62" s="277">
        <f>+'SEF-3E'!$M$20</f>
        <v>0.75138099999999997</v>
      </c>
      <c r="BG62" s="277">
        <f>+'SEF-3E'!$M$20</f>
        <v>0.75138099999999997</v>
      </c>
      <c r="BH62" s="277">
        <f>+'SEF-3E'!$M$20</f>
        <v>0.75138099999999997</v>
      </c>
      <c r="BI62" s="277">
        <f>+'SEF-3E'!$M$20</f>
        <v>0.75138099999999997</v>
      </c>
      <c r="BJ62" s="311">
        <f>+'SEF-3E'!$M$20</f>
        <v>0.75138099999999997</v>
      </c>
      <c r="BK62" s="311">
        <f>+'SEF-3E'!$M$20</f>
        <v>0.75138099999999997</v>
      </c>
    </row>
    <row r="63" spans="1:63">
      <c r="A63" s="233">
        <f t="shared" si="13"/>
        <v>51</v>
      </c>
      <c r="B63" s="245" t="s">
        <v>34</v>
      </c>
      <c r="C63" s="310">
        <f t="shared" ref="C63:AE63" si="24">+C46-(C59*C61)</f>
        <v>-5768231.0804397464</v>
      </c>
      <c r="D63" s="310">
        <f t="shared" si="24"/>
        <v>8327800.1577338427</v>
      </c>
      <c r="E63" s="310">
        <f t="shared" si="24"/>
        <v>3965156.9663860002</v>
      </c>
      <c r="F63" s="310">
        <f t="shared" si="24"/>
        <v>-14935653.446827501</v>
      </c>
      <c r="G63" s="310">
        <f t="shared" si="24"/>
        <v>33105346.195786756</v>
      </c>
      <c r="H63" s="310">
        <f t="shared" si="24"/>
        <v>-1955986.2286396027</v>
      </c>
      <c r="I63" s="310">
        <f t="shared" si="24"/>
        <v>66597.374865170947</v>
      </c>
      <c r="J63" s="310">
        <f t="shared" si="24"/>
        <v>303153.75903630909</v>
      </c>
      <c r="K63" s="310">
        <f t="shared" si="24"/>
        <v>184145.16401528011</v>
      </c>
      <c r="L63" s="310">
        <f t="shared" si="24"/>
        <v>71834.764841626398</v>
      </c>
      <c r="M63" s="310">
        <f t="shared" si="24"/>
        <v>5301.3344264041589</v>
      </c>
      <c r="N63" s="310">
        <f t="shared" si="24"/>
        <v>-803909.33835699933</v>
      </c>
      <c r="O63" s="310">
        <f t="shared" si="24"/>
        <v>-496557.58700637007</v>
      </c>
      <c r="P63" s="310">
        <f t="shared" si="24"/>
        <v>-1726149.211916219</v>
      </c>
      <c r="Q63" s="310">
        <f t="shared" si="24"/>
        <v>319945.96958497842</v>
      </c>
      <c r="R63" s="310">
        <f t="shared" si="24"/>
        <v>-61810.425156236211</v>
      </c>
      <c r="S63" s="310">
        <f t="shared" si="24"/>
        <v>-13156.595940416744</v>
      </c>
      <c r="T63" s="310">
        <f t="shared" si="24"/>
        <v>-23850.252119969373</v>
      </c>
      <c r="U63" s="310">
        <f t="shared" si="24"/>
        <v>-13930750.048283167</v>
      </c>
      <c r="V63" s="310">
        <f t="shared" si="24"/>
        <v>-15616796.024197796</v>
      </c>
      <c r="W63" s="310">
        <f t="shared" si="24"/>
        <v>340892.94246068329</v>
      </c>
      <c r="X63" s="310">
        <f t="shared" si="24"/>
        <v>-7589560.1894254955</v>
      </c>
      <c r="Y63" s="310">
        <f t="shared" si="24"/>
        <v>-68620.043849999958</v>
      </c>
      <c r="Z63" s="310">
        <f t="shared" si="24"/>
        <v>290621.86296599999</v>
      </c>
      <c r="AA63" s="310">
        <f t="shared" si="24"/>
        <v>-32912585.679400001</v>
      </c>
      <c r="AB63" s="310">
        <f t="shared" si="24"/>
        <v>-11000.8474333339</v>
      </c>
      <c r="AC63" s="310">
        <f t="shared" si="24"/>
        <v>2508029.0681906114</v>
      </c>
      <c r="AD63" s="310">
        <f t="shared" si="24"/>
        <v>0</v>
      </c>
      <c r="AE63" s="310">
        <f t="shared" si="24"/>
        <v>0</v>
      </c>
      <c r="AF63" s="309">
        <f>SUM(D63:AE63)</f>
        <v>-40657560.358259447</v>
      </c>
      <c r="AG63" s="309">
        <f>+AF63+C63</f>
        <v>-46425791.438699193</v>
      </c>
      <c r="AH63" s="310">
        <f t="shared" ref="AH63:BI63" si="25">+AH46-(AH59*AH61)</f>
        <v>-25687973.340135377</v>
      </c>
      <c r="AI63" s="310">
        <f t="shared" si="25"/>
        <v>6844287.5880840775</v>
      </c>
      <c r="AJ63" s="310">
        <f t="shared" si="25"/>
        <v>-387245.83443835971</v>
      </c>
      <c r="AK63" s="310">
        <f t="shared" si="25"/>
        <v>-71834.764841627039</v>
      </c>
      <c r="AL63" s="310">
        <f t="shared" si="25"/>
        <v>-5301.3344264041589</v>
      </c>
      <c r="AM63" s="310">
        <f t="shared" si="25"/>
        <v>-442588.79427990015</v>
      </c>
      <c r="AN63" s="310">
        <f t="shared" si="25"/>
        <v>-3003557.1583568119</v>
      </c>
      <c r="AO63" s="310">
        <f t="shared" si="25"/>
        <v>-208177.32402600534</v>
      </c>
      <c r="AP63" s="310">
        <f t="shared" si="25"/>
        <v>-691246.88851637836</v>
      </c>
      <c r="AQ63" s="310">
        <f t="shared" si="25"/>
        <v>-410038.445266667</v>
      </c>
      <c r="AR63" s="310">
        <f t="shared" si="25"/>
        <v>-120117.65165375613</v>
      </c>
      <c r="AS63" s="310">
        <f t="shared" si="25"/>
        <v>-7016643.8610012829</v>
      </c>
      <c r="AT63" s="310">
        <f t="shared" si="25"/>
        <v>394548.96938773646</v>
      </c>
      <c r="AU63" s="310">
        <f t="shared" si="25"/>
        <v>-11599467.306045108</v>
      </c>
      <c r="AV63" s="310">
        <f t="shared" si="25"/>
        <v>477330.77329275</v>
      </c>
      <c r="AW63" s="310">
        <f t="shared" si="25"/>
        <v>8663229.4576559979</v>
      </c>
      <c r="AX63" s="310">
        <f t="shared" si="25"/>
        <v>-1275835.1717480381</v>
      </c>
      <c r="AY63" s="310">
        <f t="shared" si="25"/>
        <v>-1330725.9543599267</v>
      </c>
      <c r="AZ63" s="310">
        <f t="shared" si="25"/>
        <v>-956244.00519272871</v>
      </c>
      <c r="BA63" s="310">
        <f t="shared" si="25"/>
        <v>3256035.0083918869</v>
      </c>
      <c r="BB63" s="310">
        <f t="shared" si="25"/>
        <v>518010.67067606235</v>
      </c>
      <c r="BC63" s="310">
        <f t="shared" si="25"/>
        <v>-10681804.722000003</v>
      </c>
      <c r="BD63" s="310">
        <f t="shared" si="25"/>
        <v>10882577.643108103</v>
      </c>
      <c r="BE63" s="310">
        <f t="shared" si="25"/>
        <v>4731829.8415331589</v>
      </c>
      <c r="BF63" s="310">
        <f t="shared" si="25"/>
        <v>-1199529.7133211915</v>
      </c>
      <c r="BG63" s="310">
        <f t="shared" si="25"/>
        <v>-2775018.0838546995</v>
      </c>
      <c r="BH63" s="310">
        <f t="shared" si="25"/>
        <v>0</v>
      </c>
      <c r="BI63" s="310">
        <f t="shared" si="25"/>
        <v>0</v>
      </c>
      <c r="BJ63" s="309">
        <f>SUM(AH63:BI63)</f>
        <v>-32095500.401334494</v>
      </c>
      <c r="BK63" s="309">
        <f>+BJ63+AG63</f>
        <v>-78521291.84003368</v>
      </c>
    </row>
    <row r="64" spans="1:63" s="250" customFormat="1">
      <c r="A64" s="233">
        <f t="shared" si="13"/>
        <v>52</v>
      </c>
      <c r="B64" s="245" t="s">
        <v>33</v>
      </c>
      <c r="C64" s="239">
        <f t="shared" ref="C64:AH64" si="26">-C63/C62</f>
        <v>7676839.1540905964</v>
      </c>
      <c r="D64" s="239">
        <f t="shared" si="26"/>
        <v>-11083325.44705528</v>
      </c>
      <c r="E64" s="239">
        <f t="shared" si="26"/>
        <v>-5277158.9465078311</v>
      </c>
      <c r="F64" s="239">
        <f t="shared" si="26"/>
        <v>19877603.302222844</v>
      </c>
      <c r="G64" s="239">
        <f t="shared" si="26"/>
        <v>-44059333.674642764</v>
      </c>
      <c r="H64" s="239">
        <f t="shared" si="26"/>
        <v>2603188.30079494</v>
      </c>
      <c r="I64" s="239">
        <f t="shared" si="26"/>
        <v>-88633.296377165447</v>
      </c>
      <c r="J64" s="239">
        <f t="shared" si="26"/>
        <v>-403462.10382789705</v>
      </c>
      <c r="K64" s="239">
        <f t="shared" si="26"/>
        <v>-245075.6194464328</v>
      </c>
      <c r="L64" s="239">
        <f t="shared" si="26"/>
        <v>-95603.64827115192</v>
      </c>
      <c r="M64" s="239">
        <f t="shared" si="26"/>
        <v>-7055.4544583961524</v>
      </c>
      <c r="N64" s="239">
        <f t="shared" si="26"/>
        <v>1069909.0585961042</v>
      </c>
      <c r="O64" s="239">
        <f t="shared" si="26"/>
        <v>660859.91927713121</v>
      </c>
      <c r="P64" s="239">
        <f t="shared" si="26"/>
        <v>2297302.1834678003</v>
      </c>
      <c r="Q64" s="239">
        <f t="shared" si="26"/>
        <v>-425810.56692274415</v>
      </c>
      <c r="R64" s="239">
        <f t="shared" si="26"/>
        <v>82262.427658187007</v>
      </c>
      <c r="S64" s="239">
        <f t="shared" si="26"/>
        <v>17509.886383095585</v>
      </c>
      <c r="T64" s="239">
        <f t="shared" si="26"/>
        <v>31741.888762118517</v>
      </c>
      <c r="U64" s="239">
        <f t="shared" si="26"/>
        <v>18540194.719167996</v>
      </c>
      <c r="V64" s="239">
        <f t="shared" si="26"/>
        <v>20784124.198240038</v>
      </c>
      <c r="W64" s="239">
        <f t="shared" si="26"/>
        <v>-453688.53146497358</v>
      </c>
      <c r="X64" s="239">
        <f t="shared" si="26"/>
        <v>10100814.619248418</v>
      </c>
      <c r="Y64" s="239">
        <f t="shared" si="26"/>
        <v>91325.231606867834</v>
      </c>
      <c r="Z64" s="239">
        <f t="shared" si="26"/>
        <v>-386783.61971622921</v>
      </c>
      <c r="AA64" s="239">
        <f t="shared" si="26"/>
        <v>43802792.03147272</v>
      </c>
      <c r="AB64" s="239">
        <f t="shared" si="26"/>
        <v>14640.837914897902</v>
      </c>
      <c r="AC64" s="239">
        <f t="shared" si="26"/>
        <v>-3337892.5847081728</v>
      </c>
      <c r="AD64" s="239">
        <f t="shared" si="26"/>
        <v>0</v>
      </c>
      <c r="AE64" s="239">
        <f t="shared" si="26"/>
        <v>0</v>
      </c>
      <c r="AF64" s="308">
        <f t="shared" si="26"/>
        <v>54110445.111414112</v>
      </c>
      <c r="AG64" s="308">
        <f t="shared" si="26"/>
        <v>61787284.26550471</v>
      </c>
      <c r="AH64" s="239">
        <f t="shared" si="26"/>
        <v>34187680.205029644</v>
      </c>
      <c r="AI64" s="239">
        <f t="shared" ref="AI64:BI64" si="27">-AI63/AI62</f>
        <v>-9108944.1815591268</v>
      </c>
      <c r="AJ64" s="239">
        <f t="shared" si="27"/>
        <v>515378.79509644205</v>
      </c>
      <c r="AK64" s="239">
        <f t="shared" si="27"/>
        <v>95603.648271152779</v>
      </c>
      <c r="AL64" s="239">
        <f t="shared" si="27"/>
        <v>7055.4544583961524</v>
      </c>
      <c r="AM64" s="239">
        <f t="shared" si="27"/>
        <v>589033.78483073192</v>
      </c>
      <c r="AN64" s="239">
        <f t="shared" si="27"/>
        <v>3997382.3644154058</v>
      </c>
      <c r="AO64" s="239">
        <f t="shared" si="27"/>
        <v>277059.60627964424</v>
      </c>
      <c r="AP64" s="239">
        <f t="shared" si="27"/>
        <v>919968.54926645523</v>
      </c>
      <c r="AQ64" s="239">
        <f t="shared" si="27"/>
        <v>545713.08732409659</v>
      </c>
      <c r="AR64" s="239">
        <f t="shared" si="27"/>
        <v>159862.50870564484</v>
      </c>
      <c r="AS64" s="239">
        <f t="shared" si="27"/>
        <v>9338330.1693831533</v>
      </c>
      <c r="AT64" s="239">
        <f t="shared" si="27"/>
        <v>-525098.41130895843</v>
      </c>
      <c r="AU64" s="239">
        <f t="shared" si="27"/>
        <v>15437530.768072532</v>
      </c>
      <c r="AV64" s="239">
        <f t="shared" si="27"/>
        <v>-635271.28486446955</v>
      </c>
      <c r="AW64" s="239">
        <f t="shared" si="27"/>
        <v>-11529742.510997748</v>
      </c>
      <c r="AX64" s="239">
        <f t="shared" si="27"/>
        <v>1697987.0022638824</v>
      </c>
      <c r="AY64" s="239">
        <f t="shared" si="27"/>
        <v>1771040.1971302533</v>
      </c>
      <c r="AZ64" s="239">
        <f t="shared" si="27"/>
        <v>1272648.6365675053</v>
      </c>
      <c r="BA64" s="239">
        <f t="shared" si="27"/>
        <v>-4333400.7758938372</v>
      </c>
      <c r="BB64" s="239">
        <f t="shared" si="27"/>
        <v>-689411.45793686877</v>
      </c>
      <c r="BC64" s="239">
        <f t="shared" si="27"/>
        <v>14216229.4787864</v>
      </c>
      <c r="BD64" s="239">
        <f t="shared" si="27"/>
        <v>-14483434.693062646</v>
      </c>
      <c r="BE64" s="239">
        <f t="shared" si="27"/>
        <v>-6297510.639120711</v>
      </c>
      <c r="BF64" s="239">
        <f t="shared" si="27"/>
        <v>1596433.3850885124</v>
      </c>
      <c r="BG64" s="239">
        <f t="shared" si="27"/>
        <v>3693223.6559810531</v>
      </c>
      <c r="BH64" s="239">
        <f t="shared" si="27"/>
        <v>0</v>
      </c>
      <c r="BI64" s="239">
        <f t="shared" si="27"/>
        <v>0</v>
      </c>
      <c r="BJ64" s="308">
        <f>SUM(AH64:BI64)</f>
        <v>42715347.342206538</v>
      </c>
      <c r="BK64" s="308">
        <f>-BK63/BK62</f>
        <v>104502631.60771124</v>
      </c>
    </row>
    <row r="65" spans="1:65">
      <c r="B65" s="245"/>
      <c r="X65" s="250"/>
    </row>
    <row r="66" spans="1:65">
      <c r="X66" s="250"/>
    </row>
    <row r="67" spans="1:65">
      <c r="X67" s="250"/>
    </row>
    <row r="68" spans="1:65">
      <c r="X68" s="250"/>
    </row>
    <row r="70" spans="1:65">
      <c r="BD70" s="306"/>
      <c r="BE70" s="306"/>
      <c r="BF70" s="306"/>
      <c r="BG70" s="306"/>
      <c r="BH70" s="306"/>
      <c r="BI70" s="306"/>
    </row>
    <row r="71" spans="1:65">
      <c r="C71" s="306"/>
      <c r="U71" s="307"/>
      <c r="V71" s="306"/>
      <c r="Z71" s="306"/>
      <c r="AF71" s="306"/>
      <c r="AG71" s="306"/>
      <c r="AS71" s="306"/>
      <c r="AX71" s="306"/>
      <c r="BF71" s="306"/>
      <c r="BJ71" s="306"/>
      <c r="BK71" s="306"/>
    </row>
    <row r="72" spans="1:65" s="298" customFormat="1">
      <c r="A72" s="302"/>
      <c r="B72" s="301"/>
      <c r="C72" s="303"/>
      <c r="D72" s="303"/>
      <c r="E72" s="303"/>
      <c r="F72" s="303"/>
      <c r="G72" s="303"/>
      <c r="H72" s="303"/>
      <c r="I72" s="303"/>
      <c r="J72" s="303"/>
      <c r="K72" s="303"/>
      <c r="L72" s="303"/>
      <c r="M72" s="303"/>
      <c r="N72" s="303"/>
      <c r="O72" s="303"/>
      <c r="P72" s="303"/>
      <c r="Q72" s="303"/>
      <c r="R72" s="303"/>
      <c r="S72" s="303"/>
      <c r="T72" s="303"/>
      <c r="U72" s="303"/>
      <c r="V72" s="303"/>
      <c r="W72" s="303"/>
      <c r="X72" s="303"/>
      <c r="Y72" s="303"/>
      <c r="Z72" s="303"/>
      <c r="AA72" s="303"/>
      <c r="AB72" s="303"/>
      <c r="AC72" s="303"/>
      <c r="AD72" s="303"/>
      <c r="AE72" s="303"/>
      <c r="AF72" s="230"/>
      <c r="AG72" s="306"/>
      <c r="AH72" s="303"/>
      <c r="AI72" s="230"/>
      <c r="AJ72" s="303"/>
      <c r="AK72" s="303"/>
      <c r="AL72" s="303"/>
      <c r="AM72" s="303"/>
      <c r="AN72" s="303"/>
      <c r="AO72" s="303"/>
      <c r="AP72" s="303"/>
      <c r="AQ72" s="303"/>
      <c r="AR72" s="303"/>
      <c r="AS72" s="303"/>
      <c r="AT72" s="303"/>
      <c r="AU72" s="303"/>
      <c r="AV72" s="303"/>
      <c r="AW72" s="303"/>
      <c r="AX72" s="303"/>
      <c r="AY72" s="303"/>
      <c r="AZ72" s="303"/>
      <c r="BA72" s="303"/>
      <c r="BB72" s="303"/>
      <c r="BC72" s="303"/>
      <c r="BD72" s="303"/>
      <c r="BE72" s="303"/>
      <c r="BF72" s="303"/>
      <c r="BG72" s="303"/>
      <c r="BH72" s="303"/>
      <c r="BI72" s="303"/>
      <c r="BJ72" s="303"/>
      <c r="BK72" s="303"/>
      <c r="BL72" s="299"/>
      <c r="BM72" s="299"/>
    </row>
    <row r="73" spans="1:65" s="298" customFormat="1">
      <c r="A73" s="302"/>
      <c r="B73" s="305"/>
      <c r="C73" s="300"/>
      <c r="D73" s="300"/>
      <c r="E73" s="300"/>
      <c r="F73" s="300"/>
      <c r="G73" s="300"/>
      <c r="H73" s="300"/>
      <c r="I73" s="300"/>
      <c r="J73" s="300"/>
      <c r="K73" s="300"/>
      <c r="L73" s="300"/>
      <c r="M73" s="300"/>
      <c r="N73" s="300"/>
      <c r="O73" s="300"/>
      <c r="P73" s="300"/>
      <c r="Q73" s="300"/>
      <c r="R73" s="300"/>
      <c r="S73" s="300"/>
      <c r="T73" s="300"/>
      <c r="U73" s="300"/>
      <c r="X73" s="300"/>
      <c r="Y73" s="300"/>
      <c r="Z73" s="300"/>
      <c r="AA73" s="300"/>
      <c r="AB73" s="300"/>
      <c r="AC73" s="300"/>
      <c r="AD73" s="300"/>
      <c r="AE73" s="300"/>
      <c r="AF73" s="230"/>
      <c r="AG73" s="230"/>
      <c r="AH73" s="300"/>
      <c r="AI73" s="230"/>
      <c r="AJ73" s="300"/>
      <c r="AK73" s="300"/>
      <c r="AL73" s="300"/>
      <c r="AM73" s="300"/>
      <c r="AN73" s="300"/>
      <c r="AO73" s="300"/>
      <c r="AP73" s="300"/>
      <c r="AQ73" s="300"/>
      <c r="AR73" s="300"/>
      <c r="AS73" s="300"/>
      <c r="AT73" s="300"/>
      <c r="AU73" s="300"/>
      <c r="AV73" s="300"/>
      <c r="AW73" s="300"/>
      <c r="AX73" s="300"/>
      <c r="AY73" s="300"/>
      <c r="AZ73" s="300"/>
      <c r="BA73" s="300"/>
      <c r="BB73" s="300"/>
      <c r="BC73" s="300"/>
      <c r="BD73" s="300"/>
      <c r="BE73" s="300"/>
      <c r="BF73" s="300"/>
      <c r="BG73" s="300"/>
      <c r="BH73" s="300"/>
      <c r="BI73" s="300"/>
      <c r="BJ73" s="300"/>
      <c r="BK73" s="300"/>
      <c r="BL73" s="299"/>
      <c r="BM73" s="299"/>
    </row>
    <row r="74" spans="1:65" s="298" customFormat="1">
      <c r="A74" s="302"/>
      <c r="B74" s="305"/>
      <c r="C74" s="304"/>
      <c r="D74" s="304"/>
      <c r="E74" s="304"/>
      <c r="F74" s="304"/>
      <c r="G74" s="304"/>
      <c r="H74" s="304"/>
      <c r="I74" s="304"/>
      <c r="J74" s="304"/>
      <c r="K74" s="304"/>
      <c r="L74" s="304"/>
      <c r="M74" s="304"/>
      <c r="N74" s="304"/>
      <c r="O74" s="304"/>
      <c r="P74" s="304"/>
      <c r="Q74" s="304"/>
      <c r="R74" s="304"/>
      <c r="S74" s="304"/>
      <c r="T74" s="304"/>
      <c r="U74" s="304"/>
      <c r="V74" s="304"/>
      <c r="W74" s="304"/>
      <c r="X74" s="304"/>
      <c r="Y74" s="304"/>
      <c r="Z74" s="304"/>
      <c r="AA74" s="304"/>
      <c r="AB74" s="304"/>
      <c r="AC74" s="304"/>
      <c r="AD74" s="304"/>
      <c r="AE74" s="304"/>
      <c r="AF74" s="304"/>
      <c r="AG74" s="304"/>
      <c r="AH74" s="304"/>
      <c r="AI74" s="304"/>
      <c r="AJ74" s="304"/>
      <c r="AK74" s="304"/>
      <c r="AL74" s="304"/>
      <c r="AM74" s="304"/>
      <c r="AN74" s="304"/>
      <c r="AO74" s="304"/>
      <c r="AP74" s="304"/>
      <c r="AQ74" s="304"/>
      <c r="AR74" s="304"/>
      <c r="AS74" s="304"/>
      <c r="AT74" s="304"/>
      <c r="AU74" s="304"/>
      <c r="AV74" s="304"/>
      <c r="AW74" s="304"/>
      <c r="AX74" s="304"/>
      <c r="AY74" s="304"/>
      <c r="AZ74" s="304"/>
      <c r="BA74" s="304"/>
      <c r="BB74" s="304"/>
      <c r="BC74" s="304"/>
      <c r="BD74" s="304"/>
      <c r="BE74" s="304"/>
      <c r="BF74" s="304"/>
      <c r="BG74" s="304"/>
      <c r="BH74" s="304"/>
      <c r="BI74" s="304"/>
      <c r="BJ74" s="304"/>
      <c r="BK74" s="304"/>
      <c r="BL74" s="299"/>
      <c r="BM74" s="299"/>
    </row>
    <row r="75" spans="1:65" s="298" customFormat="1">
      <c r="A75" s="302"/>
      <c r="B75" s="301"/>
      <c r="C75" s="304"/>
      <c r="D75" s="304"/>
      <c r="E75" s="304"/>
      <c r="F75" s="304"/>
      <c r="G75" s="304"/>
      <c r="H75" s="304"/>
      <c r="I75" s="304"/>
      <c r="J75" s="304"/>
      <c r="K75" s="304"/>
      <c r="L75" s="304"/>
      <c r="M75" s="304"/>
      <c r="N75" s="304"/>
      <c r="O75" s="304"/>
      <c r="P75" s="304"/>
      <c r="Q75" s="304"/>
      <c r="R75" s="304"/>
      <c r="S75" s="304"/>
      <c r="T75" s="304"/>
      <c r="U75" s="304"/>
      <c r="V75" s="304"/>
      <c r="W75" s="304"/>
      <c r="X75" s="304"/>
      <c r="Y75" s="304"/>
      <c r="Z75" s="304"/>
      <c r="AA75" s="304"/>
      <c r="AB75" s="304"/>
      <c r="AC75" s="304"/>
      <c r="AD75" s="304"/>
      <c r="AE75" s="304"/>
      <c r="AF75" s="304"/>
      <c r="AG75" s="304"/>
      <c r="AH75" s="304"/>
      <c r="AI75" s="304"/>
      <c r="AJ75" s="304"/>
      <c r="AK75" s="304"/>
      <c r="AL75" s="304"/>
      <c r="AM75" s="304"/>
      <c r="AN75" s="304"/>
      <c r="AO75" s="304"/>
      <c r="AP75" s="304"/>
      <c r="AQ75" s="304"/>
      <c r="AR75" s="304"/>
      <c r="AS75" s="304"/>
      <c r="AT75" s="304"/>
      <c r="AU75" s="304"/>
      <c r="AV75" s="304"/>
      <c r="AW75" s="304"/>
      <c r="AX75" s="304"/>
      <c r="AY75" s="304"/>
      <c r="AZ75" s="304"/>
      <c r="BA75" s="304"/>
      <c r="BB75" s="304"/>
      <c r="BC75" s="304"/>
      <c r="BD75" s="304"/>
      <c r="BE75" s="304"/>
      <c r="BF75" s="304"/>
      <c r="BG75" s="304"/>
      <c r="BH75" s="304"/>
      <c r="BI75" s="304"/>
      <c r="BJ75" s="304"/>
      <c r="BK75" s="304"/>
      <c r="BL75" s="299"/>
      <c r="BM75" s="299"/>
    </row>
    <row r="76" spans="1:65" s="298" customFormat="1">
      <c r="A76" s="302"/>
      <c r="B76" s="301"/>
      <c r="C76" s="304"/>
      <c r="D76" s="304"/>
      <c r="E76" s="304"/>
      <c r="F76" s="304"/>
      <c r="G76" s="304"/>
      <c r="H76" s="304"/>
      <c r="I76" s="304"/>
      <c r="J76" s="304"/>
      <c r="K76" s="304"/>
      <c r="L76" s="304"/>
      <c r="M76" s="304"/>
      <c r="N76" s="304"/>
      <c r="O76" s="304"/>
      <c r="P76" s="304"/>
      <c r="Q76" s="304"/>
      <c r="R76" s="304"/>
      <c r="S76" s="304"/>
      <c r="T76" s="304"/>
      <c r="U76" s="304"/>
      <c r="V76" s="304"/>
      <c r="W76" s="304"/>
      <c r="X76" s="304"/>
      <c r="Y76" s="304"/>
      <c r="Z76" s="304"/>
      <c r="AA76" s="304"/>
      <c r="AB76" s="304"/>
      <c r="AC76" s="304"/>
      <c r="AD76" s="304"/>
      <c r="AE76" s="304"/>
      <c r="AF76" s="230"/>
      <c r="AG76" s="230"/>
      <c r="AH76" s="303"/>
      <c r="AI76" s="230"/>
      <c r="AJ76" s="303"/>
      <c r="AK76" s="303"/>
      <c r="AL76" s="303"/>
      <c r="AM76" s="303"/>
      <c r="AN76" s="303"/>
      <c r="AO76" s="303"/>
      <c r="AP76" s="303"/>
      <c r="AQ76" s="303"/>
      <c r="AR76" s="303"/>
      <c r="AS76" s="303"/>
      <c r="AT76" s="303"/>
      <c r="AU76" s="303"/>
      <c r="AV76" s="303"/>
      <c r="AW76" s="303"/>
      <c r="AX76" s="300"/>
      <c r="AY76" s="303"/>
      <c r="AZ76" s="303"/>
      <c r="BA76" s="303"/>
      <c r="BB76" s="303"/>
      <c r="BC76" s="303"/>
      <c r="BD76" s="303"/>
      <c r="BE76" s="303"/>
      <c r="BF76" s="303"/>
      <c r="BG76" s="303"/>
      <c r="BH76" s="303"/>
      <c r="BI76" s="303"/>
      <c r="BJ76" s="303"/>
      <c r="BK76" s="303"/>
      <c r="BL76" s="299"/>
      <c r="BM76" s="299"/>
    </row>
    <row r="77" spans="1:65" s="298" customFormat="1">
      <c r="A77" s="302"/>
      <c r="B77" s="301"/>
      <c r="C77" s="304"/>
      <c r="D77" s="304"/>
      <c r="E77" s="304"/>
      <c r="F77" s="304"/>
      <c r="G77" s="304"/>
      <c r="H77" s="304"/>
      <c r="I77" s="304"/>
      <c r="J77" s="304"/>
      <c r="K77" s="304"/>
      <c r="L77" s="304"/>
      <c r="M77" s="304"/>
      <c r="N77" s="304"/>
      <c r="O77" s="304"/>
      <c r="P77" s="304"/>
      <c r="Q77" s="304"/>
      <c r="R77" s="304"/>
      <c r="S77" s="304"/>
      <c r="T77" s="304"/>
      <c r="U77" s="304"/>
      <c r="V77" s="304"/>
      <c r="W77" s="304"/>
      <c r="X77" s="304"/>
      <c r="Y77" s="304"/>
      <c r="Z77" s="304"/>
      <c r="AA77" s="304"/>
      <c r="AB77" s="304"/>
      <c r="AC77" s="304"/>
      <c r="AD77" s="304"/>
      <c r="AE77" s="304"/>
      <c r="AF77" s="230"/>
      <c r="AG77" s="230"/>
      <c r="AH77" s="303"/>
      <c r="AI77" s="230"/>
      <c r="AJ77" s="303"/>
      <c r="AK77" s="303"/>
      <c r="AL77" s="303"/>
      <c r="AM77" s="303"/>
      <c r="AN77" s="303"/>
      <c r="AO77" s="303"/>
      <c r="AP77" s="303"/>
      <c r="AQ77" s="303"/>
      <c r="AR77" s="303"/>
      <c r="AS77" s="303"/>
      <c r="AT77" s="303"/>
      <c r="AU77" s="303"/>
      <c r="AV77" s="303"/>
      <c r="AW77" s="303"/>
      <c r="AX77" s="303"/>
      <c r="AY77" s="303"/>
      <c r="AZ77" s="303"/>
      <c r="BA77" s="303"/>
      <c r="BB77" s="303"/>
      <c r="BC77" s="303"/>
      <c r="BD77" s="303"/>
      <c r="BE77" s="303"/>
      <c r="BF77" s="303"/>
      <c r="BG77" s="303"/>
      <c r="BH77" s="303"/>
      <c r="BI77" s="303"/>
      <c r="BJ77" s="303"/>
      <c r="BK77" s="303"/>
      <c r="BL77" s="299"/>
      <c r="BM77" s="299"/>
    </row>
    <row r="78" spans="1:65" s="298" customFormat="1">
      <c r="A78" s="302"/>
      <c r="B78" s="301"/>
      <c r="C78" s="304"/>
      <c r="D78" s="304"/>
      <c r="E78" s="304"/>
      <c r="F78" s="304"/>
      <c r="G78" s="304"/>
      <c r="H78" s="304"/>
      <c r="I78" s="304"/>
      <c r="J78" s="304"/>
      <c r="K78" s="304"/>
      <c r="L78" s="304"/>
      <c r="M78" s="304"/>
      <c r="N78" s="304"/>
      <c r="O78" s="304"/>
      <c r="P78" s="304"/>
      <c r="Q78" s="304"/>
      <c r="R78" s="304"/>
      <c r="S78" s="304"/>
      <c r="T78" s="304"/>
      <c r="U78" s="304"/>
      <c r="V78" s="304"/>
      <c r="W78" s="304"/>
      <c r="X78" s="304"/>
      <c r="Y78" s="304"/>
      <c r="Z78" s="304"/>
      <c r="AA78" s="304"/>
      <c r="AB78" s="304"/>
      <c r="AC78" s="304"/>
      <c r="AD78" s="304"/>
      <c r="AE78" s="304"/>
      <c r="AF78" s="230"/>
      <c r="AG78" s="230"/>
      <c r="AH78" s="303"/>
      <c r="AI78" s="230"/>
      <c r="AJ78" s="303"/>
      <c r="AK78" s="303"/>
      <c r="AL78" s="303"/>
      <c r="AM78" s="303"/>
      <c r="AN78" s="303"/>
      <c r="AO78" s="303"/>
      <c r="AP78" s="303"/>
      <c r="AQ78" s="303"/>
      <c r="AR78" s="303"/>
      <c r="AS78" s="303"/>
      <c r="AT78" s="303"/>
      <c r="AU78" s="303"/>
      <c r="AV78" s="303"/>
      <c r="AW78" s="303"/>
      <c r="AX78" s="303"/>
      <c r="AY78" s="303"/>
      <c r="AZ78" s="303"/>
      <c r="BA78" s="303"/>
      <c r="BB78" s="303"/>
      <c r="BC78" s="303"/>
      <c r="BD78" s="303"/>
      <c r="BE78" s="303"/>
      <c r="BF78" s="303"/>
      <c r="BG78" s="303"/>
      <c r="BH78" s="303"/>
      <c r="BI78" s="303"/>
      <c r="BJ78" s="303"/>
      <c r="BK78" s="303"/>
      <c r="BL78" s="299"/>
      <c r="BM78" s="299"/>
    </row>
    <row r="79" spans="1:65" s="298" customFormat="1">
      <c r="A79" s="302"/>
      <c r="B79" s="301"/>
      <c r="C79" s="300"/>
      <c r="D79" s="300"/>
      <c r="E79" s="300"/>
      <c r="F79" s="300"/>
      <c r="G79" s="300"/>
      <c r="H79" s="300"/>
      <c r="I79" s="300"/>
      <c r="J79" s="300"/>
      <c r="K79" s="300"/>
      <c r="L79" s="300"/>
      <c r="M79" s="300"/>
      <c r="N79" s="300"/>
      <c r="O79" s="300"/>
      <c r="P79" s="300"/>
      <c r="Q79" s="300"/>
      <c r="R79" s="300"/>
      <c r="S79" s="300"/>
      <c r="T79" s="300"/>
      <c r="U79" s="300"/>
      <c r="V79" s="300"/>
      <c r="W79" s="300"/>
      <c r="X79" s="300"/>
      <c r="Y79" s="300"/>
      <c r="Z79" s="300"/>
      <c r="AA79" s="300"/>
      <c r="AB79" s="300"/>
      <c r="AC79" s="300"/>
      <c r="AD79" s="300"/>
      <c r="AE79" s="300"/>
      <c r="AF79" s="230"/>
      <c r="AG79" s="230"/>
      <c r="AH79" s="300"/>
      <c r="AI79" s="230"/>
      <c r="AJ79" s="300"/>
      <c r="AK79" s="300"/>
      <c r="AL79" s="300"/>
      <c r="AM79" s="300"/>
      <c r="AN79" s="300"/>
      <c r="AO79" s="300"/>
      <c r="AP79" s="300"/>
      <c r="AQ79" s="300"/>
      <c r="AR79" s="300"/>
      <c r="AS79" s="300"/>
      <c r="AT79" s="300"/>
      <c r="AU79" s="300"/>
      <c r="AV79" s="300"/>
      <c r="AW79" s="300"/>
      <c r="AX79" s="300"/>
      <c r="AY79" s="300"/>
      <c r="AZ79" s="300"/>
      <c r="BA79" s="300"/>
      <c r="BB79" s="300"/>
      <c r="BC79" s="300"/>
      <c r="BD79" s="300"/>
      <c r="BE79" s="300"/>
      <c r="BF79" s="300"/>
      <c r="BG79" s="300"/>
      <c r="BH79" s="300"/>
      <c r="BI79" s="300"/>
      <c r="BJ79" s="300"/>
      <c r="BK79" s="300"/>
      <c r="BL79" s="299"/>
      <c r="BM79" s="299"/>
    </row>
    <row r="80" spans="1:65" s="298" customFormat="1">
      <c r="AF80" s="230"/>
      <c r="AG80" s="230"/>
      <c r="AI80" s="230"/>
      <c r="BJ80" s="299"/>
      <c r="BK80" s="299"/>
      <c r="BL80" s="299"/>
      <c r="BM80" s="299"/>
    </row>
    <row r="81" spans="1:65" s="298" customFormat="1">
      <c r="AF81" s="230"/>
      <c r="AG81" s="230"/>
      <c r="AI81" s="230"/>
      <c r="BJ81" s="299"/>
      <c r="BK81" s="299"/>
      <c r="BL81" s="299"/>
      <c r="BM81" s="299"/>
    </row>
    <row r="82" spans="1:65" s="298" customFormat="1">
      <c r="A82" s="302"/>
      <c r="B82" s="301"/>
      <c r="C82" s="303"/>
      <c r="D82" s="303"/>
      <c r="E82" s="303"/>
      <c r="F82" s="303"/>
      <c r="G82" s="303"/>
      <c r="H82" s="303"/>
      <c r="I82" s="303"/>
      <c r="J82" s="303"/>
      <c r="K82" s="303"/>
      <c r="L82" s="303"/>
      <c r="M82" s="303"/>
      <c r="N82" s="303"/>
      <c r="O82" s="303"/>
      <c r="P82" s="303"/>
      <c r="Q82" s="303"/>
      <c r="R82" s="303"/>
      <c r="S82" s="303"/>
      <c r="T82" s="303"/>
      <c r="U82" s="303"/>
      <c r="V82" s="303"/>
      <c r="W82" s="303"/>
      <c r="X82" s="303"/>
      <c r="Y82" s="303"/>
      <c r="Z82" s="303"/>
      <c r="AA82" s="303"/>
      <c r="AB82" s="303"/>
      <c r="AC82" s="303"/>
      <c r="AD82" s="303"/>
      <c r="AE82" s="303"/>
      <c r="AF82" s="230"/>
      <c r="AG82" s="230"/>
      <c r="AH82" s="303"/>
      <c r="AI82" s="230"/>
      <c r="AJ82" s="303"/>
      <c r="AK82" s="303"/>
      <c r="AL82" s="303"/>
      <c r="AM82" s="303"/>
      <c r="AN82" s="303"/>
      <c r="AO82" s="303"/>
      <c r="AP82" s="303"/>
      <c r="AQ82" s="303"/>
      <c r="AR82" s="303"/>
      <c r="AS82" s="303"/>
      <c r="AT82" s="303"/>
      <c r="AU82" s="303"/>
      <c r="AV82" s="303"/>
      <c r="AW82" s="303"/>
      <c r="AX82" s="303"/>
      <c r="AY82" s="303"/>
      <c r="AZ82" s="303"/>
      <c r="BA82" s="303"/>
      <c r="BB82" s="303"/>
      <c r="BC82" s="303"/>
      <c r="BD82" s="303"/>
      <c r="BE82" s="303"/>
      <c r="BF82" s="303"/>
      <c r="BG82" s="303"/>
      <c r="BH82" s="303"/>
      <c r="BI82" s="303"/>
      <c r="BJ82" s="303"/>
      <c r="BK82" s="303"/>
      <c r="BL82" s="299"/>
      <c r="BM82" s="299"/>
    </row>
    <row r="83" spans="1:65" s="298" customFormat="1">
      <c r="A83" s="302"/>
      <c r="B83" s="305"/>
      <c r="C83" s="300"/>
      <c r="D83" s="300"/>
      <c r="E83" s="300"/>
      <c r="F83" s="300"/>
      <c r="G83" s="300"/>
      <c r="H83" s="300"/>
      <c r="I83" s="300"/>
      <c r="J83" s="300"/>
      <c r="K83" s="300"/>
      <c r="L83" s="300"/>
      <c r="M83" s="300"/>
      <c r="N83" s="300"/>
      <c r="O83" s="300"/>
      <c r="P83" s="300"/>
      <c r="Q83" s="300"/>
      <c r="R83" s="300"/>
      <c r="S83" s="300"/>
      <c r="T83" s="300"/>
      <c r="U83" s="300"/>
      <c r="X83" s="300"/>
      <c r="Y83" s="300"/>
      <c r="Z83" s="300"/>
      <c r="AA83" s="300"/>
      <c r="AB83" s="300"/>
      <c r="AC83" s="300"/>
      <c r="AD83" s="300"/>
      <c r="AE83" s="300"/>
      <c r="AF83" s="230"/>
      <c r="AG83" s="230"/>
      <c r="AH83" s="300"/>
      <c r="AI83" s="230"/>
      <c r="AJ83" s="300"/>
      <c r="AK83" s="300"/>
      <c r="AL83" s="300"/>
      <c r="AM83" s="300"/>
      <c r="AN83" s="300"/>
      <c r="AO83" s="300"/>
      <c r="AP83" s="300"/>
      <c r="AQ83" s="300"/>
      <c r="AR83" s="300"/>
      <c r="AS83" s="300"/>
      <c r="AT83" s="300"/>
      <c r="AU83" s="300"/>
      <c r="AV83" s="300"/>
      <c r="AW83" s="300"/>
      <c r="AX83" s="300"/>
      <c r="AY83" s="300"/>
      <c r="AZ83" s="300"/>
      <c r="BA83" s="300"/>
      <c r="BB83" s="300"/>
      <c r="BC83" s="300"/>
      <c r="BD83" s="300"/>
      <c r="BE83" s="300"/>
      <c r="BF83" s="300"/>
      <c r="BG83" s="300"/>
      <c r="BH83" s="300"/>
      <c r="BI83" s="300"/>
      <c r="BJ83" s="300"/>
      <c r="BK83" s="300"/>
      <c r="BL83" s="299"/>
      <c r="BM83" s="299"/>
    </row>
    <row r="84" spans="1:65" s="298" customFormat="1">
      <c r="A84" s="302"/>
      <c r="B84" s="305"/>
      <c r="C84" s="304"/>
      <c r="D84" s="304"/>
      <c r="E84" s="304"/>
      <c r="F84" s="304"/>
      <c r="G84" s="304"/>
      <c r="H84" s="304"/>
      <c r="I84" s="304"/>
      <c r="J84" s="304"/>
      <c r="K84" s="304"/>
      <c r="L84" s="304"/>
      <c r="M84" s="304"/>
      <c r="N84" s="304"/>
      <c r="O84" s="304"/>
      <c r="P84" s="304"/>
      <c r="Q84" s="304"/>
      <c r="R84" s="304"/>
      <c r="S84" s="304"/>
      <c r="T84" s="304"/>
      <c r="U84" s="304"/>
      <c r="V84" s="304"/>
      <c r="W84" s="304"/>
      <c r="X84" s="304"/>
      <c r="Y84" s="304"/>
      <c r="Z84" s="304"/>
      <c r="AA84" s="304"/>
      <c r="AB84" s="304"/>
      <c r="AC84" s="304"/>
      <c r="AD84" s="304"/>
      <c r="AE84" s="304"/>
      <c r="AF84" s="230"/>
      <c r="AG84" s="230"/>
      <c r="AH84" s="303"/>
      <c r="AI84" s="230"/>
      <c r="AJ84" s="303"/>
      <c r="AK84" s="303"/>
      <c r="AL84" s="303"/>
      <c r="AM84" s="303"/>
      <c r="AN84" s="303"/>
      <c r="AO84" s="303"/>
      <c r="AP84" s="303"/>
      <c r="AQ84" s="303"/>
      <c r="AR84" s="303"/>
      <c r="AS84" s="303"/>
      <c r="AT84" s="303"/>
      <c r="AU84" s="303"/>
      <c r="AV84" s="303"/>
      <c r="AW84" s="303"/>
      <c r="AX84" s="300"/>
      <c r="AY84" s="303"/>
      <c r="AZ84" s="303"/>
      <c r="BA84" s="303"/>
      <c r="BB84" s="303"/>
      <c r="BC84" s="303"/>
      <c r="BD84" s="303"/>
      <c r="BE84" s="303"/>
      <c r="BF84" s="303"/>
      <c r="BG84" s="303"/>
      <c r="BH84" s="303"/>
      <c r="BI84" s="303"/>
      <c r="BJ84" s="303"/>
      <c r="BK84" s="303"/>
      <c r="BL84" s="299"/>
      <c r="BM84" s="299"/>
    </row>
    <row r="85" spans="1:65" s="298" customFormat="1">
      <c r="A85" s="302"/>
      <c r="B85" s="301"/>
      <c r="C85" s="304"/>
      <c r="D85" s="304"/>
      <c r="E85" s="304"/>
      <c r="F85" s="304"/>
      <c r="G85" s="304"/>
      <c r="H85" s="304"/>
      <c r="I85" s="304"/>
      <c r="J85" s="304"/>
      <c r="K85" s="304"/>
      <c r="L85" s="304"/>
      <c r="M85" s="304"/>
      <c r="N85" s="304"/>
      <c r="O85" s="304"/>
      <c r="P85" s="304"/>
      <c r="Q85" s="304"/>
      <c r="R85" s="304"/>
      <c r="S85" s="304"/>
      <c r="T85" s="304"/>
      <c r="U85" s="304"/>
      <c r="V85" s="304"/>
      <c r="W85" s="304"/>
      <c r="X85" s="304"/>
      <c r="Y85" s="304"/>
      <c r="Z85" s="304"/>
      <c r="AA85" s="304"/>
      <c r="AB85" s="304"/>
      <c r="AC85" s="304"/>
      <c r="AD85" s="304"/>
      <c r="AE85" s="304"/>
      <c r="AF85" s="230"/>
      <c r="AG85" s="230"/>
      <c r="AH85" s="303"/>
      <c r="AI85" s="230"/>
      <c r="AJ85" s="303"/>
      <c r="AK85" s="303"/>
      <c r="AL85" s="303"/>
      <c r="AM85" s="303"/>
      <c r="AN85" s="303"/>
      <c r="AO85" s="303"/>
      <c r="AP85" s="303"/>
      <c r="AQ85" s="303"/>
      <c r="AR85" s="303"/>
      <c r="AS85" s="303"/>
      <c r="AT85" s="303"/>
      <c r="AU85" s="303"/>
      <c r="AV85" s="303"/>
      <c r="AW85" s="303"/>
      <c r="AX85" s="300"/>
      <c r="AY85" s="303"/>
      <c r="AZ85" s="303"/>
      <c r="BA85" s="303"/>
      <c r="BB85" s="303"/>
      <c r="BC85" s="303"/>
      <c r="BD85" s="303"/>
      <c r="BE85" s="303"/>
      <c r="BF85" s="303"/>
      <c r="BG85" s="303"/>
      <c r="BH85" s="303"/>
      <c r="BI85" s="303"/>
      <c r="BJ85" s="303"/>
      <c r="BK85" s="303"/>
      <c r="BL85" s="299"/>
      <c r="BM85" s="299"/>
    </row>
    <row r="86" spans="1:65" s="298" customFormat="1">
      <c r="A86" s="302"/>
      <c r="B86" s="301"/>
      <c r="C86" s="304"/>
      <c r="D86" s="304"/>
      <c r="E86" s="304"/>
      <c r="F86" s="304"/>
      <c r="G86" s="304"/>
      <c r="H86" s="304"/>
      <c r="I86" s="304"/>
      <c r="J86" s="304"/>
      <c r="K86" s="304"/>
      <c r="L86" s="304"/>
      <c r="M86" s="304"/>
      <c r="N86" s="304"/>
      <c r="O86" s="304"/>
      <c r="P86" s="304"/>
      <c r="Q86" s="304"/>
      <c r="R86" s="304"/>
      <c r="S86" s="304"/>
      <c r="T86" s="304"/>
      <c r="U86" s="304"/>
      <c r="V86" s="304"/>
      <c r="W86" s="304"/>
      <c r="X86" s="304"/>
      <c r="Y86" s="304"/>
      <c r="Z86" s="304"/>
      <c r="AA86" s="304"/>
      <c r="AB86" s="304"/>
      <c r="AC86" s="304"/>
      <c r="AD86" s="304"/>
      <c r="AE86" s="304"/>
      <c r="AF86" s="230"/>
      <c r="AG86" s="230"/>
      <c r="AH86" s="303"/>
      <c r="AI86" s="230"/>
      <c r="AJ86" s="303"/>
      <c r="AK86" s="303"/>
      <c r="AL86" s="303"/>
      <c r="AM86" s="303"/>
      <c r="AN86" s="303"/>
      <c r="AO86" s="303"/>
      <c r="AP86" s="303"/>
      <c r="AQ86" s="303"/>
      <c r="AR86" s="303"/>
      <c r="AS86" s="303"/>
      <c r="AT86" s="303"/>
      <c r="AU86" s="303"/>
      <c r="AV86" s="303"/>
      <c r="AW86" s="303"/>
      <c r="AX86" s="300"/>
      <c r="AY86" s="303"/>
      <c r="AZ86" s="303"/>
      <c r="BA86" s="303"/>
      <c r="BB86" s="303"/>
      <c r="BC86" s="303"/>
      <c r="BD86" s="303"/>
      <c r="BE86" s="303"/>
      <c r="BF86" s="303"/>
      <c r="BG86" s="303"/>
      <c r="BH86" s="303"/>
      <c r="BI86" s="303"/>
      <c r="BJ86" s="303"/>
      <c r="BK86" s="303"/>
      <c r="BL86" s="299"/>
      <c r="BM86" s="299"/>
    </row>
    <row r="87" spans="1:65" s="298" customFormat="1">
      <c r="A87" s="302"/>
      <c r="B87" s="301"/>
      <c r="C87" s="304"/>
      <c r="D87" s="304"/>
      <c r="E87" s="304"/>
      <c r="F87" s="304"/>
      <c r="G87" s="304"/>
      <c r="H87" s="304"/>
      <c r="I87" s="304"/>
      <c r="J87" s="304"/>
      <c r="K87" s="304"/>
      <c r="L87" s="304"/>
      <c r="M87" s="304"/>
      <c r="N87" s="304"/>
      <c r="O87" s="304"/>
      <c r="P87" s="304"/>
      <c r="Q87" s="304"/>
      <c r="R87" s="304"/>
      <c r="S87" s="304"/>
      <c r="T87" s="304"/>
      <c r="U87" s="304"/>
      <c r="V87" s="304"/>
      <c r="W87" s="304"/>
      <c r="X87" s="304"/>
      <c r="Y87" s="304"/>
      <c r="Z87" s="304"/>
      <c r="AA87" s="304"/>
      <c r="AB87" s="304"/>
      <c r="AC87" s="304"/>
      <c r="AD87" s="304"/>
      <c r="AE87" s="304"/>
      <c r="AF87" s="230"/>
      <c r="AG87" s="230"/>
      <c r="AH87" s="303"/>
      <c r="AI87" s="230"/>
      <c r="AJ87" s="303"/>
      <c r="AK87" s="303"/>
      <c r="AL87" s="303"/>
      <c r="AM87" s="303"/>
      <c r="AN87" s="303"/>
      <c r="AO87" s="303"/>
      <c r="AP87" s="303"/>
      <c r="AQ87" s="303"/>
      <c r="AR87" s="303"/>
      <c r="AS87" s="303"/>
      <c r="AT87" s="303"/>
      <c r="AU87" s="303"/>
      <c r="AV87" s="303"/>
      <c r="AW87" s="303"/>
      <c r="AX87" s="303"/>
      <c r="AY87" s="303"/>
      <c r="AZ87" s="303"/>
      <c r="BA87" s="303"/>
      <c r="BB87" s="303"/>
      <c r="BC87" s="303"/>
      <c r="BD87" s="303"/>
      <c r="BE87" s="303"/>
      <c r="BF87" s="303"/>
      <c r="BG87" s="303"/>
      <c r="BH87" s="303"/>
      <c r="BI87" s="303"/>
      <c r="BJ87" s="303"/>
      <c r="BK87" s="303"/>
      <c r="BL87" s="299"/>
      <c r="BM87" s="299"/>
    </row>
    <row r="88" spans="1:65" s="298" customFormat="1">
      <c r="A88" s="302"/>
      <c r="B88" s="301"/>
      <c r="C88" s="304"/>
      <c r="D88" s="304"/>
      <c r="E88" s="304"/>
      <c r="F88" s="304"/>
      <c r="G88" s="304"/>
      <c r="H88" s="304"/>
      <c r="I88" s="304"/>
      <c r="J88" s="304"/>
      <c r="K88" s="304"/>
      <c r="L88" s="304"/>
      <c r="M88" s="304"/>
      <c r="N88" s="304"/>
      <c r="O88" s="304"/>
      <c r="P88" s="304"/>
      <c r="Q88" s="304"/>
      <c r="R88" s="304"/>
      <c r="S88" s="304"/>
      <c r="T88" s="304"/>
      <c r="U88" s="304"/>
      <c r="V88" s="304"/>
      <c r="W88" s="304"/>
      <c r="X88" s="304"/>
      <c r="Y88" s="304"/>
      <c r="Z88" s="304"/>
      <c r="AA88" s="304"/>
      <c r="AB88" s="304"/>
      <c r="AC88" s="304"/>
      <c r="AD88" s="304"/>
      <c r="AE88" s="304"/>
      <c r="AF88" s="230"/>
      <c r="AG88" s="230"/>
      <c r="AH88" s="303"/>
      <c r="AI88" s="230"/>
      <c r="AJ88" s="303"/>
      <c r="AK88" s="303"/>
      <c r="AL88" s="303"/>
      <c r="AM88" s="303"/>
      <c r="AN88" s="303"/>
      <c r="AO88" s="303"/>
      <c r="AP88" s="303"/>
      <c r="AQ88" s="303"/>
      <c r="AR88" s="303"/>
      <c r="AS88" s="303"/>
      <c r="AT88" s="303"/>
      <c r="AU88" s="303"/>
      <c r="AV88" s="303"/>
      <c r="AW88" s="303"/>
      <c r="AX88" s="303"/>
      <c r="AY88" s="303"/>
      <c r="AZ88" s="303"/>
      <c r="BA88" s="303"/>
      <c r="BB88" s="303"/>
      <c r="BC88" s="303"/>
      <c r="BD88" s="303"/>
      <c r="BE88" s="303"/>
      <c r="BF88" s="303"/>
      <c r="BG88" s="303"/>
      <c r="BH88" s="303"/>
      <c r="BI88" s="303"/>
      <c r="BJ88" s="303"/>
      <c r="BK88" s="303"/>
      <c r="BL88" s="299"/>
      <c r="BM88" s="299"/>
    </row>
    <row r="89" spans="1:65" s="298" customFormat="1">
      <c r="A89" s="302"/>
      <c r="B89" s="301"/>
      <c r="C89" s="300"/>
      <c r="D89" s="300"/>
      <c r="E89" s="300"/>
      <c r="F89" s="300"/>
      <c r="G89" s="300"/>
      <c r="H89" s="300"/>
      <c r="I89" s="300"/>
      <c r="J89" s="300"/>
      <c r="K89" s="300"/>
      <c r="L89" s="300"/>
      <c r="M89" s="300"/>
      <c r="N89" s="300"/>
      <c r="O89" s="300"/>
      <c r="P89" s="300"/>
      <c r="Q89" s="300"/>
      <c r="R89" s="300"/>
      <c r="S89" s="300"/>
      <c r="T89" s="300"/>
      <c r="U89" s="300"/>
      <c r="V89" s="300"/>
      <c r="W89" s="300"/>
      <c r="X89" s="300"/>
      <c r="Y89" s="300"/>
      <c r="Z89" s="300"/>
      <c r="AA89" s="300"/>
      <c r="AB89" s="300"/>
      <c r="AC89" s="300"/>
      <c r="AD89" s="300"/>
      <c r="AE89" s="300"/>
      <c r="AF89" s="230"/>
      <c r="AG89" s="230"/>
      <c r="AH89" s="300"/>
      <c r="AI89" s="230"/>
      <c r="AJ89" s="300"/>
      <c r="AK89" s="300"/>
      <c r="AL89" s="300"/>
      <c r="AM89" s="300"/>
      <c r="AN89" s="300"/>
      <c r="AO89" s="300"/>
      <c r="AP89" s="300"/>
      <c r="AQ89" s="300"/>
      <c r="AR89" s="300"/>
      <c r="AS89" s="300"/>
      <c r="AT89" s="300"/>
      <c r="AU89" s="300"/>
      <c r="AV89" s="300"/>
      <c r="AW89" s="300"/>
      <c r="AX89" s="300"/>
      <c r="AY89" s="300"/>
      <c r="AZ89" s="300"/>
      <c r="BA89" s="300"/>
      <c r="BB89" s="300"/>
      <c r="BC89" s="300"/>
      <c r="BD89" s="300"/>
      <c r="BE89" s="300"/>
      <c r="BF89" s="300"/>
      <c r="BG89" s="300"/>
      <c r="BH89" s="300"/>
      <c r="BI89" s="300"/>
      <c r="BJ89" s="300"/>
      <c r="BK89" s="300"/>
      <c r="BL89" s="299"/>
      <c r="BM89" s="299"/>
    </row>
    <row r="90" spans="1:65">
      <c r="BJ90" s="250"/>
      <c r="BK90" s="250"/>
      <c r="BL90" s="250"/>
      <c r="BM90" s="250"/>
    </row>
    <row r="91" spans="1:65">
      <c r="BJ91" s="250"/>
      <c r="BK91" s="250"/>
      <c r="BL91" s="250"/>
      <c r="BM91" s="250"/>
    </row>
    <row r="92" spans="1:65">
      <c r="BJ92" s="250"/>
      <c r="BK92" s="250"/>
      <c r="BL92" s="250"/>
      <c r="BM92" s="250"/>
    </row>
    <row r="93" spans="1:65">
      <c r="BJ93" s="250"/>
      <c r="BK93" s="250"/>
      <c r="BL93" s="250"/>
      <c r="BM93" s="250"/>
    </row>
    <row r="94" spans="1:65">
      <c r="BJ94" s="250"/>
      <c r="BK94" s="250"/>
      <c r="BL94" s="250"/>
      <c r="BM94" s="250"/>
    </row>
  </sheetData>
  <pageMargins left="0.2" right="0.2" top="0.5" bottom="0.5" header="0.05" footer="0.05"/>
  <pageSetup scale="66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59999389629810485"/>
  </sheetPr>
  <dimension ref="A1:J131"/>
  <sheetViews>
    <sheetView zoomScale="85" zoomScaleNormal="85" workbookViewId="0">
      <pane xSplit="2" ySplit="11" topLeftCell="C19" activePane="bottomRight" state="frozen"/>
      <selection activeCell="G13" sqref="G13"/>
      <selection pane="topRight" activeCell="G13" sqref="G13"/>
      <selection pane="bottomLeft" activeCell="G13" sqref="G13"/>
      <selection pane="bottomRight" activeCell="G52" sqref="G52"/>
    </sheetView>
  </sheetViews>
  <sheetFormatPr defaultColWidth="9.109375" defaultRowHeight="13.8"/>
  <cols>
    <col min="1" max="1" width="4.5546875" style="272" bestFit="1" customWidth="1"/>
    <col min="2" max="2" width="38.6640625" style="272" customWidth="1"/>
    <col min="3" max="3" width="17.33203125" style="273" bestFit="1" customWidth="1"/>
    <col min="4" max="4" width="15.33203125" style="273" customWidth="1"/>
    <col min="5" max="5" width="17" style="273" customWidth="1"/>
    <col min="6" max="6" width="15.33203125" style="273" customWidth="1"/>
    <col min="7" max="7" width="17" style="272" customWidth="1"/>
    <col min="8" max="8" width="15.33203125" style="273" customWidth="1"/>
    <col min="9" max="9" width="17.109375" style="272" customWidth="1"/>
    <col min="10" max="10" width="12.5546875" style="272" bestFit="1" customWidth="1"/>
    <col min="11" max="16384" width="9.109375" style="272"/>
  </cols>
  <sheetData>
    <row r="1" spans="1:9">
      <c r="A1" s="297" t="s">
        <v>32</v>
      </c>
      <c r="C1" s="297"/>
      <c r="H1" s="270" t="s">
        <v>619</v>
      </c>
      <c r="I1" s="268"/>
    </row>
    <row r="2" spans="1:9">
      <c r="A2" s="297" t="s">
        <v>618</v>
      </c>
      <c r="C2" s="297"/>
    </row>
    <row r="3" spans="1:9">
      <c r="A3" s="297" t="s">
        <v>98</v>
      </c>
      <c r="C3" s="297"/>
    </row>
    <row r="4" spans="1:9">
      <c r="A4" s="297" t="str">
        <f>CASE_G</f>
        <v>2019 GENERAL RATE CASE</v>
      </c>
      <c r="C4" s="297"/>
    </row>
    <row r="5" spans="1:9">
      <c r="A5" s="297" t="str">
        <f>TESTYEAR_G</f>
        <v>12 MONTHS ENDED DECEMBER 31, 2018</v>
      </c>
      <c r="C5" s="297"/>
    </row>
    <row r="6" spans="1:9">
      <c r="C6" s="715"/>
      <c r="D6" s="715"/>
      <c r="E6" s="715"/>
      <c r="F6" s="715"/>
    </row>
    <row r="9" spans="1:9">
      <c r="C9" s="714" t="s">
        <v>97</v>
      </c>
      <c r="D9" s="714"/>
      <c r="E9" s="714" t="s">
        <v>96</v>
      </c>
      <c r="F9" s="714"/>
      <c r="G9" s="714" t="s">
        <v>95</v>
      </c>
      <c r="H9" s="262" t="s">
        <v>94</v>
      </c>
      <c r="I9" s="714" t="s">
        <v>93</v>
      </c>
    </row>
    <row r="10" spans="1:9" ht="13.5" customHeight="1">
      <c r="A10" s="714" t="s">
        <v>26</v>
      </c>
      <c r="B10" s="714" t="s">
        <v>22</v>
      </c>
      <c r="C10" s="714" t="s">
        <v>90</v>
      </c>
      <c r="D10" s="714" t="s">
        <v>92</v>
      </c>
      <c r="E10" s="714" t="s">
        <v>90</v>
      </c>
      <c r="F10" s="714" t="s">
        <v>91</v>
      </c>
      <c r="G10" s="714" t="s">
        <v>90</v>
      </c>
      <c r="H10" s="262" t="s">
        <v>89</v>
      </c>
      <c r="I10" s="714" t="s">
        <v>88</v>
      </c>
    </row>
    <row r="11" spans="1:9">
      <c r="A11" s="714" t="s">
        <v>23</v>
      </c>
      <c r="C11" s="714" t="s">
        <v>87</v>
      </c>
      <c r="D11" s="714" t="s">
        <v>86</v>
      </c>
      <c r="E11" s="714" t="s">
        <v>85</v>
      </c>
      <c r="F11" s="714" t="s">
        <v>86</v>
      </c>
      <c r="G11" s="713" t="s">
        <v>85</v>
      </c>
      <c r="H11" s="295" t="s">
        <v>84</v>
      </c>
      <c r="I11" s="713" t="str">
        <f>IF(H17&lt;0,"DECREASE","INCREASE")</f>
        <v>INCREASE</v>
      </c>
    </row>
    <row r="12" spans="1:9">
      <c r="C12" s="294" t="s">
        <v>83</v>
      </c>
      <c r="D12" s="294" t="s">
        <v>82</v>
      </c>
      <c r="E12" s="294" t="s">
        <v>81</v>
      </c>
      <c r="F12" s="294" t="s">
        <v>80</v>
      </c>
      <c r="G12" s="263" t="s">
        <v>79</v>
      </c>
      <c r="H12" s="294" t="s">
        <v>78</v>
      </c>
      <c r="I12" s="263" t="s">
        <v>77</v>
      </c>
    </row>
    <row r="13" spans="1:9">
      <c r="A13" s="682">
        <v>1</v>
      </c>
      <c r="B13" s="689" t="s">
        <v>76</v>
      </c>
      <c r="G13" s="273"/>
    </row>
    <row r="14" spans="1:9">
      <c r="A14" s="682">
        <f t="shared" ref="A14:A45" si="0">A13+1</f>
        <v>2</v>
      </c>
      <c r="B14" s="689" t="s">
        <v>75</v>
      </c>
      <c r="C14" s="712">
        <f>+'SEF-4G p 2-5'!C14</f>
        <v>876657675.66999984</v>
      </c>
      <c r="D14" s="712">
        <f>+'SEF-4G p 2-5'!X14</f>
        <v>-152892006.21581638</v>
      </c>
      <c r="E14" s="712">
        <f>SUM(C14:D14)</f>
        <v>723765669.45418346</v>
      </c>
      <c r="F14" s="712">
        <f>+'SEF-4G p 2-5'!AU14</f>
        <v>28192498.745988045</v>
      </c>
      <c r="G14" s="712">
        <f>SUM(E14:F14)</f>
        <v>751958168.20017147</v>
      </c>
      <c r="H14" s="712">
        <f>'SEF-3G'!C21</f>
        <v>86128345</v>
      </c>
      <c r="I14" s="712">
        <f>SUM(G14:H14)</f>
        <v>838086513.20017147</v>
      </c>
    </row>
    <row r="15" spans="1:9">
      <c r="A15" s="682">
        <f t="shared" si="0"/>
        <v>3</v>
      </c>
      <c r="B15" s="689" t="s">
        <v>617</v>
      </c>
      <c r="C15" s="705">
        <f>+'SEF-4G p 2-5'!C15</f>
        <v>0</v>
      </c>
      <c r="D15" s="705">
        <f>+'SEF-4G p 2-5'!X15</f>
        <v>0</v>
      </c>
      <c r="E15" s="705">
        <f>SUM(C15:D15)</f>
        <v>0</v>
      </c>
      <c r="F15" s="705">
        <f>+'SEF-4G p 2-5'!AU15</f>
        <v>0</v>
      </c>
      <c r="G15" s="705">
        <f>SUM(E15:F15)</f>
        <v>0</v>
      </c>
      <c r="H15" s="705"/>
      <c r="I15" s="705">
        <f>SUM(G15:H15)</f>
        <v>0</v>
      </c>
    </row>
    <row r="16" spans="1:9">
      <c r="A16" s="682">
        <f t="shared" si="0"/>
        <v>4</v>
      </c>
      <c r="B16" s="689" t="s">
        <v>72</v>
      </c>
      <c r="C16" s="705">
        <f>+'SEF-4G p 2-5'!C16</f>
        <v>-25909998.579999998</v>
      </c>
      <c r="D16" s="705">
        <f>+'SEF-4G p 2-5'!X16</f>
        <v>46115261.559999995</v>
      </c>
      <c r="E16" s="705">
        <f>SUM(C16:D16)</f>
        <v>20205262.979999997</v>
      </c>
      <c r="F16" s="705">
        <f>+'SEF-4G p 2-5'!AU16</f>
        <v>-9854969.0099999998</v>
      </c>
      <c r="G16" s="705">
        <f>SUM(E16:F16)</f>
        <v>10350293.969999997</v>
      </c>
      <c r="H16" s="705"/>
      <c r="I16" s="705">
        <f>SUM(G16:H16)</f>
        <v>10350293.969999997</v>
      </c>
    </row>
    <row r="17" spans="1:10">
      <c r="A17" s="682">
        <f t="shared" si="0"/>
        <v>5</v>
      </c>
      <c r="B17" s="689" t="s">
        <v>71</v>
      </c>
      <c r="C17" s="290">
        <f t="shared" ref="C17:I17" si="1">SUM(C14:C16)</f>
        <v>850747677.08999979</v>
      </c>
      <c r="D17" s="290">
        <f t="shared" si="1"/>
        <v>-106776744.65581638</v>
      </c>
      <c r="E17" s="290">
        <f t="shared" si="1"/>
        <v>743970932.43418348</v>
      </c>
      <c r="F17" s="290">
        <f t="shared" si="1"/>
        <v>18337529.735988043</v>
      </c>
      <c r="G17" s="290">
        <f t="shared" si="1"/>
        <v>762308462.1701715</v>
      </c>
      <c r="H17" s="290">
        <f t="shared" si="1"/>
        <v>86128345</v>
      </c>
      <c r="I17" s="290">
        <f t="shared" si="1"/>
        <v>848436807.1701715</v>
      </c>
    </row>
    <row r="18" spans="1:10" s="291" customFormat="1">
      <c r="A18" s="682">
        <f t="shared" si="0"/>
        <v>6</v>
      </c>
      <c r="B18" s="711"/>
      <c r="C18" s="705"/>
      <c r="D18" s="705"/>
      <c r="E18" s="705"/>
      <c r="F18" s="705"/>
      <c r="G18" s="705"/>
      <c r="H18" s="705"/>
      <c r="I18" s="705"/>
    </row>
    <row r="19" spans="1:10">
      <c r="A19" s="682">
        <f t="shared" si="0"/>
        <v>7</v>
      </c>
      <c r="B19" s="689" t="s">
        <v>70</v>
      </c>
      <c r="F19" s="705"/>
      <c r="G19" s="705"/>
      <c r="I19" s="273"/>
    </row>
    <row r="20" spans="1:10">
      <c r="A20" s="682">
        <f t="shared" si="0"/>
        <v>8</v>
      </c>
      <c r="B20" s="687"/>
      <c r="G20" s="273"/>
      <c r="I20" s="273"/>
    </row>
    <row r="21" spans="1:10">
      <c r="A21" s="682">
        <f t="shared" si="0"/>
        <v>9</v>
      </c>
      <c r="B21" s="689" t="s">
        <v>616</v>
      </c>
      <c r="G21" s="273"/>
      <c r="I21" s="273"/>
    </row>
    <row r="22" spans="1:10">
      <c r="A22" s="682">
        <f t="shared" si="0"/>
        <v>10</v>
      </c>
      <c r="B22" s="689"/>
      <c r="C22" s="282">
        <f>+'SEF-4G p 2-5'!C22</f>
        <v>0</v>
      </c>
      <c r="D22" s="282">
        <f>+'SEF-4G p 2-5'!X22</f>
        <v>0</v>
      </c>
      <c r="E22" s="282">
        <f>SUM(C22:D22)</f>
        <v>0</v>
      </c>
      <c r="F22" s="282">
        <f>+'SEF-4G p 2-5'!AU22</f>
        <v>0</v>
      </c>
      <c r="G22" s="282">
        <f>SUM(E22:F22)</f>
        <v>0</v>
      </c>
      <c r="H22" s="289"/>
      <c r="I22" s="282">
        <f>SUM(G22:H22)</f>
        <v>0</v>
      </c>
    </row>
    <row r="23" spans="1:10">
      <c r="A23" s="682">
        <f t="shared" si="0"/>
        <v>11</v>
      </c>
      <c r="B23" s="689" t="s">
        <v>615</v>
      </c>
      <c r="C23" s="705">
        <f>+'SEF-4G p 2-5'!C23</f>
        <v>296699052.05999887</v>
      </c>
      <c r="D23" s="705">
        <f>+'SEF-4G p 2-5'!X23</f>
        <v>-20106832.814327635</v>
      </c>
      <c r="E23" s="705">
        <f>SUM(C23:D23)</f>
        <v>276592219.24567121</v>
      </c>
      <c r="F23" s="705">
        <f>+'SEF-4G p 2-5'!AU23</f>
        <v>16597941.863750041</v>
      </c>
      <c r="G23" s="705">
        <f>SUM(E23:F23)</f>
        <v>293190161.10942125</v>
      </c>
      <c r="H23" s="709"/>
      <c r="I23" s="705">
        <f>SUM(G23:H23)</f>
        <v>293190161.10942125</v>
      </c>
    </row>
    <row r="24" spans="1:10">
      <c r="A24" s="682">
        <f t="shared" si="0"/>
        <v>12</v>
      </c>
      <c r="B24" s="687"/>
      <c r="C24" s="705">
        <f>+'SEF-4G p 2-5'!C24</f>
        <v>0</v>
      </c>
      <c r="D24" s="705">
        <f>+'SEF-4G p 2-5'!X24</f>
        <v>0</v>
      </c>
      <c r="E24" s="705">
        <f>SUM(C24:D24)</f>
        <v>0</v>
      </c>
      <c r="F24" s="705">
        <f>+'SEF-4G p 2-5'!AU24</f>
        <v>0</v>
      </c>
      <c r="G24" s="705">
        <f>SUM(E24:F24)</f>
        <v>0</v>
      </c>
      <c r="H24" s="709"/>
      <c r="I24" s="705">
        <f>SUM(G24:H24)</f>
        <v>0</v>
      </c>
    </row>
    <row r="25" spans="1:10">
      <c r="A25" s="682">
        <f t="shared" si="0"/>
        <v>13</v>
      </c>
      <c r="B25" s="689" t="s">
        <v>64</v>
      </c>
      <c r="C25" s="286">
        <f t="shared" ref="C25:I25" si="2">SUM(C21:C24)</f>
        <v>296699052.05999887</v>
      </c>
      <c r="D25" s="286">
        <f t="shared" si="2"/>
        <v>-20106832.814327635</v>
      </c>
      <c r="E25" s="286">
        <f t="shared" si="2"/>
        <v>276592219.24567121</v>
      </c>
      <c r="F25" s="286">
        <f t="shared" si="2"/>
        <v>16597941.863750041</v>
      </c>
      <c r="G25" s="286">
        <f t="shared" si="2"/>
        <v>293190161.10942125</v>
      </c>
      <c r="H25" s="290">
        <f t="shared" si="2"/>
        <v>0</v>
      </c>
      <c r="I25" s="286">
        <f t="shared" si="2"/>
        <v>293190161.10942125</v>
      </c>
      <c r="J25" s="276"/>
    </row>
    <row r="26" spans="1:10">
      <c r="A26" s="682">
        <f t="shared" si="0"/>
        <v>14</v>
      </c>
      <c r="B26" s="689"/>
      <c r="C26" s="282"/>
      <c r="D26" s="282"/>
      <c r="E26" s="282"/>
      <c r="F26" s="282"/>
      <c r="G26" s="282"/>
      <c r="H26" s="289"/>
      <c r="I26" s="282"/>
    </row>
    <row r="27" spans="1:10">
      <c r="A27" s="682">
        <f t="shared" si="0"/>
        <v>15</v>
      </c>
      <c r="B27" s="710" t="s">
        <v>63</v>
      </c>
      <c r="C27" s="282">
        <f>+'SEF-4G p 2-5'!C27</f>
        <v>6042805.129999999</v>
      </c>
      <c r="D27" s="282">
        <f>+'SEF-4G p 2-5'!X27</f>
        <v>18583.731398664269</v>
      </c>
      <c r="E27" s="282">
        <f t="shared" ref="E27:E41" si="3">SUM(C27:D27)</f>
        <v>6061388.8613986634</v>
      </c>
      <c r="F27" s="282">
        <f>+'SEF-4G p 2-5'!AU27</f>
        <v>110776.01203954894</v>
      </c>
      <c r="G27" s="282">
        <f t="shared" ref="G27:G41" si="4">SUM(E27:F27)</f>
        <v>6172164.8734382121</v>
      </c>
      <c r="H27" s="289"/>
      <c r="I27" s="282">
        <f t="shared" ref="I27:I41" si="5">SUM(G27:H27)</f>
        <v>6172164.8734382121</v>
      </c>
    </row>
    <row r="28" spans="1:10">
      <c r="A28" s="682">
        <f t="shared" si="0"/>
        <v>16</v>
      </c>
      <c r="B28" s="689" t="s">
        <v>62</v>
      </c>
      <c r="C28" s="705">
        <f>+'SEF-4G p 2-5'!C28</f>
        <v>2110.77</v>
      </c>
      <c r="D28" s="705">
        <f>+'SEF-4G p 2-5'!X28</f>
        <v>0</v>
      </c>
      <c r="E28" s="705">
        <f t="shared" si="3"/>
        <v>2110.77</v>
      </c>
      <c r="F28" s="705">
        <f>+'SEF-4G p 2-5'!AU28</f>
        <v>57.75</v>
      </c>
      <c r="G28" s="705">
        <f t="shared" si="4"/>
        <v>2168.52</v>
      </c>
      <c r="H28" s="709"/>
      <c r="I28" s="705">
        <f t="shared" si="5"/>
        <v>2168.52</v>
      </c>
    </row>
    <row r="29" spans="1:10">
      <c r="A29" s="682">
        <f t="shared" si="0"/>
        <v>17</v>
      </c>
      <c r="B29" s="689" t="s">
        <v>61</v>
      </c>
      <c r="C29" s="705">
        <f>+'SEF-4G p 2-5'!C29</f>
        <v>60174168.099999979</v>
      </c>
      <c r="D29" s="705">
        <f>+'SEF-4G p 2-5'!X29</f>
        <v>523457.26844154485</v>
      </c>
      <c r="E29" s="705">
        <f t="shared" si="3"/>
        <v>60697625.368441522</v>
      </c>
      <c r="F29" s="705">
        <f>+'SEF-4G p 2-5'!AU29</f>
        <v>1628823.3921382427</v>
      </c>
      <c r="G29" s="705">
        <f t="shared" si="4"/>
        <v>62326448.760579765</v>
      </c>
      <c r="H29" s="709"/>
      <c r="I29" s="705">
        <f t="shared" si="5"/>
        <v>62326448.760579765</v>
      </c>
    </row>
    <row r="30" spans="1:10">
      <c r="A30" s="682">
        <f t="shared" si="0"/>
        <v>18</v>
      </c>
      <c r="B30" s="689" t="s">
        <v>60</v>
      </c>
      <c r="C30" s="705">
        <f>+'SEF-4G p 2-5'!C30</f>
        <v>29807451.619999997</v>
      </c>
      <c r="D30" s="705">
        <f>+'SEF-4G p 2-5'!X30</f>
        <v>-141418.02794167335</v>
      </c>
      <c r="E30" s="705">
        <f t="shared" si="3"/>
        <v>29666033.592058323</v>
      </c>
      <c r="F30" s="705">
        <f>+'SEF-4G p 2-5'!AU30</f>
        <v>38029.742556495417</v>
      </c>
      <c r="G30" s="705">
        <f t="shared" si="4"/>
        <v>29704063.334614817</v>
      </c>
      <c r="H30" s="709">
        <f>'SEF-3G'!C21*'SEF-3G'!M12</f>
        <v>441321.63978000003</v>
      </c>
      <c r="I30" s="705">
        <f t="shared" si="5"/>
        <v>30145384.974394817</v>
      </c>
    </row>
    <row r="31" spans="1:10">
      <c r="A31" s="682">
        <f t="shared" si="0"/>
        <v>19</v>
      </c>
      <c r="B31" s="689" t="s">
        <v>59</v>
      </c>
      <c r="C31" s="705">
        <f>+'SEF-4G p 2-5'!C31</f>
        <v>6574431.0799999991</v>
      </c>
      <c r="D31" s="705">
        <f>+'SEF-4G p 2-5'!X31</f>
        <v>-4811195.0053552855</v>
      </c>
      <c r="E31" s="705">
        <f t="shared" si="3"/>
        <v>1763236.0746447137</v>
      </c>
      <c r="F31" s="705">
        <f>+'SEF-4G p 2-5'!AU31</f>
        <v>31612.10595257883</v>
      </c>
      <c r="G31" s="705">
        <f t="shared" si="4"/>
        <v>1794848.1805972925</v>
      </c>
      <c r="H31" s="709"/>
      <c r="I31" s="705">
        <f t="shared" si="5"/>
        <v>1794848.1805972925</v>
      </c>
    </row>
    <row r="32" spans="1:10">
      <c r="A32" s="682">
        <f t="shared" si="0"/>
        <v>20</v>
      </c>
      <c r="B32" s="689" t="s">
        <v>58</v>
      </c>
      <c r="C32" s="705">
        <f>+'SEF-4G p 2-5'!C32</f>
        <v>14625833.34</v>
      </c>
      <c r="D32" s="705">
        <f>+'SEF-4G p 2-5'!X32</f>
        <v>-14625833.34</v>
      </c>
      <c r="E32" s="705">
        <f t="shared" si="3"/>
        <v>0</v>
      </c>
      <c r="F32" s="705">
        <f>+'SEF-4G p 2-5'!AU32</f>
        <v>0</v>
      </c>
      <c r="G32" s="705">
        <f t="shared" si="4"/>
        <v>0</v>
      </c>
      <c r="H32" s="709"/>
      <c r="I32" s="705">
        <f t="shared" si="5"/>
        <v>0</v>
      </c>
    </row>
    <row r="33" spans="1:9">
      <c r="A33" s="682">
        <f t="shared" si="0"/>
        <v>21</v>
      </c>
      <c r="B33" s="689" t="s">
        <v>57</v>
      </c>
      <c r="C33" s="705">
        <f>+'SEF-4G p 2-5'!C33</f>
        <v>57249534.549999997</v>
      </c>
      <c r="D33" s="705">
        <f>+'SEF-4G p 2-5'!X33</f>
        <v>2450854.9941091775</v>
      </c>
      <c r="E33" s="705">
        <f t="shared" si="3"/>
        <v>59700389.544109173</v>
      </c>
      <c r="F33" s="705">
        <f>+'SEF-4G p 2-5'!AU33</f>
        <v>910092.30999223783</v>
      </c>
      <c r="G33" s="705">
        <f t="shared" si="4"/>
        <v>60610481.854101412</v>
      </c>
      <c r="H33" s="709">
        <f>'SEF-3G'!C21*'SEF-3G'!M13</f>
        <v>172256.69</v>
      </c>
      <c r="I33" s="705">
        <f t="shared" si="5"/>
        <v>60782738.54410141</v>
      </c>
    </row>
    <row r="34" spans="1:9">
      <c r="A34" s="682">
        <f t="shared" si="0"/>
        <v>22</v>
      </c>
      <c r="B34" s="689" t="s">
        <v>56</v>
      </c>
      <c r="C34" s="705">
        <f>+'SEF-4G p 2-5'!C34</f>
        <v>116957730.5099999</v>
      </c>
      <c r="D34" s="705">
        <f>+'SEF-4G p 2-5'!X34</f>
        <v>4136955.6219727392</v>
      </c>
      <c r="E34" s="705">
        <f t="shared" si="3"/>
        <v>121094686.13197264</v>
      </c>
      <c r="F34" s="705">
        <f>+'SEF-4G p 2-5'!AU34</f>
        <v>725519.24705398711</v>
      </c>
      <c r="G34" s="705">
        <f t="shared" si="4"/>
        <v>121820205.37902662</v>
      </c>
      <c r="H34" s="709"/>
      <c r="I34" s="705">
        <f t="shared" si="5"/>
        <v>121820205.37902662</v>
      </c>
    </row>
    <row r="35" spans="1:9">
      <c r="A35" s="682">
        <f t="shared" si="0"/>
        <v>23</v>
      </c>
      <c r="B35" s="689" t="s">
        <v>55</v>
      </c>
      <c r="C35" s="705">
        <f>+'SEF-4G p 2-5'!C35</f>
        <v>26117569.960000001</v>
      </c>
      <c r="D35" s="705">
        <f>+'SEF-4G p 2-5'!X35</f>
        <v>8190016.0321619846</v>
      </c>
      <c r="E35" s="705">
        <f t="shared" si="3"/>
        <v>34307585.992161989</v>
      </c>
      <c r="F35" s="705">
        <f>+'SEF-4G p 2-5'!AU35</f>
        <v>3029400.0054726158</v>
      </c>
      <c r="G35" s="705">
        <f t="shared" si="4"/>
        <v>37336985.997634605</v>
      </c>
      <c r="H35" s="709"/>
      <c r="I35" s="705">
        <f t="shared" si="5"/>
        <v>37336985.997634605</v>
      </c>
    </row>
    <row r="36" spans="1:9">
      <c r="A36" s="682">
        <f t="shared" si="0"/>
        <v>24</v>
      </c>
      <c r="B36" s="710" t="s">
        <v>54</v>
      </c>
      <c r="C36" s="705">
        <f>+'SEF-4G p 2-5'!C36</f>
        <v>0</v>
      </c>
      <c r="D36" s="705">
        <f>+'SEF-4G p 2-5'!X36</f>
        <v>0</v>
      </c>
      <c r="E36" s="705">
        <f t="shared" si="3"/>
        <v>0</v>
      </c>
      <c r="F36" s="705">
        <f>+'SEF-4G p 2-5'!AU36</f>
        <v>0</v>
      </c>
      <c r="G36" s="705">
        <f t="shared" si="4"/>
        <v>0</v>
      </c>
      <c r="H36" s="709"/>
      <c r="I36" s="705">
        <f t="shared" si="5"/>
        <v>0</v>
      </c>
    </row>
    <row r="37" spans="1:9">
      <c r="A37" s="682">
        <f t="shared" si="0"/>
        <v>25</v>
      </c>
      <c r="B37" s="689" t="s">
        <v>53</v>
      </c>
      <c r="C37" s="705">
        <f>+'SEF-4G p 2-5'!C37</f>
        <v>8769360.9199999981</v>
      </c>
      <c r="D37" s="705">
        <f>+'SEF-4G p 2-5'!X37</f>
        <v>0</v>
      </c>
      <c r="E37" s="705">
        <f t="shared" si="3"/>
        <v>8769360.9199999981</v>
      </c>
      <c r="F37" s="705">
        <f>+'SEF-4G p 2-5'!AU37</f>
        <v>6374726.2163796239</v>
      </c>
      <c r="G37" s="705">
        <f t="shared" si="4"/>
        <v>15144087.136379622</v>
      </c>
      <c r="H37" s="709"/>
      <c r="I37" s="705">
        <f t="shared" si="5"/>
        <v>15144087.136379622</v>
      </c>
    </row>
    <row r="38" spans="1:9">
      <c r="A38" s="682">
        <f t="shared" si="0"/>
        <v>26</v>
      </c>
      <c r="B38" s="687" t="s">
        <v>52</v>
      </c>
      <c r="C38" s="705">
        <f>+'SEF-4G p 2-5'!C38</f>
        <v>0</v>
      </c>
      <c r="D38" s="705">
        <f>+'SEF-4G p 2-5'!X38</f>
        <v>0</v>
      </c>
      <c r="E38" s="705">
        <f t="shared" si="3"/>
        <v>0</v>
      </c>
      <c r="F38" s="705">
        <f>+'SEF-4G p 2-5'!AU38</f>
        <v>0</v>
      </c>
      <c r="G38" s="705">
        <f t="shared" si="4"/>
        <v>0</v>
      </c>
      <c r="H38" s="709"/>
      <c r="I38" s="705">
        <f t="shared" si="5"/>
        <v>0</v>
      </c>
    </row>
    <row r="39" spans="1:9">
      <c r="A39" s="682">
        <f t="shared" si="0"/>
        <v>27</v>
      </c>
      <c r="B39" s="689" t="s">
        <v>51</v>
      </c>
      <c r="C39" s="705">
        <f>+'SEF-4G p 2-5'!C39</f>
        <v>101477296.77</v>
      </c>
      <c r="D39" s="705">
        <f>+'SEF-4G p 2-5'!X39</f>
        <v>-66037515.76964312</v>
      </c>
      <c r="E39" s="705">
        <f t="shared" si="3"/>
        <v>35439781.000356875</v>
      </c>
      <c r="F39" s="705">
        <f>+'SEF-4G p 2-5'!AU39</f>
        <v>943258.47807991237</v>
      </c>
      <c r="G39" s="705">
        <f t="shared" si="4"/>
        <v>36383039.47843679</v>
      </c>
      <c r="H39" s="709">
        <f>'SEF-3G'!C21*'SEF-3G'!M14</f>
        <v>3300696.5654350002</v>
      </c>
      <c r="I39" s="705">
        <f t="shared" si="5"/>
        <v>39683736.04387179</v>
      </c>
    </row>
    <row r="40" spans="1:9">
      <c r="A40" s="682">
        <f t="shared" si="0"/>
        <v>28</v>
      </c>
      <c r="B40" s="689" t="s">
        <v>50</v>
      </c>
      <c r="C40" s="705">
        <f>+'SEF-4G p 2-5'!C40</f>
        <v>31944158.879999999</v>
      </c>
      <c r="D40" s="705">
        <f>+'SEF-4G p 2-5'!X40</f>
        <v>-27610540.958286967</v>
      </c>
      <c r="E40" s="705">
        <f t="shared" si="3"/>
        <v>4333617.9217130318</v>
      </c>
      <c r="F40" s="705">
        <f>+'SEF-4G p 2-5'!AU40</f>
        <v>-2347030.3273704685</v>
      </c>
      <c r="G40" s="705">
        <f t="shared" si="4"/>
        <v>1986587.5943425633</v>
      </c>
      <c r="H40" s="709">
        <f>'SEF-3G'!C21*'SEF-3G'!M19</f>
        <v>17264943.525320001</v>
      </c>
      <c r="I40" s="705">
        <f t="shared" si="5"/>
        <v>19251531.119662564</v>
      </c>
    </row>
    <row r="41" spans="1:9">
      <c r="A41" s="682">
        <f t="shared" si="0"/>
        <v>29</v>
      </c>
      <c r="B41" s="687" t="s">
        <v>49</v>
      </c>
      <c r="C41" s="705">
        <f>+'SEF-4G p 2-5'!C41</f>
        <v>-9558130.5899999961</v>
      </c>
      <c r="D41" s="705">
        <f>+'SEF-4G p 2-5'!X41</f>
        <v>10081450.108688122</v>
      </c>
      <c r="E41" s="705">
        <f t="shared" si="3"/>
        <v>523319.51868812554</v>
      </c>
      <c r="F41" s="705">
        <f>+'SEF-4G p 2-5'!AU41</f>
        <v>-722630.37767299998</v>
      </c>
      <c r="G41" s="705">
        <f t="shared" si="4"/>
        <v>-199310.85898487445</v>
      </c>
      <c r="H41" s="705"/>
      <c r="I41" s="705">
        <f t="shared" si="5"/>
        <v>-199310.85898487445</v>
      </c>
    </row>
    <row r="42" spans="1:9">
      <c r="A42" s="682">
        <f t="shared" si="0"/>
        <v>30</v>
      </c>
      <c r="B42" s="689" t="s">
        <v>48</v>
      </c>
      <c r="C42" s="286">
        <f t="shared" ref="C42:I42" si="6">SUM(C25:C41)</f>
        <v>746883373.09999859</v>
      </c>
      <c r="D42" s="286">
        <f t="shared" si="6"/>
        <v>-107932018.15878247</v>
      </c>
      <c r="E42" s="286">
        <f t="shared" si="6"/>
        <v>638951354.94121611</v>
      </c>
      <c r="F42" s="286">
        <f t="shared" si="6"/>
        <v>27320576.418371815</v>
      </c>
      <c r="G42" s="286">
        <f t="shared" si="6"/>
        <v>666271931.35958827</v>
      </c>
      <c r="H42" s="286">
        <f t="shared" si="6"/>
        <v>21179218.420535002</v>
      </c>
      <c r="I42" s="286">
        <f t="shared" si="6"/>
        <v>687451149.78012311</v>
      </c>
    </row>
    <row r="43" spans="1:9">
      <c r="A43" s="682">
        <f t="shared" si="0"/>
        <v>31</v>
      </c>
      <c r="B43" s="687"/>
      <c r="C43" s="285"/>
      <c r="D43" s="285"/>
      <c r="E43" s="285"/>
      <c r="F43" s="285"/>
      <c r="G43" s="285"/>
      <c r="H43" s="285"/>
      <c r="I43" s="285"/>
    </row>
    <row r="44" spans="1:9" ht="14.4" thickBot="1">
      <c r="A44" s="682">
        <f t="shared" si="0"/>
        <v>32</v>
      </c>
      <c r="B44" s="687" t="s">
        <v>47</v>
      </c>
      <c r="C44" s="708">
        <f t="shared" ref="C44:I44" si="7">+C17-C42</f>
        <v>103864303.9900012</v>
      </c>
      <c r="D44" s="708">
        <f t="shared" si="7"/>
        <v>1155273.502966091</v>
      </c>
      <c r="E44" s="708">
        <f t="shared" si="7"/>
        <v>105019577.49296737</v>
      </c>
      <c r="F44" s="708">
        <f t="shared" si="7"/>
        <v>-8983046.682383772</v>
      </c>
      <c r="G44" s="708">
        <f t="shared" si="7"/>
        <v>96036530.810583234</v>
      </c>
      <c r="H44" s="708">
        <f t="shared" si="7"/>
        <v>64949126.579465002</v>
      </c>
      <c r="I44" s="708">
        <f t="shared" si="7"/>
        <v>160985657.39004838</v>
      </c>
    </row>
    <row r="45" spans="1:9" ht="14.4" thickTop="1">
      <c r="A45" s="682">
        <f t="shared" si="0"/>
        <v>33</v>
      </c>
      <c r="G45" s="273"/>
      <c r="I45" s="273"/>
    </row>
    <row r="46" spans="1:9" s="276" customFormat="1">
      <c r="A46" s="682">
        <f t="shared" ref="A46:A62" si="8">A45+1</f>
        <v>34</v>
      </c>
      <c r="B46" s="689" t="s">
        <v>46</v>
      </c>
      <c r="C46" s="282">
        <f>C57</f>
        <v>1951252143.2591095</v>
      </c>
      <c r="D46" s="282">
        <f>D57</f>
        <v>140927380.72412044</v>
      </c>
      <c r="E46" s="282">
        <f>E57</f>
        <v>2092179523.9832296</v>
      </c>
      <c r="F46" s="282">
        <f>F57</f>
        <v>20493141.867642112</v>
      </c>
      <c r="G46" s="282">
        <f>G57</f>
        <v>2112672665.850872</v>
      </c>
      <c r="H46" s="282"/>
      <c r="I46" s="282">
        <f>I57</f>
        <v>2112672665.850872</v>
      </c>
    </row>
    <row r="47" spans="1:9">
      <c r="A47" s="682">
        <f t="shared" si="8"/>
        <v>35</v>
      </c>
      <c r="B47" s="687"/>
      <c r="G47" s="273"/>
      <c r="I47" s="273"/>
    </row>
    <row r="48" spans="1:9">
      <c r="A48" s="682">
        <f t="shared" si="8"/>
        <v>36</v>
      </c>
      <c r="B48" s="689" t="s">
        <v>18</v>
      </c>
      <c r="C48" s="707">
        <f>+C44/C46</f>
        <v>5.3229565614477801E-2</v>
      </c>
      <c r="D48" s="707"/>
      <c r="E48" s="707">
        <f>+E44/E46</f>
        <v>5.0196255287416329E-2</v>
      </c>
      <c r="F48" s="707"/>
      <c r="G48" s="707">
        <f>+G44/G46</f>
        <v>4.5457364201711217E-2</v>
      </c>
      <c r="H48" s="705"/>
      <c r="I48" s="707">
        <f>+I44/I46</f>
        <v>7.6200000119380509E-2</v>
      </c>
    </row>
    <row r="49" spans="1:9">
      <c r="A49" s="682">
        <f t="shared" si="8"/>
        <v>37</v>
      </c>
      <c r="B49" s="687"/>
      <c r="C49" s="705"/>
      <c r="D49" s="705"/>
      <c r="E49" s="705"/>
      <c r="F49" s="705" t="s">
        <v>45</v>
      </c>
      <c r="G49" s="705"/>
      <c r="H49" s="705"/>
      <c r="I49" s="705"/>
    </row>
    <row r="50" spans="1:9">
      <c r="A50" s="682">
        <f t="shared" si="8"/>
        <v>38</v>
      </c>
      <c r="B50" s="687" t="s">
        <v>44</v>
      </c>
      <c r="C50" s="705"/>
      <c r="D50" s="705"/>
      <c r="E50" s="705"/>
      <c r="F50" s="705"/>
      <c r="G50" s="705"/>
      <c r="H50" s="705"/>
      <c r="I50" s="705"/>
    </row>
    <row r="51" spans="1:9">
      <c r="A51" s="682">
        <f t="shared" si="8"/>
        <v>39</v>
      </c>
      <c r="B51" s="706" t="s">
        <v>43</v>
      </c>
      <c r="C51" s="282">
        <f>+'SEF-4G p 2-5'!C51</f>
        <v>4100600279.3772311</v>
      </c>
      <c r="D51" s="282">
        <f>+'SEF-4G p 2-5'!X51</f>
        <v>200340092.80947351</v>
      </c>
      <c r="E51" s="282">
        <f t="shared" ref="E51:E56" si="9">SUM(C51:D51)</f>
        <v>4300940372.1867046</v>
      </c>
      <c r="F51" s="282">
        <f>+'SEF-4G p 2-5'!AU51</f>
        <v>28834954.663787454</v>
      </c>
      <c r="G51" s="282">
        <f t="shared" ref="G51:G56" si="10">SUM(E51:F51)</f>
        <v>4329775326.8504925</v>
      </c>
      <c r="H51" s="282"/>
      <c r="I51" s="282">
        <f t="shared" ref="I51:I56" si="11">SUM(G51:H51)</f>
        <v>4329775326.8504925</v>
      </c>
    </row>
    <row r="52" spans="1:9">
      <c r="A52" s="682">
        <f t="shared" si="8"/>
        <v>40</v>
      </c>
      <c r="B52" s="706" t="s">
        <v>614</v>
      </c>
      <c r="C52" s="705">
        <f>+'SEF-4G p 2-5'!C52</f>
        <v>-1569795173.3202429</v>
      </c>
      <c r="D52" s="705">
        <f>+'SEF-4G p 2-5'!X52</f>
        <v>-67842753.331441611</v>
      </c>
      <c r="E52" s="705">
        <f t="shared" si="9"/>
        <v>-1637637926.6516845</v>
      </c>
      <c r="F52" s="705">
        <f>+'SEF-4G p 2-5'!AU52</f>
        <v>-12748886.860358153</v>
      </c>
      <c r="G52" s="705">
        <f t="shared" si="10"/>
        <v>-1650386813.5120428</v>
      </c>
      <c r="H52" s="705"/>
      <c r="I52" s="705">
        <f t="shared" si="11"/>
        <v>-1650386813.5120428</v>
      </c>
    </row>
    <row r="53" spans="1:9">
      <c r="A53" s="682">
        <f t="shared" si="8"/>
        <v>41</v>
      </c>
      <c r="B53" s="687" t="s">
        <v>613</v>
      </c>
      <c r="C53" s="705">
        <f>+'SEF-4G p 2-5'!C53</f>
        <v>-604032300.68879509</v>
      </c>
      <c r="D53" s="705">
        <f>+'SEF-4G p 2-5'!X53</f>
        <v>6347210.0832483806</v>
      </c>
      <c r="E53" s="705">
        <f t="shared" si="9"/>
        <v>-597685090.60554671</v>
      </c>
      <c r="F53" s="705">
        <f>+'SEF-4G p 2-5'!AU53</f>
        <v>-4143209.6745957471</v>
      </c>
      <c r="G53" s="705">
        <f t="shared" si="10"/>
        <v>-601828300.28014243</v>
      </c>
      <c r="H53" s="705"/>
      <c r="I53" s="705">
        <f t="shared" si="11"/>
        <v>-601828300.28014243</v>
      </c>
    </row>
    <row r="54" spans="1:9">
      <c r="A54" s="682">
        <f t="shared" si="8"/>
        <v>42</v>
      </c>
      <c r="B54" s="687" t="s">
        <v>612</v>
      </c>
      <c r="C54" s="705">
        <f>+'SEF-4G p 2-5'!C54</f>
        <v>-29952462.162250079</v>
      </c>
      <c r="D54" s="705">
        <f>+'SEF-4G p 2-5'!X54</f>
        <v>2958805.4567250796</v>
      </c>
      <c r="E54" s="705">
        <f t="shared" si="9"/>
        <v>-26993656.705525</v>
      </c>
      <c r="F54" s="705">
        <f>+'SEF-4G p 2-5'!AU54</f>
        <v>8550283.7388085593</v>
      </c>
      <c r="G54" s="705">
        <f t="shared" si="10"/>
        <v>-18443372.966716439</v>
      </c>
      <c r="H54" s="705"/>
      <c r="I54" s="705">
        <f t="shared" si="11"/>
        <v>-18443372.966716439</v>
      </c>
    </row>
    <row r="55" spans="1:9">
      <c r="A55" s="682">
        <f t="shared" si="8"/>
        <v>43</v>
      </c>
      <c r="B55" s="687" t="s">
        <v>39</v>
      </c>
      <c r="C55" s="705">
        <f>+'SEF-4G p 2-5'!C55</f>
        <v>54431800.053166389</v>
      </c>
      <c r="D55" s="705">
        <f>+'SEF-4G p 2-5'!X55</f>
        <v>-875974.29388491809</v>
      </c>
      <c r="E55" s="705">
        <f t="shared" si="9"/>
        <v>53555825.759281471</v>
      </c>
      <c r="F55" s="705">
        <f>+'SEF-4G p 2-5'!AU55</f>
        <v>0</v>
      </c>
      <c r="G55" s="705">
        <f t="shared" si="10"/>
        <v>53555825.759281471</v>
      </c>
      <c r="H55" s="705"/>
      <c r="I55" s="705">
        <f t="shared" si="11"/>
        <v>53555825.759281471</v>
      </c>
    </row>
    <row r="56" spans="1:9">
      <c r="A56" s="682">
        <f t="shared" si="8"/>
        <v>44</v>
      </c>
      <c r="B56" s="687" t="s">
        <v>38</v>
      </c>
      <c r="C56" s="705">
        <f>+'SEF-4G p 2-5'!C56</f>
        <v>0</v>
      </c>
      <c r="D56" s="705">
        <f>+'SEF-4G p 2-5'!X56</f>
        <v>0</v>
      </c>
      <c r="E56" s="705">
        <f t="shared" si="9"/>
        <v>0</v>
      </c>
      <c r="F56" s="705">
        <f>+'SEF-4G p 2-5'!AU56</f>
        <v>0</v>
      </c>
      <c r="G56" s="705">
        <f t="shared" si="10"/>
        <v>0</v>
      </c>
      <c r="H56" s="705"/>
      <c r="I56" s="705">
        <f t="shared" si="11"/>
        <v>0</v>
      </c>
    </row>
    <row r="57" spans="1:9" ht="14.4" thickBot="1">
      <c r="A57" s="682">
        <f t="shared" si="8"/>
        <v>45</v>
      </c>
      <c r="B57" s="687" t="s">
        <v>37</v>
      </c>
      <c r="C57" s="279">
        <f>SUM(C51:C56)</f>
        <v>1951252143.2591095</v>
      </c>
      <c r="D57" s="279">
        <f>SUM(D51:D56)</f>
        <v>140927380.72412044</v>
      </c>
      <c r="E57" s="279">
        <f>SUM(E51:E56)</f>
        <v>2092179523.9832296</v>
      </c>
      <c r="F57" s="704">
        <f>SUM(F51:F56)</f>
        <v>20493141.867642112</v>
      </c>
      <c r="G57" s="279">
        <f>SUM(G51:G56)</f>
        <v>2112672665.850872</v>
      </c>
      <c r="H57" s="279"/>
      <c r="I57" s="279">
        <f>SUM(I51:I56)</f>
        <v>2112672665.850872</v>
      </c>
    </row>
    <row r="58" spans="1:9" ht="14.4" thickTop="1">
      <c r="A58" s="682">
        <f t="shared" si="8"/>
        <v>46</v>
      </c>
    </row>
    <row r="59" spans="1:9">
      <c r="A59" s="682">
        <f t="shared" si="8"/>
        <v>47</v>
      </c>
      <c r="B59" s="687" t="s">
        <v>36</v>
      </c>
      <c r="C59" s="703">
        <f>+'SEF-3G'!$C$13</f>
        <v>7.6200000000000004E-2</v>
      </c>
      <c r="D59" s="703">
        <f>+'SEF-3G'!$C$13</f>
        <v>7.6200000000000004E-2</v>
      </c>
      <c r="E59" s="703">
        <f>+'SEF-3G'!$C$13</f>
        <v>7.6200000000000004E-2</v>
      </c>
      <c r="F59" s="703">
        <f>+'SEF-3G'!$C$13</f>
        <v>7.6200000000000004E-2</v>
      </c>
      <c r="G59" s="703">
        <f>+'SEF-3G'!$C$13</f>
        <v>7.6200000000000004E-2</v>
      </c>
      <c r="H59" s="703">
        <f>+'SEF-3G'!$C$13</f>
        <v>7.6200000000000004E-2</v>
      </c>
      <c r="I59" s="703">
        <f>+'SEF-3G'!$C$13</f>
        <v>7.6200000000000004E-2</v>
      </c>
    </row>
    <row r="60" spans="1:9">
      <c r="A60" s="682">
        <f t="shared" si="8"/>
        <v>48</v>
      </c>
      <c r="B60" s="687" t="s">
        <v>35</v>
      </c>
      <c r="C60" s="702">
        <f>+'SEF-3G'!$M$20</f>
        <v>0.75409700000000002</v>
      </c>
      <c r="D60" s="702">
        <f>+'SEF-3G'!$M$20</f>
        <v>0.75409700000000002</v>
      </c>
      <c r="E60" s="702">
        <f>+'SEF-3G'!$M$20</f>
        <v>0.75409700000000002</v>
      </c>
      <c r="F60" s="702">
        <f>+'SEF-3G'!$M$20</f>
        <v>0.75409700000000002</v>
      </c>
      <c r="G60" s="702">
        <f>+'SEF-3G'!$M$20</f>
        <v>0.75409700000000002</v>
      </c>
      <c r="H60" s="702">
        <f>+'SEF-3G'!$M$20</f>
        <v>0.75409700000000002</v>
      </c>
      <c r="I60" s="702">
        <f>+'SEF-3G'!$M$20</f>
        <v>0.75409700000000002</v>
      </c>
    </row>
    <row r="61" spans="1:9">
      <c r="A61" s="682">
        <f t="shared" si="8"/>
        <v>49</v>
      </c>
      <c r="B61" s="687" t="s">
        <v>34</v>
      </c>
      <c r="C61" s="276">
        <f t="shared" ref="C61:I61" si="12">+C44-(C57*C59)</f>
        <v>-44821109.32634294</v>
      </c>
      <c r="D61" s="276">
        <f t="shared" si="12"/>
        <v>-9583392.9082118869</v>
      </c>
      <c r="E61" s="276">
        <f t="shared" si="12"/>
        <v>-54404502.234554738</v>
      </c>
      <c r="F61" s="276">
        <f t="shared" si="12"/>
        <v>-10544624.092698101</v>
      </c>
      <c r="G61" s="276">
        <f t="shared" si="12"/>
        <v>-64949126.327253222</v>
      </c>
      <c r="H61" s="276">
        <f t="shared" si="12"/>
        <v>64949126.579465002</v>
      </c>
      <c r="I61" s="276">
        <f t="shared" si="12"/>
        <v>0.25221192836761475</v>
      </c>
    </row>
    <row r="62" spans="1:9">
      <c r="A62" s="682">
        <f t="shared" si="8"/>
        <v>50</v>
      </c>
      <c r="B62" s="687" t="s">
        <v>33</v>
      </c>
      <c r="C62" s="276">
        <f t="shared" ref="C62:I62" si="13">-C61/C60</f>
        <v>59436795.699151352</v>
      </c>
      <c r="D62" s="276">
        <f t="shared" si="13"/>
        <v>12708435.265240263</v>
      </c>
      <c r="E62" s="276">
        <f t="shared" si="13"/>
        <v>72145230.9643915</v>
      </c>
      <c r="F62" s="276">
        <f t="shared" si="13"/>
        <v>13983113.701152638</v>
      </c>
      <c r="G62" s="276">
        <f t="shared" si="13"/>
        <v>86128344.665544644</v>
      </c>
      <c r="H62" s="276">
        <f t="shared" si="13"/>
        <v>-86128345</v>
      </c>
      <c r="I62" s="276">
        <f t="shared" si="13"/>
        <v>-0.33445555196163723</v>
      </c>
    </row>
    <row r="63" spans="1:9">
      <c r="B63" s="687"/>
    </row>
    <row r="64" spans="1:9">
      <c r="C64" s="272"/>
      <c r="D64" s="272"/>
      <c r="E64" s="272"/>
      <c r="F64" s="272"/>
      <c r="H64" s="272"/>
    </row>
    <row r="65" spans="3:8">
      <c r="C65" s="272"/>
      <c r="D65" s="272"/>
      <c r="E65" s="272"/>
      <c r="F65" s="272"/>
      <c r="H65" s="272"/>
    </row>
    <row r="66" spans="3:8">
      <c r="C66" s="272"/>
      <c r="D66" s="272"/>
      <c r="E66" s="272"/>
      <c r="F66" s="272"/>
      <c r="H66" s="272"/>
    </row>
    <row r="67" spans="3:8">
      <c r="C67" s="272"/>
      <c r="D67" s="272"/>
      <c r="E67" s="272"/>
      <c r="F67" s="272"/>
      <c r="H67" s="272"/>
    </row>
    <row r="68" spans="3:8">
      <c r="C68" s="272"/>
      <c r="D68" s="272"/>
      <c r="E68" s="272"/>
      <c r="F68" s="272"/>
      <c r="H68" s="272"/>
    </row>
    <row r="69" spans="3:8">
      <c r="C69" s="272"/>
      <c r="D69" s="272"/>
      <c r="E69" s="272"/>
      <c r="F69" s="272"/>
      <c r="H69" s="272"/>
    </row>
    <row r="70" spans="3:8">
      <c r="C70" s="272"/>
      <c r="D70" s="272"/>
      <c r="E70" s="272"/>
      <c r="F70" s="272"/>
      <c r="H70" s="272"/>
    </row>
    <row r="71" spans="3:8">
      <c r="C71" s="272"/>
      <c r="D71" s="272"/>
      <c r="E71" s="272"/>
      <c r="F71" s="272"/>
      <c r="H71" s="272"/>
    </row>
    <row r="72" spans="3:8">
      <c r="C72" s="272"/>
      <c r="D72" s="272"/>
      <c r="E72" s="272"/>
      <c r="F72" s="272"/>
      <c r="H72" s="272"/>
    </row>
    <row r="73" spans="3:8">
      <c r="C73" s="272"/>
      <c r="D73" s="272"/>
      <c r="E73" s="272"/>
      <c r="F73" s="272"/>
      <c r="H73" s="272"/>
    </row>
    <row r="74" spans="3:8">
      <c r="C74" s="272"/>
      <c r="D74" s="272"/>
      <c r="E74" s="272"/>
      <c r="F74" s="272"/>
      <c r="H74" s="272"/>
    </row>
    <row r="75" spans="3:8">
      <c r="C75" s="272"/>
      <c r="D75" s="272"/>
      <c r="E75" s="272"/>
      <c r="F75" s="272"/>
      <c r="H75" s="272"/>
    </row>
    <row r="76" spans="3:8">
      <c r="C76" s="272"/>
      <c r="D76" s="272"/>
      <c r="E76" s="272"/>
      <c r="F76" s="272"/>
      <c r="H76" s="272"/>
    </row>
    <row r="77" spans="3:8">
      <c r="C77" s="272"/>
      <c r="D77" s="272"/>
      <c r="E77" s="272"/>
      <c r="F77" s="272"/>
      <c r="H77" s="272"/>
    </row>
    <row r="78" spans="3:8">
      <c r="C78" s="272"/>
      <c r="D78" s="272"/>
      <c r="E78" s="272"/>
      <c r="F78" s="272"/>
      <c r="H78" s="272"/>
    </row>
    <row r="79" spans="3:8">
      <c r="C79" s="272"/>
      <c r="D79" s="272"/>
      <c r="E79" s="272"/>
      <c r="F79" s="272"/>
      <c r="H79" s="272"/>
    </row>
    <row r="80" spans="3:8">
      <c r="C80" s="272"/>
      <c r="D80" s="272"/>
      <c r="E80" s="272"/>
      <c r="F80" s="272"/>
      <c r="H80" s="272"/>
    </row>
    <row r="81" spans="3:8">
      <c r="C81" s="272"/>
      <c r="D81" s="272"/>
      <c r="E81" s="272"/>
      <c r="F81" s="272"/>
      <c r="H81" s="272"/>
    </row>
    <row r="82" spans="3:8">
      <c r="C82" s="272"/>
      <c r="D82" s="272"/>
      <c r="E82" s="272"/>
      <c r="F82" s="272"/>
      <c r="H82" s="272"/>
    </row>
    <row r="83" spans="3:8">
      <c r="C83" s="272"/>
      <c r="D83" s="272"/>
      <c r="E83" s="272"/>
      <c r="F83" s="272"/>
      <c r="H83" s="272"/>
    </row>
    <row r="84" spans="3:8">
      <c r="C84" s="272"/>
      <c r="D84" s="272"/>
      <c r="E84" s="272"/>
      <c r="F84" s="272"/>
      <c r="H84" s="272"/>
    </row>
    <row r="85" spans="3:8">
      <c r="C85" s="272"/>
      <c r="D85" s="272"/>
      <c r="E85" s="272"/>
      <c r="F85" s="272"/>
      <c r="H85" s="272"/>
    </row>
    <row r="86" spans="3:8">
      <c r="C86" s="272"/>
      <c r="D86" s="272"/>
      <c r="E86" s="272"/>
      <c r="F86" s="272"/>
      <c r="H86" s="272"/>
    </row>
    <row r="87" spans="3:8">
      <c r="C87" s="272"/>
      <c r="D87" s="272"/>
      <c r="E87" s="272"/>
      <c r="F87" s="272"/>
      <c r="H87" s="272"/>
    </row>
    <row r="88" spans="3:8">
      <c r="C88" s="272"/>
      <c r="D88" s="272"/>
      <c r="E88" s="272"/>
      <c r="F88" s="272"/>
      <c r="H88" s="272"/>
    </row>
    <row r="89" spans="3:8">
      <c r="C89" s="272"/>
      <c r="D89" s="272"/>
      <c r="E89" s="272"/>
      <c r="F89" s="272"/>
      <c r="H89" s="272"/>
    </row>
    <row r="90" spans="3:8">
      <c r="C90" s="272"/>
      <c r="D90" s="272"/>
      <c r="E90" s="272"/>
      <c r="F90" s="272"/>
      <c r="H90" s="272"/>
    </row>
    <row r="91" spans="3:8">
      <c r="C91" s="272"/>
      <c r="D91" s="272"/>
      <c r="E91" s="272"/>
      <c r="F91" s="272"/>
      <c r="H91" s="272"/>
    </row>
    <row r="92" spans="3:8">
      <c r="C92" s="272"/>
      <c r="D92" s="272"/>
      <c r="E92" s="272"/>
      <c r="F92" s="272"/>
      <c r="H92" s="272"/>
    </row>
    <row r="93" spans="3:8">
      <c r="C93" s="272"/>
      <c r="D93" s="272"/>
      <c r="E93" s="272"/>
      <c r="F93" s="272"/>
      <c r="H93" s="272"/>
    </row>
    <row r="94" spans="3:8">
      <c r="C94" s="272"/>
      <c r="D94" s="272"/>
      <c r="E94" s="272"/>
      <c r="F94" s="272"/>
      <c r="H94" s="272"/>
    </row>
    <row r="95" spans="3:8">
      <c r="C95" s="272"/>
      <c r="D95" s="272"/>
      <c r="E95" s="272"/>
      <c r="F95" s="272"/>
      <c r="H95" s="272"/>
    </row>
    <row r="96" spans="3:8">
      <c r="C96" s="272"/>
      <c r="D96" s="272"/>
      <c r="E96" s="272"/>
      <c r="F96" s="272"/>
      <c r="H96" s="272"/>
    </row>
    <row r="97" spans="3:8">
      <c r="C97" s="272"/>
      <c r="D97" s="272"/>
      <c r="E97" s="272"/>
      <c r="F97" s="272"/>
      <c r="H97" s="272"/>
    </row>
    <row r="98" spans="3:8">
      <c r="C98" s="272"/>
      <c r="D98" s="272"/>
      <c r="E98" s="272"/>
      <c r="F98" s="272"/>
      <c r="H98" s="272"/>
    </row>
    <row r="99" spans="3:8">
      <c r="C99" s="272"/>
      <c r="D99" s="272"/>
      <c r="E99" s="272"/>
      <c r="F99" s="272"/>
      <c r="H99" s="272"/>
    </row>
    <row r="100" spans="3:8">
      <c r="C100" s="272"/>
      <c r="D100" s="272"/>
      <c r="E100" s="272"/>
      <c r="F100" s="272"/>
      <c r="H100" s="272"/>
    </row>
    <row r="101" spans="3:8">
      <c r="C101" s="272"/>
      <c r="D101" s="272"/>
      <c r="E101" s="272"/>
      <c r="F101" s="272"/>
      <c r="H101" s="272"/>
    </row>
    <row r="102" spans="3:8">
      <c r="C102" s="272"/>
      <c r="D102" s="272"/>
      <c r="E102" s="272"/>
      <c r="F102" s="272"/>
      <c r="H102" s="272"/>
    </row>
    <row r="103" spans="3:8">
      <c r="C103" s="272"/>
      <c r="D103" s="272"/>
      <c r="E103" s="272"/>
      <c r="F103" s="272"/>
      <c r="H103" s="272"/>
    </row>
    <row r="104" spans="3:8">
      <c r="C104" s="272"/>
      <c r="D104" s="272"/>
      <c r="E104" s="272"/>
      <c r="F104" s="272"/>
      <c r="H104" s="272"/>
    </row>
    <row r="105" spans="3:8">
      <c r="C105" s="272"/>
      <c r="D105" s="272"/>
      <c r="E105" s="272"/>
      <c r="F105" s="272"/>
      <c r="H105" s="272"/>
    </row>
    <row r="106" spans="3:8">
      <c r="C106" s="272"/>
      <c r="D106" s="272"/>
      <c r="E106" s="272"/>
      <c r="F106" s="272"/>
      <c r="H106" s="272"/>
    </row>
    <row r="107" spans="3:8">
      <c r="C107" s="272"/>
      <c r="D107" s="272"/>
      <c r="E107" s="272"/>
      <c r="F107" s="272"/>
      <c r="H107" s="272"/>
    </row>
    <row r="108" spans="3:8">
      <c r="C108" s="272"/>
      <c r="D108" s="272"/>
      <c r="E108" s="272"/>
      <c r="F108" s="272"/>
      <c r="H108" s="272"/>
    </row>
    <row r="109" spans="3:8">
      <c r="C109" s="272"/>
      <c r="D109" s="272"/>
      <c r="E109" s="272"/>
      <c r="F109" s="272"/>
      <c r="H109" s="272"/>
    </row>
    <row r="110" spans="3:8">
      <c r="C110" s="272"/>
      <c r="D110" s="272"/>
      <c r="E110" s="272"/>
      <c r="F110" s="272"/>
      <c r="H110" s="272"/>
    </row>
    <row r="111" spans="3:8">
      <c r="C111" s="272"/>
      <c r="D111" s="272"/>
      <c r="E111" s="272"/>
      <c r="F111" s="272"/>
      <c r="H111" s="272"/>
    </row>
    <row r="112" spans="3:8">
      <c r="C112" s="272"/>
      <c r="D112" s="272"/>
      <c r="E112" s="272"/>
      <c r="F112" s="272"/>
      <c r="H112" s="272"/>
    </row>
    <row r="113" spans="3:8">
      <c r="C113" s="272"/>
      <c r="D113" s="272"/>
      <c r="E113" s="272"/>
      <c r="F113" s="272"/>
      <c r="H113" s="272"/>
    </row>
    <row r="114" spans="3:8">
      <c r="C114" s="272"/>
      <c r="D114" s="272"/>
      <c r="E114" s="272"/>
      <c r="F114" s="272"/>
      <c r="H114" s="272"/>
    </row>
    <row r="115" spans="3:8">
      <c r="C115" s="272"/>
      <c r="D115" s="272"/>
      <c r="E115" s="272"/>
      <c r="F115" s="272"/>
      <c r="H115" s="272"/>
    </row>
    <row r="116" spans="3:8">
      <c r="C116" s="272"/>
      <c r="D116" s="272"/>
      <c r="E116" s="272"/>
      <c r="F116" s="272"/>
      <c r="H116" s="272"/>
    </row>
    <row r="117" spans="3:8">
      <c r="C117" s="272"/>
      <c r="D117" s="272"/>
      <c r="E117" s="272"/>
      <c r="F117" s="272"/>
      <c r="H117" s="272"/>
    </row>
    <row r="118" spans="3:8">
      <c r="C118" s="272"/>
      <c r="D118" s="272"/>
      <c r="E118" s="272"/>
      <c r="F118" s="272"/>
      <c r="H118" s="272"/>
    </row>
    <row r="119" spans="3:8">
      <c r="C119" s="272"/>
      <c r="D119" s="272"/>
      <c r="E119" s="272"/>
      <c r="F119" s="272"/>
      <c r="H119" s="272"/>
    </row>
    <row r="120" spans="3:8">
      <c r="C120" s="272"/>
      <c r="D120" s="272"/>
      <c r="E120" s="272"/>
      <c r="F120" s="272"/>
      <c r="H120" s="272"/>
    </row>
    <row r="121" spans="3:8">
      <c r="C121" s="272"/>
      <c r="D121" s="272"/>
      <c r="E121" s="272"/>
      <c r="F121" s="272"/>
      <c r="H121" s="272"/>
    </row>
    <row r="122" spans="3:8">
      <c r="C122" s="272"/>
      <c r="D122" s="272"/>
      <c r="E122" s="272"/>
      <c r="F122" s="272"/>
      <c r="H122" s="272"/>
    </row>
    <row r="123" spans="3:8">
      <c r="C123" s="272"/>
      <c r="D123" s="272"/>
      <c r="E123" s="272"/>
      <c r="F123" s="272"/>
      <c r="H123" s="272"/>
    </row>
    <row r="124" spans="3:8">
      <c r="C124" s="272"/>
      <c r="D124" s="272"/>
      <c r="E124" s="272"/>
      <c r="F124" s="272"/>
      <c r="H124" s="272"/>
    </row>
    <row r="125" spans="3:8">
      <c r="C125" s="272"/>
      <c r="D125" s="272"/>
      <c r="E125" s="272"/>
      <c r="F125" s="272"/>
      <c r="H125" s="272"/>
    </row>
    <row r="126" spans="3:8">
      <c r="C126" s="272"/>
      <c r="D126" s="272"/>
      <c r="E126" s="272"/>
      <c r="F126" s="272"/>
      <c r="H126" s="272"/>
    </row>
    <row r="127" spans="3:8">
      <c r="C127" s="272"/>
      <c r="D127" s="272"/>
      <c r="E127" s="272"/>
      <c r="F127" s="272"/>
      <c r="H127" s="272"/>
    </row>
    <row r="128" spans="3:8">
      <c r="C128" s="272"/>
      <c r="D128" s="272"/>
      <c r="E128" s="272"/>
      <c r="F128" s="272"/>
      <c r="H128" s="272"/>
    </row>
    <row r="129" spans="3:8">
      <c r="C129" s="272"/>
      <c r="D129" s="272"/>
      <c r="E129" s="272"/>
      <c r="F129" s="272"/>
      <c r="H129" s="272"/>
    </row>
    <row r="130" spans="3:8">
      <c r="C130" s="272"/>
      <c r="D130" s="272"/>
      <c r="E130" s="272"/>
      <c r="F130" s="272"/>
      <c r="H130" s="272"/>
    </row>
    <row r="131" spans="3:8">
      <c r="C131" s="272"/>
      <c r="D131" s="272"/>
      <c r="E131" s="272"/>
      <c r="F131" s="272"/>
      <c r="H131" s="272"/>
    </row>
  </sheetData>
  <printOptions horizontalCentered="1"/>
  <pageMargins left="0.2" right="0.2" top="0.25" bottom="0.25" header="0.05" footer="0.05"/>
  <pageSetup scale="62" fitToWidth="0" orientation="landscape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59999389629810485"/>
  </sheetPr>
  <dimension ref="A1:BO137"/>
  <sheetViews>
    <sheetView zoomScale="85" zoomScaleNormal="85" workbookViewId="0">
      <pane xSplit="2" ySplit="12" topLeftCell="C37" activePane="bottomRight" state="frozen"/>
      <selection activeCell="G13" sqref="G13"/>
      <selection pane="topRight" activeCell="G13" sqref="G13"/>
      <selection pane="bottomLeft" activeCell="G13" sqref="G13"/>
      <selection pane="bottomRight" activeCell="G50" sqref="G50"/>
    </sheetView>
  </sheetViews>
  <sheetFormatPr defaultColWidth="9.109375" defaultRowHeight="13.8" outlineLevelCol="1"/>
  <cols>
    <col min="1" max="1" width="4.5546875" style="273" customWidth="1"/>
    <col min="2" max="2" width="38.6640625" style="273" customWidth="1"/>
    <col min="3" max="3" width="17.33203125" style="273" customWidth="1"/>
    <col min="4" max="4" width="15.33203125" style="273" customWidth="1" outlineLevel="1"/>
    <col min="5" max="5" width="15.33203125" style="273" customWidth="1"/>
    <col min="6" max="6" width="15.33203125" style="273" customWidth="1" outlineLevel="1"/>
    <col min="7" max="7" width="20.6640625" style="273" bestFit="1" customWidth="1" outlineLevel="1"/>
    <col min="8" max="8" width="21.5546875" style="273" bestFit="1" customWidth="1" outlineLevel="1"/>
    <col min="9" max="23" width="15.33203125" style="273" customWidth="1" outlineLevel="1"/>
    <col min="24" max="24" width="19.109375" style="273" bestFit="1" customWidth="1"/>
    <col min="25" max="25" width="17.109375" style="273" customWidth="1"/>
    <col min="26" max="26" width="15.33203125" style="273" customWidth="1" outlineLevel="1"/>
    <col min="27" max="27" width="17.109375" style="273" customWidth="1" outlineLevel="1"/>
    <col min="28" max="34" width="15.33203125" style="273" customWidth="1" outlineLevel="1"/>
    <col min="35" max="35" width="17.44140625" style="273" customWidth="1" outlineLevel="1"/>
    <col min="36" max="40" width="15.33203125" style="273" customWidth="1" outlineLevel="1"/>
    <col min="41" max="41" width="16.88671875" style="273" customWidth="1" outlineLevel="1"/>
    <col min="42" max="46" width="15.33203125" style="273" customWidth="1" outlineLevel="1"/>
    <col min="47" max="47" width="15.33203125" style="273" customWidth="1"/>
    <col min="48" max="48" width="18.109375" style="273" bestFit="1" customWidth="1"/>
    <col min="49" max="49" width="14.88671875" style="273" bestFit="1" customWidth="1"/>
    <col min="50" max="50" width="19.109375" style="273" bestFit="1" customWidth="1"/>
    <col min="51" max="51" width="14.88671875" style="273" bestFit="1" customWidth="1"/>
    <col min="52" max="52" width="15" style="273" bestFit="1" customWidth="1"/>
    <col min="53" max="53" width="15.88671875" style="273" bestFit="1" customWidth="1"/>
    <col min="54" max="54" width="13.88671875" style="273" bestFit="1" customWidth="1"/>
    <col min="55" max="56" width="15.88671875" style="273" bestFit="1" customWidth="1"/>
    <col min="57" max="57" width="12" style="273" bestFit="1" customWidth="1"/>
    <col min="58" max="16384" width="9.109375" style="273"/>
  </cols>
  <sheetData>
    <row r="1" spans="1:57">
      <c r="A1" s="735" t="s">
        <v>32</v>
      </c>
      <c r="C1" s="735"/>
      <c r="L1" s="347" t="s">
        <v>649</v>
      </c>
      <c r="M1" s="345"/>
      <c r="X1" s="347" t="s">
        <v>648</v>
      </c>
      <c r="Y1" s="345"/>
      <c r="Z1" s="735"/>
      <c r="AA1" s="735"/>
      <c r="AB1" s="735"/>
      <c r="AC1" s="735"/>
      <c r="AD1" s="735"/>
      <c r="AG1" s="735"/>
      <c r="AH1" s="735"/>
      <c r="AI1" s="735"/>
      <c r="AJ1" s="347" t="s">
        <v>647</v>
      </c>
      <c r="AK1" s="345"/>
      <c r="AL1" s="735"/>
      <c r="AN1" s="735"/>
      <c r="AQ1" s="735"/>
      <c r="AR1" s="735"/>
      <c r="AS1" s="735"/>
      <c r="AT1" s="735"/>
      <c r="AU1" s="347" t="s">
        <v>646</v>
      </c>
      <c r="AV1" s="345"/>
    </row>
    <row r="2" spans="1:57">
      <c r="A2" s="735" t="s">
        <v>618</v>
      </c>
      <c r="C2" s="735"/>
      <c r="W2" s="735"/>
      <c r="Y2" s="735"/>
      <c r="Z2" s="735"/>
      <c r="AA2" s="735"/>
      <c r="AB2" s="735"/>
      <c r="AC2" s="735"/>
      <c r="AD2" s="735"/>
      <c r="AG2" s="735"/>
      <c r="AH2" s="735"/>
      <c r="AI2" s="735"/>
      <c r="AJ2" s="735"/>
      <c r="AK2" s="735"/>
      <c r="AL2" s="735"/>
      <c r="AM2" s="735"/>
      <c r="AN2" s="735"/>
      <c r="AO2" s="735"/>
      <c r="AP2" s="735"/>
      <c r="AQ2" s="735"/>
      <c r="AR2" s="735"/>
      <c r="AS2" s="735"/>
      <c r="AT2" s="735"/>
    </row>
    <row r="3" spans="1:57">
      <c r="A3" s="735" t="s">
        <v>98</v>
      </c>
      <c r="C3" s="735"/>
    </row>
    <row r="4" spans="1:57">
      <c r="A4" s="735" t="str">
        <f>CASE_G</f>
        <v>2019 GENERAL RATE CASE</v>
      </c>
      <c r="C4" s="735"/>
    </row>
    <row r="5" spans="1:57">
      <c r="A5" s="735" t="str">
        <f>TESTYEAR_G</f>
        <v>12 MONTHS ENDED DECEMBER 31, 2018</v>
      </c>
      <c r="C5" s="735"/>
      <c r="W5" s="735"/>
      <c r="Y5" s="735"/>
      <c r="Z5" s="735"/>
      <c r="AA5" s="735"/>
      <c r="AB5" s="735"/>
      <c r="AC5" s="735"/>
      <c r="AD5" s="735"/>
      <c r="AE5" s="735"/>
      <c r="AF5" s="735"/>
      <c r="AG5" s="735"/>
      <c r="AH5" s="735"/>
      <c r="AI5" s="735"/>
      <c r="AJ5" s="735"/>
      <c r="AK5" s="735"/>
      <c r="AL5" s="735"/>
      <c r="AM5" s="735"/>
      <c r="AN5" s="735"/>
      <c r="AO5" s="735"/>
      <c r="AP5" s="735"/>
      <c r="AQ5" s="735"/>
      <c r="AR5" s="735"/>
      <c r="AS5" s="735"/>
      <c r="AT5" s="735"/>
    </row>
    <row r="6" spans="1:57">
      <c r="D6" s="752" t="s">
        <v>239</v>
      </c>
      <c r="E6" s="752" t="s">
        <v>239</v>
      </c>
      <c r="F6" s="752" t="s">
        <v>239</v>
      </c>
      <c r="G6" s="752" t="s">
        <v>239</v>
      </c>
      <c r="H6" s="752" t="s">
        <v>239</v>
      </c>
      <c r="I6" s="752" t="s">
        <v>239</v>
      </c>
      <c r="J6" s="752" t="s">
        <v>239</v>
      </c>
      <c r="K6" s="752" t="s">
        <v>239</v>
      </c>
      <c r="L6" s="752" t="s">
        <v>239</v>
      </c>
      <c r="M6" s="752" t="s">
        <v>239</v>
      </c>
      <c r="N6" s="752" t="s">
        <v>239</v>
      </c>
      <c r="O6" s="752" t="s">
        <v>239</v>
      </c>
      <c r="P6" s="752" t="s">
        <v>239</v>
      </c>
      <c r="Q6" s="752" t="s">
        <v>239</v>
      </c>
      <c r="R6" s="752" t="s">
        <v>239</v>
      </c>
      <c r="S6" s="752" t="s">
        <v>239</v>
      </c>
      <c r="T6" s="752" t="s">
        <v>239</v>
      </c>
      <c r="U6" s="752" t="s">
        <v>239</v>
      </c>
      <c r="V6" s="752" t="s">
        <v>239</v>
      </c>
      <c r="W6" s="752" t="s">
        <v>239</v>
      </c>
      <c r="Z6" s="752" t="s">
        <v>239</v>
      </c>
      <c r="AA6" s="752" t="s">
        <v>239</v>
      </c>
      <c r="AB6" s="752" t="s">
        <v>239</v>
      </c>
      <c r="AC6" s="752" t="s">
        <v>239</v>
      </c>
      <c r="AD6" s="752" t="s">
        <v>239</v>
      </c>
      <c r="AE6" s="752" t="s">
        <v>239</v>
      </c>
      <c r="AF6" s="752" t="s">
        <v>239</v>
      </c>
      <c r="AG6" s="752" t="s">
        <v>239</v>
      </c>
      <c r="AH6" s="752" t="s">
        <v>239</v>
      </c>
      <c r="AI6" s="752" t="s">
        <v>239</v>
      </c>
      <c r="AJ6" s="752" t="s">
        <v>239</v>
      </c>
      <c r="AK6" s="752" t="s">
        <v>239</v>
      </c>
      <c r="AL6" s="752" t="s">
        <v>239</v>
      </c>
      <c r="AM6" s="752" t="s">
        <v>239</v>
      </c>
      <c r="AN6" s="752" t="s">
        <v>239</v>
      </c>
      <c r="AO6" s="752" t="s">
        <v>239</v>
      </c>
      <c r="AP6" s="752" t="s">
        <v>239</v>
      </c>
      <c r="AQ6" s="752" t="s">
        <v>239</v>
      </c>
      <c r="AR6" s="752" t="s">
        <v>239</v>
      </c>
      <c r="AS6" s="751" t="s">
        <v>645</v>
      </c>
      <c r="AT6" s="751" t="s">
        <v>645</v>
      </c>
    </row>
    <row r="7" spans="1:57">
      <c r="D7" s="749" t="s">
        <v>222</v>
      </c>
      <c r="E7" s="749" t="s">
        <v>222</v>
      </c>
      <c r="F7" s="749" t="s">
        <v>222</v>
      </c>
      <c r="G7" s="749" t="s">
        <v>222</v>
      </c>
      <c r="H7" s="749" t="s">
        <v>222</v>
      </c>
      <c r="I7" s="749" t="s">
        <v>222</v>
      </c>
      <c r="J7" s="749" t="s">
        <v>222</v>
      </c>
      <c r="K7" s="749" t="s">
        <v>222</v>
      </c>
      <c r="L7" s="749" t="s">
        <v>222</v>
      </c>
      <c r="M7" s="749" t="s">
        <v>222</v>
      </c>
      <c r="N7" s="749" t="s">
        <v>222</v>
      </c>
      <c r="O7" s="749" t="s">
        <v>222</v>
      </c>
      <c r="P7" s="749" t="s">
        <v>222</v>
      </c>
      <c r="Q7" s="749" t="s">
        <v>222</v>
      </c>
      <c r="R7" s="749" t="s">
        <v>222</v>
      </c>
      <c r="S7" s="749" t="s">
        <v>222</v>
      </c>
      <c r="T7" s="749" t="s">
        <v>222</v>
      </c>
      <c r="U7" s="749" t="s">
        <v>222</v>
      </c>
      <c r="V7" s="749" t="s">
        <v>222</v>
      </c>
      <c r="W7" s="749" t="s">
        <v>222</v>
      </c>
      <c r="X7" s="750"/>
      <c r="Y7" s="750"/>
      <c r="Z7" s="749" t="s">
        <v>91</v>
      </c>
      <c r="AA7" s="749" t="s">
        <v>91</v>
      </c>
      <c r="AB7" s="749" t="s">
        <v>91</v>
      </c>
      <c r="AC7" s="749" t="s">
        <v>91</v>
      </c>
      <c r="AD7" s="749" t="s">
        <v>91</v>
      </c>
      <c r="AE7" s="749" t="s">
        <v>91</v>
      </c>
      <c r="AF7" s="749" t="s">
        <v>91</v>
      </c>
      <c r="AG7" s="749" t="s">
        <v>91</v>
      </c>
      <c r="AH7" s="749" t="s">
        <v>91</v>
      </c>
      <c r="AI7" s="749" t="s">
        <v>91</v>
      </c>
      <c r="AJ7" s="749" t="s">
        <v>91</v>
      </c>
      <c r="AK7" s="749" t="s">
        <v>91</v>
      </c>
      <c r="AL7" s="749" t="s">
        <v>91</v>
      </c>
      <c r="AM7" s="749" t="s">
        <v>91</v>
      </c>
      <c r="AN7" s="749" t="s">
        <v>91</v>
      </c>
      <c r="AO7" s="749" t="s">
        <v>91</v>
      </c>
      <c r="AP7" s="749" t="s">
        <v>91</v>
      </c>
      <c r="AQ7" s="749" t="s">
        <v>91</v>
      </c>
      <c r="AR7" s="749" t="s">
        <v>91</v>
      </c>
      <c r="AS7" s="749" t="s">
        <v>91</v>
      </c>
      <c r="AT7" s="749" t="s">
        <v>91</v>
      </c>
    </row>
    <row r="8" spans="1:57">
      <c r="L8" s="273" t="s">
        <v>237</v>
      </c>
      <c r="M8" s="273" t="s">
        <v>237</v>
      </c>
      <c r="U8" s="714"/>
      <c r="AC8" s="273" t="s">
        <v>237</v>
      </c>
      <c r="AD8" s="273" t="s">
        <v>237</v>
      </c>
      <c r="AX8" s="735"/>
    </row>
    <row r="9" spans="1:57" ht="15" customHeight="1">
      <c r="C9" s="714" t="s">
        <v>97</v>
      </c>
      <c r="D9" s="748">
        <v>6.01</v>
      </c>
      <c r="E9" s="748">
        <f t="shared" ref="E9:P9" si="0">+D9+0.01</f>
        <v>6.02</v>
      </c>
      <c r="F9" s="748">
        <f t="shared" si="0"/>
        <v>6.0299999999999994</v>
      </c>
      <c r="G9" s="748">
        <f t="shared" si="0"/>
        <v>6.0399999999999991</v>
      </c>
      <c r="H9" s="748">
        <f t="shared" si="0"/>
        <v>6.0499999999999989</v>
      </c>
      <c r="I9" s="748">
        <f t="shared" si="0"/>
        <v>6.0599999999999987</v>
      </c>
      <c r="J9" s="748">
        <f t="shared" si="0"/>
        <v>6.0699999999999985</v>
      </c>
      <c r="K9" s="748">
        <f t="shared" si="0"/>
        <v>6.0799999999999983</v>
      </c>
      <c r="L9" s="748">
        <f t="shared" si="0"/>
        <v>6.0899999999999981</v>
      </c>
      <c r="M9" s="748">
        <f t="shared" si="0"/>
        <v>6.0999999999999979</v>
      </c>
      <c r="N9" s="748">
        <f t="shared" si="0"/>
        <v>6.1099999999999977</v>
      </c>
      <c r="O9" s="748">
        <f t="shared" si="0"/>
        <v>6.1199999999999974</v>
      </c>
      <c r="P9" s="748">
        <f t="shared" si="0"/>
        <v>6.1299999999999972</v>
      </c>
      <c r="Q9" s="748">
        <v>6.14</v>
      </c>
      <c r="R9" s="748">
        <v>6.15</v>
      </c>
      <c r="S9" s="748">
        <v>6.16</v>
      </c>
      <c r="T9" s="748">
        <v>6.17</v>
      </c>
      <c r="U9" s="748">
        <v>6.18</v>
      </c>
      <c r="V9" s="748">
        <v>6.19</v>
      </c>
      <c r="W9" s="748">
        <v>6.23</v>
      </c>
      <c r="X9" s="747" t="s">
        <v>16</v>
      </c>
      <c r="Y9" s="747" t="s">
        <v>96</v>
      </c>
      <c r="Z9" s="746">
        <f>+D9</f>
        <v>6.01</v>
      </c>
      <c r="AA9" s="746">
        <f>+E9</f>
        <v>6.02</v>
      </c>
      <c r="AB9" s="746">
        <f>+G9</f>
        <v>6.0399999999999991</v>
      </c>
      <c r="AC9" s="746">
        <f>+L9</f>
        <v>6.0899999999999981</v>
      </c>
      <c r="AD9" s="746">
        <f>+M9</f>
        <v>6.0999999999999979</v>
      </c>
      <c r="AE9" s="746">
        <v>6.14</v>
      </c>
      <c r="AF9" s="746">
        <v>6.15</v>
      </c>
      <c r="AG9" s="746">
        <v>6.16</v>
      </c>
      <c r="AH9" s="746">
        <f>+AG9+0.01</f>
        <v>6.17</v>
      </c>
      <c r="AI9" s="746">
        <v>6.2</v>
      </c>
      <c r="AJ9" s="746">
        <v>6.21</v>
      </c>
      <c r="AK9" s="746">
        <f t="shared" ref="AK9:AR9" si="1">+AJ9+0.01</f>
        <v>6.22</v>
      </c>
      <c r="AL9" s="746">
        <f t="shared" si="1"/>
        <v>6.2299999999999995</v>
      </c>
      <c r="AM9" s="746">
        <f t="shared" si="1"/>
        <v>6.2399999999999993</v>
      </c>
      <c r="AN9" s="746">
        <f t="shared" si="1"/>
        <v>6.2499999999999991</v>
      </c>
      <c r="AO9" s="746">
        <f t="shared" si="1"/>
        <v>6.2599999999999989</v>
      </c>
      <c r="AP9" s="746">
        <f t="shared" si="1"/>
        <v>6.2699999999999987</v>
      </c>
      <c r="AQ9" s="746">
        <f t="shared" si="1"/>
        <v>6.2799999999999985</v>
      </c>
      <c r="AR9" s="746">
        <f t="shared" si="1"/>
        <v>6.2899999999999983</v>
      </c>
      <c r="AS9" s="746" t="s">
        <v>644</v>
      </c>
      <c r="AT9" s="746" t="s">
        <v>643</v>
      </c>
      <c r="AU9" s="745" t="s">
        <v>16</v>
      </c>
      <c r="AV9" s="745" t="s">
        <v>642</v>
      </c>
    </row>
    <row r="10" spans="1:57" ht="15" customHeight="1">
      <c r="A10" s="714" t="s">
        <v>26</v>
      </c>
      <c r="B10" s="714" t="s">
        <v>22</v>
      </c>
      <c r="C10" s="714" t="s">
        <v>90</v>
      </c>
      <c r="D10" s="714" t="s">
        <v>221</v>
      </c>
      <c r="E10" s="714" t="s">
        <v>220</v>
      </c>
      <c r="F10" s="714" t="s">
        <v>236</v>
      </c>
      <c r="G10" s="714" t="s">
        <v>219</v>
      </c>
      <c r="H10" s="714" t="s">
        <v>235</v>
      </c>
      <c r="I10" s="714" t="s">
        <v>234</v>
      </c>
      <c r="J10" s="744" t="s">
        <v>233</v>
      </c>
      <c r="K10" s="714" t="s">
        <v>232</v>
      </c>
      <c r="L10" s="714" t="s">
        <v>218</v>
      </c>
      <c r="M10" s="714" t="s">
        <v>217</v>
      </c>
      <c r="N10" s="714" t="s">
        <v>641</v>
      </c>
      <c r="O10" s="714" t="s">
        <v>230</v>
      </c>
      <c r="P10" s="714" t="s">
        <v>229</v>
      </c>
      <c r="Q10" s="714" t="s">
        <v>640</v>
      </c>
      <c r="R10" s="714" t="s">
        <v>227</v>
      </c>
      <c r="S10" s="714" t="s">
        <v>214</v>
      </c>
      <c r="T10" s="714" t="s">
        <v>639</v>
      </c>
      <c r="U10" s="714" t="s">
        <v>226</v>
      </c>
      <c r="V10" s="714" t="s">
        <v>226</v>
      </c>
      <c r="W10" s="714" t="s">
        <v>209</v>
      </c>
      <c r="X10" s="741" t="s">
        <v>222</v>
      </c>
      <c r="Y10" s="741" t="s">
        <v>90</v>
      </c>
      <c r="Z10" s="714" t="s">
        <v>221</v>
      </c>
      <c r="AA10" s="714" t="s">
        <v>220</v>
      </c>
      <c r="AB10" s="714" t="s">
        <v>638</v>
      </c>
      <c r="AC10" s="714" t="s">
        <v>218</v>
      </c>
      <c r="AD10" s="714" t="s">
        <v>217</v>
      </c>
      <c r="AE10" s="714" t="s">
        <v>216</v>
      </c>
      <c r="AF10" s="714" t="s">
        <v>215</v>
      </c>
      <c r="AG10" s="714" t="s">
        <v>214</v>
      </c>
      <c r="AH10" s="714" t="s">
        <v>213</v>
      </c>
      <c r="AI10" s="714" t="s">
        <v>637</v>
      </c>
      <c r="AJ10" s="714" t="s">
        <v>211</v>
      </c>
      <c r="AK10" s="262"/>
      <c r="AL10" s="714" t="s">
        <v>209</v>
      </c>
      <c r="AM10" s="714"/>
      <c r="AN10" s="714" t="s">
        <v>207</v>
      </c>
      <c r="AO10" s="714" t="s">
        <v>206</v>
      </c>
      <c r="AP10" s="714" t="s">
        <v>205</v>
      </c>
      <c r="AQ10" s="714" t="s">
        <v>204</v>
      </c>
      <c r="AR10" s="714"/>
      <c r="AS10" s="714" t="s">
        <v>199</v>
      </c>
      <c r="AT10" s="714" t="s">
        <v>636</v>
      </c>
      <c r="AU10" s="741" t="s">
        <v>196</v>
      </c>
      <c r="AV10" s="741" t="s">
        <v>90</v>
      </c>
    </row>
    <row r="11" spans="1:57" ht="15" customHeight="1">
      <c r="A11" s="714" t="s">
        <v>23</v>
      </c>
      <c r="C11" s="714" t="s">
        <v>87</v>
      </c>
      <c r="D11" s="714" t="s">
        <v>182</v>
      </c>
      <c r="E11" s="714" t="s">
        <v>181</v>
      </c>
      <c r="F11" s="743" t="s">
        <v>195</v>
      </c>
      <c r="G11" s="743" t="s">
        <v>180</v>
      </c>
      <c r="H11" s="714" t="s">
        <v>194</v>
      </c>
      <c r="I11" s="714" t="s">
        <v>193</v>
      </c>
      <c r="J11" s="744" t="s">
        <v>192</v>
      </c>
      <c r="K11" s="714" t="s">
        <v>191</v>
      </c>
      <c r="L11" s="743" t="s">
        <v>179</v>
      </c>
      <c r="M11" s="743" t="s">
        <v>175</v>
      </c>
      <c r="N11" s="743" t="s">
        <v>635</v>
      </c>
      <c r="O11" s="714" t="s">
        <v>189</v>
      </c>
      <c r="P11" s="714" t="s">
        <v>176</v>
      </c>
      <c r="Q11" s="714" t="s">
        <v>634</v>
      </c>
      <c r="R11" s="714" t="s">
        <v>187</v>
      </c>
      <c r="S11" s="714" t="s">
        <v>176</v>
      </c>
      <c r="T11" s="714" t="s">
        <v>175</v>
      </c>
      <c r="U11" s="714" t="s">
        <v>21</v>
      </c>
      <c r="V11" s="714" t="s">
        <v>56</v>
      </c>
      <c r="W11" s="714" t="s">
        <v>171</v>
      </c>
      <c r="X11" s="741" t="s">
        <v>86</v>
      </c>
      <c r="Y11" s="741" t="s">
        <v>85</v>
      </c>
      <c r="Z11" s="714" t="s">
        <v>182</v>
      </c>
      <c r="AA11" s="714" t="s">
        <v>181</v>
      </c>
      <c r="AB11" s="743" t="s">
        <v>633</v>
      </c>
      <c r="AC11" s="743" t="s">
        <v>179</v>
      </c>
      <c r="AD11" s="743" t="s">
        <v>175</v>
      </c>
      <c r="AE11" s="742" t="s">
        <v>178</v>
      </c>
      <c r="AF11" s="714" t="s">
        <v>177</v>
      </c>
      <c r="AG11" s="714" t="s">
        <v>176</v>
      </c>
      <c r="AH11" s="714" t="s">
        <v>175</v>
      </c>
      <c r="AI11" s="714" t="s">
        <v>174</v>
      </c>
      <c r="AJ11" s="714" t="s">
        <v>173</v>
      </c>
      <c r="AK11" s="714" t="s">
        <v>210</v>
      </c>
      <c r="AL11" s="714" t="s">
        <v>171</v>
      </c>
      <c r="AM11" s="714" t="s">
        <v>632</v>
      </c>
      <c r="AN11" s="714" t="s">
        <v>169</v>
      </c>
      <c r="AO11" s="714" t="s">
        <v>168</v>
      </c>
      <c r="AP11" s="714" t="s">
        <v>167</v>
      </c>
      <c r="AQ11" s="714" t="s">
        <v>166</v>
      </c>
      <c r="AR11" s="714" t="s">
        <v>631</v>
      </c>
      <c r="AS11" s="714" t="s">
        <v>630</v>
      </c>
      <c r="AT11" s="714" t="s">
        <v>621</v>
      </c>
      <c r="AU11" s="741" t="s">
        <v>86</v>
      </c>
      <c r="AV11" s="741" t="s">
        <v>85</v>
      </c>
    </row>
    <row r="12" spans="1:57">
      <c r="C12" s="682" t="s">
        <v>83</v>
      </c>
      <c r="D12" s="715" t="s">
        <v>82</v>
      </c>
      <c r="E12" s="715" t="s">
        <v>157</v>
      </c>
      <c r="F12" s="715" t="s">
        <v>80</v>
      </c>
      <c r="G12" s="715" t="s">
        <v>156</v>
      </c>
      <c r="H12" s="715" t="s">
        <v>78</v>
      </c>
      <c r="I12" s="715" t="s">
        <v>155</v>
      </c>
      <c r="J12" s="715" t="s">
        <v>154</v>
      </c>
      <c r="K12" s="715" t="s">
        <v>153</v>
      </c>
      <c r="L12" s="715" t="s">
        <v>152</v>
      </c>
      <c r="M12" s="715" t="s">
        <v>151</v>
      </c>
      <c r="N12" s="715" t="s">
        <v>150</v>
      </c>
      <c r="O12" s="715" t="s">
        <v>149</v>
      </c>
      <c r="P12" s="715" t="s">
        <v>148</v>
      </c>
      <c r="Q12" s="715" t="s">
        <v>147</v>
      </c>
      <c r="R12" s="715" t="s">
        <v>146</v>
      </c>
      <c r="S12" s="715" t="s">
        <v>145</v>
      </c>
      <c r="T12" s="715" t="s">
        <v>629</v>
      </c>
      <c r="U12" s="715" t="s">
        <v>628</v>
      </c>
      <c r="V12" s="715" t="s">
        <v>627</v>
      </c>
      <c r="W12" s="715" t="s">
        <v>141</v>
      </c>
      <c r="X12" s="740" t="s">
        <v>626</v>
      </c>
      <c r="Y12" s="740" t="s">
        <v>625</v>
      </c>
      <c r="Z12" s="715" t="s">
        <v>138</v>
      </c>
      <c r="AA12" s="715" t="s">
        <v>137</v>
      </c>
      <c r="AB12" s="715" t="s">
        <v>136</v>
      </c>
      <c r="AC12" s="715" t="s">
        <v>135</v>
      </c>
      <c r="AD12" s="715" t="s">
        <v>134</v>
      </c>
      <c r="AE12" s="715" t="s">
        <v>133</v>
      </c>
      <c r="AF12" s="715" t="s">
        <v>130</v>
      </c>
      <c r="AG12" s="715" t="s">
        <v>624</v>
      </c>
      <c r="AH12" s="715" t="s">
        <v>129</v>
      </c>
      <c r="AI12" s="715" t="s">
        <v>128</v>
      </c>
      <c r="AJ12" s="715" t="s">
        <v>127</v>
      </c>
      <c r="AK12" s="715" t="s">
        <v>126</v>
      </c>
      <c r="AL12" s="715" t="s">
        <v>125</v>
      </c>
      <c r="AM12" s="715" t="s">
        <v>124</v>
      </c>
      <c r="AN12" s="715" t="s">
        <v>123</v>
      </c>
      <c r="AO12" s="715" t="s">
        <v>122</v>
      </c>
      <c r="AP12" s="715" t="s">
        <v>121</v>
      </c>
      <c r="AQ12" s="715" t="s">
        <v>120</v>
      </c>
      <c r="AR12" s="715" t="s">
        <v>119</v>
      </c>
      <c r="AS12" s="715" t="s">
        <v>118</v>
      </c>
      <c r="AT12" s="715" t="s">
        <v>117</v>
      </c>
      <c r="AU12" s="740" t="s">
        <v>623</v>
      </c>
      <c r="AV12" s="740" t="s">
        <v>622</v>
      </c>
    </row>
    <row r="13" spans="1:57">
      <c r="A13" s="682">
        <v>1</v>
      </c>
      <c r="B13" s="689" t="s">
        <v>76</v>
      </c>
      <c r="X13" s="726"/>
      <c r="Y13" s="726"/>
      <c r="AT13" s="282"/>
      <c r="AU13" s="726"/>
      <c r="AV13" s="726"/>
    </row>
    <row r="14" spans="1:57">
      <c r="A14" s="682">
        <f t="shared" ref="A14:A45" si="2">A13+1</f>
        <v>2</v>
      </c>
      <c r="B14" s="689" t="s">
        <v>75</v>
      </c>
      <c r="C14" s="712">
        <f>+'SJK-3'!$C$9</f>
        <v>876657675.66999984</v>
      </c>
      <c r="D14" s="712">
        <f>+'SEF-6G'!F20</f>
        <v>-47098325.766164944</v>
      </c>
      <c r="E14" s="712">
        <f>'SEF-6G'!N19</f>
        <v>42375.32993</v>
      </c>
      <c r="F14" s="712"/>
      <c r="G14" s="712"/>
      <c r="H14" s="712">
        <f>SUM('SEF-6G'!AL14:AL18,'SEF-6G'!AL20,'SEF-6G'!AL22)</f>
        <v>-105836055.77958143</v>
      </c>
      <c r="I14" s="712"/>
      <c r="J14" s="712"/>
      <c r="K14" s="712"/>
      <c r="L14" s="712"/>
      <c r="M14" s="712"/>
      <c r="N14" s="712"/>
      <c r="O14" s="712"/>
      <c r="P14" s="712"/>
      <c r="Q14" s="712"/>
      <c r="R14" s="712"/>
      <c r="S14" s="712"/>
      <c r="T14" s="712"/>
      <c r="U14" s="712"/>
      <c r="V14" s="712"/>
      <c r="W14" s="712"/>
      <c r="X14" s="739">
        <f>SUM(D14:W14)</f>
        <v>-152892006.21581638</v>
      </c>
      <c r="Y14" s="739">
        <f>+X14+C14</f>
        <v>723765669.45418346</v>
      </c>
      <c r="Z14" s="712">
        <f>'SEF-6G'!H20</f>
        <v>50971.28</v>
      </c>
      <c r="AA14" s="712">
        <f>+'SEF-6G'!P19</f>
        <v>35122048.636059925</v>
      </c>
      <c r="AB14" s="712"/>
      <c r="AC14" s="712"/>
      <c r="AD14" s="712"/>
      <c r="AE14" s="712"/>
      <c r="AF14" s="712"/>
      <c r="AG14" s="712"/>
      <c r="AH14" s="712"/>
      <c r="AI14" s="712"/>
      <c r="AJ14" s="712"/>
      <c r="AK14" s="712"/>
      <c r="AL14" s="712"/>
      <c r="AM14" s="712"/>
      <c r="AN14" s="712"/>
      <c r="AO14" s="712"/>
      <c r="AP14" s="712"/>
      <c r="AQ14" s="712"/>
      <c r="AR14" s="712"/>
      <c r="AS14" s="712"/>
      <c r="AT14" s="712">
        <f>'SEF-8G'!Q15</f>
        <v>-6980521.1700718822</v>
      </c>
      <c r="AU14" s="739">
        <f>SUM(Z14:AT14)</f>
        <v>28192498.745988045</v>
      </c>
      <c r="AV14" s="739">
        <f>+AU14+Y14</f>
        <v>751958168.20017147</v>
      </c>
      <c r="BD14" s="282"/>
      <c r="BE14" s="282"/>
    </row>
    <row r="15" spans="1:57">
      <c r="A15" s="682">
        <f t="shared" si="2"/>
        <v>3</v>
      </c>
      <c r="B15" s="689" t="s">
        <v>617</v>
      </c>
      <c r="C15" s="705"/>
      <c r="D15" s="705"/>
      <c r="E15" s="705"/>
      <c r="F15" s="705"/>
      <c r="G15" s="705"/>
      <c r="H15" s="705"/>
      <c r="I15" s="705"/>
      <c r="J15" s="705"/>
      <c r="K15" s="705"/>
      <c r="L15" s="705"/>
      <c r="M15" s="705"/>
      <c r="N15" s="705"/>
      <c r="O15" s="705"/>
      <c r="P15" s="705"/>
      <c r="Q15" s="705"/>
      <c r="R15" s="705"/>
      <c r="S15" s="705"/>
      <c r="T15" s="705"/>
      <c r="U15" s="705"/>
      <c r="V15" s="705"/>
      <c r="W15" s="705"/>
      <c r="X15" s="721">
        <f>SUM(D15:W15)</f>
        <v>0</v>
      </c>
      <c r="Y15" s="721">
        <f>+X15+C15</f>
        <v>0</v>
      </c>
      <c r="Z15" s="705"/>
      <c r="AA15" s="705"/>
      <c r="AB15" s="705"/>
      <c r="AC15" s="705"/>
      <c r="AD15" s="705"/>
      <c r="AE15" s="705"/>
      <c r="AF15" s="705"/>
      <c r="AG15" s="705"/>
      <c r="AH15" s="705"/>
      <c r="AI15" s="705"/>
      <c r="AJ15" s="705"/>
      <c r="AK15" s="705"/>
      <c r="AL15" s="705"/>
      <c r="AM15" s="705"/>
      <c r="AN15" s="705"/>
      <c r="AO15" s="705"/>
      <c r="AP15" s="705"/>
      <c r="AQ15" s="705"/>
      <c r="AR15" s="705"/>
      <c r="AS15" s="705"/>
      <c r="AT15" s="705"/>
      <c r="AU15" s="721">
        <f>SUM(Z15:AT15)</f>
        <v>0</v>
      </c>
      <c r="AV15" s="721">
        <f>+AU15+Y15</f>
        <v>0</v>
      </c>
    </row>
    <row r="16" spans="1:57">
      <c r="A16" s="682">
        <f t="shared" si="2"/>
        <v>4</v>
      </c>
      <c r="B16" s="689" t="s">
        <v>72</v>
      </c>
      <c r="C16" s="705">
        <f>+'SJK-3'!$C$12</f>
        <v>-25909998.579999998</v>
      </c>
      <c r="D16" s="705">
        <f>+'SEF-6G'!F29</f>
        <v>2691478.5600000005</v>
      </c>
      <c r="E16" s="705"/>
      <c r="F16" s="705"/>
      <c r="G16" s="705"/>
      <c r="H16" s="705">
        <f>SUM('SEF-6G'!AL19,'SEF-6G'!AL21,'SEF-6G'!AL23:AL24)</f>
        <v>43423782.999999993</v>
      </c>
      <c r="I16" s="705"/>
      <c r="J16" s="705"/>
      <c r="K16" s="705"/>
      <c r="L16" s="705"/>
      <c r="M16" s="705"/>
      <c r="N16" s="705"/>
      <c r="O16" s="705"/>
      <c r="P16" s="705"/>
      <c r="Q16" s="705"/>
      <c r="R16" s="705"/>
      <c r="S16" s="705"/>
      <c r="T16" s="705"/>
      <c r="U16" s="705"/>
      <c r="V16" s="705"/>
      <c r="W16" s="705"/>
      <c r="X16" s="721">
        <f>SUM(D16:W16)</f>
        <v>46115261.559999995</v>
      </c>
      <c r="Y16" s="721">
        <f>+X16+C16</f>
        <v>20205262.979999997</v>
      </c>
      <c r="Z16" s="705">
        <f>+'SEF-6G'!H29</f>
        <v>-9854969.0099999998</v>
      </c>
      <c r="AA16" s="705"/>
      <c r="AB16" s="705"/>
      <c r="AC16" s="705"/>
      <c r="AD16" s="705"/>
      <c r="AE16" s="705"/>
      <c r="AF16" s="705"/>
      <c r="AG16" s="705"/>
      <c r="AH16" s="705"/>
      <c r="AI16" s="705"/>
      <c r="AJ16" s="705"/>
      <c r="AK16" s="705"/>
      <c r="AL16" s="705"/>
      <c r="AM16" s="705"/>
      <c r="AN16" s="705"/>
      <c r="AO16" s="705"/>
      <c r="AP16" s="705"/>
      <c r="AQ16" s="705"/>
      <c r="AR16" s="705"/>
      <c r="AS16" s="705"/>
      <c r="AT16" s="705"/>
      <c r="AU16" s="721">
        <f>SUM(Z16:AT16)</f>
        <v>-9854969.0099999998</v>
      </c>
      <c r="AV16" s="721">
        <f>+AU16+Y16</f>
        <v>10350293.969999997</v>
      </c>
      <c r="BD16" s="282"/>
      <c r="BE16" s="282"/>
    </row>
    <row r="17" spans="1:55">
      <c r="A17" s="682">
        <f t="shared" si="2"/>
        <v>5</v>
      </c>
      <c r="B17" s="689" t="s">
        <v>71</v>
      </c>
      <c r="C17" s="290">
        <f t="shared" ref="C17:AV17" si="3">SUM(C14:C16)</f>
        <v>850747677.08999979</v>
      </c>
      <c r="D17" s="290">
        <f t="shared" si="3"/>
        <v>-44406847.206164941</v>
      </c>
      <c r="E17" s="290">
        <f t="shared" si="3"/>
        <v>42375.32993</v>
      </c>
      <c r="F17" s="290">
        <f t="shared" si="3"/>
        <v>0</v>
      </c>
      <c r="G17" s="290">
        <f t="shared" si="3"/>
        <v>0</v>
      </c>
      <c r="H17" s="290">
        <f t="shared" si="3"/>
        <v>-62412272.779581435</v>
      </c>
      <c r="I17" s="290">
        <f t="shared" si="3"/>
        <v>0</v>
      </c>
      <c r="J17" s="290">
        <f t="shared" si="3"/>
        <v>0</v>
      </c>
      <c r="K17" s="290">
        <f t="shared" si="3"/>
        <v>0</v>
      </c>
      <c r="L17" s="290">
        <f t="shared" si="3"/>
        <v>0</v>
      </c>
      <c r="M17" s="290">
        <f t="shared" si="3"/>
        <v>0</v>
      </c>
      <c r="N17" s="290">
        <f t="shared" si="3"/>
        <v>0</v>
      </c>
      <c r="O17" s="290">
        <f t="shared" si="3"/>
        <v>0</v>
      </c>
      <c r="P17" s="290">
        <f t="shared" si="3"/>
        <v>0</v>
      </c>
      <c r="Q17" s="290">
        <f t="shared" si="3"/>
        <v>0</v>
      </c>
      <c r="R17" s="290">
        <f t="shared" si="3"/>
        <v>0</v>
      </c>
      <c r="S17" s="290">
        <f t="shared" si="3"/>
        <v>0</v>
      </c>
      <c r="T17" s="290">
        <f t="shared" si="3"/>
        <v>0</v>
      </c>
      <c r="U17" s="290">
        <f t="shared" si="3"/>
        <v>0</v>
      </c>
      <c r="V17" s="290">
        <f t="shared" si="3"/>
        <v>0</v>
      </c>
      <c r="W17" s="290">
        <f t="shared" si="3"/>
        <v>0</v>
      </c>
      <c r="X17" s="738">
        <f t="shared" si="3"/>
        <v>-106776744.65581638</v>
      </c>
      <c r="Y17" s="738">
        <f t="shared" si="3"/>
        <v>743970932.43418348</v>
      </c>
      <c r="Z17" s="290">
        <f t="shared" si="3"/>
        <v>-9803997.7300000004</v>
      </c>
      <c r="AA17" s="290">
        <f t="shared" si="3"/>
        <v>35122048.636059925</v>
      </c>
      <c r="AB17" s="290">
        <f t="shared" si="3"/>
        <v>0</v>
      </c>
      <c r="AC17" s="290">
        <f t="shared" si="3"/>
        <v>0</v>
      </c>
      <c r="AD17" s="290">
        <f t="shared" si="3"/>
        <v>0</v>
      </c>
      <c r="AE17" s="290">
        <f t="shared" si="3"/>
        <v>0</v>
      </c>
      <c r="AF17" s="290">
        <f t="shared" si="3"/>
        <v>0</v>
      </c>
      <c r="AG17" s="290">
        <f t="shared" si="3"/>
        <v>0</v>
      </c>
      <c r="AH17" s="290">
        <f t="shared" si="3"/>
        <v>0</v>
      </c>
      <c r="AI17" s="290">
        <f t="shared" si="3"/>
        <v>0</v>
      </c>
      <c r="AJ17" s="290">
        <f t="shared" si="3"/>
        <v>0</v>
      </c>
      <c r="AK17" s="290">
        <f t="shared" si="3"/>
        <v>0</v>
      </c>
      <c r="AL17" s="290">
        <f t="shared" si="3"/>
        <v>0</v>
      </c>
      <c r="AM17" s="290">
        <f t="shared" si="3"/>
        <v>0</v>
      </c>
      <c r="AN17" s="290">
        <f t="shared" si="3"/>
        <v>0</v>
      </c>
      <c r="AO17" s="290">
        <f t="shared" si="3"/>
        <v>0</v>
      </c>
      <c r="AP17" s="290">
        <f t="shared" si="3"/>
        <v>0</v>
      </c>
      <c r="AQ17" s="290">
        <f t="shared" si="3"/>
        <v>0</v>
      </c>
      <c r="AR17" s="290">
        <f t="shared" si="3"/>
        <v>0</v>
      </c>
      <c r="AS17" s="290">
        <f t="shared" si="3"/>
        <v>0</v>
      </c>
      <c r="AT17" s="290">
        <f t="shared" si="3"/>
        <v>-6980521.1700718822</v>
      </c>
      <c r="AU17" s="738">
        <f t="shared" si="3"/>
        <v>18337529.735988043</v>
      </c>
      <c r="AV17" s="738">
        <f t="shared" si="3"/>
        <v>762308462.1701715</v>
      </c>
      <c r="AW17" s="736"/>
    </row>
    <row r="18" spans="1:55" s="737" customFormat="1">
      <c r="A18" s="682">
        <f t="shared" si="2"/>
        <v>6</v>
      </c>
      <c r="B18" s="711"/>
      <c r="C18" s="705"/>
      <c r="D18" s="705"/>
      <c r="E18" s="705"/>
      <c r="F18" s="705"/>
      <c r="G18" s="705"/>
      <c r="H18" s="705"/>
      <c r="I18" s="705"/>
      <c r="J18" s="705"/>
      <c r="K18" s="705"/>
      <c r="L18" s="705"/>
      <c r="M18" s="705"/>
      <c r="N18" s="705"/>
      <c r="O18" s="705"/>
      <c r="P18" s="705"/>
      <c r="Q18" s="705"/>
      <c r="R18" s="705"/>
      <c r="S18" s="705"/>
      <c r="T18" s="705"/>
      <c r="U18" s="705"/>
      <c r="V18" s="705"/>
      <c r="W18" s="705"/>
      <c r="X18" s="721"/>
      <c r="Y18" s="721"/>
      <c r="Z18" s="705"/>
      <c r="AA18" s="705"/>
      <c r="AB18" s="705"/>
      <c r="AC18" s="705"/>
      <c r="AD18" s="705"/>
      <c r="AE18" s="705"/>
      <c r="AF18" s="705"/>
      <c r="AG18" s="705"/>
      <c r="AH18" s="705"/>
      <c r="AI18" s="705"/>
      <c r="AJ18" s="705"/>
      <c r="AK18" s="705"/>
      <c r="AL18" s="705"/>
      <c r="AM18" s="705"/>
      <c r="AN18" s="705"/>
      <c r="AO18" s="705"/>
      <c r="AP18" s="705"/>
      <c r="AQ18" s="705"/>
      <c r="AR18" s="705"/>
      <c r="AS18" s="705"/>
      <c r="AT18" s="705"/>
      <c r="AU18" s="721"/>
      <c r="AV18" s="721"/>
      <c r="AX18" s="273"/>
      <c r="AY18" s="273"/>
      <c r="AZ18" s="273"/>
      <c r="BA18" s="273"/>
      <c r="BB18" s="273"/>
      <c r="BC18" s="273"/>
    </row>
    <row r="19" spans="1:55">
      <c r="A19" s="682">
        <f t="shared" si="2"/>
        <v>7</v>
      </c>
      <c r="B19" s="689" t="s">
        <v>70</v>
      </c>
      <c r="X19" s="726"/>
      <c r="Y19" s="726"/>
      <c r="AU19" s="726"/>
      <c r="AV19" s="726"/>
    </row>
    <row r="20" spans="1:55">
      <c r="A20" s="682">
        <f t="shared" si="2"/>
        <v>8</v>
      </c>
      <c r="B20" s="687"/>
      <c r="X20" s="726"/>
      <c r="Y20" s="726"/>
      <c r="AU20" s="726"/>
      <c r="AV20" s="726"/>
    </row>
    <row r="21" spans="1:55">
      <c r="A21" s="682">
        <f t="shared" si="2"/>
        <v>9</v>
      </c>
      <c r="B21" s="689" t="s">
        <v>616</v>
      </c>
      <c r="C21" s="712"/>
      <c r="X21" s="726"/>
      <c r="Y21" s="726"/>
      <c r="AU21" s="726"/>
      <c r="AV21" s="726"/>
    </row>
    <row r="22" spans="1:55">
      <c r="A22" s="682">
        <f t="shared" si="2"/>
        <v>10</v>
      </c>
      <c r="B22" s="689"/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728">
        <f>SUM(D22:W22)</f>
        <v>0</v>
      </c>
      <c r="Y22" s="728">
        <f>+X22+C22</f>
        <v>0</v>
      </c>
      <c r="Z22" s="282"/>
      <c r="AA22" s="282"/>
      <c r="AB22" s="282"/>
      <c r="AC22" s="282"/>
      <c r="AD22" s="282"/>
      <c r="AE22" s="282"/>
      <c r="AF22" s="282"/>
      <c r="AG22" s="282"/>
      <c r="AH22" s="282"/>
      <c r="AI22" s="282"/>
      <c r="AJ22" s="282"/>
      <c r="AK22" s="282"/>
      <c r="AL22" s="282"/>
      <c r="AM22" s="282"/>
      <c r="AN22" s="282"/>
      <c r="AO22" s="282"/>
      <c r="AP22" s="282"/>
      <c r="AQ22" s="282"/>
      <c r="AR22" s="282"/>
      <c r="AS22" s="282"/>
      <c r="AT22" s="282"/>
      <c r="AU22" s="728">
        <f>SUM(Z22:AT22)</f>
        <v>0</v>
      </c>
      <c r="AV22" s="728">
        <f>+AU22+Y22</f>
        <v>0</v>
      </c>
    </row>
    <row r="23" spans="1:55">
      <c r="A23" s="682">
        <f t="shared" si="2"/>
        <v>11</v>
      </c>
      <c r="B23" s="689" t="s">
        <v>615</v>
      </c>
      <c r="C23" s="282">
        <f>+'SJK-3'!$C$19</f>
        <v>296699052.05999887</v>
      </c>
      <c r="D23" s="705">
        <f>+'SEF-6G'!F36</f>
        <v>-43597128.774327636</v>
      </c>
      <c r="E23" s="705"/>
      <c r="F23" s="705"/>
      <c r="G23" s="705"/>
      <c r="H23" s="705">
        <f>'SEF-6G'!AL37+'SEF-6G'!AL38</f>
        <v>23490295.960000001</v>
      </c>
      <c r="I23" s="705"/>
      <c r="J23" s="705"/>
      <c r="K23" s="705"/>
      <c r="L23" s="705"/>
      <c r="M23" s="705"/>
      <c r="N23" s="705"/>
      <c r="O23" s="705"/>
      <c r="P23" s="705"/>
      <c r="Q23" s="705"/>
      <c r="R23" s="705"/>
      <c r="S23" s="705"/>
      <c r="T23" s="705"/>
      <c r="U23" s="705"/>
      <c r="V23" s="705"/>
      <c r="W23" s="705"/>
      <c r="X23" s="721">
        <f>SUM(D23:W23)</f>
        <v>-20106832.814327635</v>
      </c>
      <c r="Y23" s="721">
        <f>+X23+C23</f>
        <v>276592219.24567121</v>
      </c>
      <c r="Z23" s="705"/>
      <c r="AA23" s="705">
        <f>+'SEF-6G'!P21</f>
        <v>16597941.863750041</v>
      </c>
      <c r="AB23" s="705"/>
      <c r="AC23" s="705"/>
      <c r="AD23" s="705"/>
      <c r="AE23" s="705"/>
      <c r="AF23" s="705"/>
      <c r="AG23" s="705"/>
      <c r="AH23" s="705"/>
      <c r="AI23" s="705"/>
      <c r="AJ23" s="705"/>
      <c r="AK23" s="705"/>
      <c r="AL23" s="705"/>
      <c r="AM23" s="705"/>
      <c r="AN23" s="705"/>
      <c r="AO23" s="705"/>
      <c r="AP23" s="705"/>
      <c r="AQ23" s="705"/>
      <c r="AR23" s="705"/>
      <c r="AS23" s="705"/>
      <c r="AT23" s="705"/>
      <c r="AU23" s="721">
        <f>SUM(Z23:AT23)</f>
        <v>16597941.863750041</v>
      </c>
      <c r="AV23" s="721">
        <f>+AU23+Y23</f>
        <v>293190161.10942125</v>
      </c>
    </row>
    <row r="24" spans="1:55">
      <c r="A24" s="682">
        <f t="shared" si="2"/>
        <v>12</v>
      </c>
      <c r="B24" s="687"/>
      <c r="C24" s="705"/>
      <c r="D24" s="705"/>
      <c r="E24" s="705"/>
      <c r="F24" s="705"/>
      <c r="G24" s="705"/>
      <c r="H24" s="705"/>
      <c r="I24" s="705"/>
      <c r="J24" s="705"/>
      <c r="K24" s="705"/>
      <c r="L24" s="705"/>
      <c r="M24" s="705"/>
      <c r="N24" s="705"/>
      <c r="O24" s="705"/>
      <c r="P24" s="705"/>
      <c r="Q24" s="705"/>
      <c r="R24" s="705"/>
      <c r="S24" s="705"/>
      <c r="T24" s="705"/>
      <c r="U24" s="705"/>
      <c r="V24" s="705"/>
      <c r="W24" s="705"/>
      <c r="X24" s="721">
        <f>SUM(D24:W24)</f>
        <v>0</v>
      </c>
      <c r="Y24" s="721">
        <f>+X24+C24</f>
        <v>0</v>
      </c>
      <c r="Z24" s="705"/>
      <c r="AA24" s="705"/>
      <c r="AB24" s="705"/>
      <c r="AC24" s="705"/>
      <c r="AD24" s="705"/>
      <c r="AE24" s="705"/>
      <c r="AF24" s="705"/>
      <c r="AG24" s="705"/>
      <c r="AH24" s="705"/>
      <c r="AI24" s="705"/>
      <c r="AJ24" s="705"/>
      <c r="AK24" s="705"/>
      <c r="AL24" s="705"/>
      <c r="AM24" s="705"/>
      <c r="AN24" s="705"/>
      <c r="AO24" s="705"/>
      <c r="AP24" s="705"/>
      <c r="AQ24" s="705"/>
      <c r="AR24" s="705"/>
      <c r="AS24" s="705"/>
      <c r="AT24" s="705"/>
      <c r="AU24" s="721">
        <f>SUM(Z24:AT24)</f>
        <v>0</v>
      </c>
      <c r="AV24" s="721">
        <f>+AU24+Y24</f>
        <v>0</v>
      </c>
    </row>
    <row r="25" spans="1:55">
      <c r="A25" s="682">
        <f t="shared" si="2"/>
        <v>13</v>
      </c>
      <c r="B25" s="689" t="s">
        <v>64</v>
      </c>
      <c r="C25" s="286">
        <f t="shared" ref="C25:AR25" si="4">SUM(C21:C24)</f>
        <v>296699052.05999887</v>
      </c>
      <c r="D25" s="286">
        <f t="shared" si="4"/>
        <v>-43597128.774327636</v>
      </c>
      <c r="E25" s="286">
        <f t="shared" si="4"/>
        <v>0</v>
      </c>
      <c r="F25" s="286">
        <f t="shared" si="4"/>
        <v>0</v>
      </c>
      <c r="G25" s="286">
        <f t="shared" si="4"/>
        <v>0</v>
      </c>
      <c r="H25" s="286">
        <f t="shared" si="4"/>
        <v>23490295.960000001</v>
      </c>
      <c r="I25" s="286">
        <f t="shared" si="4"/>
        <v>0</v>
      </c>
      <c r="J25" s="286">
        <f t="shared" si="4"/>
        <v>0</v>
      </c>
      <c r="K25" s="286">
        <f t="shared" si="4"/>
        <v>0</v>
      </c>
      <c r="L25" s="286">
        <f t="shared" si="4"/>
        <v>0</v>
      </c>
      <c r="M25" s="286">
        <f t="shared" si="4"/>
        <v>0</v>
      </c>
      <c r="N25" s="286">
        <f t="shared" si="4"/>
        <v>0</v>
      </c>
      <c r="O25" s="286">
        <f t="shared" si="4"/>
        <v>0</v>
      </c>
      <c r="P25" s="286">
        <f t="shared" si="4"/>
        <v>0</v>
      </c>
      <c r="Q25" s="286">
        <f t="shared" si="4"/>
        <v>0</v>
      </c>
      <c r="R25" s="286">
        <f t="shared" si="4"/>
        <v>0</v>
      </c>
      <c r="S25" s="286">
        <f t="shared" si="4"/>
        <v>0</v>
      </c>
      <c r="T25" s="286">
        <f t="shared" si="4"/>
        <v>0</v>
      </c>
      <c r="U25" s="286">
        <f t="shared" si="4"/>
        <v>0</v>
      </c>
      <c r="V25" s="286">
        <f t="shared" si="4"/>
        <v>0</v>
      </c>
      <c r="W25" s="286">
        <f t="shared" si="4"/>
        <v>0</v>
      </c>
      <c r="X25" s="734">
        <f t="shared" si="4"/>
        <v>-20106832.814327635</v>
      </c>
      <c r="Y25" s="734">
        <f t="shared" si="4"/>
        <v>276592219.24567121</v>
      </c>
      <c r="Z25" s="286">
        <f t="shared" si="4"/>
        <v>0</v>
      </c>
      <c r="AA25" s="286">
        <f t="shared" si="4"/>
        <v>16597941.863750041</v>
      </c>
      <c r="AB25" s="286">
        <f t="shared" si="4"/>
        <v>0</v>
      </c>
      <c r="AC25" s="286">
        <f t="shared" si="4"/>
        <v>0</v>
      </c>
      <c r="AD25" s="286">
        <f t="shared" si="4"/>
        <v>0</v>
      </c>
      <c r="AE25" s="286">
        <f t="shared" si="4"/>
        <v>0</v>
      </c>
      <c r="AF25" s="286">
        <f t="shared" si="4"/>
        <v>0</v>
      </c>
      <c r="AG25" s="286">
        <f t="shared" si="4"/>
        <v>0</v>
      </c>
      <c r="AH25" s="286">
        <f t="shared" si="4"/>
        <v>0</v>
      </c>
      <c r="AI25" s="286">
        <f t="shared" si="4"/>
        <v>0</v>
      </c>
      <c r="AJ25" s="286">
        <f t="shared" si="4"/>
        <v>0</v>
      </c>
      <c r="AK25" s="286">
        <f t="shared" si="4"/>
        <v>0</v>
      </c>
      <c r="AL25" s="286">
        <f t="shared" si="4"/>
        <v>0</v>
      </c>
      <c r="AM25" s="286">
        <f t="shared" si="4"/>
        <v>0</v>
      </c>
      <c r="AN25" s="286">
        <f t="shared" si="4"/>
        <v>0</v>
      </c>
      <c r="AO25" s="286">
        <f t="shared" si="4"/>
        <v>0</v>
      </c>
      <c r="AP25" s="286">
        <f t="shared" si="4"/>
        <v>0</v>
      </c>
      <c r="AQ25" s="286">
        <f t="shared" si="4"/>
        <v>0</v>
      </c>
      <c r="AR25" s="286">
        <f t="shared" si="4"/>
        <v>0</v>
      </c>
      <c r="AS25" s="286"/>
      <c r="AT25" s="286">
        <f>SUM(AT21:AT24)</f>
        <v>0</v>
      </c>
      <c r="AU25" s="734">
        <f>SUM(AU21:AU24)</f>
        <v>16597941.863750041</v>
      </c>
      <c r="AV25" s="734">
        <f>SUM(AV21:AV24)</f>
        <v>293190161.10942125</v>
      </c>
    </row>
    <row r="26" spans="1:55">
      <c r="A26" s="682">
        <f t="shared" si="2"/>
        <v>14</v>
      </c>
      <c r="B26" s="689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728"/>
      <c r="Y26" s="728"/>
      <c r="Z26" s="282"/>
      <c r="AA26" s="282"/>
      <c r="AB26" s="282"/>
      <c r="AC26" s="282"/>
      <c r="AD26" s="282"/>
      <c r="AE26" s="282"/>
      <c r="AF26" s="282"/>
      <c r="AG26" s="282"/>
      <c r="AH26" s="282"/>
      <c r="AI26" s="282"/>
      <c r="AJ26" s="282"/>
      <c r="AK26" s="282"/>
      <c r="AL26" s="282"/>
      <c r="AM26" s="282"/>
      <c r="AN26" s="282"/>
      <c r="AO26" s="282"/>
      <c r="AP26" s="282"/>
      <c r="AQ26" s="282"/>
      <c r="AR26" s="282"/>
      <c r="AS26" s="282"/>
      <c r="AT26" s="282"/>
      <c r="AU26" s="728"/>
      <c r="AV26" s="728"/>
    </row>
    <row r="27" spans="1:55">
      <c r="A27" s="682">
        <f t="shared" si="2"/>
        <v>15</v>
      </c>
      <c r="B27" s="710" t="s">
        <v>63</v>
      </c>
      <c r="C27" s="282">
        <f>+'SJK-3'!C24</f>
        <v>6042805.129999999</v>
      </c>
      <c r="D27" s="282"/>
      <c r="E27" s="282"/>
      <c r="F27" s="282"/>
      <c r="G27" s="282"/>
      <c r="H27" s="282"/>
      <c r="I27" s="282"/>
      <c r="J27" s="282"/>
      <c r="K27" s="282">
        <f>'SEF-6G'!BK16+'SEF-6G'!BK17+'SEF-6G'!BK15</f>
        <v>12295.3407060155</v>
      </c>
      <c r="L27" s="282"/>
      <c r="M27" s="282"/>
      <c r="N27" s="282"/>
      <c r="O27" s="282"/>
      <c r="P27" s="282"/>
      <c r="Q27" s="282"/>
      <c r="R27" s="705">
        <f>+'SEF-6G'!DO15+'SEF-6G'!DO16+'SEF-6G'!DO17</f>
        <v>6288.3906926487689</v>
      </c>
      <c r="S27" s="282"/>
      <c r="T27" s="282"/>
      <c r="U27" s="282"/>
      <c r="V27" s="282"/>
      <c r="W27" s="282"/>
      <c r="X27" s="721">
        <f t="shared" ref="X27:X41" si="5">SUM(D27:W27)</f>
        <v>18583.731398664269</v>
      </c>
      <c r="Y27" s="728">
        <f t="shared" ref="Y27:Y41" si="6">+X27+C27</f>
        <v>6061388.8613986634</v>
      </c>
      <c r="Z27" s="282"/>
      <c r="AA27" s="282"/>
      <c r="AB27" s="282"/>
      <c r="AC27" s="282"/>
      <c r="AD27" s="282"/>
      <c r="AE27" s="282"/>
      <c r="AF27" s="705">
        <f>+'SEF-6G'!DQ15+'SEF-6G'!DQ16+'SEF-6G'!DQ17</f>
        <v>110731.68203954893</v>
      </c>
      <c r="AG27" s="705"/>
      <c r="AH27" s="282"/>
      <c r="AI27" s="282"/>
      <c r="AJ27" s="282"/>
      <c r="AK27" s="282"/>
      <c r="AL27" s="282"/>
      <c r="AM27" s="282"/>
      <c r="AN27" s="282"/>
      <c r="AO27" s="282"/>
      <c r="AP27" s="282"/>
      <c r="AQ27" s="282">
        <f>'SEF-6G'!HQ14</f>
        <v>44.329999999999927</v>
      </c>
      <c r="AR27" s="282"/>
      <c r="AS27" s="282"/>
      <c r="AT27" s="282"/>
      <c r="AU27" s="721">
        <f t="shared" ref="AU27:AU41" si="7">SUM(Z27:AT27)</f>
        <v>110776.01203954894</v>
      </c>
      <c r="AV27" s="728">
        <f t="shared" ref="AV27:AV41" si="8">+AU27+Y27</f>
        <v>6172164.8734382121</v>
      </c>
    </row>
    <row r="28" spans="1:55">
      <c r="A28" s="682">
        <f t="shared" si="2"/>
        <v>16</v>
      </c>
      <c r="B28" s="689" t="s">
        <v>62</v>
      </c>
      <c r="C28" s="677">
        <f>+'SJK-3'!C25</f>
        <v>2110.77</v>
      </c>
      <c r="D28" s="705"/>
      <c r="E28" s="705"/>
      <c r="F28" s="705"/>
      <c r="G28" s="705"/>
      <c r="H28" s="705"/>
      <c r="I28" s="705"/>
      <c r="J28" s="705"/>
      <c r="K28" s="705">
        <f>'SEF-6G'!BL18</f>
        <v>0</v>
      </c>
      <c r="L28" s="705"/>
      <c r="M28" s="705"/>
      <c r="N28" s="705"/>
      <c r="O28" s="705"/>
      <c r="P28" s="705"/>
      <c r="Q28" s="705"/>
      <c r="R28" s="705"/>
      <c r="S28" s="705"/>
      <c r="T28" s="705"/>
      <c r="U28" s="705"/>
      <c r="V28" s="705"/>
      <c r="W28" s="705"/>
      <c r="X28" s="721">
        <f t="shared" si="5"/>
        <v>0</v>
      </c>
      <c r="Y28" s="721">
        <f t="shared" si="6"/>
        <v>2110.77</v>
      </c>
      <c r="Z28" s="705"/>
      <c r="AA28" s="705"/>
      <c r="AB28" s="705"/>
      <c r="AC28" s="705"/>
      <c r="AD28" s="705"/>
      <c r="AE28" s="705"/>
      <c r="AF28" s="705"/>
      <c r="AG28" s="705"/>
      <c r="AH28" s="705"/>
      <c r="AI28" s="705"/>
      <c r="AJ28" s="705"/>
      <c r="AK28" s="705"/>
      <c r="AL28" s="705"/>
      <c r="AM28" s="705"/>
      <c r="AN28" s="705"/>
      <c r="AO28" s="705"/>
      <c r="AP28" s="705"/>
      <c r="AQ28" s="705">
        <f>'SEF-6G'!HQ15</f>
        <v>57.75</v>
      </c>
      <c r="AR28" s="705"/>
      <c r="AS28" s="705"/>
      <c r="AT28" s="705"/>
      <c r="AU28" s="721">
        <f t="shared" si="7"/>
        <v>57.75</v>
      </c>
      <c r="AV28" s="721">
        <f t="shared" si="8"/>
        <v>2168.52</v>
      </c>
    </row>
    <row r="29" spans="1:55">
      <c r="A29" s="682">
        <f t="shared" si="2"/>
        <v>17</v>
      </c>
      <c r="B29" s="689" t="s">
        <v>61</v>
      </c>
      <c r="C29" s="677">
        <f>+'SJK-3'!C26</f>
        <v>60174168.099999979</v>
      </c>
      <c r="D29" s="705"/>
      <c r="E29" s="705"/>
      <c r="F29" s="705"/>
      <c r="G29" s="705"/>
      <c r="H29" s="705"/>
      <c r="I29" s="705"/>
      <c r="J29" s="705"/>
      <c r="K29" s="705">
        <f>'SEF-6G'!BK19</f>
        <v>120834.00614718534</v>
      </c>
      <c r="L29" s="705"/>
      <c r="M29" s="705"/>
      <c r="N29" s="705"/>
      <c r="O29" s="705"/>
      <c r="P29" s="705"/>
      <c r="Q29" s="705"/>
      <c r="R29" s="705">
        <f>+'SEF-6G'!DO19</f>
        <v>402623.26229435951</v>
      </c>
      <c r="S29" s="705"/>
      <c r="T29" s="705"/>
      <c r="U29" s="705"/>
      <c r="V29" s="705"/>
      <c r="W29" s="705"/>
      <c r="X29" s="721">
        <f t="shared" si="5"/>
        <v>523457.26844154485</v>
      </c>
      <c r="Y29" s="721">
        <f t="shared" si="6"/>
        <v>60697625.368441522</v>
      </c>
      <c r="Z29" s="705"/>
      <c r="AA29" s="705"/>
      <c r="AB29" s="705"/>
      <c r="AC29" s="705"/>
      <c r="AD29" s="705"/>
      <c r="AE29" s="705"/>
      <c r="AF29" s="705">
        <f>+'SEF-6G'!DQ19</f>
        <v>1350205.8821382411</v>
      </c>
      <c r="AG29" s="705"/>
      <c r="AH29" s="705"/>
      <c r="AI29" s="705"/>
      <c r="AJ29" s="705"/>
      <c r="AK29" s="705"/>
      <c r="AL29" s="705"/>
      <c r="AM29" s="705"/>
      <c r="AN29" s="705"/>
      <c r="AO29" s="705"/>
      <c r="AP29" s="705"/>
      <c r="AQ29" s="705">
        <f>'SEF-6G'!HQ16</f>
        <v>278617.51000000164</v>
      </c>
      <c r="AR29" s="705"/>
      <c r="AS29" s="705"/>
      <c r="AT29" s="705"/>
      <c r="AU29" s="721">
        <f t="shared" si="7"/>
        <v>1628823.3921382427</v>
      </c>
      <c r="AV29" s="721">
        <f t="shared" si="8"/>
        <v>62326448.760579765</v>
      </c>
    </row>
    <row r="30" spans="1:55">
      <c r="A30" s="682">
        <f t="shared" si="2"/>
        <v>18</v>
      </c>
      <c r="B30" s="689" t="s">
        <v>60</v>
      </c>
      <c r="C30" s="677">
        <f>+'SJK-3'!C27</f>
        <v>29807451.619999997</v>
      </c>
      <c r="D30" s="705">
        <f>+'SEF-6G'!F38</f>
        <v>-227540.68508438917</v>
      </c>
      <c r="E30" s="705">
        <f>+'SEF-6G'!N24</f>
        <v>217.13119056131836</v>
      </c>
      <c r="F30" s="705"/>
      <c r="G30" s="705"/>
      <c r="H30" s="705">
        <f>+'SEF-6G'!AL28</f>
        <v>-319800.48572257528</v>
      </c>
      <c r="I30" s="705"/>
      <c r="J30" s="705">
        <f>+'SEF-6G'!BB15</f>
        <v>158770.57562207896</v>
      </c>
      <c r="K30" s="705">
        <f>'SEF-6G'!BK20</f>
        <v>29475.590301084216</v>
      </c>
      <c r="L30" s="705"/>
      <c r="M30" s="705"/>
      <c r="N30" s="705">
        <f>+'SEF-6G'!CI14</f>
        <v>204503.64267608413</v>
      </c>
      <c r="O30" s="705"/>
      <c r="P30" s="705"/>
      <c r="Q30" s="705"/>
      <c r="R30" s="705">
        <f>+'SEF-6G'!DO20</f>
        <v>12956.20307548251</v>
      </c>
      <c r="S30" s="705"/>
      <c r="T30" s="705"/>
      <c r="U30" s="705"/>
      <c r="V30" s="705"/>
      <c r="W30" s="705"/>
      <c r="X30" s="721">
        <f t="shared" si="5"/>
        <v>-141418.02794167335</v>
      </c>
      <c r="Y30" s="721">
        <f t="shared" si="6"/>
        <v>29666033.592058323</v>
      </c>
      <c r="Z30" s="705">
        <f>+'SEF-6G'!H38</f>
        <v>-50235.68436852</v>
      </c>
      <c r="AA30" s="705">
        <f>+'SEF-6G'!P24</f>
        <v>179965.37721117106</v>
      </c>
      <c r="AB30" s="705"/>
      <c r="AC30" s="705"/>
      <c r="AD30" s="705">
        <f>-M30</f>
        <v>0</v>
      </c>
      <c r="AE30" s="705"/>
      <c r="AF30" s="705">
        <f>+'SEF-6G'!DQ20</f>
        <v>274377.34146429319</v>
      </c>
      <c r="AG30" s="705"/>
      <c r="AH30" s="705"/>
      <c r="AI30" s="705"/>
      <c r="AJ30" s="705"/>
      <c r="AK30" s="705"/>
      <c r="AL30" s="705"/>
      <c r="AM30" s="705"/>
      <c r="AN30" s="705">
        <f>'SEF-6G'!GS15</f>
        <v>-435567.581275</v>
      </c>
      <c r="AO30" s="705"/>
      <c r="AP30" s="705"/>
      <c r="AQ30" s="705">
        <f>'SEF-6G'!HQ17</f>
        <v>105258.47999999952</v>
      </c>
      <c r="AR30" s="705"/>
      <c r="AS30" s="705"/>
      <c r="AT30" s="705">
        <f>'SEF-8G'!Q22</f>
        <v>-35768.190475448326</v>
      </c>
      <c r="AU30" s="721">
        <f t="shared" si="7"/>
        <v>38029.742556495417</v>
      </c>
      <c r="AV30" s="721">
        <f t="shared" si="8"/>
        <v>29704063.334614817</v>
      </c>
    </row>
    <row r="31" spans="1:55">
      <c r="A31" s="682">
        <f t="shared" si="2"/>
        <v>19</v>
      </c>
      <c r="B31" s="689" t="s">
        <v>59</v>
      </c>
      <c r="C31" s="677">
        <f>+'SJK-3'!C28</f>
        <v>6574431.0799999991</v>
      </c>
      <c r="D31" s="705"/>
      <c r="E31" s="705"/>
      <c r="F31" s="705"/>
      <c r="G31" s="705"/>
      <c r="H31" s="705">
        <f>+'SEF-6G'!AL34+'SEF-6G'!AL39</f>
        <v>-4814956.5200000005</v>
      </c>
      <c r="I31" s="705"/>
      <c r="J31" s="705"/>
      <c r="K31" s="705">
        <f>'SEF-6G'!BK21</f>
        <v>3037.0306528052533</v>
      </c>
      <c r="L31" s="705"/>
      <c r="M31" s="705"/>
      <c r="N31" s="705"/>
      <c r="O31" s="705"/>
      <c r="P31" s="705"/>
      <c r="Q31" s="705"/>
      <c r="R31" s="705">
        <f>+'SEF-6G'!DO21</f>
        <v>724.48399190953933</v>
      </c>
      <c r="S31" s="705"/>
      <c r="T31" s="705"/>
      <c r="U31" s="705"/>
      <c r="V31" s="705"/>
      <c r="W31" s="705"/>
      <c r="X31" s="721">
        <f t="shared" si="5"/>
        <v>-4811195.0053552855</v>
      </c>
      <c r="Y31" s="721">
        <f t="shared" si="6"/>
        <v>1763236.0746447137</v>
      </c>
      <c r="Z31" s="705"/>
      <c r="AA31" s="705"/>
      <c r="AB31" s="705"/>
      <c r="AC31" s="705"/>
      <c r="AD31" s="705"/>
      <c r="AE31" s="705"/>
      <c r="AF31" s="705">
        <f>+'SEF-6G'!DQ21</f>
        <v>31612.10595257883</v>
      </c>
      <c r="AG31" s="705"/>
      <c r="AH31" s="705"/>
      <c r="AI31" s="705"/>
      <c r="AJ31" s="705"/>
      <c r="AK31" s="705"/>
      <c r="AL31" s="705"/>
      <c r="AM31" s="705"/>
      <c r="AN31" s="705"/>
      <c r="AO31" s="705"/>
      <c r="AP31" s="705"/>
      <c r="AQ31" s="705"/>
      <c r="AR31" s="705"/>
      <c r="AS31" s="705"/>
      <c r="AT31" s="705"/>
      <c r="AU31" s="721">
        <f t="shared" si="7"/>
        <v>31612.10595257883</v>
      </c>
      <c r="AV31" s="721">
        <f t="shared" si="8"/>
        <v>1794848.1805972925</v>
      </c>
    </row>
    <row r="32" spans="1:55">
      <c r="A32" s="682">
        <f t="shared" si="2"/>
        <v>20</v>
      </c>
      <c r="B32" s="689" t="s">
        <v>58</v>
      </c>
      <c r="C32" s="677">
        <f>+'SJK-3'!C29</f>
        <v>14625833.34</v>
      </c>
      <c r="D32" s="705"/>
      <c r="E32" s="705"/>
      <c r="F32" s="705"/>
      <c r="G32" s="705"/>
      <c r="H32" s="705">
        <f>+'SEF-6G'!AL35</f>
        <v>-14625833.34</v>
      </c>
      <c r="I32" s="705"/>
      <c r="J32" s="705"/>
      <c r="K32" s="705"/>
      <c r="L32" s="705"/>
      <c r="M32" s="705"/>
      <c r="N32" s="705"/>
      <c r="O32" s="705"/>
      <c r="P32" s="705"/>
      <c r="Q32" s="705"/>
      <c r="R32" s="705"/>
      <c r="S32" s="705"/>
      <c r="T32" s="705"/>
      <c r="U32" s="705"/>
      <c r="V32" s="705"/>
      <c r="W32" s="705"/>
      <c r="X32" s="721">
        <f t="shared" si="5"/>
        <v>-14625833.34</v>
      </c>
      <c r="Y32" s="721">
        <f t="shared" si="6"/>
        <v>0</v>
      </c>
      <c r="Z32" s="705"/>
      <c r="AA32" s="705"/>
      <c r="AB32" s="705"/>
      <c r="AC32" s="705"/>
      <c r="AD32" s="705"/>
      <c r="AE32" s="705"/>
      <c r="AF32" s="705"/>
      <c r="AG32" s="705"/>
      <c r="AH32" s="705"/>
      <c r="AI32" s="705"/>
      <c r="AJ32" s="705"/>
      <c r="AK32" s="705"/>
      <c r="AL32" s="705"/>
      <c r="AM32" s="705"/>
      <c r="AN32" s="705"/>
      <c r="AO32" s="705"/>
      <c r="AP32" s="705"/>
      <c r="AQ32" s="705"/>
      <c r="AR32" s="705"/>
      <c r="AS32" s="705"/>
      <c r="AT32" s="705"/>
      <c r="AU32" s="721">
        <f t="shared" si="7"/>
        <v>0</v>
      </c>
      <c r="AV32" s="721">
        <f t="shared" si="8"/>
        <v>0</v>
      </c>
    </row>
    <row r="33" spans="1:48">
      <c r="A33" s="682">
        <f t="shared" si="2"/>
        <v>21</v>
      </c>
      <c r="B33" s="689" t="s">
        <v>57</v>
      </c>
      <c r="C33" s="677">
        <f>+'SJK-3'!C30</f>
        <v>57249534.549999997</v>
      </c>
      <c r="D33" s="705">
        <f>+'SEF-6G'!F39</f>
        <v>-88813.694412329889</v>
      </c>
      <c r="E33" s="705">
        <f>+'SEF-6G'!N25</f>
        <v>84.750659859999359</v>
      </c>
      <c r="F33" s="705"/>
      <c r="G33" s="705"/>
      <c r="H33" s="705">
        <f>+'SEF-6G'!AL29</f>
        <v>-124824.54555916287</v>
      </c>
      <c r="I33" s="705">
        <f>'SEF-6G'!AT18</f>
        <v>1590277.3748527463</v>
      </c>
      <c r="J33" s="705"/>
      <c r="K33" s="705">
        <f>'SEF-6G'!BK23</f>
        <v>51935.705390093848</v>
      </c>
      <c r="L33" s="705">
        <f>+'SEF-6G'!BS15</f>
        <v>54197.611339999828</v>
      </c>
      <c r="M33" s="705">
        <f>+'SEF-6G'!CA18</f>
        <v>-4849.3982530915964</v>
      </c>
      <c r="N33" s="705"/>
      <c r="O33" s="705">
        <f>+'SEF-6G'!CQ17</f>
        <v>554529.46239700005</v>
      </c>
      <c r="P33" s="705">
        <f>+'SEF-6G'!CY17</f>
        <v>975254.11071527051</v>
      </c>
      <c r="Q33" s="705">
        <f>'SEF-6G'!DG16</f>
        <v>66645.615641499782</v>
      </c>
      <c r="R33" s="705">
        <f>+'SEF-6G'!DO23</f>
        <v>16612.400363540277</v>
      </c>
      <c r="S33" s="705">
        <f>+'SEF-6G'!DW26</f>
        <v>5304.286799574289</v>
      </c>
      <c r="T33" s="705">
        <f>'SEF-6G'!EE21</f>
        <v>13475.113426476943</v>
      </c>
      <c r="U33" s="705"/>
      <c r="V33" s="705"/>
      <c r="W33" s="705">
        <f>+'SEF-6G'!GA29</f>
        <v>-658973.79925230017</v>
      </c>
      <c r="X33" s="721">
        <f t="shared" si="5"/>
        <v>2450854.9941091775</v>
      </c>
      <c r="Y33" s="721">
        <f t="shared" si="6"/>
        <v>59700389.544109173</v>
      </c>
      <c r="Z33" s="705">
        <f>+'SEF-6G'!H39</f>
        <v>-19607.995460000002</v>
      </c>
      <c r="AA33" s="705">
        <f>+'SEF-6G'!P25</f>
        <v>70244.097272119863</v>
      </c>
      <c r="AB33" s="705"/>
      <c r="AC33" s="705">
        <f>+'SEF-6G'!BU15</f>
        <v>-54197.611339999828</v>
      </c>
      <c r="AD33" s="705">
        <f>+'SEF-6G'!CC18</f>
        <v>4849.3982530915964</v>
      </c>
      <c r="AE33" s="705">
        <f>'SEF-6G'!DI16</f>
        <v>30988.346348765277</v>
      </c>
      <c r="AF33" s="705">
        <f>+'SEF-6G'!DQ23</f>
        <v>552918.51170147955</v>
      </c>
      <c r="AG33" s="705">
        <f>+'SEF-6G'!DY26</f>
        <v>117536.2105541807</v>
      </c>
      <c r="AH33" s="705">
        <f>'SEF-6G'!EG19</f>
        <v>390546.4051953943</v>
      </c>
      <c r="AI33" s="705"/>
      <c r="AJ33" s="705"/>
      <c r="AK33" s="705"/>
      <c r="AL33" s="705">
        <f>+'SEF-6G'!GC29</f>
        <v>-169824.88682564982</v>
      </c>
      <c r="AM33" s="705"/>
      <c r="AN33" s="705"/>
      <c r="AO33" s="705"/>
      <c r="AP33" s="705"/>
      <c r="AQ33" s="705">
        <f>'SEF-6G'!HQ18</f>
        <v>600.87663299999986</v>
      </c>
      <c r="AR33" s="705"/>
      <c r="AS33" s="705"/>
      <c r="AT33" s="705">
        <f>'SEF-8G'!Q23</f>
        <v>-13961.042340143764</v>
      </c>
      <c r="AU33" s="721">
        <f t="shared" si="7"/>
        <v>910092.30999223783</v>
      </c>
      <c r="AV33" s="721">
        <f t="shared" si="8"/>
        <v>60610481.854101412</v>
      </c>
    </row>
    <row r="34" spans="1:48">
      <c r="A34" s="682">
        <f t="shared" si="2"/>
        <v>22</v>
      </c>
      <c r="B34" s="689" t="s">
        <v>56</v>
      </c>
      <c r="C34" s="677">
        <f>+'SJK-3'!C31</f>
        <v>116957730.5099999</v>
      </c>
      <c r="D34" s="705"/>
      <c r="E34" s="705"/>
      <c r="F34" s="705"/>
      <c r="G34" s="705"/>
      <c r="H34" s="705"/>
      <c r="I34" s="705"/>
      <c r="J34" s="705"/>
      <c r="K34" s="705"/>
      <c r="L34" s="705"/>
      <c r="M34" s="705"/>
      <c r="N34" s="705"/>
      <c r="O34" s="705"/>
      <c r="P34" s="705"/>
      <c r="Q34" s="705"/>
      <c r="R34" s="705"/>
      <c r="S34" s="705"/>
      <c r="T34" s="705"/>
      <c r="U34" s="705"/>
      <c r="V34" s="705">
        <f>+'SEF-6G'!EU14+'SEF-6G'!EU15+'SEF-6G'!EU19</f>
        <v>4136955.6219727392</v>
      </c>
      <c r="W34" s="705"/>
      <c r="X34" s="721">
        <f t="shared" si="5"/>
        <v>4136955.6219727392</v>
      </c>
      <c r="Y34" s="721">
        <f t="shared" si="6"/>
        <v>121094686.13197264</v>
      </c>
      <c r="Z34" s="705"/>
      <c r="AA34" s="705"/>
      <c r="AB34" s="705"/>
      <c r="AC34" s="705"/>
      <c r="AD34" s="705"/>
      <c r="AE34" s="705"/>
      <c r="AF34" s="705"/>
      <c r="AG34" s="705"/>
      <c r="AH34" s="705"/>
      <c r="AI34" s="705"/>
      <c r="AJ34" s="705"/>
      <c r="AK34" s="705">
        <f>SUM('SEF-6G'!FT29:FT30)</f>
        <v>608662.83430810564</v>
      </c>
      <c r="AL34" s="705"/>
      <c r="AN34" s="705"/>
      <c r="AO34" s="705"/>
      <c r="AP34" s="705">
        <f>+'SEF-6G'!HI21</f>
        <v>156400.22579821481</v>
      </c>
      <c r="AQ34" s="705"/>
      <c r="AS34" s="705">
        <f>'SEF-8G'!H22</f>
        <v>-39543.813052333338</v>
      </c>
      <c r="AT34" s="705">
        <f>'SEF-8G'!Q18</f>
        <v>0</v>
      </c>
      <c r="AU34" s="721">
        <f t="shared" si="7"/>
        <v>725519.24705398711</v>
      </c>
      <c r="AV34" s="721">
        <f t="shared" si="8"/>
        <v>121820205.37902662</v>
      </c>
    </row>
    <row r="35" spans="1:48">
      <c r="A35" s="682">
        <f t="shared" si="2"/>
        <v>23</v>
      </c>
      <c r="B35" s="689" t="s">
        <v>55</v>
      </c>
      <c r="C35" s="677">
        <f>+'SJK-3'!C32</f>
        <v>26117569.960000001</v>
      </c>
      <c r="D35" s="705"/>
      <c r="E35" s="705"/>
      <c r="F35" s="705"/>
      <c r="G35" s="705"/>
      <c r="H35" s="705"/>
      <c r="I35" s="705"/>
      <c r="J35" s="705"/>
      <c r="K35" s="705"/>
      <c r="L35" s="705"/>
      <c r="M35" s="705"/>
      <c r="N35" s="705"/>
      <c r="O35" s="705"/>
      <c r="P35" s="705"/>
      <c r="Q35" s="705"/>
      <c r="R35" s="705"/>
      <c r="S35" s="705"/>
      <c r="T35" s="705"/>
      <c r="U35" s="705"/>
      <c r="V35" s="705">
        <f>+'SEF-6G'!EU16+'SEF-6G'!EU17+'SEF-6G'!EU20</f>
        <v>8190016.0321619846</v>
      </c>
      <c r="W35" s="705"/>
      <c r="X35" s="721">
        <f t="shared" si="5"/>
        <v>8190016.0321619846</v>
      </c>
      <c r="Y35" s="721">
        <f t="shared" si="6"/>
        <v>34307585.992161989</v>
      </c>
      <c r="Z35" s="705"/>
      <c r="AA35" s="705"/>
      <c r="AB35" s="705"/>
      <c r="AC35" s="705"/>
      <c r="AD35" s="705"/>
      <c r="AE35" s="705"/>
      <c r="AF35" s="705"/>
      <c r="AG35" s="705"/>
      <c r="AH35" s="705"/>
      <c r="AI35" s="705"/>
      <c r="AJ35" s="705"/>
      <c r="AK35" s="705"/>
      <c r="AL35" s="705"/>
      <c r="AM35" s="705">
        <f>'SEF-6G'!GK30</f>
        <v>2681157.0054726158</v>
      </c>
      <c r="AN35" s="705"/>
      <c r="AO35" s="705"/>
      <c r="AP35" s="705"/>
      <c r="AQ35" s="705"/>
      <c r="AR35" s="705">
        <f>'SEF-6G'!HY24</f>
        <v>348243.00000000006</v>
      </c>
      <c r="AS35" s="705"/>
      <c r="AT35" s="705"/>
      <c r="AU35" s="721">
        <f t="shared" si="7"/>
        <v>3029400.0054726158</v>
      </c>
      <c r="AV35" s="721">
        <f t="shared" si="8"/>
        <v>37336985.997634605</v>
      </c>
    </row>
    <row r="36" spans="1:48">
      <c r="A36" s="682">
        <f t="shared" si="2"/>
        <v>24</v>
      </c>
      <c r="B36" s="710" t="s">
        <v>54</v>
      </c>
      <c r="C36" s="677"/>
      <c r="D36" s="705"/>
      <c r="E36" s="705"/>
      <c r="F36" s="705"/>
      <c r="G36" s="705"/>
      <c r="H36" s="705"/>
      <c r="I36" s="705"/>
      <c r="J36" s="705"/>
      <c r="K36" s="705"/>
      <c r="L36" s="705"/>
      <c r="M36" s="705"/>
      <c r="N36" s="705"/>
      <c r="O36" s="705"/>
      <c r="P36" s="705"/>
      <c r="Q36" s="705"/>
      <c r="R36" s="705"/>
      <c r="S36" s="705"/>
      <c r="T36" s="705"/>
      <c r="U36" s="705"/>
      <c r="V36" s="705"/>
      <c r="W36" s="705"/>
      <c r="X36" s="721">
        <f t="shared" si="5"/>
        <v>0</v>
      </c>
      <c r="Y36" s="721">
        <f t="shared" si="6"/>
        <v>0</v>
      </c>
      <c r="Z36" s="705"/>
      <c r="AA36" s="705"/>
      <c r="AB36" s="705"/>
      <c r="AC36" s="705"/>
      <c r="AD36" s="705"/>
      <c r="AE36" s="705"/>
      <c r="AF36" s="705"/>
      <c r="AG36" s="705"/>
      <c r="AH36" s="705"/>
      <c r="AI36" s="705"/>
      <c r="AJ36" s="705"/>
      <c r="AK36" s="705"/>
      <c r="AL36" s="705"/>
      <c r="AM36" s="705"/>
      <c r="AN36" s="705"/>
      <c r="AO36" s="705"/>
      <c r="AP36" s="705"/>
      <c r="AQ36" s="705"/>
      <c r="AR36" s="705"/>
      <c r="AS36" s="705"/>
      <c r="AT36" s="705"/>
      <c r="AU36" s="721">
        <f t="shared" si="7"/>
        <v>0</v>
      </c>
      <c r="AV36" s="721">
        <f t="shared" si="8"/>
        <v>0</v>
      </c>
    </row>
    <row r="37" spans="1:48">
      <c r="A37" s="682">
        <f t="shared" si="2"/>
        <v>25</v>
      </c>
      <c r="B37" s="689" t="s">
        <v>53</v>
      </c>
      <c r="C37" s="677">
        <f>+'SJK-3'!$C$34</f>
        <v>8769360.9199999981</v>
      </c>
      <c r="D37" s="705"/>
      <c r="E37" s="705"/>
      <c r="F37" s="705"/>
      <c r="G37" s="705"/>
      <c r="H37" s="705"/>
      <c r="I37" s="705"/>
      <c r="J37" s="705"/>
      <c r="K37" s="705"/>
      <c r="L37" s="705"/>
      <c r="M37" s="705"/>
      <c r="N37" s="705"/>
      <c r="O37" s="705"/>
      <c r="P37" s="705"/>
      <c r="Q37" s="705"/>
      <c r="R37" s="705"/>
      <c r="S37" s="705"/>
      <c r="T37" s="705"/>
      <c r="U37" s="705"/>
      <c r="V37" s="705"/>
      <c r="W37" s="705"/>
      <c r="X37" s="721">
        <f t="shared" si="5"/>
        <v>0</v>
      </c>
      <c r="Y37" s="721">
        <f t="shared" si="6"/>
        <v>8769360.9199999981</v>
      </c>
      <c r="Z37" s="705"/>
      <c r="AA37" s="705"/>
      <c r="AB37" s="705"/>
      <c r="AC37" s="705"/>
      <c r="AD37" s="705"/>
      <c r="AE37" s="705"/>
      <c r="AF37" s="705"/>
      <c r="AG37" s="705"/>
      <c r="AH37" s="705"/>
      <c r="AI37" s="705">
        <f>'SEF-6G'!FE17</f>
        <v>-91958.276666666628</v>
      </c>
      <c r="AJ37" s="705">
        <f>'SEF-6G'!FM15</f>
        <v>856890.67156689428</v>
      </c>
      <c r="AK37" s="705">
        <f>SUM('SEF-6G'!FT31:FT32)</f>
        <v>2065892.0664164524</v>
      </c>
      <c r="AL37" s="705"/>
      <c r="AM37" s="705">
        <f>'SEF-6G'!GK31+'SEF-6G'!GK32</f>
        <v>3543901.7550629438</v>
      </c>
      <c r="AN37" s="705"/>
      <c r="AO37" s="705"/>
      <c r="AP37" s="705"/>
      <c r="AQ37" s="705"/>
      <c r="AR37" s="705"/>
      <c r="AS37" s="705"/>
      <c r="AT37" s="705"/>
      <c r="AU37" s="721">
        <f t="shared" si="7"/>
        <v>6374726.2163796239</v>
      </c>
      <c r="AV37" s="721">
        <f t="shared" si="8"/>
        <v>15144087.136379622</v>
      </c>
    </row>
    <row r="38" spans="1:48">
      <c r="A38" s="682">
        <f t="shared" si="2"/>
        <v>26</v>
      </c>
      <c r="B38" s="687" t="s">
        <v>52</v>
      </c>
      <c r="C38" s="677"/>
      <c r="D38" s="705"/>
      <c r="E38" s="705"/>
      <c r="F38" s="705"/>
      <c r="G38" s="705"/>
      <c r="H38" s="705"/>
      <c r="I38" s="705"/>
      <c r="J38" s="705"/>
      <c r="K38" s="705"/>
      <c r="L38" s="705"/>
      <c r="M38" s="705"/>
      <c r="N38" s="705"/>
      <c r="O38" s="705"/>
      <c r="P38" s="705"/>
      <c r="Q38" s="705"/>
      <c r="R38" s="705"/>
      <c r="S38" s="705"/>
      <c r="T38" s="705"/>
      <c r="U38" s="705"/>
      <c r="V38" s="705"/>
      <c r="W38" s="705"/>
      <c r="X38" s="721">
        <f t="shared" si="5"/>
        <v>0</v>
      </c>
      <c r="Y38" s="721">
        <f t="shared" si="6"/>
        <v>0</v>
      </c>
      <c r="Z38" s="705"/>
      <c r="AA38" s="705"/>
      <c r="AB38" s="705"/>
      <c r="AC38" s="705"/>
      <c r="AD38" s="705"/>
      <c r="AE38" s="705"/>
      <c r="AF38" s="705"/>
      <c r="AG38" s="705"/>
      <c r="AH38" s="705"/>
      <c r="AI38" s="705"/>
      <c r="AJ38" s="705"/>
      <c r="AK38" s="705"/>
      <c r="AL38" s="705"/>
      <c r="AM38" s="705"/>
      <c r="AN38" s="705"/>
      <c r="AO38" s="705"/>
      <c r="AP38" s="705"/>
      <c r="AQ38" s="705"/>
      <c r="AR38" s="705"/>
      <c r="AS38" s="705"/>
      <c r="AT38" s="705"/>
      <c r="AU38" s="721">
        <f t="shared" si="7"/>
        <v>0</v>
      </c>
      <c r="AV38" s="721">
        <f t="shared" si="8"/>
        <v>0</v>
      </c>
    </row>
    <row r="39" spans="1:48">
      <c r="A39" s="682">
        <f t="shared" si="2"/>
        <v>27</v>
      </c>
      <c r="B39" s="689" t="s">
        <v>51</v>
      </c>
      <c r="C39" s="677">
        <f>+'SJK-3'!C36</f>
        <v>101477296.77</v>
      </c>
      <c r="D39" s="705">
        <f>+'SEF-6G'!F40</f>
        <v>-1701803.6054818591</v>
      </c>
      <c r="E39" s="705">
        <f>+'SEF-6G'!N26</f>
        <v>1623.9497689073905</v>
      </c>
      <c r="F39" s="705"/>
      <c r="G39" s="705"/>
      <c r="H39" s="705">
        <f>+SUM('SEF-6G'!AL30,'SEF-6G'!AL36,'SEF-6G'!AL40)</f>
        <v>-64229661.891571902</v>
      </c>
      <c r="I39" s="705"/>
      <c r="J39" s="705"/>
      <c r="K39" s="705">
        <f>+'SEF-6G'!BK26</f>
        <v>19255.624077950837</v>
      </c>
      <c r="L39" s="705">
        <f>+'SEF-6G'!BS14</f>
        <v>-142661.06778199971</v>
      </c>
      <c r="M39" s="705"/>
      <c r="N39" s="705"/>
      <c r="O39" s="705"/>
      <c r="P39" s="705"/>
      <c r="Q39" s="705"/>
      <c r="R39" s="705">
        <f>+'SEF-6G'!DO26</f>
        <v>15731.221345781985</v>
      </c>
      <c r="S39" s="705"/>
      <c r="T39" s="705"/>
      <c r="U39" s="705"/>
      <c r="V39" s="705"/>
      <c r="W39" s="705"/>
      <c r="X39" s="721">
        <f t="shared" si="5"/>
        <v>-66037515.76964312</v>
      </c>
      <c r="Y39" s="721">
        <f t="shared" si="6"/>
        <v>35439781.000356875</v>
      </c>
      <c r="Z39" s="705">
        <f>+'SEF-6G'!H40</f>
        <v>-375718.60500679002</v>
      </c>
      <c r="AA39" s="705">
        <f>+'SEF-6G'!P26</f>
        <v>1345982.2698797246</v>
      </c>
      <c r="AB39" s="705"/>
      <c r="AC39" s="705">
        <f>+'SEF-6G'!BU14</f>
        <v>142661.06778199971</v>
      </c>
      <c r="AD39" s="705"/>
      <c r="AE39" s="705"/>
      <c r="AF39" s="705">
        <f>+'SEF-6G'!DQ26</f>
        <v>97848.25822564293</v>
      </c>
      <c r="AG39" s="705"/>
      <c r="AH39" s="705"/>
      <c r="AI39" s="705"/>
      <c r="AJ39" s="705"/>
      <c r="AK39" s="705"/>
      <c r="AL39" s="705"/>
      <c r="AM39" s="705"/>
      <c r="AN39" s="705"/>
      <c r="AO39" s="705"/>
      <c r="AP39" s="705"/>
      <c r="AQ39" s="705"/>
      <c r="AR39" s="705"/>
      <c r="AS39" s="705"/>
      <c r="AT39" s="705">
        <f>'SEF-8G'!Q26</f>
        <v>-267514.51280066476</v>
      </c>
      <c r="AU39" s="721">
        <f t="shared" si="7"/>
        <v>943258.47807991237</v>
      </c>
      <c r="AV39" s="721">
        <f t="shared" si="8"/>
        <v>36383039.47843679</v>
      </c>
    </row>
    <row r="40" spans="1:48">
      <c r="A40" s="682">
        <f t="shared" si="2"/>
        <v>28</v>
      </c>
      <c r="B40" s="689" t="s">
        <v>50</v>
      </c>
      <c r="C40" s="677">
        <f>+'SJK-3'!C37</f>
        <v>31944158.879999999</v>
      </c>
      <c r="D40" s="705">
        <f>+'SEF-6G'!F44</f>
        <v>253772.30615966723</v>
      </c>
      <c r="E40" s="705">
        <f>+'SEF-6G'!N31</f>
        <v>8494.3946452409709</v>
      </c>
      <c r="F40" s="705">
        <f>'SEF-6G'!V14</f>
        <v>-11297868.699383605</v>
      </c>
      <c r="G40" s="705">
        <f>++'SEF-6G'!AD21</f>
        <v>-12917116.381072458</v>
      </c>
      <c r="H40" s="705">
        <f>+'SEF-6G'!AL44</f>
        <v>-375373.31091283698</v>
      </c>
      <c r="I40" s="705">
        <f>'SEF-6G'!AT19</f>
        <v>-333958.24871907668</v>
      </c>
      <c r="J40" s="705">
        <f>+'SEF-6G'!BB18</f>
        <v>-33341.820880636573</v>
      </c>
      <c r="K40" s="705">
        <f>+'SEF-6G'!BK29</f>
        <v>-49734.99242777843</v>
      </c>
      <c r="L40" s="705">
        <f>+'SEF-6G'!BS19</f>
        <v>18577.325852819718</v>
      </c>
      <c r="M40" s="705">
        <f>+'SEF-6G'!CA20</f>
        <v>1018.3736331492352</v>
      </c>
      <c r="N40" s="705"/>
      <c r="O40" s="705">
        <f>+'SEF-6G'!CQ19</f>
        <v>-116451.18710337</v>
      </c>
      <c r="P40" s="705">
        <f>+'SEF-6G'!CY18</f>
        <v>-204803.36325020681</v>
      </c>
      <c r="Q40" s="705">
        <f>'SEF-6G'!DG18</f>
        <v>-13995.579284714953</v>
      </c>
      <c r="R40" s="705">
        <f>+'SEF-6G'!DO30</f>
        <v>-95536.551970381741</v>
      </c>
      <c r="S40" s="705">
        <f>+'SEF-6G'!DW32</f>
        <v>-1113.9002279105969</v>
      </c>
      <c r="T40" s="705">
        <f>'SEF-6G'!EE23</f>
        <v>-2829.7738195601578</v>
      </c>
      <c r="U40" s="705"/>
      <c r="V40" s="705">
        <f>'SEF-6G'!EU25</f>
        <v>-2588664.0473682922</v>
      </c>
      <c r="W40" s="705">
        <f>+'SEF-6G'!GA31</f>
        <v>138384.49784298302</v>
      </c>
      <c r="X40" s="721">
        <f t="shared" si="5"/>
        <v>-27610540.958286967</v>
      </c>
      <c r="Y40" s="721">
        <f t="shared" si="6"/>
        <v>4333617.9217130318</v>
      </c>
      <c r="Z40" s="705">
        <f>+'SEF-6G'!H44</f>
        <v>-1965271.4434845848</v>
      </c>
      <c r="AA40" s="705">
        <f>+'SEF-6G'!P31</f>
        <v>3554862.1558688418</v>
      </c>
      <c r="AB40" s="705">
        <f>'SEF-6G'!AF21</f>
        <v>184038.22398925267</v>
      </c>
      <c r="AC40" s="705">
        <f>+'SEF-6G'!BU19</f>
        <v>-18577.325852819973</v>
      </c>
      <c r="AD40" s="705">
        <f>+'SEF-6G'!CC20</f>
        <v>-1018.3736331492352</v>
      </c>
      <c r="AE40" s="705">
        <f>'SEF-6G'!DI18</f>
        <v>-6507.5527332407082</v>
      </c>
      <c r="AF40" s="705">
        <f>+'SEF-6G'!DQ30</f>
        <v>-507715.69411957473</v>
      </c>
      <c r="AG40" s="705">
        <f>+'SEF-6G'!DY32</f>
        <v>-24682.604216377938</v>
      </c>
      <c r="AH40" s="705">
        <f>'SEF-6G'!EG23</f>
        <v>-82014.745091032804</v>
      </c>
      <c r="AI40" s="705">
        <f>'SEF-6G'!FE19</f>
        <v>19311.238099999991</v>
      </c>
      <c r="AJ40" s="705">
        <f>'SEF-6G'!FM18</f>
        <v>-179947.0410290478</v>
      </c>
      <c r="AK40" s="705">
        <f>+'SEF-6G'!FT37</f>
        <v>-561656.52915215725</v>
      </c>
      <c r="AL40" s="705">
        <f>+'SEF-6G'!GC31</f>
        <v>35663.226233386464</v>
      </c>
      <c r="AM40" s="705">
        <f>'SEF-6G'!GK37</f>
        <v>-1307262.3397124675</v>
      </c>
      <c r="AN40" s="705">
        <f>'SEF-6G'!GS19</f>
        <v>91469.192067750002</v>
      </c>
      <c r="AO40" s="705"/>
      <c r="AP40" s="705">
        <f>+'SEF-6G'!HI26</f>
        <v>-32844.047417625108</v>
      </c>
      <c r="AQ40" s="705">
        <f>'SEF-6G'!HQ21</f>
        <v>-80761.578792930581</v>
      </c>
      <c r="AR40" s="705">
        <f>'SEF-6G'!HY29</f>
        <v>-73131.030000000013</v>
      </c>
      <c r="AS40" s="705">
        <f>'SEF-8G'!H24</f>
        <v>8304.2007409900016</v>
      </c>
      <c r="AT40" s="705">
        <f>'SEF-8G'!Q31</f>
        <v>-1399288.2591356812</v>
      </c>
      <c r="AU40" s="721">
        <f t="shared" si="7"/>
        <v>-2347030.3273704685</v>
      </c>
      <c r="AV40" s="721">
        <f t="shared" si="8"/>
        <v>1986587.5943425633</v>
      </c>
    </row>
    <row r="41" spans="1:48">
      <c r="A41" s="682">
        <f t="shared" si="2"/>
        <v>29</v>
      </c>
      <c r="B41" s="687" t="s">
        <v>49</v>
      </c>
      <c r="C41" s="677">
        <f>+'SJK-3'!C38</f>
        <v>-9558130.5899999961</v>
      </c>
      <c r="D41" s="705"/>
      <c r="E41" s="705"/>
      <c r="F41" s="705">
        <f>'SEF-6G'!V15</f>
        <v>10081450.108688122</v>
      </c>
      <c r="G41" s="705">
        <f>+'SEF-6G'!AD24</f>
        <v>0</v>
      </c>
      <c r="H41" s="705"/>
      <c r="I41" s="705"/>
      <c r="J41" s="705"/>
      <c r="K41" s="705"/>
      <c r="L41" s="705"/>
      <c r="M41" s="705"/>
      <c r="N41" s="705"/>
      <c r="O41" s="705"/>
      <c r="P41" s="705"/>
      <c r="Q41" s="705"/>
      <c r="R41" s="705"/>
      <c r="S41" s="705"/>
      <c r="T41" s="705"/>
      <c r="U41" s="705"/>
      <c r="V41" s="705"/>
      <c r="W41" s="705"/>
      <c r="X41" s="721">
        <f t="shared" si="5"/>
        <v>10081450.108688122</v>
      </c>
      <c r="Y41" s="721">
        <f t="shared" si="6"/>
        <v>523319.51868812554</v>
      </c>
      <c r="Z41" s="705"/>
      <c r="AA41" s="705"/>
      <c r="AB41" s="705"/>
      <c r="AC41" s="705"/>
      <c r="AD41" s="705"/>
      <c r="AE41" s="705"/>
      <c r="AF41" s="705"/>
      <c r="AG41" s="705"/>
      <c r="AH41" s="705"/>
      <c r="AI41" s="705"/>
      <c r="AJ41" s="705"/>
      <c r="AK41" s="705"/>
      <c r="AL41" s="705"/>
      <c r="AM41" s="705"/>
      <c r="AN41" s="705"/>
      <c r="AO41" s="705">
        <f>'SEF-6G'!HA20</f>
        <v>-722630.37767299998</v>
      </c>
      <c r="AP41" s="705"/>
      <c r="AQ41" s="705"/>
      <c r="AR41" s="705"/>
      <c r="AS41" s="705"/>
      <c r="AT41" s="705"/>
      <c r="AU41" s="721">
        <f t="shared" si="7"/>
        <v>-722630.37767299998</v>
      </c>
      <c r="AV41" s="721">
        <f t="shared" si="8"/>
        <v>-199310.85898487445</v>
      </c>
    </row>
    <row r="42" spans="1:48">
      <c r="A42" s="682">
        <f t="shared" si="2"/>
        <v>30</v>
      </c>
      <c r="B42" s="689" t="s">
        <v>48</v>
      </c>
      <c r="C42" s="286">
        <f t="shared" ref="C42:AR42" si="9">SUM(C25:C41)</f>
        <v>746883373.09999859</v>
      </c>
      <c r="D42" s="286">
        <f t="shared" si="9"/>
        <v>-45361514.45314654</v>
      </c>
      <c r="E42" s="286">
        <f t="shared" si="9"/>
        <v>10420.226264569679</v>
      </c>
      <c r="F42" s="286">
        <f t="shared" si="9"/>
        <v>-1216418.5906954836</v>
      </c>
      <c r="G42" s="286">
        <f t="shared" si="9"/>
        <v>-12917116.381072458</v>
      </c>
      <c r="H42" s="286">
        <f t="shared" si="9"/>
        <v>-61000154.13376648</v>
      </c>
      <c r="I42" s="286">
        <f t="shared" si="9"/>
        <v>1256319.1261336696</v>
      </c>
      <c r="J42" s="286">
        <f t="shared" si="9"/>
        <v>125428.75474144239</v>
      </c>
      <c r="K42" s="286">
        <f t="shared" si="9"/>
        <v>187098.30484735657</v>
      </c>
      <c r="L42" s="286">
        <f t="shared" si="9"/>
        <v>-69886.13058918016</v>
      </c>
      <c r="M42" s="286">
        <f t="shared" si="9"/>
        <v>-3831.0246199423614</v>
      </c>
      <c r="N42" s="286">
        <f t="shared" si="9"/>
        <v>204503.64267608413</v>
      </c>
      <c r="O42" s="286">
        <f t="shared" si="9"/>
        <v>438078.27529363008</v>
      </c>
      <c r="P42" s="286">
        <f t="shared" si="9"/>
        <v>770450.7474650637</v>
      </c>
      <c r="Q42" s="286">
        <f t="shared" si="9"/>
        <v>52650.036356784825</v>
      </c>
      <c r="R42" s="286">
        <f t="shared" si="9"/>
        <v>359399.40979334083</v>
      </c>
      <c r="S42" s="286">
        <f t="shared" si="9"/>
        <v>4190.3865716636919</v>
      </c>
      <c r="T42" s="286">
        <f t="shared" si="9"/>
        <v>10645.339606916785</v>
      </c>
      <c r="U42" s="286">
        <f t="shared" si="9"/>
        <v>0</v>
      </c>
      <c r="V42" s="286">
        <f t="shared" si="9"/>
        <v>9738307.6067664325</v>
      </c>
      <c r="W42" s="286">
        <f t="shared" si="9"/>
        <v>-520589.30140931718</v>
      </c>
      <c r="X42" s="734">
        <f t="shared" si="9"/>
        <v>-107932018.15878247</v>
      </c>
      <c r="Y42" s="734">
        <f t="shared" si="9"/>
        <v>638951354.94121611</v>
      </c>
      <c r="Z42" s="286">
        <f t="shared" si="9"/>
        <v>-2410833.728319895</v>
      </c>
      <c r="AA42" s="286">
        <f t="shared" si="9"/>
        <v>21748995.763981901</v>
      </c>
      <c r="AB42" s="286">
        <f t="shared" si="9"/>
        <v>184038.22398925267</v>
      </c>
      <c r="AC42" s="286">
        <f t="shared" si="9"/>
        <v>69886.130589179898</v>
      </c>
      <c r="AD42" s="286">
        <f t="shared" si="9"/>
        <v>3831.0246199423614</v>
      </c>
      <c r="AE42" s="286">
        <f t="shared" si="9"/>
        <v>24480.79361552457</v>
      </c>
      <c r="AF42" s="286">
        <f t="shared" si="9"/>
        <v>1909978.0874022099</v>
      </c>
      <c r="AG42" s="286">
        <f t="shared" si="9"/>
        <v>92853.606337802761</v>
      </c>
      <c r="AH42" s="286">
        <f t="shared" si="9"/>
        <v>308531.66010436148</v>
      </c>
      <c r="AI42" s="286">
        <f t="shared" si="9"/>
        <v>-72647.038566666641</v>
      </c>
      <c r="AJ42" s="286">
        <f t="shared" si="9"/>
        <v>676943.63053784647</v>
      </c>
      <c r="AK42" s="286">
        <f t="shared" si="9"/>
        <v>2112898.3715724009</v>
      </c>
      <c r="AL42" s="286">
        <f t="shared" si="9"/>
        <v>-134161.66059226336</v>
      </c>
      <c r="AM42" s="286">
        <f t="shared" si="9"/>
        <v>4917796.4208230916</v>
      </c>
      <c r="AN42" s="286">
        <f t="shared" si="9"/>
        <v>-344098.38920724997</v>
      </c>
      <c r="AO42" s="286">
        <f t="shared" si="9"/>
        <v>-722630.37767299998</v>
      </c>
      <c r="AP42" s="286">
        <f t="shared" si="9"/>
        <v>123556.1783805897</v>
      </c>
      <c r="AQ42" s="286">
        <f t="shared" si="9"/>
        <v>303817.36784007057</v>
      </c>
      <c r="AR42" s="286">
        <f t="shared" si="9"/>
        <v>275111.97000000003</v>
      </c>
      <c r="AS42" s="286">
        <f>SUM(AS30:AS41)</f>
        <v>-31239.612311343335</v>
      </c>
      <c r="AT42" s="286">
        <f>SUM(AT25:AT41)</f>
        <v>-1716532.0047519379</v>
      </c>
      <c r="AU42" s="734">
        <f>SUM(AU25:AU41)</f>
        <v>27320576.418371815</v>
      </c>
      <c r="AV42" s="734">
        <f>SUM(AV25:AV41)</f>
        <v>666271931.35958827</v>
      </c>
    </row>
    <row r="43" spans="1:48">
      <c r="A43" s="682">
        <f t="shared" si="2"/>
        <v>31</v>
      </c>
      <c r="B43" s="687"/>
      <c r="C43" s="285"/>
      <c r="D43" s="285"/>
      <c r="E43" s="285"/>
      <c r="F43" s="285"/>
      <c r="G43" s="285"/>
      <c r="H43" s="285"/>
      <c r="I43" s="285"/>
      <c r="J43" s="285"/>
      <c r="K43" s="285"/>
      <c r="L43" s="285"/>
      <c r="M43" s="285"/>
      <c r="N43" s="285"/>
      <c r="O43" s="285"/>
      <c r="P43" s="285"/>
      <c r="Q43" s="285"/>
      <c r="R43" s="285"/>
      <c r="S43" s="285"/>
      <c r="T43" s="285"/>
      <c r="U43" s="285"/>
      <c r="V43" s="285"/>
      <c r="W43" s="285"/>
      <c r="X43" s="732"/>
      <c r="Y43" s="732"/>
      <c r="Z43" s="285"/>
      <c r="AA43" s="285"/>
      <c r="AB43" s="285"/>
      <c r="AC43" s="285">
        <f>+L43</f>
        <v>0</v>
      </c>
      <c r="AD43" s="285">
        <f>+M43</f>
        <v>0</v>
      </c>
      <c r="AE43" s="285"/>
      <c r="AF43" s="285"/>
      <c r="AG43" s="285"/>
      <c r="AH43" s="285"/>
      <c r="AI43" s="285"/>
      <c r="AJ43" s="285"/>
      <c r="AK43" s="285"/>
      <c r="AL43" s="285"/>
      <c r="AM43" s="285"/>
      <c r="AN43" s="285"/>
      <c r="AO43" s="285"/>
      <c r="AP43" s="285"/>
      <c r="AQ43" s="285"/>
      <c r="AR43" s="285"/>
      <c r="AS43" s="285"/>
      <c r="AT43" s="733"/>
      <c r="AU43" s="732"/>
      <c r="AV43" s="732"/>
    </row>
    <row r="44" spans="1:48" ht="14.4" thickBot="1">
      <c r="A44" s="682">
        <f t="shared" si="2"/>
        <v>32</v>
      </c>
      <c r="B44" s="687" t="s">
        <v>47</v>
      </c>
      <c r="C44" s="708">
        <f t="shared" ref="C44:AR44" si="10">+C17-C42</f>
        <v>103864303.9900012</v>
      </c>
      <c r="D44" s="708">
        <f t="shared" si="10"/>
        <v>954667.24698159844</v>
      </c>
      <c r="E44" s="708">
        <f t="shared" si="10"/>
        <v>31955.103665430321</v>
      </c>
      <c r="F44" s="708">
        <f t="shared" si="10"/>
        <v>1216418.5906954836</v>
      </c>
      <c r="G44" s="708">
        <f t="shared" si="10"/>
        <v>12917116.381072458</v>
      </c>
      <c r="H44" s="708">
        <f t="shared" si="10"/>
        <v>-1412118.6458149552</v>
      </c>
      <c r="I44" s="708">
        <f t="shared" si="10"/>
        <v>-1256319.1261336696</v>
      </c>
      <c r="J44" s="708">
        <f t="shared" si="10"/>
        <v>-125428.75474144239</v>
      </c>
      <c r="K44" s="708">
        <f t="shared" si="10"/>
        <v>-187098.30484735657</v>
      </c>
      <c r="L44" s="708">
        <f t="shared" si="10"/>
        <v>69886.13058918016</v>
      </c>
      <c r="M44" s="708">
        <f t="shared" si="10"/>
        <v>3831.0246199423614</v>
      </c>
      <c r="N44" s="708">
        <f t="shared" si="10"/>
        <v>-204503.64267608413</v>
      </c>
      <c r="O44" s="708">
        <f t="shared" si="10"/>
        <v>-438078.27529363008</v>
      </c>
      <c r="P44" s="708">
        <f t="shared" si="10"/>
        <v>-770450.7474650637</v>
      </c>
      <c r="Q44" s="708">
        <f t="shared" si="10"/>
        <v>-52650.036356784825</v>
      </c>
      <c r="R44" s="708">
        <f t="shared" si="10"/>
        <v>-359399.40979334083</v>
      </c>
      <c r="S44" s="708">
        <f t="shared" si="10"/>
        <v>-4190.3865716636919</v>
      </c>
      <c r="T44" s="708">
        <f t="shared" si="10"/>
        <v>-10645.339606916785</v>
      </c>
      <c r="U44" s="708">
        <f t="shared" si="10"/>
        <v>0</v>
      </c>
      <c r="V44" s="708">
        <f t="shared" si="10"/>
        <v>-9738307.6067664325</v>
      </c>
      <c r="W44" s="708">
        <f t="shared" si="10"/>
        <v>520589.30140931718</v>
      </c>
      <c r="X44" s="731">
        <f t="shared" si="10"/>
        <v>1155273.502966091</v>
      </c>
      <c r="Y44" s="731">
        <f t="shared" si="10"/>
        <v>105019577.49296737</v>
      </c>
      <c r="Z44" s="708">
        <f t="shared" si="10"/>
        <v>-7393164.0016801059</v>
      </c>
      <c r="AA44" s="708">
        <f t="shared" si="10"/>
        <v>13373052.872078024</v>
      </c>
      <c r="AB44" s="708">
        <f t="shared" si="10"/>
        <v>-184038.22398925267</v>
      </c>
      <c r="AC44" s="708">
        <f t="shared" si="10"/>
        <v>-69886.130589179898</v>
      </c>
      <c r="AD44" s="708">
        <f t="shared" si="10"/>
        <v>-3831.0246199423614</v>
      </c>
      <c r="AE44" s="708">
        <f t="shared" si="10"/>
        <v>-24480.79361552457</v>
      </c>
      <c r="AF44" s="708">
        <f t="shared" si="10"/>
        <v>-1909978.0874022099</v>
      </c>
      <c r="AG44" s="708">
        <f t="shared" si="10"/>
        <v>-92853.606337802761</v>
      </c>
      <c r="AH44" s="708">
        <f t="shared" si="10"/>
        <v>-308531.66010436148</v>
      </c>
      <c r="AI44" s="708">
        <f t="shared" si="10"/>
        <v>72647.038566666641</v>
      </c>
      <c r="AJ44" s="708">
        <f t="shared" si="10"/>
        <v>-676943.63053784647</v>
      </c>
      <c r="AK44" s="708">
        <f t="shared" si="10"/>
        <v>-2112898.3715724009</v>
      </c>
      <c r="AL44" s="708">
        <f t="shared" si="10"/>
        <v>134161.66059226336</v>
      </c>
      <c r="AM44" s="708">
        <f t="shared" si="10"/>
        <v>-4917796.4208230916</v>
      </c>
      <c r="AN44" s="708">
        <f t="shared" si="10"/>
        <v>344098.38920724997</v>
      </c>
      <c r="AO44" s="708">
        <f t="shared" si="10"/>
        <v>722630.37767299998</v>
      </c>
      <c r="AP44" s="708">
        <f t="shared" si="10"/>
        <v>-123556.1783805897</v>
      </c>
      <c r="AQ44" s="708">
        <f t="shared" si="10"/>
        <v>-303817.36784007057</v>
      </c>
      <c r="AR44" s="708">
        <f t="shared" si="10"/>
        <v>-275111.97000000003</v>
      </c>
      <c r="AS44" s="708">
        <f>AS25-AS42</f>
        <v>31239.612311343335</v>
      </c>
      <c r="AT44" s="708">
        <f>+AT17-AT42</f>
        <v>-5263989.1653199438</v>
      </c>
      <c r="AU44" s="731">
        <f>+AU17-AU42</f>
        <v>-8983046.682383772</v>
      </c>
      <c r="AV44" s="731">
        <f>+AV17-AV42</f>
        <v>96036530.810583234</v>
      </c>
    </row>
    <row r="45" spans="1:48" ht="14.4" thickTop="1">
      <c r="A45" s="682">
        <f t="shared" si="2"/>
        <v>33</v>
      </c>
      <c r="B45" s="730"/>
      <c r="C45" s="677"/>
      <c r="D45" s="677"/>
      <c r="E45" s="677"/>
      <c r="F45" s="677"/>
      <c r="G45" s="677"/>
      <c r="H45" s="677"/>
      <c r="I45" s="677"/>
      <c r="J45" s="677"/>
      <c r="K45" s="677"/>
      <c r="L45" s="677"/>
      <c r="M45" s="677"/>
      <c r="N45" s="677"/>
      <c r="O45" s="677"/>
      <c r="P45" s="677"/>
      <c r="Q45" s="677"/>
      <c r="R45" s="677"/>
      <c r="S45" s="677"/>
      <c r="T45" s="677"/>
      <c r="X45" s="726"/>
      <c r="Y45" s="726"/>
      <c r="AD45" s="719"/>
      <c r="AU45" s="726"/>
      <c r="AV45" s="726"/>
    </row>
    <row r="46" spans="1:48" s="289" customFormat="1">
      <c r="A46" s="682">
        <f t="shared" ref="A46:A62" si="11">A45+1</f>
        <v>34</v>
      </c>
      <c r="B46" s="689" t="s">
        <v>46</v>
      </c>
      <c r="C46" s="282">
        <f t="shared" ref="C46:AV46" si="12">C57</f>
        <v>1951252143.2591095</v>
      </c>
      <c r="D46" s="282">
        <f t="shared" si="12"/>
        <v>0</v>
      </c>
      <c r="E46" s="282">
        <f t="shared" si="12"/>
        <v>0</v>
      </c>
      <c r="F46" s="282">
        <f t="shared" si="12"/>
        <v>0</v>
      </c>
      <c r="G46" s="282">
        <f t="shared" si="12"/>
        <v>0</v>
      </c>
      <c r="H46" s="282">
        <f t="shared" si="12"/>
        <v>0</v>
      </c>
      <c r="I46" s="282">
        <f t="shared" si="12"/>
        <v>0</v>
      </c>
      <c r="J46" s="282">
        <f t="shared" si="12"/>
        <v>0</v>
      </c>
      <c r="K46" s="282">
        <f t="shared" si="12"/>
        <v>0</v>
      </c>
      <c r="L46" s="282">
        <f t="shared" si="12"/>
        <v>0</v>
      </c>
      <c r="M46" s="282">
        <f t="shared" si="12"/>
        <v>0</v>
      </c>
      <c r="N46" s="282">
        <f t="shared" si="12"/>
        <v>0</v>
      </c>
      <c r="O46" s="282">
        <f t="shared" si="12"/>
        <v>0</v>
      </c>
      <c r="P46" s="282">
        <f t="shared" si="12"/>
        <v>0</v>
      </c>
      <c r="Q46" s="282">
        <f t="shared" si="12"/>
        <v>0</v>
      </c>
      <c r="R46" s="282">
        <f t="shared" si="12"/>
        <v>0</v>
      </c>
      <c r="S46" s="282">
        <f t="shared" si="12"/>
        <v>0</v>
      </c>
      <c r="T46" s="282">
        <f t="shared" si="12"/>
        <v>0</v>
      </c>
      <c r="U46" s="282">
        <f t="shared" si="12"/>
        <v>150665688.3308869</v>
      </c>
      <c r="V46" s="282">
        <f t="shared" si="12"/>
        <v>-9738307.6067664325</v>
      </c>
      <c r="W46" s="282">
        <f t="shared" si="12"/>
        <v>0</v>
      </c>
      <c r="X46" s="728">
        <f t="shared" si="12"/>
        <v>140927380.72412044</v>
      </c>
      <c r="Y46" s="728">
        <f t="shared" si="12"/>
        <v>2092179523.9832296</v>
      </c>
      <c r="Z46" s="282">
        <f t="shared" si="12"/>
        <v>0</v>
      </c>
      <c r="AA46" s="282">
        <f t="shared" si="12"/>
        <v>0</v>
      </c>
      <c r="AB46" s="282">
        <f t="shared" si="12"/>
        <v>0</v>
      </c>
      <c r="AC46" s="282">
        <f t="shared" si="12"/>
        <v>0</v>
      </c>
      <c r="AD46" s="282">
        <f t="shared" si="12"/>
        <v>0</v>
      </c>
      <c r="AE46" s="282">
        <f t="shared" si="12"/>
        <v>0</v>
      </c>
      <c r="AF46" s="282">
        <f t="shared" si="12"/>
        <v>0</v>
      </c>
      <c r="AG46" s="282">
        <f t="shared" si="12"/>
        <v>0</v>
      </c>
      <c r="AH46" s="282">
        <f t="shared" si="12"/>
        <v>0</v>
      </c>
      <c r="AI46" s="282">
        <f t="shared" si="12"/>
        <v>0</v>
      </c>
      <c r="AJ46" s="282">
        <f t="shared" si="12"/>
        <v>0</v>
      </c>
      <c r="AK46" s="282">
        <f t="shared" si="12"/>
        <v>13882662.572720129</v>
      </c>
      <c r="AL46" s="282">
        <f t="shared" si="12"/>
        <v>0</v>
      </c>
      <c r="AM46" s="282">
        <f t="shared" si="12"/>
        <v>13218338.784336466</v>
      </c>
      <c r="AN46" s="282">
        <f t="shared" si="12"/>
        <v>0</v>
      </c>
      <c r="AO46" s="282">
        <f t="shared" si="12"/>
        <v>361315.18883649912</v>
      </c>
      <c r="AP46" s="282">
        <f t="shared" si="12"/>
        <v>5946647.6649043793</v>
      </c>
      <c r="AQ46" s="282">
        <f t="shared" si="12"/>
        <v>0</v>
      </c>
      <c r="AR46" s="282">
        <f t="shared" si="12"/>
        <v>2799732.3622297375</v>
      </c>
      <c r="AS46" s="282">
        <f t="shared" si="12"/>
        <v>-9327511.0024682488</v>
      </c>
      <c r="AT46" s="282">
        <f t="shared" si="12"/>
        <v>-6388043.7029168438</v>
      </c>
      <c r="AU46" s="728">
        <f t="shared" si="12"/>
        <v>20493141.867642112</v>
      </c>
      <c r="AV46" s="728">
        <f t="shared" si="12"/>
        <v>2112672665.850872</v>
      </c>
    </row>
    <row r="47" spans="1:48">
      <c r="A47" s="682">
        <f t="shared" si="11"/>
        <v>35</v>
      </c>
      <c r="B47" s="687"/>
      <c r="G47" s="727"/>
      <c r="H47" s="723"/>
      <c r="X47" s="726"/>
      <c r="Y47" s="726"/>
      <c r="AU47" s="726"/>
      <c r="AV47" s="726"/>
    </row>
    <row r="48" spans="1:48">
      <c r="A48" s="682">
        <f t="shared" si="11"/>
        <v>36</v>
      </c>
      <c r="B48" s="689" t="s">
        <v>18</v>
      </c>
      <c r="C48" s="707">
        <f>+C44/C46</f>
        <v>5.3229565614477801E-2</v>
      </c>
      <c r="D48" s="705"/>
      <c r="E48" s="705"/>
      <c r="F48" s="705"/>
      <c r="G48" s="280"/>
      <c r="H48" s="280"/>
      <c r="I48" s="705"/>
      <c r="J48" s="705"/>
      <c r="K48" s="705"/>
      <c r="L48" s="705"/>
      <c r="M48" s="705"/>
      <c r="N48" s="705"/>
      <c r="O48" s="705"/>
      <c r="P48" s="705"/>
      <c r="Q48" s="705"/>
      <c r="R48" s="705"/>
      <c r="S48" s="705"/>
      <c r="T48" s="705"/>
      <c r="U48" s="705"/>
      <c r="V48" s="705"/>
      <c r="W48" s="705"/>
      <c r="X48" s="721"/>
      <c r="Y48" s="729">
        <f>+Y44/Y46</f>
        <v>5.0196255287416329E-2</v>
      </c>
      <c r="Z48" s="705"/>
      <c r="AA48" s="705"/>
      <c r="AB48" s="705"/>
      <c r="AC48" s="705"/>
      <c r="AD48" s="705"/>
      <c r="AE48" s="705"/>
      <c r="AF48" s="705"/>
      <c r="AG48" s="705"/>
      <c r="AH48" s="705"/>
      <c r="AI48" s="705"/>
      <c r="AJ48" s="705"/>
      <c r="AK48" s="705"/>
      <c r="AL48" s="705"/>
      <c r="AM48" s="705"/>
      <c r="AN48" s="705"/>
      <c r="AO48" s="705"/>
      <c r="AP48" s="705"/>
      <c r="AQ48" s="705"/>
      <c r="AR48" s="705"/>
      <c r="AS48" s="705"/>
      <c r="AT48" s="705"/>
      <c r="AU48" s="721"/>
      <c r="AV48" s="729">
        <f>+AV44/AV46</f>
        <v>4.5457364201711217E-2</v>
      </c>
    </row>
    <row r="49" spans="1:48">
      <c r="A49" s="682">
        <f t="shared" si="11"/>
        <v>37</v>
      </c>
      <c r="B49" s="687"/>
      <c r="C49" s="705"/>
      <c r="D49" s="705"/>
      <c r="E49" s="705"/>
      <c r="F49" s="705"/>
      <c r="G49" s="280"/>
      <c r="H49" s="280"/>
      <c r="I49" s="705"/>
      <c r="J49" s="705"/>
      <c r="K49" s="705"/>
      <c r="L49" s="705"/>
      <c r="M49" s="705"/>
      <c r="N49" s="705"/>
      <c r="O49" s="705"/>
      <c r="P49" s="705"/>
      <c r="Q49" s="705"/>
      <c r="R49" s="705"/>
      <c r="S49" s="705"/>
      <c r="T49" s="705"/>
      <c r="U49" s="705"/>
      <c r="V49" s="705"/>
      <c r="W49" s="705"/>
      <c r="X49" s="721"/>
      <c r="Y49" s="721"/>
      <c r="Z49" s="705"/>
      <c r="AA49" s="705"/>
      <c r="AB49" s="705"/>
      <c r="AC49" s="705"/>
      <c r="AD49" s="705"/>
      <c r="AE49" s="705"/>
      <c r="AF49" s="705"/>
      <c r="AG49" s="705"/>
      <c r="AH49" s="705"/>
      <c r="AI49" s="705"/>
      <c r="AJ49" s="705"/>
      <c r="AK49" s="705"/>
      <c r="AL49" s="705"/>
      <c r="AM49" s="705"/>
      <c r="AN49" s="705"/>
      <c r="AO49" s="705"/>
      <c r="AP49" s="705"/>
      <c r="AQ49" s="705"/>
      <c r="AR49" s="705"/>
      <c r="AS49" s="705"/>
      <c r="AT49" s="705"/>
      <c r="AU49" s="721"/>
      <c r="AV49" s="721"/>
    </row>
    <row r="50" spans="1:48">
      <c r="A50" s="682">
        <f t="shared" si="11"/>
        <v>38</v>
      </c>
      <c r="B50" s="687" t="s">
        <v>44</v>
      </c>
      <c r="C50" s="705"/>
      <c r="D50" s="705"/>
      <c r="E50" s="705"/>
      <c r="F50" s="705"/>
      <c r="G50" s="705"/>
      <c r="H50" s="705"/>
      <c r="I50" s="705"/>
      <c r="J50" s="705"/>
      <c r="K50" s="705"/>
      <c r="L50" s="705"/>
      <c r="M50" s="705"/>
      <c r="N50" s="705"/>
      <c r="O50" s="705"/>
      <c r="P50" s="705"/>
      <c r="Q50" s="705"/>
      <c r="R50" s="705"/>
      <c r="S50" s="705"/>
      <c r="T50" s="705"/>
      <c r="U50" s="705"/>
      <c r="V50" s="705"/>
      <c r="W50" s="705"/>
      <c r="X50" s="721"/>
      <c r="Y50" s="721"/>
      <c r="Z50" s="705"/>
      <c r="AA50" s="705"/>
      <c r="AB50" s="705"/>
      <c r="AC50" s="705"/>
      <c r="AD50" s="705"/>
      <c r="AE50" s="705"/>
      <c r="AF50" s="705"/>
      <c r="AG50" s="705"/>
      <c r="AH50" s="705"/>
      <c r="AI50" s="705"/>
      <c r="AJ50" s="705"/>
      <c r="AK50" s="705"/>
      <c r="AL50" s="705"/>
      <c r="AM50" s="705"/>
      <c r="AN50" s="705"/>
      <c r="AO50" s="705"/>
      <c r="AP50" s="705"/>
      <c r="AQ50" s="705"/>
      <c r="AR50" s="705"/>
      <c r="AS50" s="705"/>
      <c r="AT50" s="705"/>
      <c r="AU50" s="721"/>
      <c r="AV50" s="721"/>
    </row>
    <row r="51" spans="1:48">
      <c r="A51" s="682">
        <f t="shared" si="11"/>
        <v>39</v>
      </c>
      <c r="B51" s="706" t="s">
        <v>43</v>
      </c>
      <c r="C51" s="282">
        <f>'SEF-5G p 1'!C19</f>
        <v>4100600279.3772311</v>
      </c>
      <c r="D51" s="282"/>
      <c r="E51" s="282"/>
      <c r="F51" s="282"/>
      <c r="G51" s="282"/>
      <c r="H51" s="282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>
        <f>'SEF-6G'!EM14</f>
        <v>200340092.80947351</v>
      </c>
      <c r="W51" s="282"/>
      <c r="X51" s="728">
        <f t="shared" ref="X51:X56" si="13">SUM(D51:V51)</f>
        <v>200340092.80947351</v>
      </c>
      <c r="Y51" s="728">
        <f t="shared" ref="Y51:Y56" si="14">+X51+C51</f>
        <v>4300940372.1867046</v>
      </c>
      <c r="Z51" s="282"/>
      <c r="AA51" s="282"/>
      <c r="AB51" s="282"/>
      <c r="AC51" s="282"/>
      <c r="AD51" s="282"/>
      <c r="AE51" s="282"/>
      <c r="AF51" s="282"/>
      <c r="AG51" s="282"/>
      <c r="AH51" s="282"/>
      <c r="AI51" s="282"/>
      <c r="AJ51" s="282"/>
      <c r="AK51" s="282">
        <f>+'SEF-6G'!FU16+'SEF-6G'!FU21</f>
        <v>17491894.039488457</v>
      </c>
      <c r="AL51" s="282">
        <f>+'SEF-6G'!GC37</f>
        <v>0</v>
      </c>
      <c r="AM51" s="282">
        <f>'SEF-6G'!GK16</f>
        <v>10974426.034299001</v>
      </c>
      <c r="AN51" s="282"/>
      <c r="AO51" s="282"/>
      <c r="AP51" s="282">
        <f>+'SEF-6G'!HI15</f>
        <v>6264183.9699999997</v>
      </c>
      <c r="AQ51" s="282"/>
      <c r="AR51" s="282">
        <f>'SEF-6G'!HY16</f>
        <v>3482430</v>
      </c>
      <c r="AS51" s="282">
        <f>'SEF-8G'!H15</f>
        <v>-9377979.3800000008</v>
      </c>
      <c r="AT51" s="282">
        <f>'SEF-8G'!Q37</f>
        <v>0</v>
      </c>
      <c r="AU51" s="728">
        <f t="shared" ref="AU51:AU56" si="15">SUM(Z51:AT51)</f>
        <v>28834954.663787454</v>
      </c>
      <c r="AV51" s="728">
        <f t="shared" ref="AV51:AV56" si="16">+AU51+Y51</f>
        <v>4329775326.8504925</v>
      </c>
    </row>
    <row r="52" spans="1:48">
      <c r="A52" s="682">
        <f t="shared" si="11"/>
        <v>40</v>
      </c>
      <c r="B52" s="706" t="s">
        <v>614</v>
      </c>
      <c r="C52" s="677">
        <f>'SEF-5G p 1'!C21+'SEF-5G p 1'!C22</f>
        <v>-1569795173.3202429</v>
      </c>
      <c r="D52" s="677"/>
      <c r="E52" s="677"/>
      <c r="F52" s="677"/>
      <c r="G52" s="677"/>
      <c r="H52" s="677"/>
      <c r="I52" s="677"/>
      <c r="J52" s="677"/>
      <c r="K52" s="677"/>
      <c r="L52" s="677"/>
      <c r="M52" s="677"/>
      <c r="N52" s="677"/>
      <c r="O52" s="677"/>
      <c r="P52" s="677"/>
      <c r="Q52" s="677"/>
      <c r="R52" s="677"/>
      <c r="S52" s="677"/>
      <c r="T52" s="677"/>
      <c r="U52" s="677">
        <f>'SEF-6G'!EM15</f>
        <v>-55515781.67730689</v>
      </c>
      <c r="V52" s="677">
        <f>'SEF-6G'!EU29</f>
        <v>-12326971.654134724</v>
      </c>
      <c r="W52" s="705"/>
      <c r="X52" s="721">
        <f t="shared" si="13"/>
        <v>-67842753.331441611</v>
      </c>
      <c r="Y52" s="721">
        <f t="shared" si="14"/>
        <v>-1637637926.6516845</v>
      </c>
      <c r="Z52" s="705"/>
      <c r="AA52" s="705"/>
      <c r="AB52" s="705"/>
      <c r="AC52" s="705"/>
      <c r="AD52" s="705"/>
      <c r="AE52" s="705"/>
      <c r="AF52" s="705"/>
      <c r="AG52" s="705"/>
      <c r="AH52" s="705"/>
      <c r="AI52" s="705"/>
      <c r="AJ52" s="705"/>
      <c r="AK52" s="705">
        <f>+'SEF-6G'!FU17+'SEF-6G'!FU22</f>
        <v>-1856982.8054439093</v>
      </c>
      <c r="AL52" s="705">
        <f>+'SEF-6G'!GC38</f>
        <v>0</v>
      </c>
      <c r="AM52" s="705">
        <f>'SEF-6G'!GK17</f>
        <v>-4519875.9271734888</v>
      </c>
      <c r="AN52" s="705"/>
      <c r="AO52" s="705"/>
      <c r="AP52" s="282">
        <f>+'SEF-6G'!HI16</f>
        <v>-259802.34853480852</v>
      </c>
      <c r="AQ52" s="705"/>
      <c r="AR52" s="705">
        <f>'SEF-6G'!HY17</f>
        <v>-493344.24999999988</v>
      </c>
      <c r="AS52" s="705">
        <f>'SEF-8G'!H16</f>
        <v>39543.813052333338</v>
      </c>
      <c r="AT52" s="282">
        <f>'SEF-8G'!Q38</f>
        <v>-5658425.3422582783</v>
      </c>
      <c r="AU52" s="721">
        <f t="shared" si="15"/>
        <v>-12748886.860358153</v>
      </c>
      <c r="AV52" s="721">
        <f t="shared" si="16"/>
        <v>-1650386813.5120428</v>
      </c>
    </row>
    <row r="53" spans="1:48">
      <c r="A53" s="682">
        <f t="shared" si="11"/>
        <v>41</v>
      </c>
      <c r="B53" s="687" t="s">
        <v>613</v>
      </c>
      <c r="C53" s="677">
        <f>'SEF-5G p 1'!C25</f>
        <v>-604032300.68879509</v>
      </c>
      <c r="D53" s="677"/>
      <c r="E53" s="677"/>
      <c r="F53" s="677"/>
      <c r="G53" s="677"/>
      <c r="H53" s="677"/>
      <c r="I53" s="677"/>
      <c r="J53" s="677"/>
      <c r="K53" s="677"/>
      <c r="L53" s="677"/>
      <c r="M53" s="677"/>
      <c r="N53" s="677"/>
      <c r="O53" s="677"/>
      <c r="P53" s="677"/>
      <c r="Q53" s="677"/>
      <c r="R53" s="677"/>
      <c r="S53" s="677"/>
      <c r="T53" s="677"/>
      <c r="U53" s="677">
        <f>'SEF-6G'!EM16</f>
        <v>3758546.0358800888</v>
      </c>
      <c r="V53" s="677">
        <f>'SEF-6G'!EU30</f>
        <v>2588664.0473682922</v>
      </c>
      <c r="W53" s="705"/>
      <c r="X53" s="721">
        <f t="shared" si="13"/>
        <v>6347210.0832483806</v>
      </c>
      <c r="Y53" s="721">
        <f t="shared" si="14"/>
        <v>-597685090.60554671</v>
      </c>
      <c r="Z53" s="705"/>
      <c r="AA53" s="705"/>
      <c r="AB53" s="705"/>
      <c r="AC53" s="705"/>
      <c r="AD53" s="705"/>
      <c r="AE53" s="705"/>
      <c r="AF53" s="705"/>
      <c r="AG53" s="705"/>
      <c r="AH53" s="705"/>
      <c r="AI53" s="705"/>
      <c r="AJ53" s="705"/>
      <c r="AK53" s="705">
        <f>+'SEF-6G'!FU18+'SEF-6G'!FU23</f>
        <v>-1752248.6613244195</v>
      </c>
      <c r="AL53" s="705">
        <f>+'SEF-6G'!GC39</f>
        <v>0</v>
      </c>
      <c r="AM53" s="705">
        <f>'SEF-6G'!GK18+'SEF-6G'!GK24</f>
        <v>-1844229.0181584172</v>
      </c>
      <c r="AN53" s="705"/>
      <c r="AO53" s="705">
        <f>'SEF-6G'!HA16</f>
        <v>361315.18883649912</v>
      </c>
      <c r="AP53" s="705"/>
      <c r="AQ53" s="705"/>
      <c r="AR53" s="705">
        <f>'SEF-6G'!HY18</f>
        <v>-189353.38777026249</v>
      </c>
      <c r="AS53" s="705">
        <f>'SEF-8G'!H17</f>
        <v>10924.564479418335</v>
      </c>
      <c r="AT53" s="282">
        <f>'SEF-8G'!Q39</f>
        <v>-729618.36065856554</v>
      </c>
      <c r="AU53" s="721">
        <f t="shared" si="15"/>
        <v>-4143209.6745957471</v>
      </c>
      <c r="AV53" s="721">
        <f t="shared" si="16"/>
        <v>-601828300.28014243</v>
      </c>
    </row>
    <row r="54" spans="1:48">
      <c r="A54" s="682">
        <f t="shared" si="11"/>
        <v>42</v>
      </c>
      <c r="B54" s="687" t="s">
        <v>612</v>
      </c>
      <c r="C54" s="677">
        <f>'SEF-5G p 1'!C23+'SEF-5G p 1'!C27</f>
        <v>-29952462.162250079</v>
      </c>
      <c r="D54" s="677"/>
      <c r="E54" s="677"/>
      <c r="F54" s="677"/>
      <c r="G54" s="677"/>
      <c r="H54" s="677"/>
      <c r="I54" s="677"/>
      <c r="J54" s="677"/>
      <c r="K54" s="677"/>
      <c r="L54" s="677"/>
      <c r="M54" s="677"/>
      <c r="N54" s="677"/>
      <c r="O54" s="677"/>
      <c r="P54" s="677"/>
      <c r="Q54" s="677"/>
      <c r="R54" s="677"/>
      <c r="S54" s="677"/>
      <c r="T54" s="677"/>
      <c r="U54" s="677">
        <f>'SEF-6G'!EM17</f>
        <v>2958805.4567250796</v>
      </c>
      <c r="V54" s="677"/>
      <c r="W54" s="705"/>
      <c r="X54" s="721">
        <f t="shared" si="13"/>
        <v>2958805.4567250796</v>
      </c>
      <c r="Y54" s="721">
        <f t="shared" si="14"/>
        <v>-26993656.705525</v>
      </c>
      <c r="Z54" s="705"/>
      <c r="AA54" s="705"/>
      <c r="AB54" s="705"/>
      <c r="AC54" s="705"/>
      <c r="AD54" s="705"/>
      <c r="AE54" s="705"/>
      <c r="AF54" s="705"/>
      <c r="AG54" s="705"/>
      <c r="AH54" s="705"/>
      <c r="AI54" s="705"/>
      <c r="AJ54" s="705"/>
      <c r="AK54" s="705"/>
      <c r="AL54" s="705"/>
      <c r="AM54" s="705">
        <f>'SEF-6G'!GK22+'SEF-6G'!GK23</f>
        <v>8608017.6953693703</v>
      </c>
      <c r="AN54" s="705"/>
      <c r="AO54" s="705"/>
      <c r="AP54" s="282">
        <f>+'SEF-6G'!HI17</f>
        <v>-57733.95656081185</v>
      </c>
      <c r="AQ54" s="705"/>
      <c r="AR54" s="705"/>
      <c r="AS54" s="705"/>
      <c r="AT54" s="705"/>
      <c r="AU54" s="721">
        <f t="shared" si="15"/>
        <v>8550283.7388085593</v>
      </c>
      <c r="AV54" s="721">
        <f t="shared" si="16"/>
        <v>-18443372.966716439</v>
      </c>
    </row>
    <row r="55" spans="1:48">
      <c r="A55" s="682">
        <f t="shared" si="11"/>
        <v>43</v>
      </c>
      <c r="B55" s="687" t="s">
        <v>39</v>
      </c>
      <c r="C55" s="677">
        <f>'SEF-5G p 1'!C31</f>
        <v>54431800.053166389</v>
      </c>
      <c r="D55" s="677"/>
      <c r="E55" s="677"/>
      <c r="F55" s="677"/>
      <c r="G55" s="677"/>
      <c r="H55" s="677"/>
      <c r="I55" s="677"/>
      <c r="J55" s="677"/>
      <c r="K55" s="677"/>
      <c r="L55" s="677"/>
      <c r="M55" s="677"/>
      <c r="N55" s="677"/>
      <c r="O55" s="677"/>
      <c r="P55" s="677"/>
      <c r="Q55" s="677"/>
      <c r="R55" s="677"/>
      <c r="S55" s="677"/>
      <c r="T55" s="677"/>
      <c r="U55" s="677">
        <f>'SEF-6G'!EM18</f>
        <v>-875974.29388491809</v>
      </c>
      <c r="V55" s="677"/>
      <c r="W55" s="705"/>
      <c r="X55" s="721">
        <f t="shared" si="13"/>
        <v>-875974.29388491809</v>
      </c>
      <c r="Y55" s="721">
        <f t="shared" si="14"/>
        <v>53555825.759281471</v>
      </c>
      <c r="Z55" s="705"/>
      <c r="AA55" s="705"/>
      <c r="AB55" s="705"/>
      <c r="AC55" s="705"/>
      <c r="AD55" s="705"/>
      <c r="AE55" s="705"/>
      <c r="AF55" s="705"/>
      <c r="AG55" s="705"/>
      <c r="AH55" s="705"/>
      <c r="AI55" s="705"/>
      <c r="AJ55" s="705"/>
      <c r="AK55" s="705"/>
      <c r="AL55" s="705"/>
      <c r="AM55" s="705"/>
      <c r="AN55" s="705"/>
      <c r="AO55" s="705"/>
      <c r="AP55" s="705"/>
      <c r="AQ55" s="705"/>
      <c r="AR55" s="705"/>
      <c r="AS55" s="705"/>
      <c r="AT55" s="705"/>
      <c r="AU55" s="721">
        <f t="shared" si="15"/>
        <v>0</v>
      </c>
      <c r="AV55" s="721">
        <f t="shared" si="16"/>
        <v>53555825.759281471</v>
      </c>
    </row>
    <row r="56" spans="1:48">
      <c r="A56" s="682">
        <f t="shared" si="11"/>
        <v>44</v>
      </c>
      <c r="B56" s="687" t="s">
        <v>38</v>
      </c>
      <c r="C56" s="677"/>
      <c r="D56" s="677"/>
      <c r="E56" s="677"/>
      <c r="F56" s="677"/>
      <c r="G56" s="677"/>
      <c r="H56" s="677"/>
      <c r="I56" s="677"/>
      <c r="J56" s="677"/>
      <c r="K56" s="677"/>
      <c r="L56" s="677"/>
      <c r="M56" s="677"/>
      <c r="N56" s="677"/>
      <c r="O56" s="677"/>
      <c r="P56" s="677"/>
      <c r="Q56" s="677"/>
      <c r="R56" s="677"/>
      <c r="S56" s="677"/>
      <c r="T56" s="677"/>
      <c r="U56" s="677"/>
      <c r="V56" s="677"/>
      <c r="W56" s="705"/>
      <c r="X56" s="721">
        <f t="shared" si="13"/>
        <v>0</v>
      </c>
      <c r="Y56" s="721">
        <f t="shared" si="14"/>
        <v>0</v>
      </c>
      <c r="Z56" s="705"/>
      <c r="AA56" s="705"/>
      <c r="AB56" s="705"/>
      <c r="AC56" s="705"/>
      <c r="AD56" s="705"/>
      <c r="AE56" s="705"/>
      <c r="AF56" s="705"/>
      <c r="AG56" s="705"/>
      <c r="AH56" s="705"/>
      <c r="AI56" s="705"/>
      <c r="AJ56" s="705"/>
      <c r="AK56" s="705"/>
      <c r="AL56" s="705"/>
      <c r="AM56" s="705"/>
      <c r="AN56" s="705"/>
      <c r="AO56" s="705"/>
      <c r="AP56" s="705"/>
      <c r="AQ56" s="705"/>
      <c r="AR56" s="705"/>
      <c r="AS56" s="705"/>
      <c r="AT56" s="705"/>
      <c r="AU56" s="721">
        <f t="shared" si="15"/>
        <v>0</v>
      </c>
      <c r="AV56" s="721">
        <f t="shared" si="16"/>
        <v>0</v>
      </c>
    </row>
    <row r="57" spans="1:48" ht="14.4" thickBot="1">
      <c r="A57" s="682">
        <f t="shared" si="11"/>
        <v>45</v>
      </c>
      <c r="B57" s="687" t="s">
        <v>37</v>
      </c>
      <c r="C57" s="708">
        <f t="shared" ref="C57:AV57" si="17">SUM(C51:C56)</f>
        <v>1951252143.2591095</v>
      </c>
      <c r="D57" s="708">
        <f t="shared" si="17"/>
        <v>0</v>
      </c>
      <c r="E57" s="708">
        <f t="shared" si="17"/>
        <v>0</v>
      </c>
      <c r="F57" s="708">
        <f t="shared" si="17"/>
        <v>0</v>
      </c>
      <c r="G57" s="708">
        <f t="shared" si="17"/>
        <v>0</v>
      </c>
      <c r="H57" s="708">
        <f t="shared" si="17"/>
        <v>0</v>
      </c>
      <c r="I57" s="708">
        <f t="shared" si="17"/>
        <v>0</v>
      </c>
      <c r="J57" s="708">
        <f t="shared" si="17"/>
        <v>0</v>
      </c>
      <c r="K57" s="708">
        <f t="shared" si="17"/>
        <v>0</v>
      </c>
      <c r="L57" s="708">
        <f t="shared" si="17"/>
        <v>0</v>
      </c>
      <c r="M57" s="708">
        <f t="shared" si="17"/>
        <v>0</v>
      </c>
      <c r="N57" s="708">
        <f t="shared" si="17"/>
        <v>0</v>
      </c>
      <c r="O57" s="708">
        <f t="shared" si="17"/>
        <v>0</v>
      </c>
      <c r="P57" s="708">
        <f t="shared" si="17"/>
        <v>0</v>
      </c>
      <c r="Q57" s="708">
        <f t="shared" si="17"/>
        <v>0</v>
      </c>
      <c r="R57" s="708">
        <f t="shared" si="17"/>
        <v>0</v>
      </c>
      <c r="S57" s="708">
        <f t="shared" si="17"/>
        <v>0</v>
      </c>
      <c r="T57" s="708">
        <f t="shared" si="17"/>
        <v>0</v>
      </c>
      <c r="U57" s="708">
        <f t="shared" si="17"/>
        <v>150665688.3308869</v>
      </c>
      <c r="V57" s="708">
        <f t="shared" si="17"/>
        <v>-9738307.6067664325</v>
      </c>
      <c r="W57" s="708">
        <f t="shared" si="17"/>
        <v>0</v>
      </c>
      <c r="X57" s="731">
        <f t="shared" si="17"/>
        <v>140927380.72412044</v>
      </c>
      <c r="Y57" s="731">
        <f t="shared" si="17"/>
        <v>2092179523.9832296</v>
      </c>
      <c r="Z57" s="708">
        <f t="shared" si="17"/>
        <v>0</v>
      </c>
      <c r="AA57" s="708">
        <f t="shared" si="17"/>
        <v>0</v>
      </c>
      <c r="AB57" s="708">
        <f t="shared" si="17"/>
        <v>0</v>
      </c>
      <c r="AC57" s="708">
        <f t="shared" si="17"/>
        <v>0</v>
      </c>
      <c r="AD57" s="708">
        <f t="shared" si="17"/>
        <v>0</v>
      </c>
      <c r="AE57" s="708">
        <f t="shared" si="17"/>
        <v>0</v>
      </c>
      <c r="AF57" s="708">
        <f t="shared" si="17"/>
        <v>0</v>
      </c>
      <c r="AG57" s="708">
        <f t="shared" si="17"/>
        <v>0</v>
      </c>
      <c r="AH57" s="708">
        <f t="shared" si="17"/>
        <v>0</v>
      </c>
      <c r="AI57" s="708">
        <f t="shared" si="17"/>
        <v>0</v>
      </c>
      <c r="AJ57" s="708">
        <f t="shared" si="17"/>
        <v>0</v>
      </c>
      <c r="AK57" s="708">
        <f t="shared" si="17"/>
        <v>13882662.572720129</v>
      </c>
      <c r="AL57" s="708">
        <f t="shared" si="17"/>
        <v>0</v>
      </c>
      <c r="AM57" s="708">
        <f t="shared" si="17"/>
        <v>13218338.784336466</v>
      </c>
      <c r="AN57" s="708">
        <f t="shared" si="17"/>
        <v>0</v>
      </c>
      <c r="AO57" s="708">
        <f t="shared" si="17"/>
        <v>361315.18883649912</v>
      </c>
      <c r="AP57" s="708">
        <f t="shared" si="17"/>
        <v>5946647.6649043793</v>
      </c>
      <c r="AQ57" s="708">
        <f t="shared" si="17"/>
        <v>0</v>
      </c>
      <c r="AR57" s="708">
        <f t="shared" si="17"/>
        <v>2799732.3622297375</v>
      </c>
      <c r="AS57" s="708">
        <f t="shared" si="17"/>
        <v>-9327511.0024682488</v>
      </c>
      <c r="AT57" s="708">
        <f t="shared" si="17"/>
        <v>-6388043.7029168438</v>
      </c>
      <c r="AU57" s="731">
        <f t="shared" si="17"/>
        <v>20493141.867642112</v>
      </c>
      <c r="AV57" s="731">
        <f t="shared" si="17"/>
        <v>2112672665.850872</v>
      </c>
    </row>
    <row r="58" spans="1:48" ht="14.4" thickTop="1">
      <c r="A58" s="682">
        <f t="shared" si="11"/>
        <v>46</v>
      </c>
      <c r="C58" s="727">
        <v>0</v>
      </c>
      <c r="G58" s="715"/>
      <c r="X58" s="726"/>
      <c r="Y58" s="726"/>
      <c r="AU58" s="726"/>
      <c r="AV58" s="726"/>
    </row>
    <row r="59" spans="1:48">
      <c r="A59" s="682">
        <f t="shared" si="11"/>
        <v>47</v>
      </c>
      <c r="B59" s="687" t="s">
        <v>36</v>
      </c>
      <c r="C59" s="725">
        <f>+'SEF-3G'!$C$13</f>
        <v>7.6200000000000004E-2</v>
      </c>
      <c r="D59" s="725">
        <f>+'SEF-3G'!$C$13</f>
        <v>7.6200000000000004E-2</v>
      </c>
      <c r="E59" s="725">
        <f>+'SEF-3G'!$C$13</f>
        <v>7.6200000000000004E-2</v>
      </c>
      <c r="F59" s="725">
        <f>+'SEF-3G'!$C$13</f>
        <v>7.6200000000000004E-2</v>
      </c>
      <c r="G59" s="725">
        <f>'SEF-5E p 5 &amp; SEF-5G p 4'!E14</f>
        <v>7.5999999999999998E-2</v>
      </c>
      <c r="H59" s="725">
        <f>+'SEF-3G'!$C$13</f>
        <v>7.6200000000000004E-2</v>
      </c>
      <c r="I59" s="725">
        <f>+'SEF-3G'!$C$13</f>
        <v>7.6200000000000004E-2</v>
      </c>
      <c r="J59" s="725">
        <f>+'SEF-3G'!$C$13</f>
        <v>7.6200000000000004E-2</v>
      </c>
      <c r="K59" s="725">
        <f>+'SEF-3G'!$C$13</f>
        <v>7.6200000000000004E-2</v>
      </c>
      <c r="L59" s="725">
        <f>+'SEF-3G'!$C$13</f>
        <v>7.6200000000000004E-2</v>
      </c>
      <c r="M59" s="725">
        <f>+'SEF-3G'!$C$13</f>
        <v>7.6200000000000004E-2</v>
      </c>
      <c r="N59" s="725">
        <f>+'SEF-3G'!$C$13</f>
        <v>7.6200000000000004E-2</v>
      </c>
      <c r="O59" s="725">
        <f>+'SEF-3G'!$C$13</f>
        <v>7.6200000000000004E-2</v>
      </c>
      <c r="P59" s="725">
        <f>+'SEF-3G'!$C$13</f>
        <v>7.6200000000000004E-2</v>
      </c>
      <c r="Q59" s="725">
        <f>+'SEF-3G'!$C$13</f>
        <v>7.6200000000000004E-2</v>
      </c>
      <c r="R59" s="725">
        <f>+'SEF-3G'!$C$13</f>
        <v>7.6200000000000004E-2</v>
      </c>
      <c r="S59" s="725">
        <f>+'SEF-3G'!$C$13</f>
        <v>7.6200000000000004E-2</v>
      </c>
      <c r="T59" s="725">
        <f>+'SEF-3G'!$C$13</f>
        <v>7.6200000000000004E-2</v>
      </c>
      <c r="U59" s="725">
        <f>+'SEF-3G'!$C$13</f>
        <v>7.6200000000000004E-2</v>
      </c>
      <c r="V59" s="725">
        <f>+'SEF-3G'!$C$13</f>
        <v>7.6200000000000004E-2</v>
      </c>
      <c r="W59" s="725">
        <f>+'SEF-3G'!$C$13</f>
        <v>7.6200000000000004E-2</v>
      </c>
      <c r="X59" s="724">
        <f>+'SEF-3G'!$C$13</f>
        <v>7.6200000000000004E-2</v>
      </c>
      <c r="Y59" s="724">
        <f>+'SEF-3G'!$C$13</f>
        <v>7.6200000000000004E-2</v>
      </c>
      <c r="Z59" s="725">
        <f>+'SEF-3G'!$C$13</f>
        <v>7.6200000000000004E-2</v>
      </c>
      <c r="AA59" s="725">
        <f>+'SEF-3G'!$C$13</f>
        <v>7.6200000000000004E-2</v>
      </c>
      <c r="AB59" s="725">
        <f>+'SEF-3G'!$C$13</f>
        <v>7.6200000000000004E-2</v>
      </c>
      <c r="AC59" s="725">
        <f>+'SEF-3G'!$C$13</f>
        <v>7.6200000000000004E-2</v>
      </c>
      <c r="AD59" s="725">
        <f>+'SEF-3G'!$C$13</f>
        <v>7.6200000000000004E-2</v>
      </c>
      <c r="AE59" s="725">
        <f>+'SEF-3G'!$C$13</f>
        <v>7.6200000000000004E-2</v>
      </c>
      <c r="AF59" s="725">
        <f>+'SEF-3G'!$C$13</f>
        <v>7.6200000000000004E-2</v>
      </c>
      <c r="AG59" s="725">
        <f>+'SEF-3G'!$C$13</f>
        <v>7.6200000000000004E-2</v>
      </c>
      <c r="AH59" s="725">
        <f>+'SEF-3G'!$C$13</f>
        <v>7.6200000000000004E-2</v>
      </c>
      <c r="AI59" s="725">
        <f>+'SEF-3G'!$C$13</f>
        <v>7.6200000000000004E-2</v>
      </c>
      <c r="AJ59" s="725">
        <f>+'SEF-3G'!$C$13</f>
        <v>7.6200000000000004E-2</v>
      </c>
      <c r="AK59" s="725">
        <f>+'SEF-3G'!$C$13</f>
        <v>7.6200000000000004E-2</v>
      </c>
      <c r="AL59" s="725">
        <f>+'SEF-3G'!$C$13</f>
        <v>7.6200000000000004E-2</v>
      </c>
      <c r="AM59" s="725">
        <f>+'SEF-3G'!$C$13</f>
        <v>7.6200000000000004E-2</v>
      </c>
      <c r="AN59" s="725">
        <f>+'SEF-3G'!$C$13</f>
        <v>7.6200000000000004E-2</v>
      </c>
      <c r="AO59" s="725">
        <f>+'SEF-3G'!$C$13</f>
        <v>7.6200000000000004E-2</v>
      </c>
      <c r="AP59" s="725">
        <f>+'SEF-3G'!$C$13</f>
        <v>7.6200000000000004E-2</v>
      </c>
      <c r="AQ59" s="725">
        <f>+'SEF-3G'!$C$13</f>
        <v>7.6200000000000004E-2</v>
      </c>
      <c r="AR59" s="725">
        <f>+'SEF-3G'!$C$13</f>
        <v>7.6200000000000004E-2</v>
      </c>
      <c r="AS59" s="725">
        <f>+'SEF-3G'!$C$13</f>
        <v>7.6200000000000004E-2</v>
      </c>
      <c r="AT59" s="725">
        <f>+'SEF-3G'!$C$13</f>
        <v>7.6200000000000004E-2</v>
      </c>
      <c r="AU59" s="724">
        <f>+'SEF-3G'!$C$13</f>
        <v>7.6200000000000004E-2</v>
      </c>
      <c r="AV59" s="724">
        <f>+'SEF-3G'!$C$13</f>
        <v>7.6200000000000004E-2</v>
      </c>
    </row>
    <row r="60" spans="1:48">
      <c r="A60" s="682">
        <f t="shared" si="11"/>
        <v>48</v>
      </c>
      <c r="B60" s="687" t="s">
        <v>35</v>
      </c>
      <c r="C60" s="723">
        <f>+'SEF-3G'!$M$20</f>
        <v>0.75409700000000002</v>
      </c>
      <c r="D60" s="723">
        <f>+'SEF-3G'!$M$20</f>
        <v>0.75409700000000002</v>
      </c>
      <c r="E60" s="723">
        <f>+'SEF-3G'!$M$20</f>
        <v>0.75409700000000002</v>
      </c>
      <c r="F60" s="723">
        <f>+'SEF-3G'!$M$20</f>
        <v>0.75409700000000002</v>
      </c>
      <c r="G60" s="723">
        <f>+'SEF-3G'!$M$20</f>
        <v>0.75409700000000002</v>
      </c>
      <c r="H60" s="723">
        <f>+'SEF-3G'!$M$20</f>
        <v>0.75409700000000002</v>
      </c>
      <c r="I60" s="723">
        <f>+'SEF-3G'!$M$20</f>
        <v>0.75409700000000002</v>
      </c>
      <c r="J60" s="723">
        <f>+'SEF-3G'!$M$20</f>
        <v>0.75409700000000002</v>
      </c>
      <c r="K60" s="723">
        <f>+'SEF-3G'!$M$20</f>
        <v>0.75409700000000002</v>
      </c>
      <c r="L60" s="723">
        <f>+'SEF-3G'!$M$20</f>
        <v>0.75409700000000002</v>
      </c>
      <c r="M60" s="723">
        <f>+'SEF-3G'!$M$20</f>
        <v>0.75409700000000002</v>
      </c>
      <c r="N60" s="723">
        <f>+'SEF-3G'!$M$20</f>
        <v>0.75409700000000002</v>
      </c>
      <c r="O60" s="723">
        <f>+'SEF-3G'!$M$20</f>
        <v>0.75409700000000002</v>
      </c>
      <c r="P60" s="723">
        <f>+'SEF-3G'!$M$20</f>
        <v>0.75409700000000002</v>
      </c>
      <c r="Q60" s="723">
        <f>+'SEF-3G'!$M$20</f>
        <v>0.75409700000000002</v>
      </c>
      <c r="R60" s="723">
        <f>+'SEF-3G'!$M$20</f>
        <v>0.75409700000000002</v>
      </c>
      <c r="S60" s="723">
        <f>+'SEF-3G'!$M$20</f>
        <v>0.75409700000000002</v>
      </c>
      <c r="T60" s="723">
        <f>+'SEF-3G'!$M$20</f>
        <v>0.75409700000000002</v>
      </c>
      <c r="U60" s="723">
        <f>+'SEF-3G'!$M$20</f>
        <v>0.75409700000000002</v>
      </c>
      <c r="V60" s="723">
        <f>+'SEF-3G'!$M$20</f>
        <v>0.75409700000000002</v>
      </c>
      <c r="W60" s="723">
        <f>+'SEF-3G'!$M$20</f>
        <v>0.75409700000000002</v>
      </c>
      <c r="X60" s="722">
        <f>+'SEF-3G'!$M$20</f>
        <v>0.75409700000000002</v>
      </c>
      <c r="Y60" s="722">
        <f>+'SEF-3G'!$M$20</f>
        <v>0.75409700000000002</v>
      </c>
      <c r="Z60" s="723">
        <f>+'SEF-3G'!$M$20</f>
        <v>0.75409700000000002</v>
      </c>
      <c r="AA60" s="723">
        <f>+'SEF-3G'!$M$20</f>
        <v>0.75409700000000002</v>
      </c>
      <c r="AB60" s="723">
        <f>+'SEF-3G'!$M$20</f>
        <v>0.75409700000000002</v>
      </c>
      <c r="AC60" s="723">
        <f>+'SEF-3G'!$M$20</f>
        <v>0.75409700000000002</v>
      </c>
      <c r="AD60" s="723">
        <f>+'SEF-3G'!$M$20</f>
        <v>0.75409700000000002</v>
      </c>
      <c r="AE60" s="723">
        <f>+'SEF-3G'!$M$20</f>
        <v>0.75409700000000002</v>
      </c>
      <c r="AF60" s="723">
        <f>+'SEF-3G'!$M$20</f>
        <v>0.75409700000000002</v>
      </c>
      <c r="AG60" s="723">
        <f>+'SEF-3G'!$M$20</f>
        <v>0.75409700000000002</v>
      </c>
      <c r="AH60" s="723">
        <f>+'SEF-3G'!$M$20</f>
        <v>0.75409700000000002</v>
      </c>
      <c r="AI60" s="723">
        <f>+'SEF-3G'!$M$20</f>
        <v>0.75409700000000002</v>
      </c>
      <c r="AJ60" s="723">
        <f>+'SEF-3G'!$M$20</f>
        <v>0.75409700000000002</v>
      </c>
      <c r="AK60" s="723">
        <f>+'SEF-3G'!$M$20</f>
        <v>0.75409700000000002</v>
      </c>
      <c r="AL60" s="723">
        <f>+'SEF-3G'!$M$20</f>
        <v>0.75409700000000002</v>
      </c>
      <c r="AM60" s="723">
        <f>+'SEF-3G'!$M$20</f>
        <v>0.75409700000000002</v>
      </c>
      <c r="AN60" s="723">
        <f>+'SEF-3G'!$M$20</f>
        <v>0.75409700000000002</v>
      </c>
      <c r="AO60" s="723">
        <f>+'SEF-3G'!$M$20</f>
        <v>0.75409700000000002</v>
      </c>
      <c r="AP60" s="723">
        <f>+'SEF-3G'!$M$20</f>
        <v>0.75409700000000002</v>
      </c>
      <c r="AQ60" s="723">
        <f>+'SEF-3G'!$M$20</f>
        <v>0.75409700000000002</v>
      </c>
      <c r="AR60" s="723">
        <f>+'SEF-3G'!$M$20</f>
        <v>0.75409700000000002</v>
      </c>
      <c r="AS60" s="723">
        <f>+'SEF-3G'!$M$20</f>
        <v>0.75409700000000002</v>
      </c>
      <c r="AT60" s="723">
        <f>+'SEF-3G'!$M$20</f>
        <v>0.75409700000000002</v>
      </c>
      <c r="AU60" s="722">
        <f>+'SEF-3G'!$M$20</f>
        <v>0.75409700000000002</v>
      </c>
      <c r="AV60" s="722">
        <f>+'SEF-3G'!$M$20</f>
        <v>0.75409700000000002</v>
      </c>
    </row>
    <row r="61" spans="1:48">
      <c r="A61" s="682">
        <f t="shared" si="11"/>
        <v>49</v>
      </c>
      <c r="B61" s="687" t="s">
        <v>34</v>
      </c>
      <c r="C61" s="289">
        <f t="shared" ref="C61:AV61" si="18">+C44-(C57*C59)</f>
        <v>-44821109.32634294</v>
      </c>
      <c r="D61" s="289">
        <f t="shared" si="18"/>
        <v>954667.24698159844</v>
      </c>
      <c r="E61" s="289">
        <f t="shared" si="18"/>
        <v>31955.103665430321</v>
      </c>
      <c r="F61" s="289">
        <f t="shared" si="18"/>
        <v>1216418.5906954836</v>
      </c>
      <c r="G61" s="289">
        <f t="shared" si="18"/>
        <v>12917116.381072458</v>
      </c>
      <c r="H61" s="289">
        <f t="shared" si="18"/>
        <v>-1412118.6458149552</v>
      </c>
      <c r="I61" s="289">
        <f t="shared" si="18"/>
        <v>-1256319.1261336696</v>
      </c>
      <c r="J61" s="289">
        <f t="shared" si="18"/>
        <v>-125428.75474144239</v>
      </c>
      <c r="K61" s="289">
        <f t="shared" si="18"/>
        <v>-187098.30484735657</v>
      </c>
      <c r="L61" s="289">
        <f t="shared" si="18"/>
        <v>69886.13058918016</v>
      </c>
      <c r="M61" s="289">
        <f t="shared" si="18"/>
        <v>3831.0246199423614</v>
      </c>
      <c r="N61" s="289">
        <f t="shared" si="18"/>
        <v>-204503.64267608413</v>
      </c>
      <c r="O61" s="289">
        <f t="shared" si="18"/>
        <v>-438078.27529363008</v>
      </c>
      <c r="P61" s="289">
        <f t="shared" si="18"/>
        <v>-770450.7474650637</v>
      </c>
      <c r="Q61" s="289">
        <f t="shared" si="18"/>
        <v>-52650.036356784825</v>
      </c>
      <c r="R61" s="289">
        <f t="shared" si="18"/>
        <v>-359399.40979334083</v>
      </c>
      <c r="S61" s="289">
        <f t="shared" si="18"/>
        <v>-4190.3865716636919</v>
      </c>
      <c r="T61" s="289">
        <f t="shared" si="18"/>
        <v>-10645.339606916785</v>
      </c>
      <c r="U61" s="289">
        <f t="shared" si="18"/>
        <v>-11480725.450813582</v>
      </c>
      <c r="V61" s="289">
        <f t="shared" si="18"/>
        <v>-8996248.5671308301</v>
      </c>
      <c r="W61" s="289">
        <f t="shared" si="18"/>
        <v>520589.30140931718</v>
      </c>
      <c r="X61" s="721">
        <f t="shared" si="18"/>
        <v>-9583392.9082118869</v>
      </c>
      <c r="Y61" s="721">
        <f t="shared" si="18"/>
        <v>-54404502.234554738</v>
      </c>
      <c r="Z61" s="289">
        <f t="shared" si="18"/>
        <v>-7393164.0016801059</v>
      </c>
      <c r="AA61" s="289">
        <f t="shared" si="18"/>
        <v>13373052.872078024</v>
      </c>
      <c r="AB61" s="289">
        <f t="shared" si="18"/>
        <v>-184038.22398925267</v>
      </c>
      <c r="AC61" s="289">
        <f t="shared" si="18"/>
        <v>-69886.130589179898</v>
      </c>
      <c r="AD61" s="289">
        <f t="shared" si="18"/>
        <v>-3831.0246199423614</v>
      </c>
      <c r="AE61" s="289">
        <f t="shared" si="18"/>
        <v>-24480.79361552457</v>
      </c>
      <c r="AF61" s="289">
        <f t="shared" si="18"/>
        <v>-1909978.0874022099</v>
      </c>
      <c r="AG61" s="289">
        <f t="shared" si="18"/>
        <v>-92853.606337802761</v>
      </c>
      <c r="AH61" s="289">
        <f t="shared" si="18"/>
        <v>-308531.66010436148</v>
      </c>
      <c r="AI61" s="289">
        <f t="shared" si="18"/>
        <v>72647.038566666641</v>
      </c>
      <c r="AJ61" s="289">
        <f t="shared" si="18"/>
        <v>-676943.63053784647</v>
      </c>
      <c r="AK61" s="289">
        <f t="shared" si="18"/>
        <v>-3170757.2596136751</v>
      </c>
      <c r="AL61" s="289">
        <f t="shared" si="18"/>
        <v>134161.66059226336</v>
      </c>
      <c r="AM61" s="289">
        <f t="shared" si="18"/>
        <v>-5925033.8361895308</v>
      </c>
      <c r="AN61" s="289">
        <f t="shared" si="18"/>
        <v>344098.38920724997</v>
      </c>
      <c r="AO61" s="289">
        <f t="shared" si="18"/>
        <v>695098.16028365877</v>
      </c>
      <c r="AP61" s="289">
        <f t="shared" si="18"/>
        <v>-576690.7304463035</v>
      </c>
      <c r="AQ61" s="289">
        <f t="shared" si="18"/>
        <v>-303817.36784007057</v>
      </c>
      <c r="AR61" s="289">
        <f t="shared" si="18"/>
        <v>-488451.57600190607</v>
      </c>
      <c r="AS61" s="289">
        <f t="shared" si="18"/>
        <v>741995.95069942391</v>
      </c>
      <c r="AT61" s="289">
        <f t="shared" si="18"/>
        <v>-4777220.2351576807</v>
      </c>
      <c r="AU61" s="721">
        <f t="shared" si="18"/>
        <v>-10544624.092698101</v>
      </c>
      <c r="AV61" s="721">
        <f t="shared" si="18"/>
        <v>-64949126.327253222</v>
      </c>
    </row>
    <row r="62" spans="1:48">
      <c r="A62" s="682">
        <f t="shared" si="11"/>
        <v>50</v>
      </c>
      <c r="B62" s="687" t="s">
        <v>33</v>
      </c>
      <c r="C62" s="289">
        <f t="shared" ref="C62:AV62" si="19">-C61/C60</f>
        <v>59436795.699151352</v>
      </c>
      <c r="D62" s="289">
        <f t="shared" si="19"/>
        <v>-1265974.0682983734</v>
      </c>
      <c r="E62" s="289">
        <f t="shared" si="19"/>
        <v>-42375.322624848421</v>
      </c>
      <c r="F62" s="289">
        <f t="shared" si="19"/>
        <v>-1613079.7373487544</v>
      </c>
      <c r="G62" s="289">
        <f t="shared" si="19"/>
        <v>-17129250.4559393</v>
      </c>
      <c r="H62" s="289">
        <f t="shared" si="19"/>
        <v>1872595.496089966</v>
      </c>
      <c r="I62" s="289">
        <f t="shared" si="19"/>
        <v>1665991.4124226321</v>
      </c>
      <c r="J62" s="289">
        <f t="shared" si="19"/>
        <v>166329.73575208811</v>
      </c>
      <c r="K62" s="289">
        <f t="shared" si="19"/>
        <v>248109.06932046748</v>
      </c>
      <c r="L62" s="289">
        <f t="shared" si="19"/>
        <v>-92675.2534344788</v>
      </c>
      <c r="M62" s="289">
        <f t="shared" si="19"/>
        <v>-5080.2809452130978</v>
      </c>
      <c r="N62" s="289">
        <f t="shared" si="19"/>
        <v>271190.10243520944</v>
      </c>
      <c r="O62" s="289">
        <f t="shared" si="19"/>
        <v>580930.93500389217</v>
      </c>
      <c r="P62" s="289">
        <f t="shared" si="19"/>
        <v>1021686.5303337153</v>
      </c>
      <c r="Q62" s="289">
        <f t="shared" si="19"/>
        <v>69818.652450261477</v>
      </c>
      <c r="R62" s="289">
        <f t="shared" si="19"/>
        <v>476595.72945302899</v>
      </c>
      <c r="S62" s="289">
        <f t="shared" si="19"/>
        <v>5556.8270019157908</v>
      </c>
      <c r="T62" s="289">
        <f t="shared" si="19"/>
        <v>14116.671471862088</v>
      </c>
      <c r="U62" s="289">
        <f t="shared" si="19"/>
        <v>15224467.741966328</v>
      </c>
      <c r="V62" s="289">
        <f t="shared" si="19"/>
        <v>11929829.408061337</v>
      </c>
      <c r="W62" s="289">
        <f t="shared" si="19"/>
        <v>-690347.92793144274</v>
      </c>
      <c r="X62" s="720">
        <f t="shared" si="19"/>
        <v>12708435.265240263</v>
      </c>
      <c r="Y62" s="720">
        <f t="shared" si="19"/>
        <v>72145230.9643915</v>
      </c>
      <c r="Z62" s="289">
        <f t="shared" si="19"/>
        <v>9803996.0398729946</v>
      </c>
      <c r="AA62" s="289">
        <f t="shared" si="19"/>
        <v>-17733862.980595365</v>
      </c>
      <c r="AB62" s="289">
        <f t="shared" si="19"/>
        <v>244051.12868669769</v>
      </c>
      <c r="AC62" s="289">
        <f t="shared" si="19"/>
        <v>92675.253434478451</v>
      </c>
      <c r="AD62" s="289">
        <f t="shared" si="19"/>
        <v>5080.2809452130978</v>
      </c>
      <c r="AE62" s="289">
        <f t="shared" si="19"/>
        <v>32463.719674689819</v>
      </c>
      <c r="AF62" s="289">
        <f t="shared" si="19"/>
        <v>2532801.5990014677</v>
      </c>
      <c r="AG62" s="289">
        <f t="shared" si="19"/>
        <v>123132.17840384295</v>
      </c>
      <c r="AH62" s="289">
        <f t="shared" si="19"/>
        <v>409140.54837025137</v>
      </c>
      <c r="AI62" s="289">
        <f t="shared" si="19"/>
        <v>-96336.464097677934</v>
      </c>
      <c r="AJ62" s="289">
        <f t="shared" si="19"/>
        <v>897687.73849762895</v>
      </c>
      <c r="AK62" s="289">
        <f t="shared" si="19"/>
        <v>4204707.4310250208</v>
      </c>
      <c r="AL62" s="289">
        <f t="shared" si="19"/>
        <v>-177910.34918884886</v>
      </c>
      <c r="AM62" s="289">
        <f t="shared" si="19"/>
        <v>7857124.2641059849</v>
      </c>
      <c r="AN62" s="289">
        <f t="shared" si="19"/>
        <v>-456305.20902118686</v>
      </c>
      <c r="AO62" s="289">
        <f t="shared" si="19"/>
        <v>-921762.26703415974</v>
      </c>
      <c r="AP62" s="289">
        <f t="shared" si="19"/>
        <v>764743.43545499246</v>
      </c>
      <c r="AQ62" s="289">
        <f t="shared" si="19"/>
        <v>402888.97560933215</v>
      </c>
      <c r="AR62" s="289">
        <f t="shared" si="19"/>
        <v>647730.43255961244</v>
      </c>
      <c r="AS62" s="289">
        <f t="shared" si="19"/>
        <v>-983952.92740777892</v>
      </c>
      <c r="AT62" s="289">
        <f t="shared" si="19"/>
        <v>6335020.8728554556</v>
      </c>
      <c r="AU62" s="720">
        <f t="shared" si="19"/>
        <v>13983113.701152638</v>
      </c>
      <c r="AV62" s="720">
        <f t="shared" si="19"/>
        <v>86128344.665544644</v>
      </c>
    </row>
    <row r="63" spans="1:48">
      <c r="B63" s="687"/>
    </row>
    <row r="67" spans="56:67">
      <c r="BD67" s="282"/>
      <c r="BE67" s="282"/>
      <c r="BF67" s="282"/>
      <c r="BG67" s="282"/>
      <c r="BH67" s="282"/>
      <c r="BI67" s="282"/>
      <c r="BJ67" s="282"/>
      <c r="BK67" s="282"/>
      <c r="BL67" s="282"/>
      <c r="BM67" s="282"/>
      <c r="BN67" s="282"/>
      <c r="BO67" s="282"/>
    </row>
    <row r="68" spans="56:67">
      <c r="BD68" s="719"/>
      <c r="BE68" s="719"/>
      <c r="BF68" s="719"/>
      <c r="BG68" s="719"/>
      <c r="BH68" s="719"/>
      <c r="BI68" s="719"/>
      <c r="BJ68" s="719"/>
      <c r="BK68" s="719"/>
      <c r="BL68" s="719"/>
      <c r="BM68" s="719"/>
      <c r="BN68" s="719"/>
      <c r="BO68" s="719"/>
    </row>
    <row r="69" spans="56:67">
      <c r="BD69" s="697"/>
      <c r="BE69" s="697"/>
      <c r="BF69" s="697"/>
      <c r="BG69" s="697"/>
      <c r="BH69" s="697"/>
      <c r="BI69" s="697"/>
      <c r="BJ69" s="697"/>
      <c r="BK69" s="697"/>
      <c r="BL69" s="697"/>
      <c r="BM69" s="697"/>
      <c r="BN69" s="697"/>
      <c r="BO69" s="697"/>
    </row>
    <row r="132" spans="17:17">
      <c r="Q132" s="717"/>
    </row>
    <row r="133" spans="17:17">
      <c r="Q133" s="718">
        <f>Q106</f>
        <v>0</v>
      </c>
    </row>
    <row r="134" spans="17:17">
      <c r="Q134" s="686">
        <f>Q108</f>
        <v>0</v>
      </c>
    </row>
    <row r="135" spans="17:17">
      <c r="Q135" s="717"/>
    </row>
    <row r="136" spans="17:17">
      <c r="Q136" s="716">
        <f>Q133-Q130</f>
        <v>0</v>
      </c>
    </row>
    <row r="137" spans="17:17">
      <c r="Q137" s="686">
        <f>Q134-Q131</f>
        <v>0</v>
      </c>
    </row>
  </sheetData>
  <printOptions horizontalCentered="1"/>
  <pageMargins left="0.2" right="0.2" top="0.5" bottom="0.5" header="0.05" footer="0.05"/>
  <pageSetup scale="58" fitToWidth="0" orientation="landscape" r:id="rId1"/>
  <colBreaks count="1" manualBreakCount="1">
    <brk id="48" max="1048575" man="1"/>
  </colBreaks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59999389629810485"/>
  </sheetPr>
  <dimension ref="A1:J104"/>
  <sheetViews>
    <sheetView zoomScaleNormal="100" workbookViewId="0">
      <pane xSplit="3" ySplit="8" topLeftCell="D71" activePane="bottomRight" state="frozen"/>
      <selection activeCell="E1" sqref="E1"/>
      <selection pane="topRight" activeCell="E1" sqref="E1"/>
      <selection pane="bottomLeft" activeCell="E1" sqref="E1"/>
      <selection pane="bottomRight" activeCell="J85" sqref="J85"/>
    </sheetView>
  </sheetViews>
  <sheetFormatPr defaultColWidth="9.109375" defaultRowHeight="13.2"/>
  <cols>
    <col min="1" max="1" width="6.6640625" style="184" customWidth="1"/>
    <col min="2" max="2" width="26.88671875" style="227" customWidth="1"/>
    <col min="3" max="3" width="39.44140625" style="227" customWidth="1"/>
    <col min="4" max="4" width="15.109375" style="226" bestFit="1" customWidth="1"/>
    <col min="5" max="5" width="2.109375" style="227" customWidth="1"/>
    <col min="6" max="6" width="15.109375" style="225" bestFit="1" customWidth="1"/>
    <col min="7" max="7" width="9.109375" style="225"/>
    <col min="8" max="8" width="15.109375" style="225" customWidth="1"/>
    <col min="9" max="9" width="3.6640625" style="227" customWidth="1"/>
    <col min="10" max="10" width="15.109375" style="227" bestFit="1" customWidth="1"/>
    <col min="11" max="16384" width="9.109375" style="227"/>
  </cols>
  <sheetData>
    <row r="1" spans="1:10" ht="13.8">
      <c r="A1" s="228" t="s">
        <v>886</v>
      </c>
      <c r="H1" s="224" t="s">
        <v>887</v>
      </c>
      <c r="I1" s="223"/>
      <c r="J1" s="222"/>
    </row>
    <row r="2" spans="1:10">
      <c r="A2" s="228" t="s">
        <v>888</v>
      </c>
      <c r="B2" s="221"/>
    </row>
    <row r="3" spans="1:10">
      <c r="A3" s="1285">
        <v>43465</v>
      </c>
      <c r="B3" s="1285"/>
      <c r="C3" s="220"/>
    </row>
    <row r="4" spans="1:10" ht="13.8" thickBot="1">
      <c r="A4" s="219"/>
      <c r="B4" s="218" t="s">
        <v>889</v>
      </c>
      <c r="C4" s="225"/>
    </row>
    <row r="5" spans="1:10" ht="15" customHeight="1" thickBot="1">
      <c r="A5" s="217" t="s">
        <v>786</v>
      </c>
      <c r="B5" s="216">
        <v>0.66190000000000004</v>
      </c>
      <c r="C5" s="225"/>
      <c r="D5" s="215" t="s">
        <v>890</v>
      </c>
      <c r="E5" s="214"/>
      <c r="F5" s="213"/>
      <c r="H5" s="215" t="s">
        <v>891</v>
      </c>
      <c r="I5" s="214"/>
      <c r="J5" s="213"/>
    </row>
    <row r="6" spans="1:10" ht="15" customHeight="1">
      <c r="A6" s="212" t="s">
        <v>788</v>
      </c>
      <c r="B6" s="216">
        <v>0.33810000000000001</v>
      </c>
      <c r="C6" s="225"/>
      <c r="D6" s="211"/>
      <c r="E6" s="210"/>
      <c r="F6" s="209"/>
      <c r="H6" s="211"/>
      <c r="I6" s="210"/>
      <c r="J6" s="209"/>
    </row>
    <row r="7" spans="1:10" ht="15" customHeight="1">
      <c r="A7" s="219"/>
      <c r="B7" s="208"/>
      <c r="C7" s="226"/>
      <c r="D7" s="207" t="s">
        <v>890</v>
      </c>
      <c r="E7" s="206"/>
      <c r="F7" s="205" t="s">
        <v>892</v>
      </c>
      <c r="H7" s="207" t="s">
        <v>891</v>
      </c>
      <c r="I7" s="206"/>
      <c r="J7" s="205" t="s">
        <v>892</v>
      </c>
    </row>
    <row r="8" spans="1:10" ht="15" customHeight="1">
      <c r="A8" s="204">
        <v>1</v>
      </c>
      <c r="B8" s="203" t="s">
        <v>893</v>
      </c>
      <c r="C8" s="202" t="s">
        <v>774</v>
      </c>
      <c r="D8" s="201">
        <v>43465</v>
      </c>
      <c r="E8" s="200"/>
      <c r="F8" s="199" t="s">
        <v>890</v>
      </c>
      <c r="G8" s="198"/>
      <c r="H8" s="201">
        <v>43465</v>
      </c>
      <c r="I8" s="200"/>
      <c r="J8" s="199" t="s">
        <v>891</v>
      </c>
    </row>
    <row r="9" spans="1:10" ht="15" customHeight="1">
      <c r="A9" s="219">
        <v>3</v>
      </c>
      <c r="B9" s="208"/>
      <c r="C9" s="197" t="s">
        <v>894</v>
      </c>
      <c r="D9" s="196"/>
      <c r="E9" s="195"/>
      <c r="F9" s="194"/>
      <c r="H9" s="193"/>
      <c r="I9" s="195"/>
      <c r="J9" s="192"/>
    </row>
    <row r="10" spans="1:10" ht="15" customHeight="1">
      <c r="A10" s="219">
        <f>A9+1</f>
        <v>4</v>
      </c>
      <c r="B10" s="208" t="s">
        <v>895</v>
      </c>
      <c r="C10" s="226" t="s">
        <v>896</v>
      </c>
      <c r="D10" s="191">
        <v>9636247006.5208359</v>
      </c>
      <c r="E10" s="190"/>
      <c r="F10" s="189">
        <f>D10+E10</f>
        <v>9636247006.5208359</v>
      </c>
      <c r="H10" s="188">
        <v>9787572710.5299988</v>
      </c>
      <c r="I10" s="190"/>
      <c r="J10" s="189">
        <f>H10+I10</f>
        <v>9787572710.5299988</v>
      </c>
    </row>
    <row r="11" spans="1:10" ht="15" customHeight="1">
      <c r="A11" s="219">
        <v>5</v>
      </c>
      <c r="B11" s="208" t="s">
        <v>897</v>
      </c>
      <c r="C11" s="226" t="s">
        <v>898</v>
      </c>
      <c r="D11" s="187">
        <v>499739945.66476274</v>
      </c>
      <c r="E11" s="195"/>
      <c r="F11" s="189">
        <f t="shared" ref="F11:F74" si="0">D11+E11</f>
        <v>499739945.66476274</v>
      </c>
      <c r="H11" s="188">
        <v>626241728.42960203</v>
      </c>
      <c r="I11" s="195"/>
      <c r="J11" s="189">
        <f t="shared" ref="J11:J74" si="1">H11+I11</f>
        <v>626241728.42960203</v>
      </c>
    </row>
    <row r="12" spans="1:10" ht="15" customHeight="1">
      <c r="A12" s="219">
        <v>6</v>
      </c>
      <c r="B12" s="208" t="s">
        <v>899</v>
      </c>
      <c r="C12" s="226" t="s">
        <v>900</v>
      </c>
      <c r="D12" s="187">
        <v>282791674.87</v>
      </c>
      <c r="E12" s="195"/>
      <c r="F12" s="189">
        <f t="shared" si="0"/>
        <v>282791674.87</v>
      </c>
      <c r="H12" s="188">
        <v>282791674.87</v>
      </c>
      <c r="I12" s="195"/>
      <c r="J12" s="189">
        <f t="shared" si="1"/>
        <v>282791674.87</v>
      </c>
    </row>
    <row r="13" spans="1:10" ht="15" customHeight="1">
      <c r="A13" s="219" t="s">
        <v>901</v>
      </c>
      <c r="B13" s="186" t="s">
        <v>902</v>
      </c>
      <c r="C13" s="226" t="s">
        <v>903</v>
      </c>
      <c r="D13" s="187">
        <v>918085.52833333344</v>
      </c>
      <c r="E13" s="195"/>
      <c r="F13" s="189">
        <f t="shared" si="0"/>
        <v>918085.52833333344</v>
      </c>
      <c r="H13" s="188">
        <v>0</v>
      </c>
      <c r="I13" s="195"/>
      <c r="J13" s="189">
        <f t="shared" si="1"/>
        <v>0</v>
      </c>
    </row>
    <row r="14" spans="1:10" ht="15" customHeight="1">
      <c r="A14" s="219" t="s">
        <v>904</v>
      </c>
      <c r="B14" s="186" t="s">
        <v>905</v>
      </c>
      <c r="C14" s="226" t="s">
        <v>906</v>
      </c>
      <c r="D14" s="187">
        <v>233790.62916666665</v>
      </c>
      <c r="E14" s="195"/>
      <c r="F14" s="189">
        <f t="shared" si="0"/>
        <v>233790.62916666665</v>
      </c>
      <c r="H14" s="188">
        <v>0</v>
      </c>
      <c r="I14" s="195"/>
      <c r="J14" s="189">
        <f t="shared" si="1"/>
        <v>0</v>
      </c>
    </row>
    <row r="15" spans="1:10" ht="15" customHeight="1">
      <c r="A15" s="219" t="s">
        <v>907</v>
      </c>
      <c r="B15" s="208" t="s">
        <v>908</v>
      </c>
      <c r="C15" s="226" t="s">
        <v>909</v>
      </c>
      <c r="D15" s="187">
        <v>0</v>
      </c>
      <c r="E15" s="195"/>
      <c r="F15" s="189">
        <f t="shared" si="0"/>
        <v>0</v>
      </c>
      <c r="H15" s="188">
        <v>0</v>
      </c>
      <c r="I15" s="195"/>
      <c r="J15" s="189">
        <f t="shared" si="1"/>
        <v>0</v>
      </c>
    </row>
    <row r="16" spans="1:10" ht="15" customHeight="1">
      <c r="A16" s="219" t="s">
        <v>910</v>
      </c>
      <c r="B16" s="208" t="s">
        <v>911</v>
      </c>
      <c r="C16" s="226" t="s">
        <v>912</v>
      </c>
      <c r="D16" s="187">
        <v>16239524.336666664</v>
      </c>
      <c r="E16" s="195"/>
      <c r="F16" s="189">
        <f t="shared" si="0"/>
        <v>16239524.336666664</v>
      </c>
      <c r="H16" s="188">
        <v>12965654.630000001</v>
      </c>
      <c r="I16" s="195"/>
      <c r="J16" s="189">
        <f t="shared" si="1"/>
        <v>12965654.630000001</v>
      </c>
    </row>
    <row r="17" spans="1:10" ht="15" customHeight="1">
      <c r="A17" s="219" t="s">
        <v>913</v>
      </c>
      <c r="B17" s="208" t="s">
        <v>914</v>
      </c>
      <c r="C17" s="226" t="s">
        <v>915</v>
      </c>
      <c r="D17" s="187">
        <v>749999.69</v>
      </c>
      <c r="E17" s="195"/>
      <c r="F17" s="189">
        <f t="shared" si="0"/>
        <v>749999.69</v>
      </c>
      <c r="H17" s="188">
        <v>499999.67</v>
      </c>
      <c r="I17" s="195"/>
      <c r="J17" s="189">
        <f t="shared" si="1"/>
        <v>499999.67</v>
      </c>
    </row>
    <row r="18" spans="1:10" ht="15" customHeight="1">
      <c r="A18" s="219" t="s">
        <v>916</v>
      </c>
      <c r="B18" s="186" t="s">
        <v>917</v>
      </c>
      <c r="C18" s="226" t="s">
        <v>918</v>
      </c>
      <c r="D18" s="187">
        <v>6027225.7599999988</v>
      </c>
      <c r="E18" s="195"/>
      <c r="F18" s="189">
        <f t="shared" si="0"/>
        <v>6027225.7599999988</v>
      </c>
      <c r="H18" s="188">
        <v>3767013.76</v>
      </c>
      <c r="I18" s="195"/>
      <c r="J18" s="189">
        <f t="shared" si="1"/>
        <v>3767013.76</v>
      </c>
    </row>
    <row r="19" spans="1:10" ht="15" customHeight="1">
      <c r="A19" s="219" t="s">
        <v>919</v>
      </c>
      <c r="B19" s="208">
        <v>25300831</v>
      </c>
      <c r="C19" s="226" t="s">
        <v>920</v>
      </c>
      <c r="D19" s="187">
        <v>0</v>
      </c>
      <c r="E19" s="195"/>
      <c r="F19" s="189">
        <f t="shared" si="0"/>
        <v>0</v>
      </c>
      <c r="H19" s="188">
        <v>0</v>
      </c>
      <c r="I19" s="195"/>
      <c r="J19" s="189">
        <f t="shared" si="1"/>
        <v>0</v>
      </c>
    </row>
    <row r="20" spans="1:10" ht="15" customHeight="1">
      <c r="A20" s="219" t="s">
        <v>921</v>
      </c>
      <c r="B20" s="208" t="s">
        <v>922</v>
      </c>
      <c r="C20" s="226" t="s">
        <v>923</v>
      </c>
      <c r="D20" s="187">
        <v>0</v>
      </c>
      <c r="E20" s="195"/>
      <c r="F20" s="189">
        <f t="shared" si="0"/>
        <v>0</v>
      </c>
      <c r="H20" s="188">
        <v>0</v>
      </c>
      <c r="I20" s="195"/>
      <c r="J20" s="189">
        <f t="shared" si="1"/>
        <v>0</v>
      </c>
    </row>
    <row r="21" spans="1:10" ht="15" customHeight="1">
      <c r="A21" s="219" t="s">
        <v>924</v>
      </c>
      <c r="B21" s="208">
        <v>18235521</v>
      </c>
      <c r="C21" s="226" t="s">
        <v>925</v>
      </c>
      <c r="D21" s="187">
        <v>19307860.879999999</v>
      </c>
      <c r="E21" s="195"/>
      <c r="F21" s="189">
        <f t="shared" si="0"/>
        <v>19307860.879999999</v>
      </c>
      <c r="H21" s="188">
        <v>17865334.879999999</v>
      </c>
      <c r="I21" s="195"/>
      <c r="J21" s="189">
        <f t="shared" si="1"/>
        <v>17865334.879999999</v>
      </c>
    </row>
    <row r="22" spans="1:10" ht="15" customHeight="1">
      <c r="A22" s="219" t="s">
        <v>926</v>
      </c>
      <c r="B22" s="208" t="s">
        <v>927</v>
      </c>
      <c r="C22" s="226" t="s">
        <v>928</v>
      </c>
      <c r="D22" s="187">
        <v>441052.45833333331</v>
      </c>
      <c r="E22" s="195"/>
      <c r="F22" s="189">
        <f t="shared" si="0"/>
        <v>441052.45833333331</v>
      </c>
      <c r="H22" s="188">
        <v>307930</v>
      </c>
      <c r="I22" s="195"/>
      <c r="J22" s="189">
        <f t="shared" si="1"/>
        <v>307930</v>
      </c>
    </row>
    <row r="23" spans="1:10" ht="15" customHeight="1">
      <c r="A23" s="219" t="s">
        <v>929</v>
      </c>
      <c r="B23" s="208" t="s">
        <v>930</v>
      </c>
      <c r="C23" s="226" t="s">
        <v>931</v>
      </c>
      <c r="D23" s="187">
        <v>0</v>
      </c>
      <c r="E23" s="195"/>
      <c r="F23" s="189">
        <f t="shared" si="0"/>
        <v>0</v>
      </c>
      <c r="H23" s="188">
        <v>0</v>
      </c>
      <c r="I23" s="195"/>
      <c r="J23" s="189">
        <f t="shared" si="1"/>
        <v>0</v>
      </c>
    </row>
    <row r="24" spans="1:10" ht="15" customHeight="1">
      <c r="A24" s="219" t="s">
        <v>932</v>
      </c>
      <c r="B24" s="208">
        <v>18231041</v>
      </c>
      <c r="C24" s="226" t="s">
        <v>933</v>
      </c>
      <c r="D24" s="187">
        <v>0</v>
      </c>
      <c r="E24" s="195"/>
      <c r="F24" s="189">
        <f t="shared" si="0"/>
        <v>0</v>
      </c>
      <c r="H24" s="188">
        <v>0</v>
      </c>
      <c r="I24" s="195"/>
      <c r="J24" s="189">
        <f t="shared" si="1"/>
        <v>0</v>
      </c>
    </row>
    <row r="25" spans="1:10" ht="15" customHeight="1">
      <c r="A25" s="219" t="s">
        <v>934</v>
      </c>
      <c r="B25" s="208">
        <v>18230351</v>
      </c>
      <c r="C25" s="226" t="s">
        <v>935</v>
      </c>
      <c r="D25" s="187">
        <v>113007541.95</v>
      </c>
      <c r="E25" s="195"/>
      <c r="F25" s="189">
        <f t="shared" si="0"/>
        <v>113007541.95</v>
      </c>
      <c r="H25" s="188">
        <v>109463509.17</v>
      </c>
      <c r="I25" s="195"/>
      <c r="J25" s="189">
        <f t="shared" si="1"/>
        <v>109463509.17</v>
      </c>
    </row>
    <row r="26" spans="1:10" ht="15" customHeight="1">
      <c r="A26" s="219" t="s">
        <v>936</v>
      </c>
      <c r="B26" s="208">
        <v>18220091</v>
      </c>
      <c r="C26" s="226" t="s">
        <v>937</v>
      </c>
      <c r="D26" s="187">
        <v>0</v>
      </c>
      <c r="E26" s="195"/>
      <c r="F26" s="189">
        <f t="shared" si="0"/>
        <v>0</v>
      </c>
      <c r="H26" s="188">
        <v>0</v>
      </c>
      <c r="I26" s="195"/>
      <c r="J26" s="189">
        <f t="shared" si="1"/>
        <v>0</v>
      </c>
    </row>
    <row r="27" spans="1:10" ht="15" customHeight="1">
      <c r="A27" s="219" t="s">
        <v>938</v>
      </c>
      <c r="B27" s="208" t="s">
        <v>939</v>
      </c>
      <c r="C27" s="226" t="s">
        <v>940</v>
      </c>
      <c r="D27" s="187">
        <v>74214426.370000005</v>
      </c>
      <c r="E27" s="195"/>
      <c r="F27" s="189">
        <f t="shared" si="0"/>
        <v>74214426.370000005</v>
      </c>
      <c r="H27" s="188">
        <v>72093361.370000005</v>
      </c>
      <c r="I27" s="195"/>
      <c r="J27" s="189">
        <f t="shared" si="1"/>
        <v>72093361.370000005</v>
      </c>
    </row>
    <row r="28" spans="1:10" ht="15" customHeight="1">
      <c r="A28" s="219" t="s">
        <v>941</v>
      </c>
      <c r="B28" s="185">
        <v>18220101</v>
      </c>
      <c r="C28" s="197" t="s">
        <v>942</v>
      </c>
      <c r="D28" s="187">
        <v>1874784.6933333334</v>
      </c>
      <c r="E28" s="195"/>
      <c r="F28" s="189">
        <f t="shared" si="0"/>
        <v>1874784.6933333334</v>
      </c>
      <c r="H28" s="188">
        <v>0</v>
      </c>
      <c r="I28" s="195"/>
      <c r="J28" s="189">
        <f t="shared" si="1"/>
        <v>0</v>
      </c>
    </row>
    <row r="29" spans="1:10" ht="15" customHeight="1">
      <c r="A29" s="219">
        <v>7</v>
      </c>
      <c r="B29" s="208">
        <v>18230041</v>
      </c>
      <c r="C29" s="226" t="s">
        <v>943</v>
      </c>
      <c r="D29" s="187">
        <v>21589277</v>
      </c>
      <c r="E29" s="195"/>
      <c r="F29" s="189">
        <f t="shared" si="0"/>
        <v>21589277</v>
      </c>
      <c r="H29" s="188">
        <v>21589277</v>
      </c>
      <c r="I29" s="195"/>
      <c r="J29" s="189">
        <f t="shared" si="1"/>
        <v>21589277</v>
      </c>
    </row>
    <row r="30" spans="1:10" ht="15" customHeight="1">
      <c r="A30" s="219">
        <v>8</v>
      </c>
      <c r="B30" s="208">
        <v>18230051</v>
      </c>
      <c r="C30" s="226" t="s">
        <v>944</v>
      </c>
      <c r="D30" s="187">
        <v>-18159227.73</v>
      </c>
      <c r="E30" s="195"/>
      <c r="F30" s="189">
        <f t="shared" si="0"/>
        <v>-18159227.73</v>
      </c>
      <c r="H30" s="188">
        <v>-18447467.07</v>
      </c>
      <c r="I30" s="195"/>
      <c r="J30" s="189">
        <f t="shared" si="1"/>
        <v>-18447467.07</v>
      </c>
    </row>
    <row r="31" spans="1:10" ht="15" customHeight="1">
      <c r="A31" s="219">
        <v>9</v>
      </c>
      <c r="B31" s="208">
        <v>18230061</v>
      </c>
      <c r="C31" s="226" t="s">
        <v>945</v>
      </c>
      <c r="D31" s="187">
        <v>830635</v>
      </c>
      <c r="E31" s="195"/>
      <c r="F31" s="189">
        <f t="shared" si="0"/>
        <v>830635</v>
      </c>
      <c r="H31" s="188">
        <v>761233</v>
      </c>
      <c r="I31" s="195"/>
      <c r="J31" s="189">
        <f t="shared" si="1"/>
        <v>761233</v>
      </c>
    </row>
    <row r="32" spans="1:10" ht="15" customHeight="1">
      <c r="A32" s="219">
        <f>A31+1</f>
        <v>10</v>
      </c>
      <c r="B32" s="208">
        <v>18230071</v>
      </c>
      <c r="C32" s="226" t="s">
        <v>946</v>
      </c>
      <c r="D32" s="187">
        <v>4734705.041666667</v>
      </c>
      <c r="E32" s="195"/>
      <c r="F32" s="189">
        <f t="shared" si="0"/>
        <v>4734705.041666667</v>
      </c>
      <c r="H32" s="188">
        <v>0</v>
      </c>
      <c r="I32" s="195"/>
      <c r="J32" s="189">
        <f t="shared" si="1"/>
        <v>0</v>
      </c>
    </row>
    <row r="33" spans="1:10" ht="15" customHeight="1">
      <c r="A33" s="184">
        <f>A32+1</f>
        <v>11</v>
      </c>
      <c r="B33" s="208">
        <v>18230081</v>
      </c>
      <c r="C33" s="226" t="s">
        <v>947</v>
      </c>
      <c r="D33" s="187">
        <v>-4734705.041666667</v>
      </c>
      <c r="E33" s="195"/>
      <c r="F33" s="189">
        <f t="shared" si="0"/>
        <v>-4734705.041666667</v>
      </c>
      <c r="H33" s="188">
        <v>0</v>
      </c>
      <c r="I33" s="195"/>
      <c r="J33" s="189">
        <f t="shared" si="1"/>
        <v>0</v>
      </c>
    </row>
    <row r="34" spans="1:10" s="181" customFormat="1" ht="15" customHeight="1">
      <c r="A34" s="183">
        <f>A33+1</f>
        <v>12</v>
      </c>
      <c r="B34" s="182">
        <v>18230031</v>
      </c>
      <c r="C34" s="181" t="s">
        <v>948</v>
      </c>
      <c r="D34" s="187">
        <v>49226289.466249995</v>
      </c>
      <c r="E34" s="180"/>
      <c r="F34" s="189">
        <f t="shared" si="0"/>
        <v>49226289.466249995</v>
      </c>
      <c r="G34" s="225"/>
      <c r="H34" s="188">
        <v>52028793.020000003</v>
      </c>
      <c r="I34" s="180"/>
      <c r="J34" s="189">
        <f t="shared" si="1"/>
        <v>52028793.020000003</v>
      </c>
    </row>
    <row r="35" spans="1:10" ht="15" customHeight="1">
      <c r="A35" s="184">
        <f>A34+1</f>
        <v>13</v>
      </c>
      <c r="B35" s="208">
        <v>1861051</v>
      </c>
      <c r="C35" s="226" t="s">
        <v>949</v>
      </c>
      <c r="D35" s="187">
        <v>0</v>
      </c>
      <c r="E35" s="195"/>
      <c r="F35" s="189">
        <f t="shared" si="0"/>
        <v>0</v>
      </c>
      <c r="H35" s="188">
        <v>0</v>
      </c>
      <c r="I35" s="195"/>
      <c r="J35" s="189">
        <f t="shared" si="1"/>
        <v>0</v>
      </c>
    </row>
    <row r="36" spans="1:10" ht="15" customHeight="1">
      <c r="A36" s="184">
        <f>A35+1</f>
        <v>14</v>
      </c>
      <c r="B36" s="208">
        <v>10500001</v>
      </c>
      <c r="C36" s="226" t="s">
        <v>950</v>
      </c>
      <c r="D36" s="187">
        <v>48959502.124583334</v>
      </c>
      <c r="E36" s="195"/>
      <c r="F36" s="189">
        <f t="shared" si="0"/>
        <v>48959502.124583334</v>
      </c>
      <c r="H36" s="188">
        <v>38572647</v>
      </c>
      <c r="I36" s="195"/>
      <c r="J36" s="189">
        <f t="shared" si="1"/>
        <v>38572647</v>
      </c>
    </row>
    <row r="37" spans="1:10" ht="15" customHeight="1">
      <c r="A37" s="184">
        <v>15</v>
      </c>
      <c r="B37" s="208">
        <v>10500503</v>
      </c>
      <c r="C37" s="226" t="s">
        <v>951</v>
      </c>
      <c r="D37" s="187">
        <v>9723.6027875833352</v>
      </c>
      <c r="E37" s="195"/>
      <c r="F37" s="189">
        <f t="shared" si="0"/>
        <v>9723.6027875833352</v>
      </c>
      <c r="H37" s="188">
        <v>233065.75249400001</v>
      </c>
      <c r="I37" s="195"/>
      <c r="J37" s="189">
        <f t="shared" si="1"/>
        <v>233065.75249400001</v>
      </c>
    </row>
    <row r="38" spans="1:10" ht="15" customHeight="1">
      <c r="A38" s="184">
        <v>16</v>
      </c>
      <c r="B38" s="208">
        <v>10600501</v>
      </c>
      <c r="C38" s="226" t="s">
        <v>952</v>
      </c>
      <c r="D38" s="187">
        <v>92634101.347916663</v>
      </c>
      <c r="E38" s="195"/>
      <c r="F38" s="189">
        <f t="shared" si="0"/>
        <v>92634101.347916663</v>
      </c>
      <c r="H38" s="188">
        <v>148449856.16</v>
      </c>
      <c r="I38" s="195"/>
      <c r="J38" s="189">
        <f t="shared" si="1"/>
        <v>148449856.16</v>
      </c>
    </row>
    <row r="39" spans="1:10" ht="15" customHeight="1">
      <c r="A39" s="184" t="s">
        <v>953</v>
      </c>
      <c r="B39" s="208">
        <v>10600503</v>
      </c>
      <c r="C39" s="226" t="s">
        <v>954</v>
      </c>
      <c r="D39" s="187">
        <v>12084996.263967251</v>
      </c>
      <c r="E39" s="195"/>
      <c r="F39" s="189">
        <f t="shared" si="0"/>
        <v>12084996.263967251</v>
      </c>
      <c r="H39" s="188">
        <v>14684144.411199002</v>
      </c>
      <c r="I39" s="195"/>
      <c r="J39" s="189">
        <f t="shared" si="1"/>
        <v>14684144.411199002</v>
      </c>
    </row>
    <row r="40" spans="1:10" ht="15" customHeight="1">
      <c r="A40" s="184">
        <v>17</v>
      </c>
      <c r="B40" s="208" t="s">
        <v>955</v>
      </c>
      <c r="C40" s="226" t="s">
        <v>956</v>
      </c>
      <c r="D40" s="187">
        <v>-3797490230.6008329</v>
      </c>
      <c r="E40" s="190"/>
      <c r="F40" s="189">
        <f t="shared" si="0"/>
        <v>-3797490230.6008329</v>
      </c>
      <c r="H40" s="188">
        <v>-3914976490.5300002</v>
      </c>
      <c r="I40" s="190"/>
      <c r="J40" s="189">
        <f t="shared" si="1"/>
        <v>-3914976490.5300002</v>
      </c>
    </row>
    <row r="41" spans="1:10" ht="15" customHeight="1">
      <c r="A41" s="184">
        <v>18</v>
      </c>
      <c r="B41" s="208" t="s">
        <v>957</v>
      </c>
      <c r="C41" s="226" t="s">
        <v>958</v>
      </c>
      <c r="D41" s="187">
        <v>-72781464.568651631</v>
      </c>
      <c r="E41" s="195"/>
      <c r="F41" s="189">
        <f t="shared" si="0"/>
        <v>-72781464.568651631</v>
      </c>
      <c r="H41" s="188">
        <v>-78620553.683770016</v>
      </c>
      <c r="I41" s="195"/>
      <c r="J41" s="189">
        <f t="shared" si="1"/>
        <v>-78620553.683770016</v>
      </c>
    </row>
    <row r="42" spans="1:10" ht="15" customHeight="1">
      <c r="A42" s="184">
        <v>19</v>
      </c>
      <c r="B42" s="208" t="s">
        <v>959</v>
      </c>
      <c r="C42" s="226" t="s">
        <v>960</v>
      </c>
      <c r="D42" s="187">
        <v>-58428327.198750012</v>
      </c>
      <c r="E42" s="195"/>
      <c r="F42" s="189">
        <f t="shared" si="0"/>
        <v>-58428327.198750012</v>
      </c>
      <c r="H42" s="188">
        <v>-65454567.109999999</v>
      </c>
      <c r="I42" s="195"/>
      <c r="J42" s="189">
        <f t="shared" si="1"/>
        <v>-65454567.109999999</v>
      </c>
    </row>
    <row r="43" spans="1:10" ht="15" customHeight="1">
      <c r="A43" s="184">
        <v>20</v>
      </c>
      <c r="B43" s="179">
        <v>11100003</v>
      </c>
      <c r="C43" s="226" t="s">
        <v>961</v>
      </c>
      <c r="D43" s="187">
        <v>-93703295.158605501</v>
      </c>
      <c r="E43" s="195"/>
      <c r="F43" s="189">
        <f t="shared" si="0"/>
        <v>-93703295.158605501</v>
      </c>
      <c r="H43" s="188">
        <v>-109567005.69868</v>
      </c>
      <c r="I43" s="195"/>
      <c r="J43" s="189">
        <f t="shared" si="1"/>
        <v>-109567005.69868</v>
      </c>
    </row>
    <row r="44" spans="1:10" ht="15" customHeight="1">
      <c r="A44" s="184">
        <v>21</v>
      </c>
      <c r="B44" s="208" t="s">
        <v>962</v>
      </c>
      <c r="C44" s="226" t="s">
        <v>963</v>
      </c>
      <c r="D44" s="187">
        <v>-133865821.83999997</v>
      </c>
      <c r="E44" s="195"/>
      <c r="F44" s="189">
        <f t="shared" si="0"/>
        <v>-133865821.83999997</v>
      </c>
      <c r="H44" s="188">
        <v>-138085918.42000002</v>
      </c>
      <c r="I44" s="195"/>
      <c r="J44" s="189">
        <f t="shared" si="1"/>
        <v>-138085918.42000002</v>
      </c>
    </row>
    <row r="45" spans="1:10" ht="15" customHeight="1">
      <c r="A45" s="184">
        <f>A44+1</f>
        <v>22</v>
      </c>
      <c r="B45" s="208" t="s">
        <v>964</v>
      </c>
      <c r="C45" s="226" t="s">
        <v>965</v>
      </c>
      <c r="D45" s="187">
        <v>-337077.68958333338</v>
      </c>
      <c r="E45" s="195"/>
      <c r="F45" s="189">
        <f t="shared" si="0"/>
        <v>-337077.68958333338</v>
      </c>
      <c r="H45" s="188">
        <v>249463.9</v>
      </c>
      <c r="I45" s="195"/>
      <c r="J45" s="189">
        <f t="shared" si="1"/>
        <v>249463.9</v>
      </c>
    </row>
    <row r="46" spans="1:10" ht="15" customHeight="1">
      <c r="A46" s="219" t="s">
        <v>966</v>
      </c>
      <c r="B46" s="208" t="s">
        <v>967</v>
      </c>
      <c r="C46" s="226" t="s">
        <v>968</v>
      </c>
      <c r="D46" s="187">
        <v>-88656118.634166658</v>
      </c>
      <c r="E46" s="195"/>
      <c r="F46" s="189">
        <f t="shared" si="0"/>
        <v>-88656118.634166658</v>
      </c>
      <c r="H46" s="188">
        <v>-81963000.090000004</v>
      </c>
      <c r="I46" s="195"/>
      <c r="J46" s="189">
        <f t="shared" si="1"/>
        <v>-81963000.090000004</v>
      </c>
    </row>
    <row r="47" spans="1:10" ht="15" customHeight="1">
      <c r="A47" s="184">
        <f>A45+1</f>
        <v>23</v>
      </c>
      <c r="B47" s="208">
        <v>19000041</v>
      </c>
      <c r="C47" s="226" t="s">
        <v>969</v>
      </c>
      <c r="D47" s="187">
        <v>0</v>
      </c>
      <c r="E47" s="195"/>
      <c r="F47" s="189">
        <f t="shared" si="0"/>
        <v>0</v>
      </c>
      <c r="H47" s="188">
        <v>0</v>
      </c>
      <c r="I47" s="195"/>
      <c r="J47" s="189">
        <f t="shared" si="1"/>
        <v>0</v>
      </c>
    </row>
    <row r="48" spans="1:10" ht="15" customHeight="1">
      <c r="A48" s="184">
        <f>A47+1</f>
        <v>24</v>
      </c>
      <c r="B48" s="208">
        <v>19000051</v>
      </c>
      <c r="C48" s="226" t="s">
        <v>970</v>
      </c>
      <c r="D48" s="187">
        <v>0</v>
      </c>
      <c r="E48" s="195"/>
      <c r="F48" s="189">
        <f t="shared" si="0"/>
        <v>0</v>
      </c>
      <c r="H48" s="188">
        <v>0</v>
      </c>
      <c r="I48" s="195"/>
      <c r="J48" s="189">
        <f t="shared" si="1"/>
        <v>0</v>
      </c>
    </row>
    <row r="49" spans="1:10" ht="15" customHeight="1">
      <c r="A49" s="184">
        <f>A48+1</f>
        <v>25</v>
      </c>
      <c r="B49" s="208">
        <v>19000061</v>
      </c>
      <c r="C49" s="226" t="s">
        <v>971</v>
      </c>
      <c r="D49" s="187">
        <v>0</v>
      </c>
      <c r="E49" s="195"/>
      <c r="F49" s="189">
        <f t="shared" si="0"/>
        <v>0</v>
      </c>
      <c r="H49" s="188">
        <v>0</v>
      </c>
      <c r="I49" s="195"/>
      <c r="J49" s="189">
        <f t="shared" si="1"/>
        <v>0</v>
      </c>
    </row>
    <row r="50" spans="1:10" ht="15" customHeight="1">
      <c r="A50" s="184">
        <f>A49+1</f>
        <v>26</v>
      </c>
      <c r="B50" s="208">
        <v>19000093</v>
      </c>
      <c r="C50" s="226" t="s">
        <v>972</v>
      </c>
      <c r="D50" s="187">
        <v>0</v>
      </c>
      <c r="E50" s="195"/>
      <c r="F50" s="189">
        <f t="shared" si="0"/>
        <v>0</v>
      </c>
      <c r="H50" s="188">
        <v>0</v>
      </c>
      <c r="I50" s="195"/>
      <c r="J50" s="189">
        <f t="shared" si="1"/>
        <v>0</v>
      </c>
    </row>
    <row r="51" spans="1:10" ht="15" customHeight="1">
      <c r="A51" s="184" t="s">
        <v>973</v>
      </c>
      <c r="B51" s="208">
        <v>19000121</v>
      </c>
      <c r="C51" s="226" t="s">
        <v>974</v>
      </c>
      <c r="D51" s="187">
        <v>0</v>
      </c>
      <c r="E51" s="195"/>
      <c r="F51" s="189">
        <f t="shared" si="0"/>
        <v>0</v>
      </c>
      <c r="H51" s="188">
        <v>0</v>
      </c>
      <c r="I51" s="195"/>
      <c r="J51" s="189">
        <f t="shared" si="1"/>
        <v>0</v>
      </c>
    </row>
    <row r="52" spans="1:10" ht="15" customHeight="1">
      <c r="A52" s="184" t="s">
        <v>975</v>
      </c>
      <c r="B52" s="208">
        <v>19000151</v>
      </c>
      <c r="C52" s="226" t="s">
        <v>976</v>
      </c>
      <c r="D52" s="187">
        <v>74348.820000000007</v>
      </c>
      <c r="E52" s="195"/>
      <c r="F52" s="189">
        <f t="shared" si="0"/>
        <v>74348.820000000007</v>
      </c>
      <c r="H52" s="188">
        <v>45753.08</v>
      </c>
      <c r="I52" s="195"/>
      <c r="J52" s="189">
        <f t="shared" si="1"/>
        <v>45753.08</v>
      </c>
    </row>
    <row r="53" spans="1:10" ht="15" customHeight="1">
      <c r="A53" s="184" t="s">
        <v>977</v>
      </c>
      <c r="B53" s="208">
        <v>19000711</v>
      </c>
      <c r="C53" s="226" t="s">
        <v>978</v>
      </c>
      <c r="D53" s="187">
        <v>101925.00041666668</v>
      </c>
      <c r="E53" s="195"/>
      <c r="F53" s="189">
        <f t="shared" si="0"/>
        <v>101925.00041666668</v>
      </c>
      <c r="H53" s="188">
        <v>62723.02</v>
      </c>
      <c r="I53" s="195"/>
      <c r="J53" s="189">
        <f t="shared" si="1"/>
        <v>62723.02</v>
      </c>
    </row>
    <row r="54" spans="1:10" ht="15" customHeight="1">
      <c r="A54" s="184">
        <f>A50+1</f>
        <v>27</v>
      </c>
      <c r="B54" s="208">
        <v>19000191</v>
      </c>
      <c r="C54" s="226" t="s">
        <v>979</v>
      </c>
      <c r="D54" s="187">
        <v>0</v>
      </c>
      <c r="E54" s="195"/>
      <c r="F54" s="189">
        <f t="shared" si="0"/>
        <v>0</v>
      </c>
      <c r="H54" s="188">
        <v>0</v>
      </c>
      <c r="I54" s="195"/>
      <c r="J54" s="189">
        <f t="shared" si="1"/>
        <v>0</v>
      </c>
    </row>
    <row r="55" spans="1:10" ht="15" customHeight="1">
      <c r="A55" s="184">
        <v>27.1</v>
      </c>
      <c r="B55" s="208">
        <v>19000701</v>
      </c>
      <c r="C55" s="226" t="s">
        <v>980</v>
      </c>
      <c r="D55" s="187">
        <v>0</v>
      </c>
      <c r="E55" s="195"/>
      <c r="F55" s="189">
        <f t="shared" si="0"/>
        <v>0</v>
      </c>
      <c r="H55" s="188">
        <v>0</v>
      </c>
      <c r="I55" s="195"/>
      <c r="J55" s="189">
        <f t="shared" si="1"/>
        <v>0</v>
      </c>
    </row>
    <row r="56" spans="1:10" ht="15" customHeight="1">
      <c r="A56" s="184">
        <f>A54+1</f>
        <v>28</v>
      </c>
      <c r="B56" s="208" t="s">
        <v>981</v>
      </c>
      <c r="C56" s="227" t="s">
        <v>982</v>
      </c>
      <c r="D56" s="187">
        <v>-4716690.2983333329</v>
      </c>
      <c r="E56" s="195"/>
      <c r="F56" s="189">
        <f t="shared" si="0"/>
        <v>-4716690.2983333329</v>
      </c>
      <c r="H56" s="188">
        <v>-2995643.46</v>
      </c>
      <c r="I56" s="195"/>
      <c r="J56" s="189">
        <f t="shared" si="1"/>
        <v>-2995643.46</v>
      </c>
    </row>
    <row r="57" spans="1:10" ht="15" customHeight="1">
      <c r="A57" s="184" t="s">
        <v>983</v>
      </c>
      <c r="B57" s="208">
        <v>23500003</v>
      </c>
      <c r="C57" s="227" t="s">
        <v>984</v>
      </c>
      <c r="D57" s="187">
        <v>-25971538.993999917</v>
      </c>
      <c r="E57" s="195"/>
      <c r="F57" s="189">
        <f t="shared" si="0"/>
        <v>-25971538.993999917</v>
      </c>
      <c r="H57" s="188">
        <v>-25836611.384475</v>
      </c>
      <c r="I57" s="195"/>
      <c r="J57" s="189">
        <f t="shared" si="1"/>
        <v>-25836611.384475</v>
      </c>
    </row>
    <row r="58" spans="1:10" ht="15" customHeight="1">
      <c r="A58" s="184">
        <f>A56+1</f>
        <v>29</v>
      </c>
      <c r="B58" s="208">
        <v>25400081</v>
      </c>
      <c r="C58" s="227" t="s">
        <v>985</v>
      </c>
      <c r="D58" s="187">
        <v>0</v>
      </c>
      <c r="E58" s="195"/>
      <c r="F58" s="189">
        <f t="shared" si="0"/>
        <v>0</v>
      </c>
      <c r="H58" s="188">
        <v>0</v>
      </c>
      <c r="I58" s="195"/>
      <c r="J58" s="189">
        <f t="shared" si="1"/>
        <v>0</v>
      </c>
    </row>
    <row r="59" spans="1:10" ht="15" customHeight="1">
      <c r="A59" s="219">
        <v>29.1</v>
      </c>
      <c r="B59" s="208" t="s">
        <v>986</v>
      </c>
      <c r="C59" s="226" t="s">
        <v>987</v>
      </c>
      <c r="D59" s="187">
        <v>-322846.31416666665</v>
      </c>
      <c r="E59" s="195"/>
      <c r="F59" s="189">
        <f t="shared" si="0"/>
        <v>-322846.31416666665</v>
      </c>
      <c r="H59" s="188">
        <v>0</v>
      </c>
      <c r="I59" s="195"/>
      <c r="J59" s="189">
        <f t="shared" si="1"/>
        <v>0</v>
      </c>
    </row>
    <row r="60" spans="1:10" ht="15" customHeight="1">
      <c r="A60" s="184">
        <f>A58+1</f>
        <v>30</v>
      </c>
      <c r="B60" s="208" t="s">
        <v>988</v>
      </c>
      <c r="C60" s="227" t="s">
        <v>989</v>
      </c>
      <c r="D60" s="187">
        <v>-75535034.237916663</v>
      </c>
      <c r="E60" s="195"/>
      <c r="F60" s="189">
        <f t="shared" si="0"/>
        <v>-75535034.237916663</v>
      </c>
      <c r="H60" s="188">
        <v>-79258524.650000006</v>
      </c>
      <c r="I60" s="195"/>
      <c r="J60" s="189">
        <f t="shared" si="1"/>
        <v>-79258524.650000006</v>
      </c>
    </row>
    <row r="61" spans="1:10" ht="15" customHeight="1">
      <c r="A61" s="184">
        <f>A60+1</f>
        <v>31</v>
      </c>
      <c r="B61" s="208">
        <v>28200101</v>
      </c>
      <c r="C61" s="227" t="s">
        <v>990</v>
      </c>
      <c r="D61" s="187">
        <v>0</v>
      </c>
      <c r="E61" s="195"/>
      <c r="F61" s="189">
        <f t="shared" si="0"/>
        <v>0</v>
      </c>
      <c r="H61" s="188">
        <v>0</v>
      </c>
      <c r="I61" s="195"/>
      <c r="J61" s="189">
        <f t="shared" si="1"/>
        <v>0</v>
      </c>
    </row>
    <row r="62" spans="1:10" ht="15" customHeight="1">
      <c r="A62" s="184">
        <f>A61+1</f>
        <v>32</v>
      </c>
      <c r="B62" s="208">
        <v>28200111</v>
      </c>
      <c r="C62" s="227" t="s">
        <v>991</v>
      </c>
      <c r="D62" s="187">
        <v>0</v>
      </c>
      <c r="E62" s="195"/>
      <c r="F62" s="189">
        <f t="shared" si="0"/>
        <v>0</v>
      </c>
      <c r="H62" s="188">
        <v>0</v>
      </c>
      <c r="I62" s="195"/>
      <c r="J62" s="189">
        <f t="shared" si="1"/>
        <v>0</v>
      </c>
    </row>
    <row r="63" spans="1:10" ht="15" customHeight="1">
      <c r="A63" s="184">
        <f>A62+1</f>
        <v>33</v>
      </c>
      <c r="B63" s="208" t="s">
        <v>992</v>
      </c>
      <c r="C63" s="227" t="s">
        <v>993</v>
      </c>
      <c r="D63" s="187">
        <v>-1372743188.4345834</v>
      </c>
      <c r="E63" s="190"/>
      <c r="F63" s="189">
        <f t="shared" si="0"/>
        <v>-1372743188.4345834</v>
      </c>
      <c r="H63" s="188">
        <v>-1353667766.8900001</v>
      </c>
      <c r="I63" s="190"/>
      <c r="J63" s="189">
        <f t="shared" si="1"/>
        <v>-1353667766.8900001</v>
      </c>
    </row>
    <row r="64" spans="1:10" ht="15" customHeight="1">
      <c r="A64" s="184">
        <f>A63+1</f>
        <v>34</v>
      </c>
      <c r="B64" s="208">
        <v>28200101</v>
      </c>
      <c r="C64" s="227" t="s">
        <v>994</v>
      </c>
      <c r="D64" s="187">
        <v>-1594943.55</v>
      </c>
      <c r="E64" s="195"/>
      <c r="F64" s="189">
        <f t="shared" si="0"/>
        <v>-1594943.55</v>
      </c>
      <c r="H64" s="188">
        <v>-3000498.42</v>
      </c>
      <c r="I64" s="195"/>
      <c r="J64" s="189">
        <f t="shared" si="1"/>
        <v>-3000498.42</v>
      </c>
    </row>
    <row r="65" spans="1:10" ht="15" customHeight="1">
      <c r="A65" s="184">
        <f>A64+1</f>
        <v>35</v>
      </c>
      <c r="B65" s="178">
        <v>28200141</v>
      </c>
      <c r="C65" s="227" t="s">
        <v>995</v>
      </c>
      <c r="D65" s="187">
        <v>0</v>
      </c>
      <c r="E65" s="195"/>
      <c r="F65" s="189">
        <f t="shared" si="0"/>
        <v>0</v>
      </c>
      <c r="H65" s="188">
        <v>0</v>
      </c>
      <c r="I65" s="195"/>
      <c r="J65" s="189">
        <f t="shared" si="1"/>
        <v>0</v>
      </c>
    </row>
    <row r="66" spans="1:10" ht="15" customHeight="1">
      <c r="A66" s="184" t="s">
        <v>996</v>
      </c>
      <c r="B66" s="178" t="s">
        <v>997</v>
      </c>
      <c r="C66" s="226" t="s">
        <v>998</v>
      </c>
      <c r="D66" s="187">
        <v>0</v>
      </c>
      <c r="E66" s="195"/>
      <c r="F66" s="189">
        <f t="shared" si="0"/>
        <v>0</v>
      </c>
      <c r="H66" s="188">
        <v>0</v>
      </c>
      <c r="I66" s="195"/>
      <c r="J66" s="189">
        <f t="shared" si="1"/>
        <v>0</v>
      </c>
    </row>
    <row r="67" spans="1:10" ht="15" customHeight="1">
      <c r="A67" s="184" t="s">
        <v>999</v>
      </c>
      <c r="B67" s="178" t="s">
        <v>1000</v>
      </c>
      <c r="C67" s="227" t="s">
        <v>1001</v>
      </c>
      <c r="D67" s="187">
        <v>-44327343.172241993</v>
      </c>
      <c r="E67" s="195"/>
      <c r="F67" s="189">
        <f t="shared" si="0"/>
        <v>-44327343.172241993</v>
      </c>
      <c r="H67" s="188">
        <v>-43435993.068355002</v>
      </c>
      <c r="I67" s="195"/>
      <c r="J67" s="189">
        <f t="shared" si="1"/>
        <v>-43435993.068355002</v>
      </c>
    </row>
    <row r="68" spans="1:10" ht="15" customHeight="1">
      <c r="A68" s="219" t="s">
        <v>1002</v>
      </c>
      <c r="B68" s="178" t="s">
        <v>1003</v>
      </c>
      <c r="C68" s="226" t="s">
        <v>1004</v>
      </c>
      <c r="D68" s="187">
        <v>0</v>
      </c>
      <c r="E68" s="195"/>
      <c r="F68" s="189">
        <f t="shared" si="0"/>
        <v>0</v>
      </c>
      <c r="H68" s="188">
        <v>0</v>
      </c>
      <c r="I68" s="195"/>
      <c r="J68" s="189">
        <f t="shared" si="1"/>
        <v>0</v>
      </c>
    </row>
    <row r="69" spans="1:10" ht="15" customHeight="1">
      <c r="A69" s="184">
        <f>A65+1</f>
        <v>36</v>
      </c>
      <c r="B69" s="208">
        <v>28300161</v>
      </c>
      <c r="C69" s="227" t="s">
        <v>1005</v>
      </c>
      <c r="D69" s="187">
        <v>0</v>
      </c>
      <c r="E69" s="195"/>
      <c r="F69" s="189">
        <f t="shared" si="0"/>
        <v>0</v>
      </c>
      <c r="H69" s="188">
        <v>0</v>
      </c>
      <c r="I69" s="195"/>
      <c r="J69" s="189">
        <f t="shared" si="1"/>
        <v>0</v>
      </c>
    </row>
    <row r="70" spans="1:10" ht="15" customHeight="1">
      <c r="A70" s="184">
        <f>A69+1</f>
        <v>37</v>
      </c>
      <c r="B70" s="208">
        <v>28300261</v>
      </c>
      <c r="C70" s="227" t="s">
        <v>1006</v>
      </c>
      <c r="D70" s="187">
        <v>0</v>
      </c>
      <c r="E70" s="195"/>
      <c r="F70" s="189">
        <f t="shared" si="0"/>
        <v>0</v>
      </c>
      <c r="H70" s="188">
        <v>0</v>
      </c>
      <c r="I70" s="195"/>
      <c r="J70" s="189">
        <f t="shared" si="1"/>
        <v>0</v>
      </c>
    </row>
    <row r="71" spans="1:10" ht="15" customHeight="1">
      <c r="A71" s="219" t="s">
        <v>1007</v>
      </c>
      <c r="B71" s="208">
        <v>28300091</v>
      </c>
      <c r="C71" s="226" t="s">
        <v>1008</v>
      </c>
      <c r="D71" s="187">
        <v>-1029888.5287499996</v>
      </c>
      <c r="E71" s="195"/>
      <c r="F71" s="189">
        <f t="shared" si="0"/>
        <v>-1029888.5287499996</v>
      </c>
      <c r="H71" s="188">
        <v>-308479.03999999998</v>
      </c>
      <c r="I71" s="195"/>
      <c r="J71" s="189">
        <f t="shared" si="1"/>
        <v>-308479.03999999998</v>
      </c>
    </row>
    <row r="72" spans="1:10" ht="15" customHeight="1">
      <c r="A72" s="219" t="s">
        <v>1009</v>
      </c>
      <c r="B72" s="208">
        <v>28300741</v>
      </c>
      <c r="C72" s="226" t="s">
        <v>1010</v>
      </c>
      <c r="D72" s="187">
        <v>-127651.84291666666</v>
      </c>
      <c r="E72" s="195"/>
      <c r="F72" s="189">
        <f t="shared" si="0"/>
        <v>-127651.84291666666</v>
      </c>
      <c r="H72" s="188">
        <v>-78555.81</v>
      </c>
      <c r="I72" s="195"/>
      <c r="J72" s="189">
        <f t="shared" si="1"/>
        <v>-78555.81</v>
      </c>
    </row>
    <row r="73" spans="1:10" ht="15" customHeight="1">
      <c r="A73" s="219" t="s">
        <v>1011</v>
      </c>
      <c r="B73" s="208">
        <v>28300011</v>
      </c>
      <c r="C73" s="226" t="s">
        <v>1012</v>
      </c>
      <c r="D73" s="187">
        <v>-6140522.9679166665</v>
      </c>
      <c r="E73" s="195"/>
      <c r="F73" s="189">
        <f t="shared" si="0"/>
        <v>-6140522.9679166665</v>
      </c>
      <c r="H73" s="188">
        <v>-5453010.3300000001</v>
      </c>
      <c r="I73" s="195"/>
      <c r="J73" s="189">
        <f t="shared" si="1"/>
        <v>-5453010.3300000001</v>
      </c>
    </row>
    <row r="74" spans="1:10" ht="15" customHeight="1">
      <c r="A74" s="219" t="s">
        <v>1013</v>
      </c>
      <c r="B74" s="208">
        <v>28300731</v>
      </c>
      <c r="C74" s="226" t="s">
        <v>1014</v>
      </c>
      <c r="D74" s="187">
        <v>-2425958.7000000002</v>
      </c>
      <c r="E74" s="195"/>
      <c r="F74" s="189">
        <f t="shared" si="0"/>
        <v>-2425958.7000000002</v>
      </c>
      <c r="H74" s="188">
        <v>-1951314.18</v>
      </c>
      <c r="I74" s="195"/>
      <c r="J74" s="189">
        <f t="shared" si="1"/>
        <v>-1951314.18</v>
      </c>
    </row>
    <row r="75" spans="1:10" ht="15" customHeight="1">
      <c r="A75" s="184" t="s">
        <v>1015</v>
      </c>
      <c r="B75" s="208">
        <v>28300431</v>
      </c>
      <c r="C75" s="226" t="s">
        <v>1016</v>
      </c>
      <c r="D75" s="187">
        <v>0</v>
      </c>
      <c r="E75" s="195"/>
      <c r="F75" s="189">
        <f t="shared" ref="F75:F87" si="2">D75+E75</f>
        <v>0</v>
      </c>
      <c r="H75" s="188">
        <v>0</v>
      </c>
      <c r="I75" s="195"/>
      <c r="J75" s="189">
        <f t="shared" ref="J75:J87" si="3">H75+I75</f>
        <v>0</v>
      </c>
    </row>
    <row r="76" spans="1:10" ht="15" customHeight="1">
      <c r="A76" s="184" t="s">
        <v>1017</v>
      </c>
      <c r="B76" s="208">
        <v>19000441</v>
      </c>
      <c r="C76" s="226" t="s">
        <v>1018</v>
      </c>
      <c r="D76" s="187">
        <v>9441810.0512500014</v>
      </c>
      <c r="E76" s="195"/>
      <c r="F76" s="189">
        <f t="shared" si="2"/>
        <v>9441810.0512500014</v>
      </c>
      <c r="H76" s="188">
        <v>10862126.380000001</v>
      </c>
      <c r="I76" s="195"/>
      <c r="J76" s="189">
        <f t="shared" si="3"/>
        <v>10862126.380000001</v>
      </c>
    </row>
    <row r="77" spans="1:10" ht="15" customHeight="1">
      <c r="A77" s="184" t="s">
        <v>1019</v>
      </c>
      <c r="B77" s="208">
        <v>19000553</v>
      </c>
      <c r="C77" s="177" t="s">
        <v>1020</v>
      </c>
      <c r="D77" s="187">
        <v>72994.118537250004</v>
      </c>
      <c r="E77" s="195"/>
      <c r="F77" s="189">
        <f t="shared" si="2"/>
        <v>72994.118537250004</v>
      </c>
      <c r="H77" s="188">
        <v>155171.40127</v>
      </c>
      <c r="I77" s="195"/>
      <c r="J77" s="189">
        <f t="shared" si="3"/>
        <v>155171.40127</v>
      </c>
    </row>
    <row r="78" spans="1:10" ht="15" customHeight="1">
      <c r="A78" s="184" t="s">
        <v>1021</v>
      </c>
      <c r="B78" s="208">
        <v>19000561</v>
      </c>
      <c r="C78" s="226" t="s">
        <v>1022</v>
      </c>
      <c r="D78" s="187">
        <v>0</v>
      </c>
      <c r="E78" s="195"/>
      <c r="F78" s="189">
        <f t="shared" si="2"/>
        <v>0</v>
      </c>
      <c r="H78" s="188">
        <v>0</v>
      </c>
      <c r="I78" s="195"/>
      <c r="J78" s="189">
        <f t="shared" si="3"/>
        <v>0</v>
      </c>
    </row>
    <row r="79" spans="1:10" ht="15" customHeight="1">
      <c r="A79" s="219" t="s">
        <v>1023</v>
      </c>
      <c r="B79" s="208">
        <v>28302061</v>
      </c>
      <c r="C79" s="226" t="s">
        <v>1024</v>
      </c>
      <c r="D79" s="187">
        <v>-923787.87875000015</v>
      </c>
      <c r="E79" s="195"/>
      <c r="F79" s="189">
        <f t="shared" si="2"/>
        <v>-923787.87875000015</v>
      </c>
      <c r="H79" s="188">
        <v>-530083.09</v>
      </c>
      <c r="I79" s="195"/>
      <c r="J79" s="189">
        <f t="shared" si="3"/>
        <v>-530083.09</v>
      </c>
    </row>
    <row r="80" spans="1:10" ht="15" customHeight="1">
      <c r="A80" s="219" t="s">
        <v>1025</v>
      </c>
      <c r="B80" s="208" t="s">
        <v>1026</v>
      </c>
      <c r="C80" s="226" t="s">
        <v>1027</v>
      </c>
      <c r="D80" s="187">
        <v>-6959704.9899999993</v>
      </c>
      <c r="E80" s="195"/>
      <c r="F80" s="189">
        <f t="shared" si="2"/>
        <v>-6959704.9899999993</v>
      </c>
      <c r="H80" s="188">
        <v>-6656774.5300000003</v>
      </c>
      <c r="I80" s="195"/>
      <c r="J80" s="189">
        <f t="shared" si="3"/>
        <v>-6656774.5300000003</v>
      </c>
    </row>
    <row r="81" spans="1:10" ht="15" customHeight="1">
      <c r="A81" s="219" t="s">
        <v>1028</v>
      </c>
      <c r="B81" s="208" t="s">
        <v>1029</v>
      </c>
      <c r="C81" s="226" t="s">
        <v>1030</v>
      </c>
      <c r="D81" s="187">
        <v>0</v>
      </c>
      <c r="E81" s="195"/>
      <c r="F81" s="189">
        <f t="shared" si="2"/>
        <v>0</v>
      </c>
      <c r="H81" s="188">
        <v>0</v>
      </c>
      <c r="I81" s="195"/>
      <c r="J81" s="189">
        <f t="shared" si="3"/>
        <v>0</v>
      </c>
    </row>
    <row r="82" spans="1:10" ht="15" customHeight="1">
      <c r="A82" s="219" t="s">
        <v>1031</v>
      </c>
      <c r="B82" s="208">
        <v>28300561</v>
      </c>
      <c r="C82" s="226" t="s">
        <v>1032</v>
      </c>
      <c r="D82" s="187">
        <v>-12495445.210833333</v>
      </c>
      <c r="E82" s="195"/>
      <c r="F82" s="189">
        <f t="shared" si="2"/>
        <v>-12495445.210833333</v>
      </c>
      <c r="H82" s="188">
        <v>-12218448.32</v>
      </c>
      <c r="I82" s="195"/>
      <c r="J82" s="189">
        <f t="shared" si="3"/>
        <v>-12218448.32</v>
      </c>
    </row>
    <row r="83" spans="1:10" ht="15" customHeight="1">
      <c r="A83" s="219" t="s">
        <v>1033</v>
      </c>
      <c r="B83" s="208" t="s">
        <v>1034</v>
      </c>
      <c r="C83" s="226" t="s">
        <v>1035</v>
      </c>
      <c r="D83" s="187">
        <v>-4607112.3</v>
      </c>
      <c r="E83" s="195"/>
      <c r="F83" s="189">
        <f t="shared" si="2"/>
        <v>-4607112.3</v>
      </c>
      <c r="H83" s="188">
        <v>-4534933.2</v>
      </c>
      <c r="I83" s="195"/>
      <c r="J83" s="189">
        <f t="shared" si="3"/>
        <v>-4534933.2</v>
      </c>
    </row>
    <row r="84" spans="1:10" ht="12" customHeight="1">
      <c r="A84" s="184">
        <f>A70+1</f>
        <v>38</v>
      </c>
      <c r="B84" s="208" t="s">
        <v>1036</v>
      </c>
      <c r="C84" s="227" t="s">
        <v>1037</v>
      </c>
      <c r="D84" s="187">
        <v>0</v>
      </c>
      <c r="E84" s="195"/>
      <c r="F84" s="189">
        <f t="shared" si="2"/>
        <v>0</v>
      </c>
      <c r="H84" s="188">
        <v>0</v>
      </c>
      <c r="I84" s="195"/>
      <c r="J84" s="189">
        <f t="shared" si="3"/>
        <v>0</v>
      </c>
    </row>
    <row r="85" spans="1:10" s="181" customFormat="1" ht="15" customHeight="1">
      <c r="A85" s="184" t="s">
        <v>1038</v>
      </c>
      <c r="B85" s="176">
        <v>18230181</v>
      </c>
      <c r="C85" s="181" t="s">
        <v>1039</v>
      </c>
      <c r="D85" s="187">
        <v>0</v>
      </c>
      <c r="E85" s="180"/>
      <c r="F85" s="189">
        <f t="shared" si="2"/>
        <v>0</v>
      </c>
      <c r="G85" s="225"/>
      <c r="H85" s="188">
        <v>0</v>
      </c>
      <c r="I85" s="180"/>
      <c r="J85" s="189">
        <f t="shared" si="3"/>
        <v>0</v>
      </c>
    </row>
    <row r="86" spans="1:10" s="226" customFormat="1" ht="15" customHeight="1">
      <c r="A86" s="219">
        <f t="shared" ref="A86:A92" si="4">A85+1</f>
        <v>40</v>
      </c>
      <c r="B86" s="208"/>
      <c r="D86" s="187"/>
      <c r="E86" s="175"/>
      <c r="F86" s="189">
        <f t="shared" si="2"/>
        <v>0</v>
      </c>
      <c r="G86" s="225"/>
      <c r="H86" s="188">
        <v>0</v>
      </c>
      <c r="I86" s="175"/>
      <c r="J86" s="189">
        <f t="shared" si="3"/>
        <v>0</v>
      </c>
    </row>
    <row r="87" spans="1:10" s="226" customFormat="1" ht="15" customHeight="1">
      <c r="A87" s="219">
        <f t="shared" si="4"/>
        <v>41</v>
      </c>
      <c r="B87" s="208" t="s">
        <v>1040</v>
      </c>
      <c r="D87" s="174">
        <f>'SEF-5E p 3 &amp; SEF5G p 2 '!C29</f>
        <v>145303204.9988502</v>
      </c>
      <c r="E87" s="173"/>
      <c r="F87" s="172">
        <f t="shared" si="2"/>
        <v>145303204.9988502</v>
      </c>
      <c r="G87" s="225"/>
      <c r="H87" s="171">
        <f>'SEF-5E p 3 &amp; SEF5G p 2 '!E29</f>
        <v>137375215.94916266</v>
      </c>
      <c r="I87" s="173"/>
      <c r="J87" s="170">
        <f t="shared" si="3"/>
        <v>137375215.94916266</v>
      </c>
    </row>
    <row r="88" spans="1:10" ht="15" customHeight="1">
      <c r="A88" s="184">
        <f t="shared" si="4"/>
        <v>42</v>
      </c>
      <c r="B88" s="169" t="s">
        <v>894</v>
      </c>
      <c r="D88" s="187">
        <f t="shared" ref="D88:H88" si="5">SUM(D10:D87)</f>
        <v>5208778506.3049955</v>
      </c>
      <c r="E88" s="168">
        <f t="shared" si="5"/>
        <v>0</v>
      </c>
      <c r="F88" s="167">
        <f>SUM(F10:F87)</f>
        <v>5208778506.3049955</v>
      </c>
      <c r="H88" s="187">
        <f t="shared" si="5"/>
        <v>5391596748.4084482</v>
      </c>
      <c r="I88" s="168"/>
      <c r="J88" s="167">
        <f>SUM(J10:J87)</f>
        <v>5391596748.4084482</v>
      </c>
    </row>
    <row r="89" spans="1:10" ht="15" customHeight="1">
      <c r="A89" s="219">
        <f t="shared" si="4"/>
        <v>43</v>
      </c>
      <c r="D89" s="166"/>
      <c r="E89" s="195"/>
      <c r="F89" s="194"/>
      <c r="H89" s="193"/>
      <c r="I89" s="195"/>
      <c r="J89" s="192"/>
    </row>
    <row r="90" spans="1:10" ht="15">
      <c r="A90" s="184">
        <f t="shared" si="4"/>
        <v>44</v>
      </c>
      <c r="B90" s="227" t="s">
        <v>1041</v>
      </c>
      <c r="D90" s="165">
        <f t="shared" ref="D90:J90" si="6">D88</f>
        <v>5208778506.3049955</v>
      </c>
      <c r="E90" s="164">
        <f t="shared" si="6"/>
        <v>0</v>
      </c>
      <c r="F90" s="163">
        <f t="shared" si="6"/>
        <v>5208778506.3049955</v>
      </c>
      <c r="H90" s="165">
        <f t="shared" si="6"/>
        <v>5391596748.4084482</v>
      </c>
      <c r="I90" s="164"/>
      <c r="J90" s="163">
        <f t="shared" si="6"/>
        <v>5391596748.4084482</v>
      </c>
    </row>
    <row r="91" spans="1:10">
      <c r="A91" s="219">
        <f t="shared" si="4"/>
        <v>45</v>
      </c>
      <c r="D91" s="166"/>
      <c r="E91" s="195"/>
      <c r="F91" s="194"/>
      <c r="H91" s="193"/>
      <c r="I91" s="195"/>
      <c r="J91" s="192"/>
    </row>
    <row r="92" spans="1:10">
      <c r="A92" s="184">
        <f t="shared" si="4"/>
        <v>46</v>
      </c>
      <c r="B92" s="227" t="s">
        <v>1042</v>
      </c>
      <c r="C92" s="162" t="s">
        <v>1043</v>
      </c>
      <c r="D92" s="187">
        <f>SUM(D10:D12)+SUM(D36:D39)</f>
        <v>10572466950.394854</v>
      </c>
      <c r="E92" s="161">
        <f>SUM(E10:E12)+SUM(E36:E39)</f>
        <v>0</v>
      </c>
      <c r="F92" s="189">
        <f>D92+E92</f>
        <v>10572466950.394854</v>
      </c>
      <c r="H92" s="187">
        <f>SUM(H10:H12)+SUM(H36:H39)</f>
        <v>10898545827.153294</v>
      </c>
      <c r="I92" s="161"/>
      <c r="J92" s="160">
        <f>H92+I92</f>
        <v>10898545827.153294</v>
      </c>
    </row>
    <row r="93" spans="1:10">
      <c r="A93" s="184">
        <v>47</v>
      </c>
      <c r="B93" s="227" t="s">
        <v>1044</v>
      </c>
      <c r="C93" s="162" t="s">
        <v>1045</v>
      </c>
      <c r="D93" s="187">
        <f>+SUM(D40:D44)+D46</f>
        <v>-4244925258.0010071</v>
      </c>
      <c r="E93" s="161">
        <f>+SUM(E40:E44)+E46</f>
        <v>0</v>
      </c>
      <c r="F93" s="189">
        <f t="shared" ref="F93:F97" si="7">D93+E93</f>
        <v>-4244925258.0010071</v>
      </c>
      <c r="H93" s="187">
        <f>+SUM(H40:H44)+H46</f>
        <v>-4388667535.5324507</v>
      </c>
      <c r="I93" s="161"/>
      <c r="J93" s="160">
        <f t="shared" ref="J93:J96" si="8">H93+I93</f>
        <v>-4388667535.5324507</v>
      </c>
    </row>
    <row r="94" spans="1:10">
      <c r="A94" s="219">
        <f>A93+1</f>
        <v>48</v>
      </c>
      <c r="B94" s="227" t="s">
        <v>1046</v>
      </c>
      <c r="C94" s="162" t="s">
        <v>1047</v>
      </c>
      <c r="D94" s="187">
        <f t="shared" ref="D94:E94" si="9">SUM(D13:D35)+SUM(D45:D45)+D59</f>
        <v>285841342.02833331</v>
      </c>
      <c r="E94" s="161">
        <f t="shared" si="9"/>
        <v>0</v>
      </c>
      <c r="F94" s="189">
        <f t="shared" si="7"/>
        <v>285841342.02833331</v>
      </c>
      <c r="H94" s="187">
        <f t="shared" ref="H94" si="10">SUM(H13:H35)+SUM(H45:H45)+H59</f>
        <v>273144103.32999998</v>
      </c>
      <c r="I94" s="161"/>
      <c r="J94" s="160">
        <f t="shared" si="8"/>
        <v>273144103.32999998</v>
      </c>
    </row>
    <row r="95" spans="1:10">
      <c r="A95" s="184">
        <f>A94+1</f>
        <v>49</v>
      </c>
      <c r="B95" s="227" t="s">
        <v>1048</v>
      </c>
      <c r="C95" s="162" t="s">
        <v>1049</v>
      </c>
      <c r="D95" s="187">
        <f>SUM(D47:D55)+SUM(D61:D83)</f>
        <v>-1443684469.5857882</v>
      </c>
      <c r="E95" s="161">
        <f>SUM(E47:E55)+SUM(E61:E83)</f>
        <v>0</v>
      </c>
      <c r="F95" s="189">
        <f t="shared" si="7"/>
        <v>-1443684469.5857882</v>
      </c>
      <c r="H95" s="187">
        <f>SUM(H47:H55)+SUM(H61:H83)</f>
        <v>-1420710082.9970851</v>
      </c>
      <c r="I95" s="161"/>
      <c r="J95" s="160">
        <f t="shared" si="8"/>
        <v>-1420710082.9970851</v>
      </c>
    </row>
    <row r="96" spans="1:10">
      <c r="A96" s="184">
        <f>A95+1</f>
        <v>50</v>
      </c>
      <c r="B96" s="227" t="s">
        <v>1050</v>
      </c>
      <c r="C96" s="162" t="s">
        <v>1051</v>
      </c>
      <c r="D96" s="187">
        <f t="shared" ref="D96:E96" si="11">SUM(D87:D87)</f>
        <v>145303204.9988502</v>
      </c>
      <c r="E96" s="161">
        <f t="shared" si="11"/>
        <v>0</v>
      </c>
      <c r="F96" s="189">
        <f t="shared" si="7"/>
        <v>145303204.9988502</v>
      </c>
      <c r="H96" s="187">
        <f t="shared" ref="H96" si="12">SUM(H87:H87)</f>
        <v>137375215.94916266</v>
      </c>
      <c r="I96" s="161"/>
      <c r="J96" s="160">
        <f t="shared" si="8"/>
        <v>137375215.94916266</v>
      </c>
    </row>
    <row r="97" spans="1:10">
      <c r="A97" s="184">
        <f>A96+1</f>
        <v>51</v>
      </c>
      <c r="B97" s="227" t="s">
        <v>1052</v>
      </c>
      <c r="C97" s="162" t="s">
        <v>1053</v>
      </c>
      <c r="D97" s="187">
        <f xml:space="preserve"> D56+D60+D57</f>
        <v>-106223263.53024991</v>
      </c>
      <c r="E97" s="159">
        <f xml:space="preserve"> E56+E60+E57</f>
        <v>0</v>
      </c>
      <c r="F97" s="172">
        <f t="shared" si="7"/>
        <v>-106223263.53024991</v>
      </c>
      <c r="H97" s="158">
        <f xml:space="preserve"> H56+H60+H57</f>
        <v>-108090779.49447501</v>
      </c>
      <c r="I97" s="159"/>
      <c r="J97" s="157">
        <f>H97+I97</f>
        <v>-108090779.49447501</v>
      </c>
    </row>
    <row r="98" spans="1:10" ht="13.8" thickBot="1">
      <c r="A98" s="184">
        <f>A97+1</f>
        <v>52</v>
      </c>
      <c r="B98" s="227" t="s">
        <v>1054</v>
      </c>
      <c r="D98" s="156">
        <f t="shared" ref="D98:E98" si="13">SUM(D92:D97)</f>
        <v>5208778506.3049917</v>
      </c>
      <c r="E98" s="155">
        <f t="shared" si="13"/>
        <v>0</v>
      </c>
      <c r="F98" s="154">
        <f>SUM(F92:F97)</f>
        <v>5208778506.3049917</v>
      </c>
      <c r="H98" s="156">
        <f t="shared" ref="H98" si="14">SUM(H92:H97)</f>
        <v>5391596748.4084454</v>
      </c>
      <c r="I98" s="155"/>
      <c r="J98" s="154">
        <f>SUM(J92:J97)</f>
        <v>5391596748.4084454</v>
      </c>
    </row>
    <row r="99" spans="1:10">
      <c r="D99" s="153"/>
    </row>
    <row r="100" spans="1:10">
      <c r="D100" s="152"/>
    </row>
    <row r="101" spans="1:10">
      <c r="D101" s="151"/>
    </row>
    <row r="102" spans="1:10">
      <c r="D102" s="152"/>
    </row>
    <row r="103" spans="1:10">
      <c r="D103" s="151"/>
    </row>
    <row r="104" spans="1:10">
      <c r="D104" s="150"/>
    </row>
  </sheetData>
  <dataConsolidate/>
  <mergeCells count="1">
    <mergeCell ref="A3:B3"/>
  </mergeCells>
  <printOptions horizontalCentered="1"/>
  <pageMargins left="0.5" right="0.25" top="0.5" bottom="0.5" header="0.66" footer="0.2"/>
  <pageSetup scale="6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59999389629810485"/>
  </sheetPr>
  <dimension ref="A1:I39"/>
  <sheetViews>
    <sheetView topLeftCell="A2" workbookViewId="0">
      <pane xSplit="2" topLeftCell="C1" activePane="topRight" state="frozen"/>
      <selection activeCell="E1" sqref="E1"/>
      <selection pane="topRight" activeCell="G19" sqref="G19"/>
    </sheetView>
  </sheetViews>
  <sheetFormatPr defaultColWidth="9.109375" defaultRowHeight="15" customHeight="1" outlineLevelCol="1"/>
  <cols>
    <col min="1" max="1" width="8.5546875" style="227" customWidth="1"/>
    <col min="2" max="2" width="55" style="227" customWidth="1"/>
    <col min="3" max="3" width="15.33203125" style="226" customWidth="1"/>
    <col min="4" max="4" width="2" style="225" hidden="1" customWidth="1" outlineLevel="1"/>
    <col min="5" max="5" width="7" style="225" hidden="1" customWidth="1" outlineLevel="1"/>
    <col min="6" max="6" width="3" style="225" hidden="1" customWidth="1" outlineLevel="1"/>
    <col min="7" max="7" width="15.33203125" style="225" customWidth="1" collapsed="1"/>
    <col min="8" max="16384" width="9.109375" style="227"/>
  </cols>
  <sheetData>
    <row r="1" spans="1:7" ht="27.6">
      <c r="A1" s="228" t="s">
        <v>886</v>
      </c>
      <c r="G1" s="149" t="s">
        <v>1055</v>
      </c>
    </row>
    <row r="2" spans="1:7" ht="15" customHeight="1">
      <c r="A2" s="228" t="s">
        <v>1056</v>
      </c>
      <c r="B2" s="221"/>
      <c r="G2" s="227"/>
    </row>
    <row r="3" spans="1:7" ht="15" customHeight="1">
      <c r="A3" s="1285">
        <v>43465</v>
      </c>
      <c r="B3" s="1285"/>
      <c r="C3" s="148"/>
    </row>
    <row r="4" spans="1:7" ht="15" customHeight="1">
      <c r="A4" s="147"/>
      <c r="B4" s="146"/>
      <c r="C4" s="148"/>
    </row>
    <row r="5" spans="1:7" s="142" customFormat="1" ht="15" customHeight="1">
      <c r="A5" s="145"/>
      <c r="B5" s="144"/>
      <c r="C5" s="143"/>
      <c r="D5" s="225"/>
      <c r="E5" s="225"/>
      <c r="F5" s="225"/>
      <c r="G5" s="225"/>
    </row>
    <row r="6" spans="1:7" ht="15" customHeight="1">
      <c r="A6" s="141"/>
      <c r="B6" s="140"/>
    </row>
    <row r="7" spans="1:7" ht="15" customHeight="1">
      <c r="A7" s="139"/>
      <c r="B7" s="218" t="s">
        <v>889</v>
      </c>
      <c r="C7" s="225"/>
    </row>
    <row r="8" spans="1:7" ht="15" customHeight="1">
      <c r="A8" s="162" t="s">
        <v>786</v>
      </c>
      <c r="B8" s="138">
        <f>'SEF-5E p 4 &amp; SEF5G p 3 '!E35</f>
        <v>0.66190000000000004</v>
      </c>
      <c r="C8" s="225"/>
    </row>
    <row r="9" spans="1:7" ht="15" customHeight="1">
      <c r="A9" s="137" t="s">
        <v>788</v>
      </c>
      <c r="B9" s="138">
        <f>'SEF-5E p 4 &amp; SEF5G p 3 '!F35</f>
        <v>0.33810000000000001</v>
      </c>
      <c r="C9" s="225"/>
    </row>
    <row r="10" spans="1:7" ht="15" customHeight="1">
      <c r="A10" s="136"/>
      <c r="B10" s="136"/>
      <c r="C10" s="135"/>
    </row>
    <row r="11" spans="1:7" ht="15" customHeight="1">
      <c r="A11" s="1048"/>
      <c r="B11" s="134"/>
      <c r="C11" s="1049"/>
      <c r="D11" s="1050"/>
      <c r="E11" s="1050"/>
      <c r="F11" s="1050"/>
      <c r="G11" s="1051"/>
    </row>
    <row r="12" spans="1:7" ht="15" customHeight="1">
      <c r="A12" s="1052" t="s">
        <v>1057</v>
      </c>
      <c r="B12" s="132" t="s">
        <v>774</v>
      </c>
      <c r="C12" s="131" t="s">
        <v>890</v>
      </c>
      <c r="D12" s="1053"/>
      <c r="E12" s="1053"/>
      <c r="F12" s="1053"/>
      <c r="G12" s="1054" t="s">
        <v>891</v>
      </c>
    </row>
    <row r="13" spans="1:7" ht="15" customHeight="1">
      <c r="A13" s="1055" t="s">
        <v>1058</v>
      </c>
      <c r="B13" s="130"/>
      <c r="C13" s="129">
        <v>43465</v>
      </c>
      <c r="D13" s="198"/>
      <c r="E13" s="198"/>
      <c r="F13" s="198"/>
      <c r="G13" s="1056">
        <v>43465</v>
      </c>
    </row>
    <row r="14" spans="1:7" ht="15" customHeight="1">
      <c r="A14" s="1057" t="s">
        <v>1059</v>
      </c>
      <c r="B14" s="133"/>
      <c r="C14" s="128"/>
      <c r="D14" s="1053"/>
      <c r="E14" s="1053"/>
      <c r="F14" s="1053"/>
      <c r="G14" s="1058"/>
    </row>
    <row r="15" spans="1:7" ht="9" customHeight="1">
      <c r="A15" s="1057"/>
      <c r="B15" s="127"/>
      <c r="C15" s="126"/>
      <c r="D15" s="1053"/>
      <c r="E15" s="1053"/>
      <c r="F15" s="1053"/>
      <c r="G15" s="1058"/>
    </row>
    <row r="16" spans="1:7" ht="15" customHeight="1">
      <c r="A16" s="1059">
        <v>1</v>
      </c>
      <c r="B16" s="1060" t="s">
        <v>1060</v>
      </c>
      <c r="C16" s="125">
        <v>3830492362.9705911</v>
      </c>
      <c r="D16" s="1053"/>
      <c r="E16" s="1053"/>
      <c r="F16" s="1053"/>
      <c r="G16" s="1061">
        <v>3964610940.4042058</v>
      </c>
    </row>
    <row r="17" spans="1:9" ht="15" customHeight="1">
      <c r="A17" s="1059" t="s">
        <v>1061</v>
      </c>
      <c r="B17" s="1062" t="s">
        <v>1062</v>
      </c>
      <c r="C17" s="125">
        <v>261453351.93664047</v>
      </c>
      <c r="D17" s="1053"/>
      <c r="E17" s="1053"/>
      <c r="F17" s="1053"/>
      <c r="G17" s="1061">
        <v>327674867.31249905</v>
      </c>
    </row>
    <row r="18" spans="1:9" ht="15" customHeight="1">
      <c r="A18" s="1059">
        <v>3</v>
      </c>
      <c r="B18" s="1060" t="s">
        <v>1063</v>
      </c>
      <c r="C18" s="125">
        <v>8654564.4700000007</v>
      </c>
      <c r="D18" s="1053"/>
      <c r="E18" s="1053"/>
      <c r="F18" s="1053"/>
      <c r="G18" s="1063">
        <v>8654564.4700000007</v>
      </c>
    </row>
    <row r="19" spans="1:9" ht="15" customHeight="1">
      <c r="A19" s="1059">
        <v>4</v>
      </c>
      <c r="B19" s="1060" t="s">
        <v>1064</v>
      </c>
      <c r="C19" s="124">
        <f>SUM(C16:C18)</f>
        <v>4100600279.3772311</v>
      </c>
      <c r="D19" s="1064"/>
      <c r="E19" s="1065"/>
      <c r="F19" s="1065"/>
      <c r="G19" s="1066">
        <f>SUM(G16:G18)</f>
        <v>4300940372.1867046</v>
      </c>
      <c r="H19" s="226"/>
      <c r="I19" s="226"/>
    </row>
    <row r="20" spans="1:9" ht="15" customHeight="1">
      <c r="A20" s="1059"/>
      <c r="B20" s="1060"/>
      <c r="C20" s="122"/>
      <c r="D20" s="1064"/>
      <c r="E20" s="1065"/>
      <c r="F20" s="1065"/>
      <c r="G20" s="1067"/>
      <c r="H20" s="226"/>
      <c r="I20" s="226"/>
    </row>
    <row r="21" spans="1:9" ht="15" customHeight="1">
      <c r="A21" s="1059">
        <v>5</v>
      </c>
      <c r="B21" s="1060" t="s">
        <v>1065</v>
      </c>
      <c r="C21" s="125">
        <v>-1484754385.79375</v>
      </c>
      <c r="D21" s="1064"/>
      <c r="E21" s="1065"/>
      <c r="F21" s="1065"/>
      <c r="G21" s="1068">
        <v>-1529184328.8799999</v>
      </c>
      <c r="H21" s="226"/>
      <c r="I21" s="226"/>
    </row>
    <row r="22" spans="1:9" ht="15" customHeight="1">
      <c r="A22" s="1059" t="s">
        <v>1066</v>
      </c>
      <c r="B22" s="1060" t="s">
        <v>1067</v>
      </c>
      <c r="C22" s="125">
        <v>-85040787.526492864</v>
      </c>
      <c r="D22" s="1064"/>
      <c r="E22" s="1065"/>
      <c r="F22" s="1065"/>
      <c r="G22" s="1068">
        <v>-96126626.117550001</v>
      </c>
      <c r="H22" s="226"/>
      <c r="I22" s="226"/>
    </row>
    <row r="23" spans="1:9" ht="15" customHeight="1">
      <c r="A23" s="1059">
        <v>8</v>
      </c>
      <c r="B23" s="1060" t="s">
        <v>1068</v>
      </c>
      <c r="C23" s="125">
        <v>-16686141.97208333</v>
      </c>
      <c r="D23" s="1064"/>
      <c r="E23" s="1065"/>
      <c r="F23" s="1065"/>
      <c r="G23" s="1068">
        <v>-13796257.84</v>
      </c>
      <c r="H23" s="226"/>
      <c r="I23" s="226"/>
    </row>
    <row r="24" spans="1:9" ht="15" customHeight="1">
      <c r="A24" s="1059">
        <v>9</v>
      </c>
      <c r="B24" s="1069" t="s">
        <v>1069</v>
      </c>
      <c r="C24" s="125">
        <v>0</v>
      </c>
      <c r="D24" s="1064"/>
      <c r="E24" s="1065"/>
      <c r="F24" s="1065"/>
      <c r="G24" s="1068">
        <v>0</v>
      </c>
      <c r="H24" s="226"/>
      <c r="I24" s="226"/>
    </row>
    <row r="25" spans="1:9" s="226" customFormat="1" ht="15" customHeight="1">
      <c r="A25" s="1070">
        <v>10</v>
      </c>
      <c r="B25" s="1071" t="s">
        <v>1070</v>
      </c>
      <c r="C25" s="125">
        <v>-604032300.68879509</v>
      </c>
      <c r="D25" s="1064"/>
      <c r="E25" s="1065"/>
      <c r="F25" s="1065"/>
      <c r="G25" s="1068">
        <v>-600273754.652915</v>
      </c>
    </row>
    <row r="26" spans="1:9" s="226" customFormat="1" ht="15" customHeight="1">
      <c r="A26" s="1070">
        <v>11</v>
      </c>
      <c r="B26" s="1071"/>
      <c r="C26" s="125"/>
      <c r="D26" s="1064"/>
      <c r="E26" s="1065"/>
      <c r="F26" s="1065"/>
      <c r="G26" s="1068"/>
    </row>
    <row r="27" spans="1:9" s="226" customFormat="1" ht="15" customHeight="1">
      <c r="A27" s="1070" t="s">
        <v>1071</v>
      </c>
      <c r="B27" s="1071" t="s">
        <v>1072</v>
      </c>
      <c r="C27" s="125">
        <v>-13266320.190166749</v>
      </c>
      <c r="D27" s="1064"/>
      <c r="E27" s="1065"/>
      <c r="F27" s="1065"/>
      <c r="G27" s="1068">
        <v>-13197398.865525</v>
      </c>
    </row>
    <row r="28" spans="1:9" ht="15" customHeight="1">
      <c r="A28" s="1059">
        <v>12</v>
      </c>
      <c r="B28" s="1069" t="s">
        <v>1073</v>
      </c>
      <c r="C28" s="121">
        <f t="shared" ref="C28" si="0">SUM(C21:C27)</f>
        <v>-2203779936.171288</v>
      </c>
      <c r="D28" s="1064"/>
      <c r="E28" s="1065"/>
      <c r="F28" s="1065"/>
      <c r="G28" s="1072">
        <f t="shared" ref="G28" si="1">SUM(G21:G27)</f>
        <v>-2252578366.3559895</v>
      </c>
      <c r="H28" s="226"/>
      <c r="I28" s="226"/>
    </row>
    <row r="29" spans="1:9" ht="15" customHeight="1">
      <c r="A29" s="1059"/>
      <c r="B29" s="1060"/>
      <c r="C29" s="120"/>
      <c r="D29" s="1064"/>
      <c r="E29" s="1065"/>
      <c r="F29" s="1065"/>
      <c r="G29" s="1073"/>
      <c r="H29" s="226"/>
      <c r="I29" s="226"/>
    </row>
    <row r="30" spans="1:9" ht="15" customHeight="1">
      <c r="A30" s="1059">
        <v>13</v>
      </c>
      <c r="B30" s="1060" t="s">
        <v>1074</v>
      </c>
      <c r="C30" s="119">
        <f>+C28+C19</f>
        <v>1896820343.2059431</v>
      </c>
      <c r="D30" s="1064"/>
      <c r="E30" s="1065"/>
      <c r="F30" s="1065"/>
      <c r="G30" s="1074">
        <f>+G28+G19</f>
        <v>2048362005.8307152</v>
      </c>
      <c r="H30" s="226"/>
      <c r="I30" s="226"/>
    </row>
    <row r="31" spans="1:9" ht="15" customHeight="1">
      <c r="A31" s="1059">
        <v>14</v>
      </c>
      <c r="B31" s="1075" t="s">
        <v>1050</v>
      </c>
      <c r="C31" s="122">
        <v>54431800.053166389</v>
      </c>
      <c r="D31" s="1064"/>
      <c r="E31" s="1065"/>
      <c r="F31" s="1065"/>
      <c r="G31" s="1067">
        <v>53555825.759281471</v>
      </c>
      <c r="H31" s="226"/>
      <c r="I31" s="226"/>
    </row>
    <row r="32" spans="1:9" ht="15" customHeight="1" thickBot="1">
      <c r="A32" s="1059">
        <v>15</v>
      </c>
      <c r="B32" s="1078" t="s">
        <v>1075</v>
      </c>
      <c r="C32" s="1079">
        <f>+C30+C31</f>
        <v>1951252143.2591095</v>
      </c>
      <c r="D32" s="1080"/>
      <c r="E32" s="1081"/>
      <c r="F32" s="1081"/>
      <c r="G32" s="1082">
        <f>+G30+G31</f>
        <v>2101917831.5899966</v>
      </c>
      <c r="H32" s="226"/>
      <c r="I32" s="226"/>
    </row>
    <row r="33" spans="1:9" ht="15" customHeight="1" thickTop="1">
      <c r="A33" s="1076"/>
      <c r="B33" s="1077"/>
      <c r="C33" s="1083"/>
      <c r="D33" s="1084"/>
      <c r="E33" s="1084"/>
      <c r="F33" s="1084"/>
      <c r="G33" s="1085"/>
      <c r="H33" s="226"/>
      <c r="I33" s="226"/>
    </row>
    <row r="34" spans="1:9" ht="15" customHeight="1">
      <c r="C34" s="118"/>
      <c r="D34" s="123"/>
      <c r="E34" s="123"/>
      <c r="F34" s="123"/>
      <c r="G34" s="123"/>
      <c r="H34" s="226"/>
      <c r="I34" s="226"/>
    </row>
    <row r="35" spans="1:9" ht="15" customHeight="1">
      <c r="D35" s="123"/>
      <c r="E35" s="123"/>
      <c r="F35" s="123"/>
      <c r="G35" s="123"/>
      <c r="H35" s="226"/>
      <c r="I35" s="226"/>
    </row>
    <row r="36" spans="1:9" ht="15" customHeight="1">
      <c r="D36" s="123"/>
      <c r="E36" s="123"/>
      <c r="F36" s="123"/>
      <c r="G36" s="123"/>
      <c r="H36" s="226"/>
      <c r="I36" s="226"/>
    </row>
    <row r="37" spans="1:9" ht="15" customHeight="1">
      <c r="D37" s="123"/>
      <c r="E37" s="123"/>
      <c r="F37" s="123"/>
      <c r="G37" s="123"/>
      <c r="H37" s="226"/>
      <c r="I37" s="226"/>
    </row>
    <row r="38" spans="1:9" ht="15" customHeight="1">
      <c r="D38" s="123"/>
      <c r="E38" s="123"/>
      <c r="F38" s="123"/>
      <c r="G38" s="123"/>
      <c r="H38" s="226"/>
      <c r="I38" s="226"/>
    </row>
    <row r="39" spans="1:9" ht="15" customHeight="1">
      <c r="D39" s="123"/>
      <c r="E39" s="123"/>
      <c r="F39" s="123"/>
      <c r="G39" s="123"/>
      <c r="H39" s="226"/>
      <c r="I39" s="226"/>
    </row>
  </sheetData>
  <mergeCells count="1">
    <mergeCell ref="A3:B3"/>
  </mergeCells>
  <printOptions horizontalCentered="1"/>
  <pageMargins left="0.5" right="0.5" top="0.5" bottom="0.5" header="0.75" footer="0.25"/>
  <pageSetup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59999389629810485"/>
  </sheetPr>
  <dimension ref="A1:L38"/>
  <sheetViews>
    <sheetView workbookViewId="0">
      <selection activeCell="C20" sqref="C20"/>
    </sheetView>
  </sheetViews>
  <sheetFormatPr defaultColWidth="9.109375" defaultRowHeight="13.2"/>
  <cols>
    <col min="1" max="1" width="4.6640625" style="862" customWidth="1"/>
    <col min="2" max="2" width="41.33203125" style="862" bestFit="1" customWidth="1"/>
    <col min="3" max="3" width="19.33203125" style="862" customWidth="1"/>
    <col min="4" max="4" width="0.6640625" style="864" customWidth="1"/>
    <col min="5" max="5" width="19.33203125" style="862" customWidth="1"/>
    <col min="6" max="6" width="3.88671875" style="862" bestFit="1" customWidth="1"/>
    <col min="7" max="8" width="18.44140625" style="862" bestFit="1" customWidth="1"/>
    <col min="9" max="9" width="0.6640625" style="862" customWidth="1"/>
    <col min="10" max="10" width="19.33203125" style="862" customWidth="1"/>
    <col min="11" max="11" width="1.5546875" style="862" customWidth="1"/>
    <col min="12" max="12" width="14.109375" style="862" bestFit="1" customWidth="1"/>
    <col min="13" max="16384" width="9.109375" style="862"/>
  </cols>
  <sheetData>
    <row r="1" spans="1:8" customFormat="1" ht="28.2">
      <c r="C1" s="229" t="s">
        <v>1353</v>
      </c>
      <c r="D1" s="269"/>
      <c r="E1" s="268"/>
    </row>
    <row r="2" spans="1:8" customFormat="1" ht="38.25" customHeight="1">
      <c r="A2" s="1286" t="s">
        <v>769</v>
      </c>
      <c r="B2" s="1286"/>
      <c r="C2" s="1286"/>
      <c r="D2" s="1286"/>
      <c r="E2" s="1286"/>
    </row>
    <row r="3" spans="1:8">
      <c r="A3" s="1286" t="s">
        <v>770</v>
      </c>
      <c r="B3" s="1286"/>
      <c r="C3" s="1286"/>
      <c r="D3" s="1286"/>
      <c r="E3" s="1286"/>
    </row>
    <row r="4" spans="1:8">
      <c r="A4" s="863"/>
    </row>
    <row r="5" spans="1:8">
      <c r="A5" s="863"/>
      <c r="C5" s="1089"/>
      <c r="D5" s="1090"/>
      <c r="E5" s="1089"/>
    </row>
    <row r="6" spans="1:8">
      <c r="C6" s="1091" t="s">
        <v>771</v>
      </c>
      <c r="D6" s="1092"/>
      <c r="E6" s="1091" t="s">
        <v>772</v>
      </c>
      <c r="F6" s="864"/>
    </row>
    <row r="7" spans="1:8" ht="26.4">
      <c r="A7" s="866" t="s">
        <v>773</v>
      </c>
      <c r="B7" s="865" t="s">
        <v>774</v>
      </c>
      <c r="C7" s="867" t="s">
        <v>775</v>
      </c>
      <c r="D7" s="868"/>
      <c r="E7" s="867" t="s">
        <v>775</v>
      </c>
      <c r="F7" s="864"/>
    </row>
    <row r="8" spans="1:8">
      <c r="C8" s="864"/>
      <c r="D8" s="869"/>
      <c r="E8" s="864"/>
      <c r="F8" s="864"/>
    </row>
    <row r="9" spans="1:8">
      <c r="A9" s="870">
        <v>1</v>
      </c>
      <c r="B9" s="871" t="s">
        <v>776</v>
      </c>
      <c r="C9" s="864"/>
      <c r="D9" s="869"/>
      <c r="E9" s="864"/>
      <c r="F9" s="864"/>
    </row>
    <row r="10" spans="1:8">
      <c r="A10" s="870">
        <f>A9+1</f>
        <v>2</v>
      </c>
      <c r="C10" s="864"/>
      <c r="D10" s="869"/>
      <c r="E10" s="864"/>
    </row>
    <row r="11" spans="1:8">
      <c r="A11" s="870">
        <f t="shared" ref="A11:A36" si="0">A10+1</f>
        <v>3</v>
      </c>
      <c r="B11" s="863" t="s">
        <v>777</v>
      </c>
      <c r="C11" s="872">
        <v>7800065571.5887508</v>
      </c>
      <c r="D11" s="873"/>
      <c r="E11" s="874">
        <v>8099533528.6400003</v>
      </c>
      <c r="G11" s="875"/>
    </row>
    <row r="12" spans="1:8">
      <c r="A12" s="870">
        <f t="shared" si="0"/>
        <v>4</v>
      </c>
      <c r="C12" s="864"/>
      <c r="D12" s="869"/>
      <c r="E12" s="864"/>
    </row>
    <row r="13" spans="1:8">
      <c r="A13" s="870">
        <f t="shared" si="0"/>
        <v>5</v>
      </c>
      <c r="B13" s="876" t="s">
        <v>778</v>
      </c>
      <c r="C13" s="864"/>
      <c r="D13" s="869"/>
      <c r="E13" s="864"/>
    </row>
    <row r="14" spans="1:8">
      <c r="A14" s="870">
        <f t="shared" si="0"/>
        <v>6</v>
      </c>
      <c r="C14" s="864"/>
      <c r="D14" s="869"/>
      <c r="E14" s="864"/>
      <c r="G14" s="877"/>
      <c r="H14" s="878"/>
    </row>
    <row r="15" spans="1:8">
      <c r="A15" s="870">
        <f t="shared" si="0"/>
        <v>7</v>
      </c>
      <c r="B15" s="862" t="s">
        <v>779</v>
      </c>
      <c r="C15" s="879">
        <v>5063475301.3061438</v>
      </c>
      <c r="D15" s="880"/>
      <c r="E15" s="879">
        <v>5254221532.4592857</v>
      </c>
      <c r="G15" s="875"/>
    </row>
    <row r="16" spans="1:8">
      <c r="A16" s="870">
        <f t="shared" si="0"/>
        <v>8</v>
      </c>
      <c r="C16" s="864"/>
      <c r="D16" s="869"/>
      <c r="E16" s="864"/>
    </row>
    <row r="17" spans="1:12">
      <c r="A17" s="870">
        <f t="shared" si="0"/>
        <v>9</v>
      </c>
      <c r="B17" s="862" t="s">
        <v>780</v>
      </c>
      <c r="C17" s="879">
        <v>1896820343.2059424</v>
      </c>
      <c r="D17" s="880"/>
      <c r="E17" s="881">
        <v>2048362005.8307147</v>
      </c>
      <c r="F17" s="882"/>
      <c r="H17" s="883"/>
    </row>
    <row r="18" spans="1:12">
      <c r="A18" s="870">
        <f t="shared" si="0"/>
        <v>10</v>
      </c>
      <c r="C18" s="884"/>
      <c r="D18" s="885"/>
      <c r="E18" s="864"/>
      <c r="F18" s="882"/>
      <c r="G18" s="875"/>
      <c r="H18" s="875"/>
    </row>
    <row r="19" spans="1:12">
      <c r="A19" s="870">
        <f t="shared" si="0"/>
        <v>11</v>
      </c>
      <c r="B19" s="863" t="s">
        <v>781</v>
      </c>
      <c r="C19" s="874">
        <f>C15+C17</f>
        <v>6960295644.5120859</v>
      </c>
      <c r="D19" s="886"/>
      <c r="E19" s="874">
        <f>E15+E17</f>
        <v>7302583538.2900009</v>
      </c>
      <c r="F19" s="882"/>
      <c r="G19" s="883"/>
      <c r="H19" s="883"/>
    </row>
    <row r="20" spans="1:12">
      <c r="A20" s="870">
        <f t="shared" si="0"/>
        <v>12</v>
      </c>
      <c r="C20" s="864"/>
      <c r="D20" s="869"/>
      <c r="E20" s="864"/>
      <c r="F20" s="882"/>
    </row>
    <row r="21" spans="1:12">
      <c r="A21" s="870">
        <f t="shared" si="0"/>
        <v>13</v>
      </c>
      <c r="B21" s="863" t="s">
        <v>782</v>
      </c>
      <c r="C21" s="874">
        <v>622180615.9970839</v>
      </c>
      <c r="D21" s="886"/>
      <c r="E21" s="887">
        <v>590577885.8499999</v>
      </c>
      <c r="F21" s="882"/>
      <c r="G21" s="883"/>
      <c r="H21" s="883"/>
    </row>
    <row r="22" spans="1:12">
      <c r="A22" s="870">
        <f t="shared" si="0"/>
        <v>14</v>
      </c>
      <c r="C22" s="884"/>
      <c r="D22" s="885"/>
      <c r="E22" s="864"/>
      <c r="F22" s="882"/>
      <c r="G22" s="883"/>
      <c r="H22" s="883"/>
    </row>
    <row r="23" spans="1:12">
      <c r="A23" s="870">
        <f t="shared" si="0"/>
        <v>15</v>
      </c>
      <c r="B23" s="888" t="s">
        <v>783</v>
      </c>
      <c r="C23" s="889">
        <f>C19+C21</f>
        <v>7582476260.5091696</v>
      </c>
      <c r="D23" s="880"/>
      <c r="E23" s="890">
        <f>E19+E21</f>
        <v>7893161424.1400013</v>
      </c>
      <c r="F23" s="882"/>
    </row>
    <row r="24" spans="1:12">
      <c r="A24" s="870">
        <f t="shared" si="0"/>
        <v>16</v>
      </c>
      <c r="C24" s="884"/>
      <c r="D24" s="885"/>
      <c r="E24" s="864"/>
      <c r="F24" s="882"/>
      <c r="L24" s="1093"/>
    </row>
    <row r="25" spans="1:12" ht="13.8" thickBot="1">
      <c r="A25" s="870">
        <f t="shared" si="0"/>
        <v>17</v>
      </c>
      <c r="B25" s="891" t="s">
        <v>784</v>
      </c>
      <c r="C25" s="892">
        <f>C11-C23</f>
        <v>217589311.07958126</v>
      </c>
      <c r="D25" s="893"/>
      <c r="E25" s="892">
        <f>E11-E23</f>
        <v>206372104.49999905</v>
      </c>
      <c r="F25" s="882"/>
      <c r="G25" s="883"/>
      <c r="H25" s="883"/>
    </row>
    <row r="26" spans="1:12" ht="13.8" thickTop="1">
      <c r="A26" s="870">
        <f t="shared" si="0"/>
        <v>18</v>
      </c>
      <c r="B26" s="894"/>
      <c r="C26" s="895"/>
      <c r="D26" s="1086"/>
      <c r="E26" s="895"/>
      <c r="F26" s="882"/>
    </row>
    <row r="27" spans="1:12">
      <c r="A27" s="870">
        <f t="shared" si="0"/>
        <v>19</v>
      </c>
      <c r="B27" s="862" t="s">
        <v>425</v>
      </c>
      <c r="D27" s="1087"/>
    </row>
    <row r="28" spans="1:12">
      <c r="A28" s="870">
        <f t="shared" si="0"/>
        <v>20</v>
      </c>
      <c r="B28" s="896" t="s">
        <v>785</v>
      </c>
      <c r="C28" s="897"/>
      <c r="D28" s="1088"/>
      <c r="E28" s="898"/>
    </row>
    <row r="29" spans="1:12">
      <c r="A29" s="870">
        <f t="shared" si="0"/>
        <v>21</v>
      </c>
      <c r="B29" s="899" t="s">
        <v>786</v>
      </c>
      <c r="C29" s="900">
        <f>C25*C30</f>
        <v>145303204.9988502</v>
      </c>
      <c r="D29" s="901"/>
      <c r="E29" s="902">
        <f>E25*E30</f>
        <v>137375215.94916266</v>
      </c>
    </row>
    <row r="30" spans="1:12">
      <c r="A30" s="870">
        <f t="shared" si="0"/>
        <v>22</v>
      </c>
      <c r="B30" s="903" t="s">
        <v>787</v>
      </c>
      <c r="C30" s="904">
        <f>C15/C23</f>
        <v>0.66778650236962656</v>
      </c>
      <c r="D30" s="905"/>
      <c r="E30" s="906">
        <f>E15/E23</f>
        <v>0.66566756336568389</v>
      </c>
    </row>
    <row r="31" spans="1:12">
      <c r="A31" s="870">
        <f t="shared" si="0"/>
        <v>23</v>
      </c>
      <c r="B31" s="899" t="s">
        <v>788</v>
      </c>
      <c r="C31" s="900">
        <f>C25*C32</f>
        <v>54431800.053166389</v>
      </c>
      <c r="D31" s="901"/>
      <c r="E31" s="902">
        <f>E25*E32</f>
        <v>53555825.759281471</v>
      </c>
    </row>
    <row r="32" spans="1:12">
      <c r="A32" s="870">
        <f t="shared" si="0"/>
        <v>24</v>
      </c>
      <c r="B32" s="903" t="s">
        <v>789</v>
      </c>
      <c r="C32" s="904">
        <f>C17/C23</f>
        <v>0.25015842820173489</v>
      </c>
      <c r="D32" s="905"/>
      <c r="E32" s="906">
        <f>E17/E23</f>
        <v>0.25951097358355291</v>
      </c>
    </row>
    <row r="33" spans="1:8">
      <c r="A33" s="870">
        <f t="shared" si="0"/>
        <v>25</v>
      </c>
      <c r="B33" s="899" t="s">
        <v>790</v>
      </c>
      <c r="C33" s="900">
        <f>C25*C34</f>
        <v>17854306.027564682</v>
      </c>
      <c r="D33" s="901"/>
      <c r="E33" s="902">
        <f>E25*E34</f>
        <v>15441062.791554904</v>
      </c>
    </row>
    <row r="34" spans="1:8">
      <c r="A34" s="870">
        <f t="shared" si="0"/>
        <v>26</v>
      </c>
      <c r="B34" s="903" t="s">
        <v>791</v>
      </c>
      <c r="C34" s="907">
        <f>C21/C23</f>
        <v>8.2055069428638605E-2</v>
      </c>
      <c r="D34" s="901"/>
      <c r="E34" s="908">
        <f>E21/E23</f>
        <v>7.4821463050763121E-2</v>
      </c>
    </row>
    <row r="35" spans="1:8" ht="13.8" thickBot="1">
      <c r="A35" s="870">
        <f t="shared" si="0"/>
        <v>27</v>
      </c>
      <c r="B35" s="899" t="s">
        <v>792</v>
      </c>
      <c r="C35" s="909">
        <f>C29+C31+C33</f>
        <v>217589311.07958126</v>
      </c>
      <c r="D35" s="910"/>
      <c r="E35" s="911">
        <f>E29+E31+E33</f>
        <v>206372104.49999902</v>
      </c>
    </row>
    <row r="36" spans="1:8" ht="13.8" thickTop="1">
      <c r="A36" s="870">
        <f t="shared" si="0"/>
        <v>28</v>
      </c>
      <c r="B36" s="912"/>
      <c r="C36" s="913"/>
      <c r="D36" s="914"/>
      <c r="E36" s="915"/>
    </row>
    <row r="37" spans="1:8">
      <c r="C37" s="916"/>
      <c r="E37" s="916"/>
      <c r="G37" s="916"/>
      <c r="H37" s="916"/>
    </row>
    <row r="38" spans="1:8">
      <c r="C38" s="916"/>
      <c r="E38" s="916"/>
      <c r="G38" s="916"/>
    </row>
  </sheetData>
  <mergeCells count="2">
    <mergeCell ref="A2:E2"/>
    <mergeCell ref="A3:E3"/>
  </mergeCells>
  <printOptions horizontalCentered="1"/>
  <pageMargins left="0.45" right="0.45" top="0.5" bottom="0.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3B0AE7B8DA21C4F9AB3014D07C65386" ma:contentTypeVersion="48" ma:contentTypeDescription="" ma:contentTypeScope="" ma:versionID="de62746ef021ffd597f6382be85bcb1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2019-06-20T07:00:00+00:00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190530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478E578-FBE5-4224-9759-862D21BB6250}"/>
</file>

<file path=customXml/itemProps2.xml><?xml version="1.0" encoding="utf-8"?>
<ds:datastoreItem xmlns:ds="http://schemas.openxmlformats.org/officeDocument/2006/customXml" ds:itemID="{3EAD0319-DACD-4E30-B914-AAB3B08843E1}"/>
</file>

<file path=customXml/itemProps3.xml><?xml version="1.0" encoding="utf-8"?>
<ds:datastoreItem xmlns:ds="http://schemas.openxmlformats.org/officeDocument/2006/customXml" ds:itemID="{57000F55-C54A-4C44-BA7A-400848EF50AB}"/>
</file>

<file path=customXml/itemProps4.xml><?xml version="1.0" encoding="utf-8"?>
<ds:datastoreItem xmlns:ds="http://schemas.openxmlformats.org/officeDocument/2006/customXml" ds:itemID="{C8119FD2-DDC9-43FA-9D7B-434950B835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95</vt:i4>
      </vt:variant>
    </vt:vector>
  </HeadingPairs>
  <TitlesOfParts>
    <vt:vector size="122" baseType="lpstr">
      <vt:lpstr>SEF-3E</vt:lpstr>
      <vt:lpstr>SEF-3G</vt:lpstr>
      <vt:lpstr>SEF-4E p 1</vt:lpstr>
      <vt:lpstr>SEF-4E p 2-7</vt:lpstr>
      <vt:lpstr>SEF-4G p 1</vt:lpstr>
      <vt:lpstr>SEF-4G p 2-5</vt:lpstr>
      <vt:lpstr>SEF-5E p 1-2</vt:lpstr>
      <vt:lpstr>SEF-5G p 1</vt:lpstr>
      <vt:lpstr>SEF-5E p 3 &amp; SEF5G p 2 </vt:lpstr>
      <vt:lpstr>SEF-5E p 4 &amp; SEF5G p 3 </vt:lpstr>
      <vt:lpstr>SEF-5E p 5 &amp; SEF-5G p 4</vt:lpstr>
      <vt:lpstr>SEF-6E</vt:lpstr>
      <vt:lpstr>SEF-6G</vt:lpstr>
      <vt:lpstr>SEF-7E</vt:lpstr>
      <vt:lpstr>SEF-7E p 2</vt:lpstr>
      <vt:lpstr>SEF-8G</vt:lpstr>
      <vt:lpstr>SEF-9 p 1</vt:lpstr>
      <vt:lpstr>SEF-9 p 2</vt:lpstr>
      <vt:lpstr>SEF-10 p 1</vt:lpstr>
      <vt:lpstr>SEF-10 p 2</vt:lpstr>
      <vt:lpstr>SEF-10 p 3</vt:lpstr>
      <vt:lpstr>SEF-11</vt:lpstr>
      <vt:lpstr>SJK-3</vt:lpstr>
      <vt:lpstr>SJK-4</vt:lpstr>
      <vt:lpstr>Not An Exhibit ---&gt;</vt:lpstr>
      <vt:lpstr>Named Ranges G</vt:lpstr>
      <vt:lpstr>Named Ranges E</vt:lpstr>
      <vt:lpstr>_AMAtoEOP_Depr_E</vt:lpstr>
      <vt:lpstr>_AMAtoEOP_RB_E</vt:lpstr>
      <vt:lpstr>_AMAtoEOP_RB_G</vt:lpstr>
      <vt:lpstr>_AMI_E</vt:lpstr>
      <vt:lpstr>_AMI_G</vt:lpstr>
      <vt:lpstr>_AnnualizeRent_E</vt:lpstr>
      <vt:lpstr>_AnnualRentExp_G</vt:lpstr>
      <vt:lpstr>_BadDebt_E</vt:lpstr>
      <vt:lpstr>_BadDebt_G</vt:lpstr>
      <vt:lpstr>_COC_G</vt:lpstr>
      <vt:lpstr>_ContractEsc_G</vt:lpstr>
      <vt:lpstr>_ConvFact_G</vt:lpstr>
      <vt:lpstr>_CreditCardPmt_E</vt:lpstr>
      <vt:lpstr>_D_And_O_E</vt:lpstr>
      <vt:lpstr>_D_and_O_G</vt:lpstr>
      <vt:lpstr>_DefGain_E</vt:lpstr>
      <vt:lpstr>_DefGainAndLosses_G</vt:lpstr>
      <vt:lpstr>_DeprRestmt_G</vt:lpstr>
      <vt:lpstr>_EmplInsurance_E</vt:lpstr>
      <vt:lpstr>_EmployeeIns_G</vt:lpstr>
      <vt:lpstr>_EnvRem_G</vt:lpstr>
      <vt:lpstr>_EnvRemed_E</vt:lpstr>
      <vt:lpstr>_ExciseTax_G</vt:lpstr>
      <vt:lpstr>_ExcTax_E</vt:lpstr>
      <vt:lpstr>_FedIncTax_G</vt:lpstr>
      <vt:lpstr>_FIT_E_E</vt:lpstr>
      <vt:lpstr>_GTZ_E</vt:lpstr>
      <vt:lpstr>_GTZ_G</vt:lpstr>
      <vt:lpstr>_HRTops_E</vt:lpstr>
      <vt:lpstr>_HRTops_G</vt:lpstr>
      <vt:lpstr>_Incentives_E</vt:lpstr>
      <vt:lpstr>_Incentives_G</vt:lpstr>
      <vt:lpstr>_InjAndDam_E</vt:lpstr>
      <vt:lpstr>_IntOnCustDep_G</vt:lpstr>
      <vt:lpstr>_IntOnCustDeposits_E</vt:lpstr>
      <vt:lpstr>_Investment_E</vt:lpstr>
      <vt:lpstr>_InvPlan_G</vt:lpstr>
      <vt:lpstr>_NormInsAndDam_G</vt:lpstr>
      <vt:lpstr>_PassThru_E</vt:lpstr>
      <vt:lpstr>_PassThru_G</vt:lpstr>
      <vt:lpstr>_PaymentProccessing_G</vt:lpstr>
      <vt:lpstr>_Pension_E</vt:lpstr>
      <vt:lpstr>_PensionPlan_G</vt:lpstr>
      <vt:lpstr>_ProformCRM_G</vt:lpstr>
      <vt:lpstr>_PropAndLiab_E</vt:lpstr>
      <vt:lpstr>_PropAndLiab_G</vt:lpstr>
      <vt:lpstr>_PublicImpr_G</vt:lpstr>
      <vt:lpstr>_RateCaseExp_E</vt:lpstr>
      <vt:lpstr>_RateCaseExp_G</vt:lpstr>
      <vt:lpstr>_RateIncr_G</vt:lpstr>
      <vt:lpstr>_RemoveCRM_G</vt:lpstr>
      <vt:lpstr>_RevAndExp_E</vt:lpstr>
      <vt:lpstr>_RevAndExp_G</vt:lpstr>
      <vt:lpstr>_TBOPI_E</vt:lpstr>
      <vt:lpstr>_TBOPI_G</vt:lpstr>
      <vt:lpstr>_TempNorm_E</vt:lpstr>
      <vt:lpstr>_TempNorm_G</vt:lpstr>
      <vt:lpstr>_UnprotcdFFIT_E</vt:lpstr>
      <vt:lpstr>_UnprotectedDFIT_G</vt:lpstr>
      <vt:lpstr>_WageInc_E</vt:lpstr>
      <vt:lpstr>_WageIncr_G</vt:lpstr>
      <vt:lpstr>BD_E</vt:lpstr>
      <vt:lpstr>BD_G</vt:lpstr>
      <vt:lpstr>CASE_E</vt:lpstr>
      <vt:lpstr>CASE_G</vt:lpstr>
      <vt:lpstr>Comp_E</vt:lpstr>
      <vt:lpstr>Comp_G</vt:lpstr>
      <vt:lpstr>Conv_Factor_E</vt:lpstr>
      <vt:lpstr>Conv_Factor_G</vt:lpstr>
      <vt:lpstr>COST_OF_CAPITAL_E</vt:lpstr>
      <vt:lpstr>COST_OF_CAPITAL_G</vt:lpstr>
      <vt:lpstr>DOCKETNUMBER_E</vt:lpstr>
      <vt:lpstr>DOCKETNUMBER_G</vt:lpstr>
      <vt:lpstr>EXHIBIT_E</vt:lpstr>
      <vt:lpstr>EXHIBIT_G</vt:lpstr>
      <vt:lpstr>FF_E</vt:lpstr>
      <vt:lpstr>FF_G</vt:lpstr>
      <vt:lpstr>FIT_E</vt:lpstr>
      <vt:lpstr>FIT_G</vt:lpstr>
      <vt:lpstr>'SEF-11'!Print_Area</vt:lpstr>
      <vt:lpstr>'SEF-4E p 1'!Print_Area</vt:lpstr>
      <vt:lpstr>'SEF-4E p 2-7'!Print_Area</vt:lpstr>
      <vt:lpstr>'SEF-4G p 1'!Print_Area</vt:lpstr>
      <vt:lpstr>'SEF-4G p 2-5'!Print_Area</vt:lpstr>
      <vt:lpstr>'SEF-4E p 1'!Print_Titles</vt:lpstr>
      <vt:lpstr>'SEF-4E p 2-7'!Print_Titles</vt:lpstr>
      <vt:lpstr>'SEF-4G p 1'!Print_Titles</vt:lpstr>
      <vt:lpstr>'SEF-4G p 2-5'!Print_Titles</vt:lpstr>
      <vt:lpstr>'SEF-5E p 1-2'!Print_Titles</vt:lpstr>
      <vt:lpstr>RATE_Increase_E</vt:lpstr>
      <vt:lpstr>RATE_Increase_G</vt:lpstr>
      <vt:lpstr>RY_E</vt:lpstr>
      <vt:lpstr>RY_G</vt:lpstr>
      <vt:lpstr>TESTYEAR_E</vt:lpstr>
      <vt:lpstr>TESTYEAR_G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SFree</dc:creator>
  <cp:lastModifiedBy>No Name</cp:lastModifiedBy>
  <cp:lastPrinted>2019-06-19T03:51:46Z</cp:lastPrinted>
  <dcterms:created xsi:type="dcterms:W3CDTF">2019-06-08T17:02:16Z</dcterms:created>
  <dcterms:modified xsi:type="dcterms:W3CDTF">2019-06-19T04:30:27Z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0x0101006E56B4D1795A2E4DB2F0B01679ED314A0013B0AE7B8DA21C4F9AB3014D07C65386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