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A ERM and REC Reports\2022\08 Aug 2022\"/>
    </mc:Choice>
  </mc:AlternateContent>
  <xr:revisionPtr revIDLastSave="0" documentId="8_{4CEE5DB4-C14E-4472-8806-30B5B27EA814}" xr6:coauthVersionLast="47" xr6:coauthVersionMax="47" xr10:uidLastSave="{00000000-0000-0000-0000-000000000000}"/>
  <bookViews>
    <workbookView xWindow="-120" yWindow="-120" windowWidth="29040" windowHeight="15840" xr2:uid="{660CF750-A4CE-4C1C-8B64-CC5B84F59931}"/>
  </bookViews>
  <sheets>
    <sheet name="WA Summary " sheetId="1" r:id="rId1"/>
    <sheet name="WA Monthly" sheetId="2" r:id="rId2"/>
    <sheet name="WA RRC" sheetId="3" r:id="rId3"/>
  </sheets>
  <externalReferences>
    <externalReference r:id="rId4"/>
  </externalReferences>
  <definedNames>
    <definedName name="_xlnm._FilterDatabase" localSheetId="1" hidden="1">'WA Monthly'!$A$4:$P$40</definedName>
    <definedName name="AVARpt">'WA Monthly'!$A$6:$P$143</definedName>
    <definedName name="DefRpt">'WA Monthly'!$P$87</definedName>
    <definedName name="GLAccts">'WA Monthly'!$B$89:$R$131</definedName>
    <definedName name="_xlnm.Print_Area" localSheetId="1">'WA Monthly'!$A$1:$R$145</definedName>
    <definedName name="_xlnm.Print_Area" localSheetId="2">'WA RRC'!$A$1:$N$15</definedName>
    <definedName name="_xlnm.Print_Area" localSheetId="0">'WA Summary '!$A$1:$Q$42</definedName>
    <definedName name="_xlnm.Print_Titles" localSheetId="1">'WA Monthly'!$A:$D,'WA Monthly'!$1:$5</definedName>
    <definedName name="WAAVARpt">'WA Monthly'!$A$6:$P$143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3" l="1"/>
  <c r="B18" i="3"/>
  <c r="J15" i="3"/>
  <c r="M14" i="3"/>
  <c r="L14" i="3"/>
  <c r="K14" i="3"/>
  <c r="J14" i="3"/>
  <c r="I14" i="3"/>
  <c r="H14" i="3"/>
  <c r="G14" i="3"/>
  <c r="F14" i="3"/>
  <c r="E14" i="3"/>
  <c r="D14" i="3"/>
  <c r="C14" i="3"/>
  <c r="B14" i="3"/>
  <c r="K13" i="3"/>
  <c r="M12" i="3"/>
  <c r="L12" i="3"/>
  <c r="K12" i="3"/>
  <c r="J12" i="3"/>
  <c r="I12" i="3"/>
  <c r="H12" i="3"/>
  <c r="G12" i="3"/>
  <c r="F12" i="3"/>
  <c r="E12" i="3"/>
  <c r="D12" i="3"/>
  <c r="C12" i="3"/>
  <c r="B12" i="3"/>
  <c r="N12" i="3" s="1"/>
  <c r="M10" i="3"/>
  <c r="L10" i="3"/>
  <c r="K10" i="3"/>
  <c r="J10" i="3"/>
  <c r="I10" i="3"/>
  <c r="H10" i="3"/>
  <c r="G10" i="3"/>
  <c r="F10" i="3"/>
  <c r="E10" i="3"/>
  <c r="D10" i="3"/>
  <c r="C10" i="3"/>
  <c r="B10" i="3"/>
  <c r="N10" i="3" s="1"/>
  <c r="K9" i="3"/>
  <c r="G9" i="3"/>
  <c r="C9" i="3"/>
  <c r="B9" i="3"/>
  <c r="M8" i="3"/>
  <c r="M15" i="3" s="1"/>
  <c r="L8" i="3"/>
  <c r="K8" i="3"/>
  <c r="K19" i="3" s="1"/>
  <c r="K20" i="3" s="1"/>
  <c r="J8" i="3"/>
  <c r="J13" i="3" s="1"/>
  <c r="I8" i="3"/>
  <c r="H8" i="3"/>
  <c r="G8" i="3"/>
  <c r="F8" i="3"/>
  <c r="E8" i="3"/>
  <c r="D8" i="3"/>
  <c r="C8" i="3"/>
  <c r="B8" i="3"/>
  <c r="C7" i="3"/>
  <c r="C18" i="3" s="1"/>
  <c r="Q141" i="2"/>
  <c r="P141" i="2"/>
  <c r="O141" i="2"/>
  <c r="N141" i="2"/>
  <c r="M141" i="2"/>
  <c r="L141" i="2"/>
  <c r="K141" i="2"/>
  <c r="J141" i="2"/>
  <c r="I141" i="2"/>
  <c r="H141" i="2"/>
  <c r="G141" i="2"/>
  <c r="F141" i="2"/>
  <c r="D141" i="2" s="1"/>
  <c r="E141" i="2"/>
  <c r="R140" i="2"/>
  <c r="R141" i="2" s="1"/>
  <c r="D140" i="2"/>
  <c r="D139" i="2"/>
  <c r="R138" i="2"/>
  <c r="D138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 s="1"/>
  <c r="R135" i="2"/>
  <c r="D135" i="2"/>
  <c r="R134" i="2"/>
  <c r="D134" i="2"/>
  <c r="R130" i="2"/>
  <c r="D130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R126" i="2"/>
  <c r="D126" i="2"/>
  <c r="R125" i="2"/>
  <c r="D125" i="2"/>
  <c r="R124" i="2"/>
  <c r="D124" i="2"/>
  <c r="D123" i="2"/>
  <c r="D122" i="2"/>
  <c r="R121" i="2"/>
  <c r="D121" i="2"/>
  <c r="R120" i="2"/>
  <c r="D120" i="2"/>
  <c r="R119" i="2"/>
  <c r="D119" i="2"/>
  <c r="R118" i="2"/>
  <c r="D118" i="2"/>
  <c r="R117" i="2"/>
  <c r="D117" i="2"/>
  <c r="R116" i="2"/>
  <c r="D116" i="2"/>
  <c r="R115" i="2"/>
  <c r="D115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1" i="2"/>
  <c r="D110" i="2"/>
  <c r="D109" i="2"/>
  <c r="D108" i="2"/>
  <c r="D112" i="2" s="1"/>
  <c r="P105" i="2"/>
  <c r="O105" i="2"/>
  <c r="N105" i="2"/>
  <c r="M105" i="2"/>
  <c r="L105" i="2"/>
  <c r="K105" i="2"/>
  <c r="J105" i="2"/>
  <c r="I105" i="2"/>
  <c r="H105" i="2"/>
  <c r="G105" i="2"/>
  <c r="F105" i="2"/>
  <c r="E105" i="2"/>
  <c r="A105" i="2"/>
  <c r="A108" i="2" s="1"/>
  <c r="A109" i="2" s="1"/>
  <c r="A110" i="2" s="1"/>
  <c r="A111" i="2" s="1"/>
  <c r="A112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30" i="2" s="1"/>
  <c r="A131" i="2" s="1"/>
  <c r="A134" i="2" s="1"/>
  <c r="A135" i="2" s="1"/>
  <c r="A136" i="2" s="1"/>
  <c r="A138" i="2" s="1"/>
  <c r="A139" i="2" s="1"/>
  <c r="A140" i="2" s="1"/>
  <c r="A141" i="2" s="1"/>
  <c r="A143" i="2" s="1"/>
  <c r="A145" i="2" s="1"/>
  <c r="R104" i="2"/>
  <c r="D104" i="2"/>
  <c r="R103" i="2"/>
  <c r="D103" i="2"/>
  <c r="R102" i="2"/>
  <c r="D102" i="2"/>
  <c r="P99" i="2"/>
  <c r="O99" i="2"/>
  <c r="N99" i="2"/>
  <c r="M99" i="2"/>
  <c r="L99" i="2"/>
  <c r="K99" i="2"/>
  <c r="J99" i="2"/>
  <c r="I99" i="2"/>
  <c r="H99" i="2"/>
  <c r="G99" i="2"/>
  <c r="F99" i="2"/>
  <c r="E99" i="2"/>
  <c r="R99" i="2" s="1"/>
  <c r="R98" i="2"/>
  <c r="D98" i="2"/>
  <c r="R97" i="2"/>
  <c r="D97" i="2"/>
  <c r="R96" i="2"/>
  <c r="D96" i="2"/>
  <c r="R95" i="2"/>
  <c r="D95" i="2"/>
  <c r="A95" i="2"/>
  <c r="A96" i="2" s="1"/>
  <c r="A97" i="2" s="1"/>
  <c r="A98" i="2" s="1"/>
  <c r="A99" i="2" s="1"/>
  <c r="A102" i="2" s="1"/>
  <c r="A103" i="2" s="1"/>
  <c r="A104" i="2" s="1"/>
  <c r="D94" i="2"/>
  <c r="A94" i="2"/>
  <c r="R93" i="2"/>
  <c r="D93" i="2"/>
  <c r="A93" i="2"/>
  <c r="R92" i="2"/>
  <c r="D92" i="2"/>
  <c r="R91" i="2"/>
  <c r="D91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 s="1"/>
  <c r="R84" i="2"/>
  <c r="D84" i="2"/>
  <c r="R83" i="2"/>
  <c r="D83" i="2"/>
  <c r="R82" i="2"/>
  <c r="D82" i="2"/>
  <c r="R81" i="2"/>
  <c r="D81" i="2"/>
  <c r="R80" i="2"/>
  <c r="D80" i="2"/>
  <c r="R79" i="2"/>
  <c r="R85" i="2" s="1"/>
  <c r="D79" i="2"/>
  <c r="P75" i="2"/>
  <c r="N75" i="2"/>
  <c r="L75" i="2"/>
  <c r="J75" i="2"/>
  <c r="H75" i="2"/>
  <c r="F75" i="2"/>
  <c r="P72" i="2"/>
  <c r="P76" i="2" s="1"/>
  <c r="O72" i="2"/>
  <c r="O76" i="2" s="1"/>
  <c r="N72" i="2"/>
  <c r="N76" i="2" s="1"/>
  <c r="M72" i="2"/>
  <c r="M76" i="2" s="1"/>
  <c r="L72" i="2"/>
  <c r="L76" i="2" s="1"/>
  <c r="K72" i="2"/>
  <c r="K76" i="2" s="1"/>
  <c r="J72" i="2"/>
  <c r="J76" i="2" s="1"/>
  <c r="I72" i="2"/>
  <c r="I76" i="2" s="1"/>
  <c r="H72" i="2"/>
  <c r="H76" i="2" s="1"/>
  <c r="G72" i="2"/>
  <c r="G76" i="2" s="1"/>
  <c r="F72" i="2"/>
  <c r="F76" i="2" s="1"/>
  <c r="E72" i="2"/>
  <c r="E76" i="2" s="1"/>
  <c r="D72" i="2"/>
  <c r="P71" i="2"/>
  <c r="O71" i="2"/>
  <c r="O75" i="2" s="1"/>
  <c r="N71" i="2"/>
  <c r="M71" i="2"/>
  <c r="M75" i="2" s="1"/>
  <c r="L71" i="2"/>
  <c r="K71" i="2"/>
  <c r="K75" i="2" s="1"/>
  <c r="J71" i="2"/>
  <c r="I71" i="2"/>
  <c r="I75" i="2" s="1"/>
  <c r="H71" i="2"/>
  <c r="G71" i="2"/>
  <c r="G75" i="2" s="1"/>
  <c r="F71" i="2"/>
  <c r="E71" i="2"/>
  <c r="P68" i="2"/>
  <c r="O68" i="2"/>
  <c r="N68" i="2"/>
  <c r="M68" i="2"/>
  <c r="L68" i="2"/>
  <c r="K68" i="2"/>
  <c r="J68" i="2"/>
  <c r="I68" i="2"/>
  <c r="H68" i="2"/>
  <c r="G68" i="2"/>
  <c r="F68" i="2"/>
  <c r="D68" i="2" s="1"/>
  <c r="E68" i="2"/>
  <c r="R67" i="2"/>
  <c r="D67" i="2"/>
  <c r="R66" i="2"/>
  <c r="D66" i="2"/>
  <c r="R65" i="2"/>
  <c r="D65" i="2"/>
  <c r="R64" i="2"/>
  <c r="D64" i="2"/>
  <c r="P61" i="2"/>
  <c r="O61" i="2"/>
  <c r="O48" i="2" s="1"/>
  <c r="N61" i="2"/>
  <c r="M61" i="2"/>
  <c r="M48" i="2" s="1"/>
  <c r="L61" i="2"/>
  <c r="K61" i="2"/>
  <c r="K48" i="2" s="1"/>
  <c r="I61" i="2"/>
  <c r="I48" i="2" s="1"/>
  <c r="G61" i="2"/>
  <c r="G48" i="2" s="1"/>
  <c r="F61" i="2"/>
  <c r="E61" i="2"/>
  <c r="J60" i="2"/>
  <c r="J61" i="2" s="1"/>
  <c r="J48" i="2" s="1"/>
  <c r="J43" i="2" s="1"/>
  <c r="I60" i="2"/>
  <c r="H60" i="2"/>
  <c r="G60" i="2"/>
  <c r="D59" i="2"/>
  <c r="R58" i="2"/>
  <c r="D58" i="2"/>
  <c r="R57" i="2"/>
  <c r="D57" i="2"/>
  <c r="R56" i="2"/>
  <c r="D56" i="2"/>
  <c r="R55" i="2"/>
  <c r="D55" i="2"/>
  <c r="R54" i="2"/>
  <c r="R61" i="2" s="1"/>
  <c r="D54" i="2"/>
  <c r="D53" i="2"/>
  <c r="R52" i="2"/>
  <c r="D52" i="2"/>
  <c r="P48" i="2"/>
  <c r="P43" i="2" s="1"/>
  <c r="N48" i="2"/>
  <c r="L48" i="2"/>
  <c r="L43" i="2" s="1"/>
  <c r="F48" i="2"/>
  <c r="P47" i="2"/>
  <c r="O47" i="2"/>
  <c r="N47" i="2"/>
  <c r="M47" i="2"/>
  <c r="L47" i="2"/>
  <c r="K47" i="2"/>
  <c r="J47" i="2"/>
  <c r="I47" i="2"/>
  <c r="H47" i="2"/>
  <c r="G47" i="2"/>
  <c r="F47" i="2"/>
  <c r="E47" i="2"/>
  <c r="P46" i="2"/>
  <c r="O46" i="2"/>
  <c r="N46" i="2"/>
  <c r="M46" i="2"/>
  <c r="L46" i="2"/>
  <c r="K46" i="2"/>
  <c r="J46" i="2"/>
  <c r="I46" i="2"/>
  <c r="H46" i="2"/>
  <c r="G46" i="2"/>
  <c r="F46" i="2"/>
  <c r="E46" i="2"/>
  <c r="R46" i="2" s="1"/>
  <c r="D46" i="2"/>
  <c r="P45" i="2"/>
  <c r="O45" i="2"/>
  <c r="N45" i="2"/>
  <c r="M45" i="2"/>
  <c r="M43" i="2" s="1"/>
  <c r="L45" i="2"/>
  <c r="K45" i="2"/>
  <c r="K43" i="2" s="1"/>
  <c r="J45" i="2"/>
  <c r="I45" i="2"/>
  <c r="H45" i="2"/>
  <c r="G45" i="2"/>
  <c r="G43" i="2" s="1"/>
  <c r="F45" i="2"/>
  <c r="E45" i="2"/>
  <c r="P44" i="2"/>
  <c r="O44" i="2"/>
  <c r="N44" i="2"/>
  <c r="M44" i="2"/>
  <c r="L44" i="2"/>
  <c r="K44" i="2"/>
  <c r="J44" i="2"/>
  <c r="I44" i="2"/>
  <c r="H44" i="2"/>
  <c r="G44" i="2"/>
  <c r="F44" i="2"/>
  <c r="D44" i="2" s="1"/>
  <c r="E44" i="2"/>
  <c r="O43" i="2"/>
  <c r="N40" i="2"/>
  <c r="N24" i="2" s="1"/>
  <c r="M40" i="2"/>
  <c r="L40" i="2"/>
  <c r="L24" i="2" s="1"/>
  <c r="H40" i="2"/>
  <c r="H24" i="2" s="1"/>
  <c r="P39" i="2"/>
  <c r="P40" i="2" s="1"/>
  <c r="P24" i="2" s="1"/>
  <c r="P87" i="2" s="1"/>
  <c r="O39" i="2"/>
  <c r="O40" i="2" s="1"/>
  <c r="O24" i="2" s="1"/>
  <c r="O145" i="2" s="1"/>
  <c r="N39" i="2"/>
  <c r="M39" i="2"/>
  <c r="L39" i="2"/>
  <c r="K39" i="2"/>
  <c r="J39" i="2"/>
  <c r="J40" i="2" s="1"/>
  <c r="J24" i="2" s="1"/>
  <c r="I39" i="2"/>
  <c r="H39" i="2"/>
  <c r="G39" i="2"/>
  <c r="F39" i="2"/>
  <c r="F40" i="2" s="1"/>
  <c r="F24" i="2" s="1"/>
  <c r="E39" i="2"/>
  <c r="R39" i="2" s="1"/>
  <c r="D39" i="2"/>
  <c r="L38" i="2"/>
  <c r="K38" i="2"/>
  <c r="K40" i="2" s="1"/>
  <c r="J38" i="2"/>
  <c r="I38" i="2"/>
  <c r="I40" i="2" s="1"/>
  <c r="H38" i="2"/>
  <c r="G38" i="2"/>
  <c r="G40" i="2" s="1"/>
  <c r="F38" i="2"/>
  <c r="E38" i="2"/>
  <c r="D37" i="2"/>
  <c r="R36" i="2"/>
  <c r="D36" i="2"/>
  <c r="R35" i="2"/>
  <c r="D35" i="2"/>
  <c r="R34" i="2"/>
  <c r="D34" i="2"/>
  <c r="R33" i="2"/>
  <c r="D33" i="2"/>
  <c r="R32" i="2"/>
  <c r="D32" i="2"/>
  <c r="R31" i="2"/>
  <c r="D31" i="2"/>
  <c r="R30" i="2"/>
  <c r="D30" i="2"/>
  <c r="D29" i="2"/>
  <c r="R28" i="2"/>
  <c r="D28" i="2"/>
  <c r="M24" i="2"/>
  <c r="K24" i="2"/>
  <c r="I24" i="2"/>
  <c r="G24" i="2"/>
  <c r="P23" i="2"/>
  <c r="O23" i="2"/>
  <c r="N23" i="2"/>
  <c r="M23" i="2"/>
  <c r="L23" i="2"/>
  <c r="K23" i="2"/>
  <c r="J23" i="2"/>
  <c r="I23" i="2"/>
  <c r="H23" i="2"/>
  <c r="G23" i="2"/>
  <c r="F23" i="2"/>
  <c r="D23" i="2" s="1"/>
  <c r="E23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 s="1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P20" i="2"/>
  <c r="O20" i="2"/>
  <c r="N20" i="2"/>
  <c r="M20" i="2"/>
  <c r="L20" i="2"/>
  <c r="K20" i="2"/>
  <c r="J20" i="2"/>
  <c r="I20" i="2"/>
  <c r="H20" i="2"/>
  <c r="G20" i="2"/>
  <c r="F20" i="2"/>
  <c r="D20" i="2" s="1"/>
  <c r="E20" i="2"/>
  <c r="P19" i="2"/>
  <c r="O19" i="2"/>
  <c r="N19" i="2"/>
  <c r="M19" i="2"/>
  <c r="L19" i="2"/>
  <c r="K19" i="2"/>
  <c r="J19" i="2"/>
  <c r="I19" i="2"/>
  <c r="H19" i="2"/>
  <c r="G19" i="2"/>
  <c r="F19" i="2"/>
  <c r="E19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 s="1"/>
  <c r="P17" i="2"/>
  <c r="O17" i="2"/>
  <c r="N17" i="2"/>
  <c r="M17" i="2"/>
  <c r="L17" i="2"/>
  <c r="K17" i="2"/>
  <c r="J17" i="2"/>
  <c r="I17" i="2"/>
  <c r="H17" i="2"/>
  <c r="G17" i="2"/>
  <c r="F17" i="2"/>
  <c r="E17" i="2"/>
  <c r="D17" i="2" s="1"/>
  <c r="P16" i="2"/>
  <c r="O16" i="2"/>
  <c r="N16" i="2"/>
  <c r="M16" i="2"/>
  <c r="L16" i="2"/>
  <c r="K16" i="2"/>
  <c r="J16" i="2"/>
  <c r="I16" i="2"/>
  <c r="H16" i="2"/>
  <c r="G16" i="2"/>
  <c r="D16" i="2" s="1"/>
  <c r="F16" i="2"/>
  <c r="E16" i="2"/>
  <c r="P15" i="2"/>
  <c r="O15" i="2"/>
  <c r="N15" i="2"/>
  <c r="M15" i="2"/>
  <c r="L15" i="2"/>
  <c r="K15" i="2"/>
  <c r="J15" i="2"/>
  <c r="I15" i="2"/>
  <c r="H15" i="2"/>
  <c r="G15" i="2"/>
  <c r="F15" i="2"/>
  <c r="E15" i="2"/>
  <c r="R15" i="2" s="1"/>
  <c r="D15" i="2"/>
  <c r="P14" i="2"/>
  <c r="O14" i="2"/>
  <c r="N14" i="2"/>
  <c r="M14" i="2"/>
  <c r="L14" i="2"/>
  <c r="K14" i="2"/>
  <c r="J14" i="2"/>
  <c r="I14" i="2"/>
  <c r="H14" i="2"/>
  <c r="G14" i="2"/>
  <c r="F14" i="2"/>
  <c r="E14" i="2"/>
  <c r="P13" i="2"/>
  <c r="O13" i="2"/>
  <c r="N13" i="2"/>
  <c r="M13" i="2"/>
  <c r="L13" i="2"/>
  <c r="K13" i="2"/>
  <c r="J13" i="2"/>
  <c r="I13" i="2"/>
  <c r="H13" i="2"/>
  <c r="G13" i="2"/>
  <c r="F13" i="2"/>
  <c r="D13" i="2" s="1"/>
  <c r="E13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 s="1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43" i="2" s="1"/>
  <c r="A44" i="2" s="1"/>
  <c r="A45" i="2" s="1"/>
  <c r="A46" i="2" s="1"/>
  <c r="A47" i="2" s="1"/>
  <c r="A48" i="2" s="1"/>
  <c r="A64" i="2" s="1"/>
  <c r="A65" i="2" s="1"/>
  <c r="A66" i="2" s="1"/>
  <c r="A67" i="2" s="1"/>
  <c r="A68" i="2" s="1"/>
  <c r="A71" i="2" s="1"/>
  <c r="A72" i="2" s="1"/>
  <c r="A75" i="2" s="1"/>
  <c r="A76" i="2" s="1"/>
  <c r="A79" i="2" s="1"/>
  <c r="A80" i="2" s="1"/>
  <c r="A81" i="2" s="1"/>
  <c r="A82" i="2" s="1"/>
  <c r="A83" i="2" s="1"/>
  <c r="A84" i="2" s="1"/>
  <c r="A85" i="2" s="1"/>
  <c r="A87" i="2" s="1"/>
  <c r="A91" i="2" s="1"/>
  <c r="P11" i="2"/>
  <c r="O11" i="2"/>
  <c r="N11" i="2"/>
  <c r="M11" i="2"/>
  <c r="L11" i="2"/>
  <c r="K11" i="2"/>
  <c r="J11" i="2"/>
  <c r="I11" i="2"/>
  <c r="H11" i="2"/>
  <c r="G11" i="2"/>
  <c r="F11" i="2"/>
  <c r="D11" i="2" s="1"/>
  <c r="E11" i="2"/>
  <c r="R11" i="2" s="1"/>
  <c r="P10" i="2"/>
  <c r="O10" i="2"/>
  <c r="N10" i="2"/>
  <c r="M10" i="2"/>
  <c r="L10" i="2"/>
  <c r="K10" i="2"/>
  <c r="J10" i="2"/>
  <c r="I10" i="2"/>
  <c r="H10" i="2"/>
  <c r="G10" i="2"/>
  <c r="F10" i="2"/>
  <c r="D10" i="2" s="1"/>
  <c r="E10" i="2"/>
  <c r="P9" i="2"/>
  <c r="O9" i="2"/>
  <c r="N9" i="2"/>
  <c r="M9" i="2"/>
  <c r="L9" i="2"/>
  <c r="K9" i="2"/>
  <c r="J9" i="2"/>
  <c r="I9" i="2"/>
  <c r="H9" i="2"/>
  <c r="G9" i="2"/>
  <c r="F9" i="2"/>
  <c r="E9" i="2"/>
  <c r="R9" i="2" s="1"/>
  <c r="D9" i="2"/>
  <c r="P8" i="2"/>
  <c r="P7" i="2" s="1"/>
  <c r="O8" i="2"/>
  <c r="N8" i="2"/>
  <c r="M8" i="2"/>
  <c r="L8" i="2"/>
  <c r="L7" i="2" s="1"/>
  <c r="K8" i="2"/>
  <c r="J8" i="2"/>
  <c r="I8" i="2"/>
  <c r="H8" i="2"/>
  <c r="H7" i="2" s="1"/>
  <c r="G8" i="2"/>
  <c r="F8" i="2"/>
  <c r="E8" i="2"/>
  <c r="D8" i="2"/>
  <c r="J7" i="2"/>
  <c r="A7" i="2"/>
  <c r="F5" i="2"/>
  <c r="G5" i="2" s="1"/>
  <c r="H5" i="2" s="1"/>
  <c r="I5" i="2" s="1"/>
  <c r="J5" i="2" s="1"/>
  <c r="K5" i="2" s="1"/>
  <c r="L5" i="2" s="1"/>
  <c r="M5" i="2" s="1"/>
  <c r="N5" i="2" s="1"/>
  <c r="O5" i="2" s="1"/>
  <c r="P5" i="2" s="1"/>
  <c r="R17" i="2" l="1"/>
  <c r="N87" i="2"/>
  <c r="N145" i="2"/>
  <c r="N131" i="2"/>
  <c r="R8" i="2"/>
  <c r="R12" i="2"/>
  <c r="R18" i="2"/>
  <c r="R22" i="2"/>
  <c r="I145" i="2"/>
  <c r="I87" i="2"/>
  <c r="I143" i="2"/>
  <c r="I131" i="2"/>
  <c r="I7" i="2"/>
  <c r="F87" i="2"/>
  <c r="F131" i="2"/>
  <c r="J87" i="2"/>
  <c r="J145" i="2" s="1"/>
  <c r="J143" i="2"/>
  <c r="H131" i="2"/>
  <c r="H143" i="2" s="1"/>
  <c r="F43" i="2"/>
  <c r="J131" i="2"/>
  <c r="D14" i="2"/>
  <c r="R14" i="2"/>
  <c r="G143" i="2"/>
  <c r="G131" i="2"/>
  <c r="G87" i="2"/>
  <c r="G145" i="2" s="1"/>
  <c r="G7" i="2"/>
  <c r="D60" i="2"/>
  <c r="H61" i="2"/>
  <c r="H48" i="2" s="1"/>
  <c r="F7" i="2"/>
  <c r="N7" i="2"/>
  <c r="D19" i="2"/>
  <c r="R19" i="2"/>
  <c r="R40" i="2"/>
  <c r="O143" i="2"/>
  <c r="O131" i="2"/>
  <c r="O87" i="2"/>
  <c r="O7" i="2"/>
  <c r="L143" i="2"/>
  <c r="L131" i="2"/>
  <c r="L87" i="2"/>
  <c r="D45" i="2"/>
  <c r="R45" i="2"/>
  <c r="I43" i="2"/>
  <c r="R71" i="2"/>
  <c r="F143" i="2"/>
  <c r="H11" i="3"/>
  <c r="R10" i="2"/>
  <c r="K7" i="2"/>
  <c r="R13" i="2"/>
  <c r="R16" i="2"/>
  <c r="M145" i="2"/>
  <c r="M87" i="2"/>
  <c r="M143" i="2"/>
  <c r="M131" i="2"/>
  <c r="M7" i="2"/>
  <c r="P143" i="2"/>
  <c r="P131" i="2"/>
  <c r="P145" i="2"/>
  <c r="R76" i="2"/>
  <c r="N143" i="2"/>
  <c r="R23" i="2"/>
  <c r="E40" i="2"/>
  <c r="D38" i="2"/>
  <c r="R127" i="2"/>
  <c r="R136" i="2"/>
  <c r="R20" i="2"/>
  <c r="K143" i="2"/>
  <c r="K131" i="2"/>
  <c r="K87" i="2"/>
  <c r="K145" i="2" s="1"/>
  <c r="R44" i="2"/>
  <c r="D47" i="2"/>
  <c r="R47" i="2"/>
  <c r="N43" i="2"/>
  <c r="D61" i="2"/>
  <c r="E48" i="2"/>
  <c r="R75" i="2"/>
  <c r="R68" i="2"/>
  <c r="R105" i="2"/>
  <c r="I15" i="3"/>
  <c r="I19" i="3" s="1"/>
  <c r="E75" i="2"/>
  <c r="D7" i="3"/>
  <c r="L19" i="3"/>
  <c r="D9" i="3"/>
  <c r="N9" i="3" s="1"/>
  <c r="H9" i="3"/>
  <c r="L9" i="3"/>
  <c r="L11" i="3" s="1"/>
  <c r="B11" i="3"/>
  <c r="H13" i="3"/>
  <c r="L13" i="3"/>
  <c r="G15" i="3"/>
  <c r="G19" i="3" s="1"/>
  <c r="K15" i="3"/>
  <c r="M19" i="3"/>
  <c r="D71" i="2"/>
  <c r="R72" i="2"/>
  <c r="D99" i="2"/>
  <c r="D105" i="2"/>
  <c r="N8" i="3"/>
  <c r="E9" i="3"/>
  <c r="E11" i="3" s="1"/>
  <c r="I9" i="3"/>
  <c r="I11" i="3" s="1"/>
  <c r="M9" i="3"/>
  <c r="M11" i="3" s="1"/>
  <c r="C11" i="3"/>
  <c r="C13" i="3" s="1"/>
  <c r="C15" i="3" s="1"/>
  <c r="C19" i="3" s="1"/>
  <c r="G11" i="3"/>
  <c r="G13" i="3" s="1"/>
  <c r="K11" i="3"/>
  <c r="E13" i="3"/>
  <c r="E15" i="3" s="1"/>
  <c r="E19" i="3" s="1"/>
  <c r="I13" i="3"/>
  <c r="M13" i="3"/>
  <c r="H15" i="3"/>
  <c r="H19" i="3" s="1"/>
  <c r="L15" i="3"/>
  <c r="J19" i="3"/>
  <c r="F9" i="3"/>
  <c r="F11" i="3" s="1"/>
  <c r="F13" i="3" s="1"/>
  <c r="F15" i="3" s="1"/>
  <c r="F19" i="3" s="1"/>
  <c r="J9" i="3"/>
  <c r="J11" i="3" s="1"/>
  <c r="E20" i="3" l="1"/>
  <c r="I20" i="3"/>
  <c r="H20" i="3"/>
  <c r="F20" i="3"/>
  <c r="G20" i="3"/>
  <c r="C20" i="3"/>
  <c r="M20" i="3"/>
  <c r="J20" i="3"/>
  <c r="E24" i="2"/>
  <c r="D40" i="2"/>
  <c r="H43" i="2"/>
  <c r="H87" i="2"/>
  <c r="H145" i="2" s="1"/>
  <c r="R143" i="2"/>
  <c r="D18" i="3"/>
  <c r="E7" i="3"/>
  <c r="D48" i="2"/>
  <c r="E43" i="2"/>
  <c r="L145" i="2"/>
  <c r="F145" i="2"/>
  <c r="B13" i="3"/>
  <c r="N11" i="3"/>
  <c r="L20" i="3"/>
  <c r="D11" i="3"/>
  <c r="D13" i="3" s="1"/>
  <c r="D15" i="3" s="1"/>
  <c r="D19" i="3" s="1"/>
  <c r="D20" i="3" l="1"/>
  <c r="N13" i="3"/>
  <c r="B15" i="3"/>
  <c r="F7" i="3"/>
  <c r="E18" i="3"/>
  <c r="E87" i="2"/>
  <c r="D87" i="2" s="1"/>
  <c r="E131" i="2"/>
  <c r="E7" i="2"/>
  <c r="D24" i="2"/>
  <c r="D43" i="2"/>
  <c r="R43" i="2"/>
  <c r="R48" i="2" s="1"/>
  <c r="D131" i="2" l="1"/>
  <c r="R131" i="2"/>
  <c r="E143" i="2"/>
  <c r="G7" i="3"/>
  <c r="F18" i="3"/>
  <c r="N15" i="3"/>
  <c r="N19" i="3" s="1"/>
  <c r="N20" i="3" s="1"/>
  <c r="B19" i="3"/>
  <c r="R7" i="2"/>
  <c r="R24" i="2" s="1"/>
  <c r="R87" i="2" s="1"/>
  <c r="D7" i="2"/>
  <c r="D143" i="2" l="1"/>
  <c r="E145" i="2"/>
  <c r="D145" i="2" s="1"/>
  <c r="G18" i="3"/>
  <c r="H7" i="3"/>
  <c r="B20" i="3"/>
  <c r="H18" i="3" l="1"/>
  <c r="I7" i="3"/>
  <c r="J7" i="3" l="1"/>
  <c r="I18" i="3"/>
  <c r="K7" i="3" l="1"/>
  <c r="J18" i="3"/>
  <c r="K18" i="3" l="1"/>
  <c r="L7" i="3"/>
  <c r="L18" i="3" l="1"/>
  <c r="M7" i="3"/>
  <c r="M1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tmm8381</author>
    <author>gaa9730</author>
    <author>Kettner, Cheryl</author>
    <author>CKettner</author>
    <author>tzj0fg</author>
    <author>Lori Hamilton</author>
  </authors>
  <commentList>
    <comment ref="B8" authorId="0" shapeId="0" xr:uid="{B619D1E1-DF4C-41ED-AF78-105CECBD3FDA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100078</t>
        </r>
      </text>
    </comment>
    <comment ref="B9" authorId="0" shapeId="0" xr:uid="{B9F3AEDE-64EF-4FB8-9C01-B30ED54B0647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B10" authorId="0" shapeId="0" xr:uid="{8942BABB-3017-42FE-B735-4C7B89653CF1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100131</t>
        </r>
      </text>
    </comment>
    <comment ref="B11" authorId="0" shapeId="0" xr:uid="{942EC47A-15B2-431E-80C9-D97C52CCFB1A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B13" authorId="0" shapeId="0" xr:uid="{49D4E1AB-7166-4DB8-A28F-3666EAAB2864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B14" authorId="0" shapeId="0" xr:uid="{E959D171-D28C-4A30-8792-94E7B6F23E24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Removed Kootenai Electric, Fighting Creek April 2014 month end per Cheryl Kettner &amp; Gina Armstrong
</t>
        </r>
      </text>
    </comment>
    <comment ref="C14" authorId="1" shapeId="0" xr:uid="{DA67F86F-369F-4812-8868-E24BB52F1485}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15" authorId="0" shapeId="0" xr:uid="{90D7965C-5766-40C9-BF95-E5E20814BD06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16" authorId="0" shapeId="0" xr:uid="{2FCED8AF-6CE4-4F01-BC91-76CBA9CEABAC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186298, currently does not include deal 186297
</t>
        </r>
      </text>
    </comment>
    <comment ref="B17" authorId="0" shapeId="0" xr:uid="{70E5E5C6-BFC3-49A1-BBA9-6345EBB595B3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19" authorId="0" shapeId="0" xr:uid="{0075F7ED-7171-4391-8946-D17ECBFC2C11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20" authorId="0" shapeId="0" xr:uid="{56D312CD-219E-4B06-A7E8-D6A8A529A24E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B37" authorId="2" shapeId="0" xr:uid="{514B62A6-3627-48EA-926B-9D26757AE61E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Purchased Power - EIM</t>
        </r>
      </text>
    </comment>
    <comment ref="C38" authorId="3" shapeId="0" xr:uid="{F9ACD7AA-73AE-4FC4-9A64-9BCED40336DE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Change calculation yearly based on workbook saved in: H:\Power Accounting\PurchPower\PURPA\Adams Nielson Solar - Solar Select\Solar Select 1 WP 05-11-18.xlsx</t>
        </r>
      </text>
    </comment>
    <comment ref="E38" authorId="3" shapeId="0" xr:uid="{9CB2F584-899B-412B-9BAD-A69EA1FBF055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2022 is: 628</t>
        </r>
      </text>
    </comment>
    <comment ref="F38" authorId="3" shapeId="0" xr:uid="{0CC6B5F0-F838-439E-A707-9E6C8CBCE684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Feb 2022 is: 2,320</t>
        </r>
      </text>
    </comment>
    <comment ref="G38" authorId="3" shapeId="0" xr:uid="{D5E4F154-15E3-4542-8599-21441CBF7771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Mar 2022 is: 3,326</t>
        </r>
      </text>
    </comment>
    <comment ref="H38" authorId="3" shapeId="0" xr:uid="{C51C80A9-A0F4-43AD-92E0-D8C61890B52B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Apr 2022 is: 4,016</t>
        </r>
      </text>
    </comment>
    <comment ref="I38" authorId="3" shapeId="0" xr:uid="{78190CE5-058C-4942-9AB8-9D5D688209E4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May 2022 is: 4,424</t>
        </r>
      </text>
    </comment>
    <comment ref="J38" authorId="3" shapeId="0" xr:uid="{07133F1C-E3D3-4E52-9C66-8E7A5D01B3C5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Jun 2022 is: 4,258</t>
        </r>
      </text>
    </comment>
    <comment ref="K38" authorId="3" shapeId="0" xr:uid="{755A7CFF-09B6-4FAE-9292-6AAFE8CD4023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Jul 2022 is: 5,496</t>
        </r>
      </text>
    </comment>
    <comment ref="L38" authorId="3" shapeId="0" xr:uid="{D84954AA-1DDB-408F-BAD2-1F2E3D72395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Aug 2022 is: 4,372</t>
        </r>
      </text>
    </comment>
    <comment ref="M38" authorId="3" shapeId="0" xr:uid="{596AEE61-01F4-415A-9D22-7EF562FA76EA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2021 is: 1,048</t>
        </r>
      </text>
    </comment>
    <comment ref="N38" authorId="3" shapeId="0" xr:uid="{69AAA57B-E6A2-484B-9DB1-4A682B076A44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2021 is: 1,048</t>
        </r>
      </text>
    </comment>
    <comment ref="O38" authorId="3" shapeId="0" xr:uid="{D61C91BE-47B3-4476-AA80-8478F7EF6D0B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2021 is: 1,048</t>
        </r>
      </text>
    </comment>
    <comment ref="P38" authorId="3" shapeId="0" xr:uid="{AE7F3984-4DC1-46E1-B836-A31BE6331F73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2021 is: 1,048</t>
        </r>
      </text>
    </comment>
    <comment ref="B39" authorId="0" shapeId="0" xr:uid="{374C7A03-A43E-47F4-907A-064F176BB1FB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Deal 573, actual volume</t>
        </r>
      </text>
    </comment>
    <comment ref="C44" authorId="1" shapeId="0" xr:uid="{1B56B2E3-C256-44F8-B9BD-BA3DE0CC50E9}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H:\Power Accountingk\Billings\Nicholspump</t>
        </r>
      </text>
    </comment>
    <comment ref="B53" authorId="2" shapeId="0" xr:uid="{E45CA597-F572-497F-8E11-E716ACFB9CEC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Calculation in Nucleus using the Hourly Data form and pulling Element Group SOLAR SEL GEN 262025 Purchase.</t>
        </r>
      </text>
    </comment>
    <comment ref="E53" authorId="3" shapeId="0" xr:uid="{3F793D96-20A0-4202-82DD-22B1F2A4CB0B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F53" authorId="3" shapeId="0" xr:uid="{1488435A-6291-48F3-BCA0-F7719D9B7CA4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G53" authorId="3" shapeId="0" xr:uid="{A34CC9FE-55DD-4E87-BEFC-B0A2D6BE84D7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H53" authorId="3" shapeId="0" xr:uid="{8B152F75-A64C-40C8-AC87-B88A47B7E956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I53" authorId="3" shapeId="0" xr:uid="{A86B5D5C-29F3-4E59-8A02-0774786264DA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J53" authorId="3" shapeId="0" xr:uid="{08E28CED-6583-4C37-9221-86A61B32CAD1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K53" authorId="3" shapeId="0" xr:uid="{60A08AB0-FE3B-4322-BB61-0D21D637AF7F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L53" authorId="3" shapeId="0" xr:uid="{E495F9FF-CF57-4BCD-9C03-01DF07B8DE1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M53" authorId="3" shapeId="0" xr:uid="{1AFB4F16-3CAA-4D70-A117-AE0C4F69D2EA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N53" authorId="3" shapeId="0" xr:uid="{4208598C-E86B-4F1A-8D59-1E364E5E3EB6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O53" authorId="3" shapeId="0" xr:uid="{60F5FD0F-52AC-49EE-AD33-89141F76C13A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P53" authorId="3" shapeId="0" xr:uid="{47CB632A-7DFF-4903-8A40-EEFB80998096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B54" authorId="4" shapeId="0" xr:uid="{3574374F-46F0-47CC-ACCA-9A53564CAAE6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 Swaps</t>
        </r>
      </text>
    </comment>
    <comment ref="B55" authorId="3" shapeId="0" xr:uid="{81299D92-A390-4E81-9994-C844AC6CFB79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Sales for Resale - Non Derivative</t>
        </r>
      </text>
    </comment>
    <comment ref="B56" authorId="4" shapeId="0" xr:uid="{65BB7FF8-593D-4C10-804D-563CA73948B6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Bookouts</t>
        </r>
      </text>
    </comment>
    <comment ref="B57" authorId="4" shapeId="0" xr:uid="{DA0D4370-3F27-414F-A516-1C0F3D640799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Company - Ancil Services</t>
        </r>
      </text>
    </comment>
    <comment ref="B58" authorId="4" shapeId="0" xr:uid="{32694662-8815-44FC-90DC-94A0B725B9E6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 - Transmission</t>
        </r>
      </text>
    </comment>
    <comment ref="B59" authorId="2" shapeId="0" xr:uid="{DFDE1FA4-EB2F-43E7-82CB-0473CAA6989C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Sale For Resale - EIM</t>
        </r>
      </text>
    </comment>
    <comment ref="B114" authorId="5" shapeId="0" xr:uid="{68FC4080-4161-4719-A34B-9C775B192AF9}">
      <text>
        <r>
          <rPr>
            <b/>
            <sz val="8"/>
            <color indexed="81"/>
            <rFont val="Tahoma"/>
            <family val="2"/>
          </rPr>
          <t>Net gas not burned plus act v auth REC expense, and other misc rev's</t>
        </r>
      </text>
    </comment>
    <comment ref="B115" authorId="4" shapeId="0" xr:uid="{399FBEFB-1A5A-4C24-BD74-ABA072667FFD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Financial
</t>
        </r>
      </text>
    </comment>
    <comment ref="B116" authorId="4" shapeId="0" xr:uid="{5F6A5AB7-0708-434B-AA17-B0FFCD6EF32C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Physical
</t>
        </r>
      </text>
    </comment>
    <comment ref="B122" authorId="3" shapeId="0" xr:uid="{D7D7E27F-379F-407C-88DE-76E24013152B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Added 03/2018
</t>
        </r>
      </text>
    </comment>
    <comment ref="B123" authorId="2" shapeId="0" xr:uid="{4076DBCF-F584-4F8B-BEE0-18692ED22BF6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Account added 12/19/2019</t>
        </r>
      </text>
    </comment>
    <comment ref="B134" authorId="4" shapeId="0" xr:uid="{6D317BA8-4D94-42F6-9978-77160E0D1880}">
      <text>
        <r>
          <rPr>
            <b/>
            <sz val="8"/>
            <color indexed="81"/>
            <rFont val="Tahoma"/>
            <family val="2"/>
          </rPr>
          <t>tzj0fg: BuckaBlock</t>
        </r>
        <r>
          <rPr>
            <sz val="8"/>
            <color indexed="81"/>
            <rFont val="Tahoma"/>
            <family val="2"/>
          </rPr>
          <t xml:space="preserve">
from Tara Knox - comes from Authorized Exhibits
zero in 2012</t>
        </r>
      </text>
    </comment>
    <comment ref="B136" authorId="4" shapeId="0" xr:uid="{B1539081-0B6F-4FB4-BA10-816301D4A6C3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  <comment ref="B141" authorId="4" shapeId="0" xr:uid="{F8379F6D-737E-4D42-A0FF-3E71D4616347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CKettner</author>
  </authors>
  <commentList>
    <comment ref="A8" authorId="0" shapeId="0" xr:uid="{7FFE5A78-B53B-4A22-963F-929E3D54F597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A10" authorId="0" shapeId="0" xr:uid="{D416A37D-F3EC-4967-9BD1-21324D1E3FC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X-XX Electric Unbilled Calc.xlsx</t>
        </r>
      </text>
    </comment>
  </commentList>
</comments>
</file>

<file path=xl/sharedStrings.xml><?xml version="1.0" encoding="utf-8"?>
<sst xmlns="http://schemas.openxmlformats.org/spreadsheetml/2006/main" count="242" uniqueCount="178">
  <si>
    <t>Avista Corp. - Resource Accounting</t>
  </si>
  <si>
    <t>WASHINGTON POWER COST DEFERRALS</t>
  </si>
  <si>
    <t>Line</t>
  </si>
  <si>
    <t>No.</t>
  </si>
  <si>
    <t>WASHINGTON ACTUALS</t>
  </si>
  <si>
    <t>TOTAL</t>
  </si>
  <si>
    <t>555 Purchased Power</t>
  </si>
  <si>
    <t>447 Sale for Resale</t>
  </si>
  <si>
    <t>501 Thermal Fuel</t>
  </si>
  <si>
    <t>547 CT Fuel</t>
  </si>
  <si>
    <t>456 Transmission Revenue</t>
  </si>
  <si>
    <t>565 Transmission Expense</t>
  </si>
  <si>
    <t>557 Broker Fees</t>
  </si>
  <si>
    <t>Adjusted Actual Net Expense</t>
  </si>
  <si>
    <t xml:space="preserve"> AUTHORIZED NET EXPENSE-SYSTEM</t>
  </si>
  <si>
    <t>Total through August</t>
  </si>
  <si>
    <t>557 Broker Fees - Other Expenses</t>
  </si>
  <si>
    <t>456 Other Revenue</t>
  </si>
  <si>
    <t>Settlement Adjustment</t>
  </si>
  <si>
    <t>Authorized Net Expense</t>
  </si>
  <si>
    <t>Actual - Authorized Net Expense</t>
  </si>
  <si>
    <t>Resource Optimization - Subtotal</t>
  </si>
  <si>
    <t>Adjusted  Net Expense</t>
  </si>
  <si>
    <t>Washington Allocation</t>
  </si>
  <si>
    <t>Washington Share</t>
  </si>
  <si>
    <t>Washington 100% Activity (EIA 937)</t>
  </si>
  <si>
    <r>
      <t xml:space="preserve">WA Retail Revenue Adjustment                    </t>
    </r>
    <r>
      <rPr>
        <sz val="9"/>
        <rFont val="Arial"/>
        <family val="2"/>
      </rPr>
      <t>(+) Surcharge (-) Rebate</t>
    </r>
  </si>
  <si>
    <t>Net Power Cost (+) Surcharge (-) Rebate</t>
  </si>
  <si>
    <t>WNP Correction*</t>
  </si>
  <si>
    <t>Cumulative Balance</t>
  </si>
  <si>
    <t>input</t>
  </si>
  <si>
    <t>and up</t>
  </si>
  <si>
    <t>check #-should be zero</t>
  </si>
  <si>
    <t>Deferral Amount, Cumulative (Customer)</t>
  </si>
  <si>
    <t>customer deferred W/O Interest</t>
  </si>
  <si>
    <t>Deferral Amount, Monthly Entry</t>
  </si>
  <si>
    <t>Acct 557280 Entry; (+) Rebate, (-) Surcharge</t>
  </si>
  <si>
    <t>Company Band Gross Margin Impact, Cumulative</t>
  </si>
  <si>
    <t>Deadband</t>
  </si>
  <si>
    <t>WASHINGTON DEFERRED POWER COST CALCULATION - ACTUAL SYSTEM POWER SUPPLY EXPENSES</t>
  </si>
  <si>
    <t>Deal Number</t>
  </si>
  <si>
    <t>Total</t>
  </si>
  <si>
    <t>555 PURCHASED POWER</t>
  </si>
  <si>
    <t>Short-Term Purchases</t>
  </si>
  <si>
    <t>Chelan County PUD (Rocky Reach Slice)</t>
  </si>
  <si>
    <t>Douglas County PUD (Wells Settlement)</t>
  </si>
  <si>
    <t>Douglas County PUD (Wells)</t>
  </si>
  <si>
    <t>Grant County PUD (Priest Rapids/Wanapum)</t>
  </si>
  <si>
    <r>
      <t>Bonneville Power Admin. (WNP-3)</t>
    </r>
    <r>
      <rPr>
        <vertAlign val="superscript"/>
        <sz val="10"/>
        <rFont val="Arial"/>
        <family val="2"/>
      </rPr>
      <t>1</t>
    </r>
  </si>
  <si>
    <t>BPA 573</t>
  </si>
  <si>
    <t>Inland Power &amp; Light - Deer Lake</t>
  </si>
  <si>
    <t>Small Power</t>
  </si>
  <si>
    <t xml:space="preserve">Arch Ford (Jim Ford) 100133, Glen/Rose Marie (Sheep Creek) 100151, Idaho County L&amp;P (John Day) 100460, James White 100163, Mike Johnson (Hydrotech) 214285, Spokane Co. 186693, Deep Creek </t>
  </si>
  <si>
    <t>Stimson Lumber</t>
  </si>
  <si>
    <t>City of Spokane-Upriver</t>
  </si>
  <si>
    <t>City of Spokane - Waste-to-Energy</t>
  </si>
  <si>
    <t>Clearwater Power Company</t>
  </si>
  <si>
    <t>Rathdrum Power, LLC (Lancaster PPA )</t>
  </si>
  <si>
    <t>100074, 100075, 100076</t>
  </si>
  <si>
    <t>Palouse Wind</t>
  </si>
  <si>
    <t>Rattlesnake Flat, LLC</t>
  </si>
  <si>
    <t>WPM Ancillary Services</t>
  </si>
  <si>
    <t>Non-Mon. Accruals</t>
  </si>
  <si>
    <t>Total 555 Purchased Power</t>
  </si>
  <si>
    <t xml:space="preserve"> </t>
  </si>
  <si>
    <t>(1) Effective November, 2008, WNP-3 purchase expense has been adjusted to reflect the mid-point price,  per Settlement Agreement, Cause No. U-86-99</t>
  </si>
  <si>
    <t>Fin Swaps</t>
  </si>
  <si>
    <t>Lancaster</t>
  </si>
  <si>
    <t>Clearwater</t>
  </si>
  <si>
    <t>NonMonetary</t>
  </si>
  <si>
    <t>Bookouts</t>
  </si>
  <si>
    <t>Intercompany Ancillary</t>
  </si>
  <si>
    <t>Solar Select Adjustment</t>
  </si>
  <si>
    <t>WNP3 Mid Point</t>
  </si>
  <si>
    <t xml:space="preserve">Bonneville Power Admin Deal #573 Enter actual volume Nov - Apr Delivery period - need to update volumes (difference between midpt. &amp; commodity rate </t>
  </si>
  <si>
    <t>447 SALES FOR RESALE</t>
  </si>
  <si>
    <t>Short-Term Sales</t>
  </si>
  <si>
    <t>Nichols Pumping Index Sale</t>
  </si>
  <si>
    <t>from Nichols billing worksheet - POWERACC\BILLING\NICHOLS</t>
  </si>
  <si>
    <t>Sovereign Power/Kaiser Load Following</t>
  </si>
  <si>
    <t>223178-180 Capacity only - RF (Regulation)</t>
  </si>
  <si>
    <t>Pend Oreille DES</t>
  </si>
  <si>
    <t xml:space="preserve">223173-177 Capacity and Reserves
excludes deviation 
energy
</t>
  </si>
  <si>
    <t>Merchant Ancillary Services</t>
  </si>
  <si>
    <t>Total 447 Sales for Resale</t>
  </si>
  <si>
    <t>Solar Select Generation Priced at Powerdex</t>
  </si>
  <si>
    <t>Deduct Revenue From Solar Select</t>
  </si>
  <si>
    <t>Intercompany Transmission</t>
  </si>
  <si>
    <t>EIM Transaction Charges</t>
  </si>
  <si>
    <t>501 FUEL-DOLLARS</t>
  </si>
  <si>
    <t>Kettle Falls Wood-501110</t>
  </si>
  <si>
    <t>Kettle Falls Gas-501120</t>
  </si>
  <si>
    <t>Colstrip Coal-501140</t>
  </si>
  <si>
    <t>Colstrip Oil-501160</t>
  </si>
  <si>
    <t>Total 501 Fuel Expense</t>
  </si>
  <si>
    <t>501 FUEL-TONS</t>
  </si>
  <si>
    <t>Kettle Falls</t>
  </si>
  <si>
    <t>H:\Generation\KFGS Hog Fuel\....\YYYY KFGS SAUP.xls - use estimate Hog Fuel Consumed</t>
  </si>
  <si>
    <t>Colstrip</t>
  </si>
  <si>
    <t>H:\Generation\Colstrip\Colstrip Fuel ….\YYYY Colstrip Fuel.xls - Used Burned amount for current month</t>
  </si>
  <si>
    <t>501 FUEL-COST PER TON</t>
  </si>
  <si>
    <t>wood</t>
  </si>
  <si>
    <t xml:space="preserve">Colstrip </t>
  </si>
  <si>
    <t>coal</t>
  </si>
  <si>
    <t>547 FUEL</t>
  </si>
  <si>
    <t>NE CT Gas/Oil-547213</t>
  </si>
  <si>
    <t>Boulder Park-547216</t>
  </si>
  <si>
    <t>Kettle Falls CT-547211</t>
  </si>
  <si>
    <t>Coyote Springs2-547610</t>
  </si>
  <si>
    <t>Lancaster-547312</t>
  </si>
  <si>
    <t>Rathdrum CT-547310</t>
  </si>
  <si>
    <t>Total 547 Fuel Expense</t>
  </si>
  <si>
    <t>TOTAL NET EXPENSE</t>
  </si>
  <si>
    <t>456 TRANSMISSION REVENUE</t>
  </si>
  <si>
    <t>456100 ED AN</t>
  </si>
  <si>
    <t>456120 ED AN - BPA Settlement</t>
  </si>
  <si>
    <t>456020 ED AN - Sale of excess BPA Trans</t>
  </si>
  <si>
    <t>456030 ED AN - Clearwater Trans</t>
  </si>
  <si>
    <t>456130 ED AN - Ancillary Services Revenue</t>
  </si>
  <si>
    <t>456017 ED AN - Low Voltage</t>
  </si>
  <si>
    <t>456700 ED WA - Low Voltage</t>
  </si>
  <si>
    <t>456705 ED AN - Low Voltage</t>
  </si>
  <si>
    <t>B on A  Low Voltage - in Auth revenues</t>
  </si>
  <si>
    <t>Total 456 Transmission Revenue</t>
  </si>
  <si>
    <t>565 TRANSMISSION EXPENSE</t>
  </si>
  <si>
    <t>565000 ED AN</t>
  </si>
  <si>
    <t>565312 ED AN</t>
  </si>
  <si>
    <t>565710 ED AN</t>
  </si>
  <si>
    <t>Total 565 Transmission Expense</t>
  </si>
  <si>
    <t>557 Broker &amp; Related Fees</t>
  </si>
  <si>
    <t>557170 ED AN</t>
  </si>
  <si>
    <t>557172 ED AN</t>
  </si>
  <si>
    <t>557165 ED AN</t>
  </si>
  <si>
    <t>CAISO</t>
  </si>
  <si>
    <t>557018 ED AN</t>
  </si>
  <si>
    <t>Merchandise Processing Fee</t>
  </si>
  <si>
    <t>Total 557 ED AN Broker &amp; Related Fees</t>
  </si>
  <si>
    <t>Other Purchases and Sales</t>
  </si>
  <si>
    <t>Econ Dispatch-557010</t>
  </si>
  <si>
    <t>Econ Dispatch-557150</t>
  </si>
  <si>
    <t>Gas Bookouts-557700</t>
  </si>
  <si>
    <t>Gas Bookouts-557711</t>
  </si>
  <si>
    <t>Intraco Thermal Gas-557730</t>
  </si>
  <si>
    <t>Fuel DispatchFin -456010</t>
  </si>
  <si>
    <t>Fuel Dispatch-456015</t>
  </si>
  <si>
    <t>Other Elec Rev - Extraction Plant Cr - 456018</t>
  </si>
  <si>
    <t>Other Elec Rev - Specified Source - 456019</t>
  </si>
  <si>
    <t>Intraco Thermal Gas-456730</t>
  </si>
  <si>
    <t>Fuel Bookouts-456711</t>
  </si>
  <si>
    <t>Fuel Bookouts-456720</t>
  </si>
  <si>
    <t xml:space="preserve"> Other Purchases and Sales Subtotal</t>
  </si>
  <si>
    <t>Misc. Power Exp. Actual-557160 ED AN</t>
  </si>
  <si>
    <t>Misc. Power Exp. Subtotal</t>
  </si>
  <si>
    <t>Wind REC Exp Authorized</t>
  </si>
  <si>
    <t xml:space="preserve">Wind REC Exp Actual 557395 </t>
  </si>
  <si>
    <t>Wind REC Subtotal</t>
  </si>
  <si>
    <t>WA EIA937 Requirement (EWEB) - Expense</t>
  </si>
  <si>
    <t>WA EIA937 Requirement (EWEB) - Broker Fee Exp</t>
  </si>
  <si>
    <t>WA EIA 937 Requirement (EWEB) - Broker Fee Exp</t>
  </si>
  <si>
    <t>EWEB REC WA EIA 937 Compliance</t>
  </si>
  <si>
    <t>Net Resource Optimization</t>
  </si>
  <si>
    <t>Washington Electric Jurisdiction</t>
  </si>
  <si>
    <t>Energy Recovery Mechanism (ERM) Retail Revenue Credit Calculation - 2022</t>
  </si>
  <si>
    <t>Retail Sales - MWh</t>
  </si>
  <si>
    <t>YTD</t>
  </si>
  <si>
    <t>Total Billed Sales</t>
  </si>
  <si>
    <t>Deduct Prior Month Unbilled</t>
  </si>
  <si>
    <t>Add Current Month Unbilled</t>
  </si>
  <si>
    <t>Total Retail Sales</t>
  </si>
  <si>
    <t>Test Year Retail Sales</t>
  </si>
  <si>
    <t>Change to only include "actual" months</t>
  </si>
  <si>
    <t>Difference from Test Year</t>
  </si>
  <si>
    <t>Production Rate - $/MWh</t>
  </si>
  <si>
    <t>Total Revenue Credit - $</t>
  </si>
  <si>
    <t>Value to Put in Deferral Calculaton Spreadsheet:</t>
  </si>
  <si>
    <t>Actual</t>
  </si>
  <si>
    <t>to $10M</t>
  </si>
  <si>
    <t>to $4M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</si>
</sst>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409]mmm/yy;@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.0_);\(&quot;$&quot;#,##0.0\)"/>
    <numFmt numFmtId="169" formatCode="&quot;$&quot;#,##0.00"/>
    <numFmt numFmtId="170" formatCode="0_);\(0\)"/>
    <numFmt numFmtId="171" formatCode="mmmm\ yyyy"/>
  </numFmts>
  <fonts count="3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u/>
      <sz val="10"/>
      <name val="Geneva"/>
    </font>
    <font>
      <b/>
      <u/>
      <sz val="10"/>
      <name val="Geneva"/>
    </font>
    <font>
      <sz val="10"/>
      <name val="Geneva"/>
    </font>
    <font>
      <vertAlign val="superscript"/>
      <sz val="10"/>
      <name val="Arial"/>
      <family val="2"/>
    </font>
    <font>
      <u/>
      <sz val="10"/>
      <name val="Arial"/>
      <family val="2"/>
    </font>
    <font>
      <b/>
      <sz val="10"/>
      <name val="Geneva"/>
    </font>
    <font>
      <b/>
      <sz val="9"/>
      <color rgb="FF0000FF"/>
      <name val="Arial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i/>
      <sz val="12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20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5" fontId="2" fillId="0" borderId="0" xfId="1" applyNumberFormat="1" applyFont="1" applyFill="1" applyBorder="1"/>
    <xf numFmtId="5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1" fillId="0" borderId="3" xfId="0" applyFont="1" applyBorder="1"/>
    <xf numFmtId="164" fontId="1" fillId="0" borderId="3" xfId="0" applyNumberFormat="1" applyFont="1" applyBorder="1" applyAlignment="1">
      <alignment horizontal="right"/>
    </xf>
    <xf numFmtId="5" fontId="1" fillId="0" borderId="3" xfId="1" applyNumberFormat="1" applyFont="1" applyFill="1" applyBorder="1"/>
    <xf numFmtId="164" fontId="5" fillId="0" borderId="3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5" fontId="6" fillId="0" borderId="0" xfId="2" applyNumberFormat="1" applyFont="1" applyFill="1" applyBorder="1" applyAlignment="1">
      <alignment horizontal="right"/>
    </xf>
    <xf numFmtId="5" fontId="6" fillId="0" borderId="0" xfId="2" applyNumberFormat="1" applyFont="1" applyFill="1" applyBorder="1"/>
    <xf numFmtId="5" fontId="7" fillId="0" borderId="0" xfId="0" applyNumberFormat="1" applyFont="1"/>
    <xf numFmtId="166" fontId="2" fillId="0" borderId="0" xfId="1" applyNumberFormat="1" applyFont="1" applyFill="1" applyBorder="1"/>
    <xf numFmtId="5" fontId="6" fillId="0" borderId="0" xfId="1" applyNumberFormat="1" applyFont="1" applyFill="1" applyBorder="1"/>
    <xf numFmtId="5" fontId="6" fillId="0" borderId="0" xfId="0" applyNumberFormat="1" applyFont="1"/>
    <xf numFmtId="5" fontId="1" fillId="0" borderId="3" xfId="0" applyNumberFormat="1" applyFont="1" applyBorder="1"/>
    <xf numFmtId="5" fontId="1" fillId="0" borderId="3" xfId="0" applyNumberFormat="1" applyFont="1" applyBorder="1" applyAlignment="1">
      <alignment horizontal="right"/>
    </xf>
    <xf numFmtId="0" fontId="2" fillId="0" borderId="3" xfId="0" applyFont="1" applyBorder="1"/>
    <xf numFmtId="5" fontId="2" fillId="0" borderId="3" xfId="2" applyNumberFormat="1" applyFont="1" applyFill="1" applyBorder="1" applyAlignment="1">
      <alignment horizontal="right"/>
    </xf>
    <xf numFmtId="5" fontId="2" fillId="0" borderId="3" xfId="2" applyNumberFormat="1" applyFont="1" applyFill="1" applyBorder="1"/>
    <xf numFmtId="5" fontId="2" fillId="0" borderId="0" xfId="0" applyNumberFormat="1" applyFont="1"/>
    <xf numFmtId="5" fontId="2" fillId="0" borderId="0" xfId="2" applyNumberFormat="1" applyFont="1" applyFill="1" applyBorder="1"/>
    <xf numFmtId="10" fontId="2" fillId="0" borderId="0" xfId="3" applyNumberFormat="1" applyFont="1" applyFill="1" applyBorder="1"/>
    <xf numFmtId="5" fontId="2" fillId="0" borderId="0" xfId="2" applyNumberFormat="1" applyFont="1" applyFill="1" applyBorder="1" applyAlignment="1">
      <alignment horizontal="right"/>
    </xf>
    <xf numFmtId="5" fontId="2" fillId="0" borderId="0" xfId="4" applyNumberFormat="1" applyFont="1" applyFill="1" applyBorder="1"/>
    <xf numFmtId="0" fontId="2" fillId="0" borderId="1" xfId="0" applyFont="1" applyBorder="1" applyAlignment="1">
      <alignment horizontal="left" vertical="center" wrapText="1"/>
    </xf>
    <xf numFmtId="5" fontId="2" fillId="0" borderId="1" xfId="2" applyNumberFormat="1" applyFont="1" applyFill="1" applyBorder="1" applyAlignment="1">
      <alignment horizontal="right" vertical="center"/>
    </xf>
    <xf numFmtId="5" fontId="2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left" wrapText="1"/>
    </xf>
    <xf numFmtId="5" fontId="1" fillId="0" borderId="2" xfId="2" applyNumberFormat="1" applyFont="1" applyFill="1" applyBorder="1" applyAlignment="1">
      <alignment horizontal="right" vertical="center"/>
    </xf>
    <xf numFmtId="5" fontId="1" fillId="0" borderId="2" xfId="2" applyNumberFormat="1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5" fontId="1" fillId="0" borderId="2" xfId="2" applyNumberFormat="1" applyFont="1" applyFill="1" applyBorder="1" applyAlignment="1">
      <alignment horizontal="right" vertical="center"/>
    </xf>
    <xf numFmtId="5" fontId="6" fillId="0" borderId="2" xfId="2" applyNumberFormat="1" applyFont="1" applyFill="1" applyBorder="1" applyAlignment="1">
      <alignment vertical="center"/>
    </xf>
    <xf numFmtId="164" fontId="10" fillId="0" borderId="3" xfId="2" applyNumberFormat="1" applyFont="1" applyFill="1" applyBorder="1"/>
    <xf numFmtId="5" fontId="1" fillId="0" borderId="3" xfId="2" applyNumberFormat="1" applyFont="1" applyFill="1" applyBorder="1"/>
    <xf numFmtId="3" fontId="4" fillId="0" borderId="0" xfId="1" applyNumberFormat="1" applyFont="1" applyFill="1" applyBorder="1"/>
    <xf numFmtId="9" fontId="2" fillId="0" borderId="0" xfId="1" applyNumberFormat="1" applyFont="1" applyFill="1" applyBorder="1"/>
    <xf numFmtId="9" fontId="4" fillId="0" borderId="0" xfId="1" applyNumberFormat="1" applyFont="1" applyFill="1" applyBorder="1"/>
    <xf numFmtId="3" fontId="2" fillId="0" borderId="0" xfId="2" applyNumberFormat="1" applyFont="1" applyFill="1" applyBorder="1" applyAlignment="1"/>
    <xf numFmtId="164" fontId="2" fillId="0" borderId="0" xfId="0" applyNumberFormat="1" applyFont="1"/>
    <xf numFmtId="2" fontId="2" fillId="0" borderId="0" xfId="0" applyNumberFormat="1" applyFont="1"/>
    <xf numFmtId="167" fontId="2" fillId="0" borderId="0" xfId="2" applyNumberFormat="1" applyFont="1" applyFill="1" applyBorder="1" applyAlignment="1"/>
    <xf numFmtId="3" fontId="2" fillId="0" borderId="0" xfId="0" applyNumberFormat="1" applyFont="1"/>
    <xf numFmtId="166" fontId="2" fillId="0" borderId="0" xfId="1" applyNumberFormat="1" applyFont="1" applyFill="1" applyBorder="1" applyAlignment="1"/>
    <xf numFmtId="5" fontId="1" fillId="0" borderId="3" xfId="2" applyNumberFormat="1" applyFont="1" applyFill="1" applyBorder="1" applyAlignment="1">
      <alignment vertical="center"/>
    </xf>
    <xf numFmtId="0" fontId="1" fillId="0" borderId="4" xfId="0" applyFont="1" applyBorder="1" applyAlignment="1">
      <alignment horizontal="left" wrapText="1"/>
    </xf>
    <xf numFmtId="0" fontId="2" fillId="0" borderId="4" xfId="0" applyFont="1" applyBorder="1"/>
    <xf numFmtId="5" fontId="1" fillId="0" borderId="4" xfId="2" applyNumberFormat="1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4" fontId="1" fillId="0" borderId="0" xfId="2" applyFont="1" applyFill="1" applyAlignment="1">
      <alignment horizontal="center"/>
    </xf>
    <xf numFmtId="0" fontId="0" fillId="0" borderId="0" xfId="0" applyAlignment="1">
      <alignment horizontal="right"/>
    </xf>
    <xf numFmtId="43" fontId="2" fillId="0" borderId="0" xfId="1" applyFont="1" applyFill="1" applyBorder="1"/>
    <xf numFmtId="5" fontId="1" fillId="0" borderId="0" xfId="2" applyNumberFormat="1" applyFont="1" applyFill="1" applyBorder="1" applyAlignment="1">
      <alignment vertical="center"/>
    </xf>
    <xf numFmtId="44" fontId="0" fillId="0" borderId="0" xfId="0" applyNumberFormat="1"/>
    <xf numFmtId="7" fontId="2" fillId="0" borderId="0" xfId="0" applyNumberFormat="1" applyFont="1"/>
    <xf numFmtId="0" fontId="0" fillId="0" borderId="0" xfId="0" applyAlignment="1">
      <alignment horizontal="center"/>
    </xf>
    <xf numFmtId="166" fontId="2" fillId="0" borderId="0" xfId="1" applyNumberFormat="1" applyFill="1" applyAlignment="1">
      <alignment horizontal="center"/>
    </xf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7" fontId="1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/>
    </xf>
    <xf numFmtId="5" fontId="2" fillId="0" borderId="0" xfId="1" applyNumberFormat="1" applyFont="1" applyFill="1"/>
    <xf numFmtId="5" fontId="0" fillId="0" borderId="0" xfId="0" applyNumberFormat="1"/>
    <xf numFmtId="5" fontId="0" fillId="0" borderId="0" xfId="1" applyNumberFormat="1" applyFont="1" applyFill="1"/>
    <xf numFmtId="0" fontId="13" fillId="0" borderId="0" xfId="0" applyFont="1"/>
    <xf numFmtId="0" fontId="13" fillId="0" borderId="0" xfId="0" applyFont="1" applyAlignment="1">
      <alignment horizontal="left"/>
    </xf>
    <xf numFmtId="5" fontId="6" fillId="0" borderId="0" xfId="1" applyNumberFormat="1" applyFont="1" applyFill="1"/>
    <xf numFmtId="5" fontId="6" fillId="0" borderId="0" xfId="1" applyNumberFormat="1" applyFont="1" applyFill="1" applyProtection="1">
      <protection locked="0"/>
    </xf>
    <xf numFmtId="0" fontId="0" fillId="0" borderId="0" xfId="0" applyAlignment="1">
      <alignment horizontal="left"/>
    </xf>
    <xf numFmtId="5" fontId="2" fillId="0" borderId="0" xfId="1" applyNumberFormat="1" applyFill="1"/>
    <xf numFmtId="5" fontId="2" fillId="0" borderId="0" xfId="1" applyNumberFormat="1" applyFont="1" applyFill="1" applyBorder="1" applyProtection="1">
      <protection locked="0"/>
    </xf>
    <xf numFmtId="0" fontId="1" fillId="0" borderId="3" xfId="0" applyFont="1" applyBorder="1" applyAlignment="1">
      <alignment vertical="center"/>
    </xf>
    <xf numFmtId="5" fontId="1" fillId="0" borderId="3" xfId="0" applyNumberFormat="1" applyFont="1" applyBorder="1" applyAlignment="1">
      <alignment vertical="center"/>
    </xf>
    <xf numFmtId="5" fontId="1" fillId="0" borderId="3" xfId="1" applyNumberFormat="1" applyFont="1" applyFill="1" applyBorder="1" applyAlignment="1">
      <alignment horizontal="right" vertical="center"/>
    </xf>
    <xf numFmtId="5" fontId="1" fillId="0" borderId="0" xfId="1" applyNumberFormat="1" applyFont="1" applyFill="1" applyBorder="1" applyProtection="1">
      <protection locked="0"/>
    </xf>
    <xf numFmtId="5" fontId="1" fillId="0" borderId="4" xfId="1" applyNumberFormat="1" applyFont="1" applyFill="1" applyBorder="1" applyAlignment="1">
      <alignment horizontal="right"/>
    </xf>
    <xf numFmtId="0" fontId="1" fillId="0" borderId="0" xfId="0" applyFont="1"/>
    <xf numFmtId="5" fontId="2" fillId="0" borderId="0" xfId="0" applyNumberFormat="1" applyFont="1" applyAlignment="1" applyProtection="1">
      <alignment horizontal="center"/>
      <protection locked="0"/>
    </xf>
    <xf numFmtId="166" fontId="2" fillId="0" borderId="0" xfId="1" applyNumberFormat="1" applyFill="1"/>
    <xf numFmtId="0" fontId="15" fillId="0" borderId="0" xfId="0" applyFont="1"/>
    <xf numFmtId="5" fontId="0" fillId="0" borderId="1" xfId="0" applyNumberFormat="1" applyBorder="1"/>
    <xf numFmtId="43" fontId="6" fillId="0" borderId="1" xfId="1" applyFont="1" applyFill="1" applyBorder="1"/>
    <xf numFmtId="0" fontId="16" fillId="0" borderId="0" xfId="0" applyFont="1"/>
    <xf numFmtId="5" fontId="1" fillId="0" borderId="0" xfId="0" applyNumberFormat="1" applyFont="1"/>
    <xf numFmtId="5" fontId="2" fillId="0" borderId="0" xfId="1" applyNumberFormat="1" applyFill="1" applyBorder="1"/>
    <xf numFmtId="0" fontId="2" fillId="0" borderId="0" xfId="0" applyFont="1" applyAlignment="1">
      <alignment vertical="top"/>
    </xf>
    <xf numFmtId="5" fontId="2" fillId="0" borderId="0" xfId="1" applyNumberFormat="1" applyFont="1" applyFill="1" applyProtection="1">
      <protection locked="0"/>
    </xf>
    <xf numFmtId="0" fontId="1" fillId="0" borderId="3" xfId="0" applyFont="1" applyBorder="1" applyAlignment="1">
      <alignment horizontal="center" vertical="center"/>
    </xf>
    <xf numFmtId="5" fontId="1" fillId="0" borderId="0" xfId="1" applyNumberFormat="1" applyFont="1" applyFill="1" applyBorder="1" applyAlignment="1">
      <alignment horizontal="right"/>
    </xf>
    <xf numFmtId="166" fontId="2" fillId="0" borderId="0" xfId="1" applyNumberFormat="1" applyFill="1" applyBorder="1"/>
    <xf numFmtId="0" fontId="11" fillId="0" borderId="0" xfId="0" applyFont="1"/>
    <xf numFmtId="168" fontId="2" fillId="0" borderId="0" xfId="1" applyNumberFormat="1" applyFill="1" applyBorder="1"/>
    <xf numFmtId="5" fontId="0" fillId="0" borderId="1" xfId="1" applyNumberFormat="1" applyFont="1" applyFill="1" applyBorder="1"/>
    <xf numFmtId="5" fontId="0" fillId="0" borderId="0" xfId="1" applyNumberFormat="1" applyFont="1" applyFill="1" applyBorder="1"/>
    <xf numFmtId="43" fontId="2" fillId="0" borderId="0" xfId="2" applyNumberFormat="1" applyFont="1" applyFill="1" applyBorder="1"/>
    <xf numFmtId="5" fontId="1" fillId="0" borderId="2" xfId="0" applyNumberFormat="1" applyFont="1" applyBorder="1"/>
    <xf numFmtId="5" fontId="1" fillId="0" borderId="2" xfId="2" applyNumberFormat="1" applyFont="1" applyFill="1" applyBorder="1"/>
    <xf numFmtId="168" fontId="1" fillId="0" borderId="0" xfId="1" applyNumberFormat="1" applyFont="1" applyFill="1" applyBorder="1"/>
    <xf numFmtId="168" fontId="2" fillId="0" borderId="0" xfId="1" applyNumberFormat="1" applyFont="1" applyFill="1" applyBorder="1"/>
    <xf numFmtId="5" fontId="2" fillId="0" borderId="1" xfId="0" applyNumberFormat="1" applyFont="1" applyBorder="1"/>
    <xf numFmtId="168" fontId="1" fillId="0" borderId="0" xfId="1" applyNumberFormat="1" applyFont="1" applyFill="1" applyBorder="1" applyAlignment="1">
      <alignment horizontal="right"/>
    </xf>
    <xf numFmtId="166" fontId="0" fillId="0" borderId="0" xfId="0" applyNumberFormat="1"/>
    <xf numFmtId="166" fontId="6" fillId="0" borderId="0" xfId="1" applyNumberFormat="1" applyFont="1" applyFill="1"/>
    <xf numFmtId="166" fontId="0" fillId="0" borderId="0" xfId="1" applyNumberFormat="1" applyFont="1" applyFill="1"/>
    <xf numFmtId="7" fontId="2" fillId="0" borderId="0" xfId="2" applyNumberFormat="1" applyFill="1"/>
    <xf numFmtId="169" fontId="2" fillId="0" borderId="0" xfId="2" applyNumberFormat="1" applyFill="1" applyBorder="1"/>
    <xf numFmtId="169" fontId="2" fillId="0" borderId="0" xfId="2" applyNumberFormat="1" applyFill="1"/>
    <xf numFmtId="164" fontId="2" fillId="0" borderId="0" xfId="1" applyNumberFormat="1" applyFill="1" applyBorder="1"/>
    <xf numFmtId="164" fontId="0" fillId="0" borderId="0" xfId="0" applyNumberFormat="1"/>
    <xf numFmtId="0" fontId="0" fillId="0" borderId="1" xfId="0" applyBorder="1"/>
    <xf numFmtId="5" fontId="2" fillId="0" borderId="1" xfId="2" applyNumberFormat="1" applyFont="1" applyFill="1" applyBorder="1"/>
    <xf numFmtId="164" fontId="0" fillId="0" borderId="1" xfId="0" applyNumberFormat="1" applyBorder="1"/>
    <xf numFmtId="164" fontId="1" fillId="0" borderId="0" xfId="1" applyNumberFormat="1" applyFont="1" applyFill="1" applyBorder="1"/>
    <xf numFmtId="164" fontId="1" fillId="0" borderId="3" xfId="0" applyNumberFormat="1" applyFont="1" applyBorder="1"/>
    <xf numFmtId="0" fontId="16" fillId="0" borderId="3" xfId="0" applyFont="1" applyBorder="1" applyAlignment="1">
      <alignment vertical="center"/>
    </xf>
    <xf numFmtId="5" fontId="16" fillId="0" borderId="3" xfId="0" applyNumberFormat="1" applyFont="1" applyBorder="1" applyAlignment="1">
      <alignment vertical="center"/>
    </xf>
    <xf numFmtId="164" fontId="16" fillId="0" borderId="0" xfId="1" applyNumberFormat="1" applyFont="1" applyFill="1" applyBorder="1" applyAlignment="1">
      <alignment horizontal="right"/>
    </xf>
    <xf numFmtId="164" fontId="16" fillId="0" borderId="3" xfId="1" applyNumberFormat="1" applyFont="1" applyFill="1" applyBorder="1" applyAlignment="1">
      <alignment horizontal="right"/>
    </xf>
    <xf numFmtId="0" fontId="9" fillId="0" borderId="0" xfId="0" applyFont="1"/>
    <xf numFmtId="170" fontId="17" fillId="0" borderId="0" xfId="0" applyNumberFormat="1" applyFont="1" applyAlignment="1">
      <alignment horizontal="center"/>
    </xf>
    <xf numFmtId="2" fontId="0" fillId="0" borderId="0" xfId="0" applyNumberFormat="1"/>
    <xf numFmtId="5" fontId="9" fillId="0" borderId="0" xfId="1" applyNumberFormat="1" applyFont="1" applyFill="1"/>
    <xf numFmtId="5" fontId="9" fillId="0" borderId="0" xfId="2" applyNumberFormat="1" applyFont="1" applyFill="1" applyBorder="1"/>
    <xf numFmtId="164" fontId="2" fillId="0" borderId="0" xfId="1" applyNumberFormat="1" applyFont="1" applyFill="1" applyBorder="1"/>
    <xf numFmtId="0" fontId="9" fillId="0" borderId="1" xfId="0" applyFont="1" applyBorder="1"/>
    <xf numFmtId="0" fontId="1" fillId="0" borderId="3" xfId="0" applyFont="1" applyBorder="1" applyAlignment="1">
      <alignment horizontal="left" vertical="center"/>
    </xf>
    <xf numFmtId="5" fontId="2" fillId="0" borderId="0" xfId="2" applyNumberFormat="1" applyFont="1" applyFill="1"/>
    <xf numFmtId="0" fontId="0" fillId="0" borderId="1" xfId="0" applyBorder="1" applyAlignment="1">
      <alignment horizontal="center"/>
    </xf>
    <xf numFmtId="0" fontId="18" fillId="0" borderId="0" xfId="0" applyFont="1"/>
    <xf numFmtId="5" fontId="2" fillId="0" borderId="1" xfId="1" applyNumberFormat="1" applyFont="1" applyFill="1" applyBorder="1"/>
    <xf numFmtId="0" fontId="0" fillId="0" borderId="3" xfId="0" applyBorder="1" applyAlignment="1">
      <alignment horizontal="center" vertical="center"/>
    </xf>
    <xf numFmtId="5" fontId="1" fillId="0" borderId="3" xfId="1" applyNumberFormat="1" applyFont="1" applyFill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5" fontId="2" fillId="0" borderId="5" xfId="2" applyNumberFormat="1" applyFill="1" applyBorder="1"/>
    <xf numFmtId="5" fontId="2" fillId="0" borderId="0" xfId="2" applyNumberFormat="1" applyFill="1" applyBorder="1"/>
    <xf numFmtId="5" fontId="2" fillId="0" borderId="1" xfId="2" applyNumberFormat="1" applyFill="1" applyBorder="1"/>
    <xf numFmtId="5" fontId="6" fillId="0" borderId="0" xfId="2" applyNumberFormat="1" applyFont="1" applyFill="1"/>
    <xf numFmtId="0" fontId="7" fillId="0" borderId="0" xfId="0" applyFont="1"/>
    <xf numFmtId="0" fontId="2" fillId="0" borderId="1" xfId="0" applyFont="1" applyBorder="1" applyAlignment="1">
      <alignment horizontal="left"/>
    </xf>
    <xf numFmtId="5" fontId="1" fillId="0" borderId="0" xfId="2" applyNumberFormat="1" applyFont="1" applyFill="1"/>
    <xf numFmtId="0" fontId="9" fillId="0" borderId="0" xfId="0" applyFont="1" applyAlignment="1">
      <alignment horizontal="right"/>
    </xf>
    <xf numFmtId="1" fontId="0" fillId="0" borderId="0" xfId="0" applyNumberForma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5" fontId="1" fillId="0" borderId="4" xfId="0" applyNumberFormat="1" applyFont="1" applyBorder="1" applyAlignment="1">
      <alignment vertical="center"/>
    </xf>
    <xf numFmtId="5" fontId="1" fillId="0" borderId="4" xfId="1" applyNumberFormat="1" applyFont="1" applyFill="1" applyBorder="1" applyAlignment="1">
      <alignment vertical="center"/>
    </xf>
    <xf numFmtId="164" fontId="1" fillId="0" borderId="0" xfId="0" applyNumberFormat="1" applyFont="1"/>
    <xf numFmtId="166" fontId="2" fillId="0" borderId="0" xfId="1" applyNumberFormat="1" applyFont="1" applyFill="1"/>
    <xf numFmtId="0" fontId="23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71" fontId="26" fillId="0" borderId="0" xfId="0" applyNumberFormat="1" applyFont="1" applyAlignment="1">
      <alignment horizontal="center"/>
    </xf>
    <xf numFmtId="0" fontId="27" fillId="0" borderId="3" xfId="0" applyFont="1" applyBorder="1" applyAlignment="1">
      <alignment vertical="center"/>
    </xf>
    <xf numFmtId="17" fontId="27" fillId="0" borderId="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3" fillId="0" borderId="0" xfId="0" quotePrefix="1" applyFont="1" applyAlignment="1">
      <alignment horizontal="left" vertical="center"/>
    </xf>
    <xf numFmtId="166" fontId="28" fillId="0" borderId="0" xfId="1" applyNumberFormat="1" applyFont="1" applyFill="1" applyAlignment="1">
      <alignment vertical="center"/>
    </xf>
    <xf numFmtId="166" fontId="23" fillId="0" borderId="0" xfId="0" applyNumberFormat="1" applyFont="1" applyAlignment="1">
      <alignment vertical="center"/>
    </xf>
    <xf numFmtId="166" fontId="23" fillId="0" borderId="0" xfId="0" applyNumberFormat="1" applyFont="1"/>
    <xf numFmtId="0" fontId="23" fillId="0" borderId="0" xfId="0" applyFont="1" applyAlignment="1">
      <alignment vertical="center"/>
    </xf>
    <xf numFmtId="166" fontId="23" fillId="0" borderId="0" xfId="1" applyNumberFormat="1" applyFont="1" applyFill="1"/>
    <xf numFmtId="166" fontId="23" fillId="0" borderId="0" xfId="1" applyNumberFormat="1" applyFont="1" applyFill="1" applyAlignment="1">
      <alignment vertical="center"/>
    </xf>
    <xf numFmtId="0" fontId="23" fillId="0" borderId="0" xfId="0" applyFont="1" applyAlignment="1">
      <alignment horizontal="center"/>
    </xf>
    <xf numFmtId="0" fontId="3" fillId="0" borderId="3" xfId="0" applyFont="1" applyBorder="1" applyAlignment="1">
      <alignment horizontal="left" vertical="center"/>
    </xf>
    <xf numFmtId="166" fontId="3" fillId="0" borderId="3" xfId="1" applyNumberFormat="1" applyFont="1" applyFill="1" applyBorder="1" applyAlignment="1">
      <alignment vertical="center"/>
    </xf>
    <xf numFmtId="166" fontId="3" fillId="0" borderId="3" xfId="0" applyNumberFormat="1" applyFont="1" applyBorder="1" applyAlignment="1">
      <alignment vertical="center"/>
    </xf>
    <xf numFmtId="0" fontId="3" fillId="0" borderId="0" xfId="0" quotePrefix="1" applyFont="1" applyAlignment="1">
      <alignment horizontal="left" vertical="center"/>
    </xf>
    <xf numFmtId="166" fontId="26" fillId="0" borderId="0" xfId="1" applyNumberFormat="1" applyFont="1" applyFill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166" fontId="29" fillId="0" borderId="3" xfId="1" applyNumberFormat="1" applyFont="1" applyFill="1" applyBorder="1" applyAlignment="1">
      <alignment vertical="center"/>
    </xf>
    <xf numFmtId="166" fontId="29" fillId="0" borderId="3" xfId="0" applyNumberFormat="1" applyFont="1" applyBorder="1" applyAlignment="1">
      <alignment vertical="center"/>
    </xf>
    <xf numFmtId="169" fontId="30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5" fontId="3" fillId="0" borderId="4" xfId="0" applyNumberFormat="1" applyFont="1" applyBorder="1" applyAlignment="1">
      <alignment vertical="center"/>
    </xf>
    <xf numFmtId="0" fontId="23" fillId="0" borderId="0" xfId="0" quotePrefix="1" applyFont="1" applyAlignment="1">
      <alignment horizontal="left"/>
    </xf>
    <xf numFmtId="0" fontId="31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17" fontId="27" fillId="0" borderId="3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5" fontId="3" fillId="0" borderId="0" xfId="0" applyNumberFormat="1" applyFont="1" applyAlignment="1">
      <alignment vertical="center"/>
    </xf>
    <xf numFmtId="0" fontId="32" fillId="0" borderId="0" xfId="0" applyFont="1"/>
    <xf numFmtId="0" fontId="33" fillId="0" borderId="0" xfId="0" applyFont="1" applyAlignment="1">
      <alignment horizontal="center"/>
    </xf>
    <xf numFmtId="0" fontId="31" fillId="0" borderId="0" xfId="0" applyFont="1"/>
  </cellXfs>
  <cellStyles count="5">
    <cellStyle name="Accent3" xfId="4" builtinId="37"/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ug%202022%20WA%20%20ID%20Actual%20Deferrals%20-%20Snapsh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 Tab"/>
      <sheetName val="WA Summary "/>
      <sheetName val="WA Monthly"/>
      <sheetName val="WA RRC"/>
      <sheetName val="ID Summary"/>
      <sheetName val="ID Monthly"/>
      <sheetName val="ID LCA"/>
      <sheetName val="Solar Select"/>
      <sheetName val="EIM Charges for ERM"/>
      <sheetName val="Old"/>
    </sheetNames>
    <sheetDataSet>
      <sheetData sheetId="0"/>
      <sheetData sheetId="1">
        <row r="19">
          <cell r="C19">
            <v>1239333.33</v>
          </cell>
          <cell r="D19">
            <v>1239333.33</v>
          </cell>
          <cell r="E19">
            <v>1239333.33</v>
          </cell>
          <cell r="F19">
            <v>1239333.33</v>
          </cell>
          <cell r="G19">
            <v>1239333.33</v>
          </cell>
          <cell r="H19">
            <v>1239333.33</v>
          </cell>
          <cell r="I19">
            <v>1239333.33</v>
          </cell>
          <cell r="J19">
            <v>1239333.33</v>
          </cell>
        </row>
        <row r="20">
          <cell r="C20">
            <v>275710.40999999997</v>
          </cell>
          <cell r="D20">
            <v>234857.57</v>
          </cell>
          <cell r="E20">
            <v>178914.26</v>
          </cell>
          <cell r="F20">
            <v>234531.99</v>
          </cell>
          <cell r="G20">
            <v>226285.09</v>
          </cell>
          <cell r="H20">
            <v>178799.7</v>
          </cell>
          <cell r="I20">
            <v>422184.11</v>
          </cell>
          <cell r="J20">
            <v>492723.86</v>
          </cell>
        </row>
        <row r="21">
          <cell r="C21">
            <v>187829</v>
          </cell>
          <cell r="D21">
            <v>187829</v>
          </cell>
          <cell r="E21">
            <v>187829</v>
          </cell>
          <cell r="F21">
            <v>187829</v>
          </cell>
          <cell r="G21">
            <v>187829</v>
          </cell>
          <cell r="H21">
            <v>187829</v>
          </cell>
          <cell r="I21">
            <v>187829</v>
          </cell>
          <cell r="J21">
            <v>187829</v>
          </cell>
        </row>
        <row r="22">
          <cell r="C22">
            <v>1429538.04</v>
          </cell>
          <cell r="D22">
            <v>1429538.04</v>
          </cell>
          <cell r="E22">
            <v>1429538.04</v>
          </cell>
          <cell r="F22">
            <v>1479022.2</v>
          </cell>
          <cell r="G22">
            <v>1429538.04</v>
          </cell>
          <cell r="H22">
            <v>1429538.04</v>
          </cell>
          <cell r="I22">
            <v>1429538.04</v>
          </cell>
          <cell r="J22">
            <v>1429538.04</v>
          </cell>
        </row>
        <row r="24">
          <cell r="C24">
            <v>1402.15</v>
          </cell>
          <cell r="D24">
            <v>1616.35</v>
          </cell>
          <cell r="E24">
            <v>1595.35</v>
          </cell>
          <cell r="F24">
            <v>1116.55</v>
          </cell>
          <cell r="G24">
            <v>1066.1500000000001</v>
          </cell>
          <cell r="H24">
            <v>881.35</v>
          </cell>
          <cell r="I24">
            <v>730.15</v>
          </cell>
          <cell r="J24">
            <v>776.35</v>
          </cell>
        </row>
        <row r="25">
          <cell r="C25">
            <v>101738.28</v>
          </cell>
          <cell r="D25">
            <v>113617.67</v>
          </cell>
          <cell r="E25">
            <v>122233.07</v>
          </cell>
          <cell r="F25">
            <v>112144.05</v>
          </cell>
          <cell r="G25">
            <v>129963.33</v>
          </cell>
          <cell r="H25">
            <v>120476.17</v>
          </cell>
          <cell r="I25">
            <v>157365.09</v>
          </cell>
          <cell r="J25">
            <v>70639.240000000005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35">
          <cell r="C35">
            <v>139683.65</v>
          </cell>
          <cell r="D35">
            <v>106342.55</v>
          </cell>
          <cell r="E35">
            <v>90583.08</v>
          </cell>
          <cell r="F35">
            <v>76205.08</v>
          </cell>
          <cell r="G35">
            <v>73895.44</v>
          </cell>
          <cell r="H35">
            <v>108776.36</v>
          </cell>
          <cell r="I35">
            <v>15869.46</v>
          </cell>
          <cell r="J35">
            <v>0</v>
          </cell>
        </row>
        <row r="36">
          <cell r="C36">
            <v>255050.88</v>
          </cell>
          <cell r="D36">
            <v>195545.28</v>
          </cell>
          <cell r="E36">
            <v>251977.60000000001</v>
          </cell>
          <cell r="F36">
            <v>263706.23999999999</v>
          </cell>
          <cell r="G36">
            <v>222311.04000000001</v>
          </cell>
          <cell r="H36">
            <v>188787.20000000001</v>
          </cell>
          <cell r="I36">
            <v>109462.08</v>
          </cell>
          <cell r="J36">
            <v>0</v>
          </cell>
        </row>
        <row r="37">
          <cell r="C37">
            <v>443909.2</v>
          </cell>
          <cell r="D37">
            <v>520423.76</v>
          </cell>
          <cell r="E37">
            <v>427102.52</v>
          </cell>
          <cell r="F37">
            <v>489566.87</v>
          </cell>
          <cell r="G37">
            <v>335528.57</v>
          </cell>
          <cell r="H37">
            <v>450349.77</v>
          </cell>
          <cell r="I37">
            <v>471874.44</v>
          </cell>
          <cell r="J37">
            <v>588465.57999999996</v>
          </cell>
        </row>
        <row r="38">
          <cell r="C38">
            <v>1416.5</v>
          </cell>
          <cell r="D38">
            <v>1965.19</v>
          </cell>
          <cell r="E38">
            <v>0</v>
          </cell>
        </row>
        <row r="39">
          <cell r="C39">
            <v>2536804.73</v>
          </cell>
          <cell r="D39">
            <v>2459575.0499999998</v>
          </cell>
          <cell r="E39">
            <v>2423684.2000000002</v>
          </cell>
          <cell r="F39">
            <v>2182183.06</v>
          </cell>
          <cell r="G39">
            <v>2308372.13</v>
          </cell>
          <cell r="H39">
            <v>2241306.4500000002</v>
          </cell>
          <cell r="I39">
            <v>2372317.2999999998</v>
          </cell>
          <cell r="J39">
            <v>2536106.87</v>
          </cell>
        </row>
        <row r="40">
          <cell r="C40">
            <v>1970703.54</v>
          </cell>
          <cell r="D40">
            <v>2210056.29</v>
          </cell>
          <cell r="E40">
            <v>2061559.89</v>
          </cell>
          <cell r="F40">
            <v>2362590.75</v>
          </cell>
          <cell r="G40">
            <v>2039480.82</v>
          </cell>
          <cell r="H40">
            <v>1590604.86</v>
          </cell>
          <cell r="I40">
            <v>842130.9</v>
          </cell>
          <cell r="J40">
            <v>1266973.8899999999</v>
          </cell>
        </row>
        <row r="41">
          <cell r="C41">
            <v>665883.91</v>
          </cell>
          <cell r="D41">
            <v>984063.69</v>
          </cell>
          <cell r="E41">
            <v>1238157.18</v>
          </cell>
          <cell r="F41">
            <v>1376406.34</v>
          </cell>
          <cell r="G41">
            <v>1270230.56</v>
          </cell>
          <cell r="H41">
            <v>1079343.8500000001</v>
          </cell>
          <cell r="I41">
            <v>630495.21</v>
          </cell>
          <cell r="J41">
            <v>815614.72</v>
          </cell>
        </row>
        <row r="45">
          <cell r="C45">
            <v>-91370.92</v>
          </cell>
          <cell r="D45">
            <v>-80283.58</v>
          </cell>
          <cell r="E45">
            <v>-76918.399999999994</v>
          </cell>
          <cell r="F45">
            <v>-161368.48000000001</v>
          </cell>
          <cell r="G45">
            <v>-123757.56</v>
          </cell>
          <cell r="H45">
            <v>-74388.5</v>
          </cell>
          <cell r="I45">
            <v>-180914.92</v>
          </cell>
          <cell r="J45">
            <v>-308614.84999999998</v>
          </cell>
        </row>
        <row r="46">
          <cell r="C46">
            <v>-12530.5</v>
          </cell>
          <cell r="D46">
            <v>-11480.76</v>
          </cell>
          <cell r="E46">
            <v>-12636.9</v>
          </cell>
          <cell r="F46">
            <v>-11573.37</v>
          </cell>
          <cell r="G46">
            <v>-12181.86</v>
          </cell>
          <cell r="H46">
            <v>-10913.13</v>
          </cell>
          <cell r="I46">
            <v>-10518.4</v>
          </cell>
          <cell r="J46">
            <v>-10698.9</v>
          </cell>
        </row>
        <row r="47">
          <cell r="C47">
            <v>-36290.980000000003</v>
          </cell>
          <cell r="D47">
            <v>-30850.639999999999</v>
          </cell>
          <cell r="E47">
            <v>-34959.980000000003</v>
          </cell>
          <cell r="F47">
            <v>-31673.62</v>
          </cell>
          <cell r="G47">
            <v>-29654.799999999999</v>
          </cell>
          <cell r="H47">
            <v>-22578.5</v>
          </cell>
          <cell r="I47">
            <v>-34173.839999999997</v>
          </cell>
          <cell r="J47">
            <v>-29734.38</v>
          </cell>
        </row>
        <row r="50">
          <cell r="C50">
            <v>41132</v>
          </cell>
          <cell r="D50">
            <v>53137</v>
          </cell>
          <cell r="E50">
            <v>51108</v>
          </cell>
          <cell r="F50">
            <v>35405</v>
          </cell>
          <cell r="G50">
            <v>9389</v>
          </cell>
          <cell r="H50">
            <v>20234</v>
          </cell>
          <cell r="I50">
            <v>45624</v>
          </cell>
          <cell r="J50">
            <v>56386</v>
          </cell>
        </row>
        <row r="51">
          <cell r="C51">
            <v>103081</v>
          </cell>
          <cell r="D51">
            <v>83755</v>
          </cell>
          <cell r="E51">
            <v>99302</v>
          </cell>
          <cell r="F51">
            <v>45750</v>
          </cell>
          <cell r="G51">
            <v>55630</v>
          </cell>
          <cell r="H51">
            <v>63645</v>
          </cell>
          <cell r="I51">
            <v>85351</v>
          </cell>
          <cell r="J51">
            <v>100926</v>
          </cell>
        </row>
        <row r="54">
          <cell r="C54">
            <v>570066</v>
          </cell>
          <cell r="D54">
            <v>525153</v>
          </cell>
          <cell r="E54">
            <v>540861</v>
          </cell>
          <cell r="F54">
            <v>447567</v>
          </cell>
          <cell r="G54">
            <v>423386</v>
          </cell>
          <cell r="H54">
            <v>416513</v>
          </cell>
          <cell r="I54">
            <v>447109</v>
          </cell>
          <cell r="J54">
            <v>536405</v>
          </cell>
        </row>
        <row r="55">
          <cell r="C55">
            <v>307661</v>
          </cell>
          <cell r="D55">
            <v>275383</v>
          </cell>
          <cell r="E55">
            <v>231672</v>
          </cell>
          <cell r="F55">
            <v>245273</v>
          </cell>
          <cell r="G55">
            <v>240875</v>
          </cell>
          <cell r="H55">
            <v>236709</v>
          </cell>
          <cell r="I55">
            <v>286164</v>
          </cell>
          <cell r="J55">
            <v>295027</v>
          </cell>
        </row>
        <row r="56">
          <cell r="C56">
            <v>545742</v>
          </cell>
          <cell r="D56">
            <v>461878</v>
          </cell>
          <cell r="E56">
            <v>485113</v>
          </cell>
          <cell r="F56">
            <v>413424</v>
          </cell>
          <cell r="G56">
            <v>435935</v>
          </cell>
          <cell r="H56">
            <v>419692</v>
          </cell>
          <cell r="I56">
            <v>493733</v>
          </cell>
          <cell r="J56">
            <v>470991</v>
          </cell>
          <cell r="K56">
            <v>419374</v>
          </cell>
          <cell r="L56">
            <v>453843</v>
          </cell>
          <cell r="M56">
            <v>464733</v>
          </cell>
          <cell r="N56">
            <v>551297</v>
          </cell>
        </row>
        <row r="57">
          <cell r="C57">
            <v>12.87</v>
          </cell>
          <cell r="D57">
            <v>12.87</v>
          </cell>
          <cell r="E57">
            <v>12.87</v>
          </cell>
          <cell r="F57">
            <v>12.87</v>
          </cell>
          <cell r="G57">
            <v>12.87</v>
          </cell>
          <cell r="H57">
            <v>12.87</v>
          </cell>
          <cell r="I57">
            <v>12.87</v>
          </cell>
          <cell r="J57">
            <v>12.87</v>
          </cell>
          <cell r="K57">
            <v>12.87</v>
          </cell>
          <cell r="L57">
            <v>12.87</v>
          </cell>
          <cell r="M57">
            <v>12.87</v>
          </cell>
          <cell r="N57">
            <v>12.87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>
            <v>-24926.01</v>
          </cell>
          <cell r="D9">
            <v>-40105.82</v>
          </cell>
          <cell r="E9">
            <v>-30188.47</v>
          </cell>
        </row>
        <row r="14">
          <cell r="F14">
            <v>-6779.7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E2F15-3AA4-43F8-A81D-E5C3404718F6}">
  <sheetPr>
    <pageSetUpPr fitToPage="1"/>
  </sheetPr>
  <dimension ref="A1:S90"/>
  <sheetViews>
    <sheetView tabSelected="1" zoomScaleNormal="100" workbookViewId="0">
      <pane xSplit="3" ySplit="5" topLeftCell="D1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.140625" defaultRowHeight="12.75" outlineLevelRow="1" outlineLevelCol="1"/>
  <cols>
    <col min="1" max="1" width="4.85546875" style="5" customWidth="1"/>
    <col min="2" max="2" width="10.7109375" style="2" customWidth="1"/>
    <col min="3" max="3" width="24.28515625" style="2" customWidth="1"/>
    <col min="4" max="4" width="9" style="2" customWidth="1" outlineLevel="1"/>
    <col min="5" max="5" width="5.28515625" style="2" customWidth="1" outlineLevel="1"/>
    <col min="6" max="6" width="14.5703125" style="2" bestFit="1" customWidth="1"/>
    <col min="7" max="10" width="15.7109375" style="2" bestFit="1" customWidth="1"/>
    <col min="11" max="11" width="12.7109375" style="2" customWidth="1"/>
    <col min="12" max="17" width="15.7109375" style="2" bestFit="1" customWidth="1"/>
    <col min="18" max="18" width="13.140625" style="2" customWidth="1"/>
    <col min="19" max="19" width="13.85546875" style="2" customWidth="1"/>
    <col min="20" max="20" width="13.140625" style="2" customWidth="1"/>
    <col min="21" max="16384" width="9.140625" style="2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15.7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9">
      <c r="A3" s="4" t="s">
        <v>2</v>
      </c>
    </row>
    <row r="4" spans="1:19">
      <c r="A4" s="5" t="s">
        <v>3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9">
      <c r="B5" s="7" t="s">
        <v>4</v>
      </c>
      <c r="C5" s="8"/>
      <c r="D5" s="9" t="s">
        <v>5</v>
      </c>
      <c r="E5" s="9"/>
      <c r="F5" s="10">
        <v>44592</v>
      </c>
      <c r="G5" s="10">
        <v>44620</v>
      </c>
      <c r="H5" s="10">
        <v>44651</v>
      </c>
      <c r="I5" s="10">
        <v>44681</v>
      </c>
      <c r="J5" s="10">
        <v>44712</v>
      </c>
      <c r="K5" s="10">
        <v>44742</v>
      </c>
      <c r="L5" s="10">
        <v>44773</v>
      </c>
      <c r="M5" s="10">
        <v>44804</v>
      </c>
      <c r="N5" s="10">
        <v>44834</v>
      </c>
      <c r="O5" s="10">
        <v>44865</v>
      </c>
      <c r="P5" s="10">
        <v>44895</v>
      </c>
      <c r="Q5" s="10">
        <v>44926</v>
      </c>
    </row>
    <row r="6" spans="1:19" ht="15.95" customHeight="1">
      <c r="A6" s="5">
        <v>1</v>
      </c>
      <c r="B6" s="2" t="s">
        <v>6</v>
      </c>
      <c r="D6" s="11">
        <v>98747323.734099999</v>
      </c>
      <c r="E6" s="11"/>
      <c r="F6" s="12">
        <v>11479790.2368</v>
      </c>
      <c r="G6" s="12">
        <v>12111512.623600001</v>
      </c>
      <c r="H6" s="12">
        <v>11054913.6371</v>
      </c>
      <c r="I6" s="12">
        <v>13371017.764900001</v>
      </c>
      <c r="J6" s="12">
        <v>11547601.411900001</v>
      </c>
      <c r="K6" s="12">
        <v>10457939.4242</v>
      </c>
      <c r="L6" s="12">
        <v>9884785.8259999994</v>
      </c>
      <c r="M6" s="12">
        <v>18296244.809599999</v>
      </c>
      <c r="N6" s="12">
        <v>543518</v>
      </c>
      <c r="O6" s="12">
        <v>0</v>
      </c>
      <c r="P6" s="12">
        <v>0</v>
      </c>
      <c r="Q6" s="12">
        <v>0</v>
      </c>
    </row>
    <row r="7" spans="1:19" ht="15.95" customHeight="1">
      <c r="A7" s="5">
        <v>2</v>
      </c>
      <c r="B7" s="2" t="s">
        <v>7</v>
      </c>
      <c r="D7" s="13">
        <v>-98333077</v>
      </c>
      <c r="E7" s="13"/>
      <c r="F7" s="12">
        <v>-9801103</v>
      </c>
      <c r="G7" s="12">
        <v>-7831225</v>
      </c>
      <c r="H7" s="12">
        <v>-13126195.01</v>
      </c>
      <c r="I7" s="12">
        <v>-10730555.82</v>
      </c>
      <c r="J7" s="12">
        <v>-16518387.470000001</v>
      </c>
      <c r="K7" s="12">
        <v>-12855919.699999999</v>
      </c>
      <c r="L7" s="12">
        <v>-14724382</v>
      </c>
      <c r="M7" s="12">
        <v>-12684729</v>
      </c>
      <c r="N7" s="12">
        <v>-60580</v>
      </c>
      <c r="O7" s="12">
        <v>0</v>
      </c>
      <c r="P7" s="12">
        <v>0</v>
      </c>
      <c r="Q7" s="12">
        <v>0</v>
      </c>
    </row>
    <row r="8" spans="1:19" ht="15.95" customHeight="1">
      <c r="A8" s="5">
        <v>3</v>
      </c>
      <c r="B8" s="2" t="s">
        <v>8</v>
      </c>
      <c r="D8" s="14">
        <v>25998989</v>
      </c>
      <c r="E8" s="14"/>
      <c r="F8" s="12">
        <v>3525207</v>
      </c>
      <c r="G8" s="12">
        <v>3769567</v>
      </c>
      <c r="H8" s="12">
        <v>3923814</v>
      </c>
      <c r="I8" s="12">
        <v>2015239</v>
      </c>
      <c r="J8" s="12">
        <v>2018637</v>
      </c>
      <c r="K8" s="12">
        <v>2470186</v>
      </c>
      <c r="L8" s="12">
        <v>3566964</v>
      </c>
      <c r="M8" s="12">
        <v>4709375</v>
      </c>
      <c r="N8" s="12">
        <v>0</v>
      </c>
      <c r="O8" s="12">
        <v>0</v>
      </c>
      <c r="P8" s="12">
        <v>0</v>
      </c>
      <c r="Q8" s="12">
        <v>0</v>
      </c>
    </row>
    <row r="9" spans="1:19" ht="15.95" customHeight="1">
      <c r="A9" s="5">
        <v>4</v>
      </c>
      <c r="B9" s="2" t="s">
        <v>9</v>
      </c>
      <c r="D9" s="14">
        <v>79822929</v>
      </c>
      <c r="E9" s="14"/>
      <c r="F9" s="12">
        <v>9309676</v>
      </c>
      <c r="G9" s="12">
        <v>12116423</v>
      </c>
      <c r="H9" s="12">
        <v>10059062</v>
      </c>
      <c r="I9" s="12">
        <v>8982052</v>
      </c>
      <c r="J9" s="12">
        <v>9506078</v>
      </c>
      <c r="K9" s="12">
        <v>4253583</v>
      </c>
      <c r="L9" s="12">
        <v>9957452</v>
      </c>
      <c r="M9" s="12">
        <v>15638603</v>
      </c>
      <c r="N9" s="12">
        <v>0</v>
      </c>
      <c r="O9" s="12">
        <v>0</v>
      </c>
      <c r="P9" s="12">
        <v>0</v>
      </c>
      <c r="Q9" s="12">
        <v>0</v>
      </c>
    </row>
    <row r="10" spans="1:19" ht="15.95" customHeight="1">
      <c r="A10" s="5">
        <v>5</v>
      </c>
      <c r="B10" s="2" t="s">
        <v>10</v>
      </c>
      <c r="C10" s="15"/>
      <c r="D10" s="13">
        <v>-20721040</v>
      </c>
      <c r="E10" s="13"/>
      <c r="F10" s="12">
        <v>-1695661</v>
      </c>
      <c r="G10" s="12">
        <v>-1679673</v>
      </c>
      <c r="H10" s="12">
        <v>-1736572</v>
      </c>
      <c r="I10" s="12">
        <v>-2415384</v>
      </c>
      <c r="J10" s="12">
        <v>-2646120</v>
      </c>
      <c r="K10" s="12">
        <v>-3786746</v>
      </c>
      <c r="L10" s="12">
        <v>-3655144</v>
      </c>
      <c r="M10" s="12">
        <v>-3105740</v>
      </c>
      <c r="N10" s="12">
        <v>0</v>
      </c>
      <c r="O10" s="12">
        <v>0</v>
      </c>
      <c r="P10" s="12">
        <v>0</v>
      </c>
      <c r="Q10" s="12">
        <v>0</v>
      </c>
    </row>
    <row r="11" spans="1:19" ht="15.95" customHeight="1">
      <c r="A11" s="5">
        <v>6</v>
      </c>
      <c r="B11" s="2" t="s">
        <v>11</v>
      </c>
      <c r="C11" s="15"/>
      <c r="D11" s="14">
        <v>13286758</v>
      </c>
      <c r="E11" s="14"/>
      <c r="F11" s="12">
        <v>1552554</v>
      </c>
      <c r="G11" s="12">
        <v>1820410</v>
      </c>
      <c r="H11" s="12">
        <v>1723121</v>
      </c>
      <c r="I11" s="12">
        <v>1673272</v>
      </c>
      <c r="J11" s="12">
        <v>1604678</v>
      </c>
      <c r="K11" s="12">
        <v>1573715</v>
      </c>
      <c r="L11" s="12">
        <v>1649495</v>
      </c>
      <c r="M11" s="12">
        <v>1689513</v>
      </c>
      <c r="N11" s="12">
        <v>0</v>
      </c>
      <c r="O11" s="12">
        <v>0</v>
      </c>
      <c r="P11" s="12">
        <v>0</v>
      </c>
      <c r="Q11" s="12">
        <v>0</v>
      </c>
    </row>
    <row r="12" spans="1:19" ht="15.95" customHeight="1">
      <c r="A12" s="5">
        <v>7</v>
      </c>
      <c r="B12" s="2" t="s">
        <v>12</v>
      </c>
      <c r="C12" s="15"/>
      <c r="D12" s="14">
        <v>441304</v>
      </c>
      <c r="E12" s="14"/>
      <c r="F12" s="12">
        <v>33251</v>
      </c>
      <c r="G12" s="12">
        <v>44523</v>
      </c>
      <c r="H12" s="12">
        <v>51362</v>
      </c>
      <c r="I12" s="12">
        <v>68444</v>
      </c>
      <c r="J12" s="12">
        <v>59606</v>
      </c>
      <c r="K12" s="12">
        <v>100722</v>
      </c>
      <c r="L12" s="12">
        <v>31058</v>
      </c>
      <c r="M12" s="12">
        <v>52338</v>
      </c>
      <c r="N12" s="12">
        <v>0</v>
      </c>
      <c r="O12" s="12">
        <v>0</v>
      </c>
      <c r="P12" s="12">
        <v>0</v>
      </c>
      <c r="Q12" s="12">
        <v>0</v>
      </c>
    </row>
    <row r="13" spans="1:19" ht="15.95" customHeight="1">
      <c r="A13" s="5">
        <v>8</v>
      </c>
      <c r="B13" s="16" t="s">
        <v>13</v>
      </c>
      <c r="C13" s="16"/>
      <c r="D13" s="17">
        <v>99243186.734099999</v>
      </c>
      <c r="E13" s="17"/>
      <c r="F13" s="18">
        <v>14403714.2368</v>
      </c>
      <c r="G13" s="18">
        <v>20351537.623599999</v>
      </c>
      <c r="H13" s="18">
        <v>11949505.6271</v>
      </c>
      <c r="I13" s="18">
        <v>12964084.9449</v>
      </c>
      <c r="J13" s="18">
        <v>5572092.9419</v>
      </c>
      <c r="K13" s="18">
        <v>2213479.724200001</v>
      </c>
      <c r="L13" s="18">
        <v>6710228.8259999994</v>
      </c>
      <c r="M13" s="18">
        <v>24595604.809599999</v>
      </c>
      <c r="N13" s="18">
        <v>482938</v>
      </c>
      <c r="O13" s="18">
        <v>0</v>
      </c>
      <c r="P13" s="18">
        <v>0</v>
      </c>
      <c r="Q13" s="18">
        <v>0</v>
      </c>
    </row>
    <row r="14" spans="1:19" ht="37.5" customHeight="1">
      <c r="B14" s="7" t="s">
        <v>14</v>
      </c>
      <c r="C14" s="8"/>
      <c r="D14" s="19" t="s">
        <v>15</v>
      </c>
      <c r="E14" s="20"/>
      <c r="F14" s="21">
        <v>44592</v>
      </c>
      <c r="G14" s="21">
        <v>44620</v>
      </c>
      <c r="H14" s="21">
        <v>44651</v>
      </c>
      <c r="I14" s="21">
        <v>44681</v>
      </c>
      <c r="J14" s="21">
        <v>44712</v>
      </c>
      <c r="K14" s="21">
        <v>44742</v>
      </c>
      <c r="L14" s="21">
        <v>44773</v>
      </c>
      <c r="M14" s="21">
        <v>44804</v>
      </c>
      <c r="N14" s="21">
        <v>44834</v>
      </c>
      <c r="O14" s="21">
        <v>44865</v>
      </c>
      <c r="P14" s="21">
        <v>44895</v>
      </c>
      <c r="Q14" s="21">
        <v>44926</v>
      </c>
    </row>
    <row r="15" spans="1:19" ht="15.95" customHeight="1">
      <c r="A15" s="5">
        <v>9</v>
      </c>
      <c r="B15" s="2" t="s">
        <v>6</v>
      </c>
      <c r="C15" s="15"/>
      <c r="D15" s="22">
        <v>70431124</v>
      </c>
      <c r="E15" s="22"/>
      <c r="F15" s="23">
        <v>9697042</v>
      </c>
      <c r="G15" s="23">
        <v>9727222</v>
      </c>
      <c r="H15" s="23">
        <v>9316726</v>
      </c>
      <c r="I15" s="23">
        <v>8655718</v>
      </c>
      <c r="J15" s="23">
        <v>8101450</v>
      </c>
      <c r="K15" s="23">
        <v>7979962</v>
      </c>
      <c r="L15" s="23">
        <v>8430289</v>
      </c>
      <c r="M15" s="23">
        <v>8522715</v>
      </c>
      <c r="N15" s="23">
        <v>7743072</v>
      </c>
      <c r="O15" s="23">
        <v>8843272</v>
      </c>
      <c r="P15" s="23">
        <v>9402762</v>
      </c>
      <c r="Q15" s="23">
        <v>9592788</v>
      </c>
      <c r="R15" s="24"/>
      <c r="S15" s="25"/>
    </row>
    <row r="16" spans="1:19" ht="15.95" customHeight="1">
      <c r="A16" s="5">
        <v>10</v>
      </c>
      <c r="B16" s="2" t="s">
        <v>7</v>
      </c>
      <c r="C16" s="15"/>
      <c r="D16" s="22">
        <v>-71806325</v>
      </c>
      <c r="E16" s="22"/>
      <c r="F16" s="26">
        <v>-6647885</v>
      </c>
      <c r="G16" s="26">
        <v>-2273919</v>
      </c>
      <c r="H16" s="26">
        <v>-6122807</v>
      </c>
      <c r="I16" s="26">
        <v>-9009497</v>
      </c>
      <c r="J16" s="26">
        <v>-8512591</v>
      </c>
      <c r="K16" s="26">
        <v>-12125620</v>
      </c>
      <c r="L16" s="26">
        <v>-20029821</v>
      </c>
      <c r="M16" s="26">
        <v>-7084185</v>
      </c>
      <c r="N16" s="26">
        <v>-12742954</v>
      </c>
      <c r="O16" s="26">
        <v>-8663704</v>
      </c>
      <c r="P16" s="26">
        <v>-8697132</v>
      </c>
      <c r="Q16" s="26">
        <v>-11768210</v>
      </c>
      <c r="R16" s="24"/>
      <c r="S16" s="25"/>
    </row>
    <row r="17" spans="1:19" ht="15.95" customHeight="1">
      <c r="A17" s="5">
        <v>11</v>
      </c>
      <c r="B17" s="2" t="s">
        <v>8</v>
      </c>
      <c r="C17" s="15"/>
      <c r="D17" s="22">
        <v>21473150</v>
      </c>
      <c r="E17" s="22"/>
      <c r="F17" s="23">
        <v>3390501</v>
      </c>
      <c r="G17" s="23">
        <v>2926995</v>
      </c>
      <c r="H17" s="23">
        <v>2561828</v>
      </c>
      <c r="I17" s="23">
        <v>2285403</v>
      </c>
      <c r="J17" s="23">
        <v>1756150</v>
      </c>
      <c r="K17" s="23">
        <v>1936414</v>
      </c>
      <c r="L17" s="23">
        <v>3237585</v>
      </c>
      <c r="M17" s="23">
        <v>3378274</v>
      </c>
      <c r="N17" s="23">
        <v>3112767</v>
      </c>
      <c r="O17" s="23">
        <v>3193370</v>
      </c>
      <c r="P17" s="23">
        <v>2640329</v>
      </c>
      <c r="Q17" s="23">
        <v>2771729</v>
      </c>
      <c r="R17" s="24"/>
      <c r="S17" s="25"/>
    </row>
    <row r="18" spans="1:19" ht="15.95" customHeight="1">
      <c r="A18" s="5">
        <v>12</v>
      </c>
      <c r="B18" s="2" t="s">
        <v>9</v>
      </c>
      <c r="C18" s="15"/>
      <c r="D18" s="22">
        <v>57888407</v>
      </c>
      <c r="E18" s="22"/>
      <c r="F18" s="23">
        <v>11943274</v>
      </c>
      <c r="G18" s="23">
        <v>8892939</v>
      </c>
      <c r="H18" s="23">
        <v>7016061</v>
      </c>
      <c r="I18" s="23">
        <v>5399258</v>
      </c>
      <c r="J18" s="23">
        <v>3372909</v>
      </c>
      <c r="K18" s="23">
        <v>4272021</v>
      </c>
      <c r="L18" s="23">
        <v>8240675</v>
      </c>
      <c r="M18" s="23">
        <v>8751270</v>
      </c>
      <c r="N18" s="23">
        <v>8235613</v>
      </c>
      <c r="O18" s="23">
        <v>9531785</v>
      </c>
      <c r="P18" s="23">
        <v>9667646</v>
      </c>
      <c r="Q18" s="23">
        <v>12083216</v>
      </c>
      <c r="R18" s="24"/>
    </row>
    <row r="19" spans="1:19" ht="15.95" customHeight="1">
      <c r="A19" s="5">
        <v>13</v>
      </c>
      <c r="B19" s="2" t="s">
        <v>10</v>
      </c>
      <c r="C19" s="15"/>
      <c r="D19" s="22">
        <v>-17417071</v>
      </c>
      <c r="E19" s="22"/>
      <c r="F19" s="26">
        <v>-1682730</v>
      </c>
      <c r="G19" s="26">
        <v>-1861088</v>
      </c>
      <c r="H19" s="26">
        <v>-1893205</v>
      </c>
      <c r="I19" s="26">
        <v>-1768623</v>
      </c>
      <c r="J19" s="26">
        <v>-2440323</v>
      </c>
      <c r="K19" s="26">
        <v>-2631984</v>
      </c>
      <c r="L19" s="26">
        <v>-2630239</v>
      </c>
      <c r="M19" s="26">
        <v>-2508879</v>
      </c>
      <c r="N19" s="26">
        <v>-2192244</v>
      </c>
      <c r="O19" s="26">
        <v>-1643339</v>
      </c>
      <c r="P19" s="26">
        <v>-1954560</v>
      </c>
      <c r="Q19" s="26">
        <v>-2258481</v>
      </c>
      <c r="R19" s="24"/>
    </row>
    <row r="20" spans="1:19" ht="15.95" customHeight="1">
      <c r="A20" s="5">
        <v>14</v>
      </c>
      <c r="B20" s="2" t="s">
        <v>11</v>
      </c>
      <c r="C20" s="15"/>
      <c r="D20" s="22">
        <v>11519176</v>
      </c>
      <c r="E20" s="22"/>
      <c r="F20" s="27">
        <v>1439897</v>
      </c>
      <c r="G20" s="27">
        <v>1439897</v>
      </c>
      <c r="H20" s="27">
        <v>1439897</v>
      </c>
      <c r="I20" s="27">
        <v>1439897</v>
      </c>
      <c r="J20" s="27">
        <v>1439897</v>
      </c>
      <c r="K20" s="27">
        <v>1439897</v>
      </c>
      <c r="L20" s="27">
        <v>1439897</v>
      </c>
      <c r="M20" s="27">
        <v>1439897</v>
      </c>
      <c r="N20" s="27">
        <v>1439897</v>
      </c>
      <c r="O20" s="27">
        <v>1439897</v>
      </c>
      <c r="P20" s="27">
        <v>1439897</v>
      </c>
      <c r="Q20" s="27">
        <v>1439897</v>
      </c>
      <c r="R20" s="24"/>
    </row>
    <row r="21" spans="1:19" ht="15.95" customHeight="1">
      <c r="A21" s="5">
        <v>15</v>
      </c>
      <c r="B21" s="2" t="s">
        <v>16</v>
      </c>
      <c r="D21" s="22">
        <v>421088</v>
      </c>
      <c r="E21" s="22"/>
      <c r="F21" s="23">
        <v>52636</v>
      </c>
      <c r="G21" s="23">
        <v>52636</v>
      </c>
      <c r="H21" s="23">
        <v>52636</v>
      </c>
      <c r="I21" s="23">
        <v>52636</v>
      </c>
      <c r="J21" s="23">
        <v>52636</v>
      </c>
      <c r="K21" s="23">
        <v>52636</v>
      </c>
      <c r="L21" s="23">
        <v>52636</v>
      </c>
      <c r="M21" s="23">
        <v>52636</v>
      </c>
      <c r="N21" s="23">
        <v>52636</v>
      </c>
      <c r="O21" s="23">
        <v>52636</v>
      </c>
      <c r="P21" s="23">
        <v>52636</v>
      </c>
      <c r="Q21" s="23">
        <v>52636</v>
      </c>
      <c r="R21" s="24"/>
    </row>
    <row r="22" spans="1:19" ht="15.95" customHeight="1">
      <c r="A22" s="5">
        <v>16</v>
      </c>
      <c r="B22" s="2" t="s">
        <v>17</v>
      </c>
      <c r="D22" s="22">
        <v>-4162409</v>
      </c>
      <c r="E22" s="22"/>
      <c r="F22" s="23">
        <v>-187743</v>
      </c>
      <c r="G22" s="23">
        <v>-408011</v>
      </c>
      <c r="H22" s="23">
        <v>-649388</v>
      </c>
      <c r="I22" s="23">
        <v>-519824</v>
      </c>
      <c r="J22" s="23">
        <v>-734745</v>
      </c>
      <c r="K22" s="23">
        <v>-643118</v>
      </c>
      <c r="L22" s="23">
        <v>-509939</v>
      </c>
      <c r="M22" s="23">
        <v>-509641</v>
      </c>
      <c r="N22" s="23">
        <v>-478278</v>
      </c>
      <c r="O22" s="23">
        <v>-420270</v>
      </c>
      <c r="P22" s="23">
        <v>-363660</v>
      </c>
      <c r="Q22" s="23">
        <v>127075</v>
      </c>
      <c r="R22" s="24"/>
    </row>
    <row r="23" spans="1:19" ht="15.95" customHeight="1">
      <c r="A23" s="5">
        <v>17</v>
      </c>
      <c r="B23" s="2" t="s">
        <v>18</v>
      </c>
      <c r="D23" s="22">
        <v>0</v>
      </c>
      <c r="E23" s="22"/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4"/>
    </row>
    <row r="24" spans="1:19" ht="20.25" customHeight="1">
      <c r="A24" s="5">
        <v>18</v>
      </c>
      <c r="B24" s="16" t="s">
        <v>19</v>
      </c>
      <c r="C24" s="16"/>
      <c r="D24" s="17">
        <v>68347140</v>
      </c>
      <c r="E24" s="17"/>
      <c r="F24" s="28">
        <v>18004992</v>
      </c>
      <c r="G24" s="28">
        <v>18496671</v>
      </c>
      <c r="H24" s="28">
        <v>11721748</v>
      </c>
      <c r="I24" s="28">
        <v>6534968</v>
      </c>
      <c r="J24" s="28">
        <v>3035383</v>
      </c>
      <c r="K24" s="28">
        <v>280208</v>
      </c>
      <c r="L24" s="28">
        <v>-1768917</v>
      </c>
      <c r="M24" s="28">
        <v>12042087</v>
      </c>
      <c r="N24" s="28">
        <v>5170509</v>
      </c>
      <c r="O24" s="28">
        <v>12333647</v>
      </c>
      <c r="P24" s="28">
        <v>12187918</v>
      </c>
      <c r="Q24" s="28">
        <v>12040650</v>
      </c>
      <c r="R24" s="24"/>
    </row>
    <row r="25" spans="1:19" ht="28.5" customHeight="1">
      <c r="A25" s="5">
        <v>19</v>
      </c>
      <c r="B25" s="16" t="s">
        <v>20</v>
      </c>
      <c r="C25" s="16"/>
      <c r="D25" s="29">
        <v>30413108.734099999</v>
      </c>
      <c r="E25" s="29" t="s">
        <v>64</v>
      </c>
      <c r="F25" s="28">
        <v>-3601277.7631999999</v>
      </c>
      <c r="G25" s="28">
        <v>1854866.6235999987</v>
      </c>
      <c r="H25" s="28">
        <v>227757.62710000016</v>
      </c>
      <c r="I25" s="28">
        <v>6429116.9449000005</v>
      </c>
      <c r="J25" s="28">
        <v>2536709.9419</v>
      </c>
      <c r="K25" s="28">
        <v>1933271.724200001</v>
      </c>
      <c r="L25" s="28">
        <v>8479145.8259999994</v>
      </c>
      <c r="M25" s="28">
        <v>12553517.809599999</v>
      </c>
      <c r="N25" s="28">
        <v>-4687571</v>
      </c>
      <c r="O25" s="28" t="s">
        <v>64</v>
      </c>
      <c r="P25" s="28" t="s">
        <v>64</v>
      </c>
      <c r="Q25" s="28" t="s">
        <v>64</v>
      </c>
    </row>
    <row r="26" spans="1:19" ht="26.25" customHeight="1">
      <c r="A26" s="5">
        <v>20</v>
      </c>
      <c r="B26" s="30" t="s">
        <v>21</v>
      </c>
      <c r="C26" s="30"/>
      <c r="D26" s="31">
        <v>-8467128</v>
      </c>
      <c r="E26" s="31"/>
      <c r="F26" s="32">
        <v>1956634</v>
      </c>
      <c r="G26" s="32">
        <v>-1304291</v>
      </c>
      <c r="H26" s="32">
        <v>-724607</v>
      </c>
      <c r="I26" s="32">
        <v>4330077</v>
      </c>
      <c r="J26" s="32">
        <v>-5791098</v>
      </c>
      <c r="K26" s="32">
        <v>-1866833</v>
      </c>
      <c r="L26" s="32">
        <v>-1101082</v>
      </c>
      <c r="M26" s="32">
        <v>-3965928</v>
      </c>
      <c r="N26" s="32">
        <v>0</v>
      </c>
      <c r="O26" s="32" t="s">
        <v>64</v>
      </c>
      <c r="P26" s="32" t="s">
        <v>64</v>
      </c>
      <c r="Q26" s="32" t="s">
        <v>64</v>
      </c>
      <c r="S26" s="33"/>
    </row>
    <row r="27" spans="1:19" ht="19.5" customHeight="1">
      <c r="A27" s="5">
        <v>21</v>
      </c>
      <c r="B27" s="30" t="s">
        <v>22</v>
      </c>
      <c r="C27" s="30"/>
      <c r="D27" s="31">
        <v>21945980.734099999</v>
      </c>
      <c r="E27" s="31"/>
      <c r="F27" s="32">
        <v>-1644643.7631999999</v>
      </c>
      <c r="G27" s="32">
        <v>550575.62359999865</v>
      </c>
      <c r="H27" s="32">
        <v>-496849.37289999984</v>
      </c>
      <c r="I27" s="32">
        <v>10759193.9449</v>
      </c>
      <c r="J27" s="32">
        <v>-3254388.0581</v>
      </c>
      <c r="K27" s="32">
        <v>66438.724200000986</v>
      </c>
      <c r="L27" s="32">
        <v>7378063.8259999994</v>
      </c>
      <c r="M27" s="32">
        <v>8587589.8095999993</v>
      </c>
      <c r="N27" s="32">
        <v>-4687571</v>
      </c>
      <c r="O27" s="32">
        <v>0</v>
      </c>
      <c r="P27" s="32">
        <v>0</v>
      </c>
      <c r="Q27" s="32">
        <v>0</v>
      </c>
    </row>
    <row r="28" spans="1:19" ht="18.75" customHeight="1">
      <c r="A28" s="5">
        <v>22</v>
      </c>
      <c r="B28" s="2" t="s">
        <v>23</v>
      </c>
      <c r="D28" s="34"/>
      <c r="E28" s="34"/>
      <c r="F28" s="35">
        <v>0.65639999999999998</v>
      </c>
      <c r="G28" s="35">
        <v>0.65639999999999998</v>
      </c>
      <c r="H28" s="35">
        <v>0.65639999999999998</v>
      </c>
      <c r="I28" s="35">
        <v>0.65639999999999998</v>
      </c>
      <c r="J28" s="35">
        <v>0.65639999999999998</v>
      </c>
      <c r="K28" s="35">
        <v>0.65639999999999998</v>
      </c>
      <c r="L28" s="35">
        <v>0.65639999999999998</v>
      </c>
      <c r="M28" s="35">
        <v>0.65639999999999998</v>
      </c>
      <c r="N28" s="35">
        <v>0.65639999999999998</v>
      </c>
      <c r="O28" s="35">
        <v>0.65639999999999998</v>
      </c>
      <c r="P28" s="35">
        <v>0.65639999999999998</v>
      </c>
      <c r="Q28" s="35">
        <v>0.65639999999999998</v>
      </c>
    </row>
    <row r="29" spans="1:19" ht="20.25" customHeight="1">
      <c r="A29" s="5">
        <v>23</v>
      </c>
      <c r="B29" s="2" t="s">
        <v>24</v>
      </c>
      <c r="D29" s="36">
        <v>14405341.753863242</v>
      </c>
      <c r="E29" s="36"/>
      <c r="F29" s="37">
        <v>-1079544.1661644799</v>
      </c>
      <c r="G29" s="37">
        <v>361397.83933103911</v>
      </c>
      <c r="H29" s="37">
        <v>-326131.92837155989</v>
      </c>
      <c r="I29" s="37">
        <v>7062334.9054323602</v>
      </c>
      <c r="J29" s="37">
        <v>-2136180.3213368398</v>
      </c>
      <c r="K29" s="37">
        <v>43610.378564880644</v>
      </c>
      <c r="L29" s="37">
        <v>4842961.0953863999</v>
      </c>
      <c r="M29" s="37">
        <v>5636893.9510214394</v>
      </c>
      <c r="N29" s="37">
        <v>-3076921.6044000001</v>
      </c>
      <c r="O29" s="37">
        <v>0</v>
      </c>
      <c r="P29" s="37">
        <v>0</v>
      </c>
      <c r="Q29" s="37">
        <v>0</v>
      </c>
    </row>
    <row r="30" spans="1:19" ht="20.25" customHeight="1">
      <c r="A30" s="5">
        <v>24</v>
      </c>
      <c r="B30" s="2" t="s">
        <v>25</v>
      </c>
      <c r="D30" s="36">
        <v>0</v>
      </c>
      <c r="E30" s="36"/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</row>
    <row r="31" spans="1:19" ht="29.25" customHeight="1">
      <c r="A31" s="5">
        <v>25</v>
      </c>
      <c r="B31" s="38" t="s">
        <v>26</v>
      </c>
      <c r="C31" s="38"/>
      <c r="D31" s="39">
        <v>-2104308.9767700005</v>
      </c>
      <c r="E31" s="39"/>
      <c r="F31" s="40">
        <v>-256254.19677000024</v>
      </c>
      <c r="G31" s="40">
        <v>-398931.38999999996</v>
      </c>
      <c r="H31" s="40">
        <v>-154916.19</v>
      </c>
      <c r="I31" s="40">
        <v>-614465.27999999991</v>
      </c>
      <c r="J31" s="40">
        <v>218107.88999999998</v>
      </c>
      <c r="K31" s="40">
        <v>94530.15</v>
      </c>
      <c r="L31" s="40">
        <v>-36434.97</v>
      </c>
      <c r="M31" s="40">
        <v>-955944.99</v>
      </c>
      <c r="N31" s="40" t="s">
        <v>64</v>
      </c>
      <c r="O31" s="40" t="s">
        <v>64</v>
      </c>
      <c r="P31" s="40" t="s">
        <v>64</v>
      </c>
      <c r="Q31" s="40" t="s">
        <v>64</v>
      </c>
    </row>
    <row r="32" spans="1:19" ht="27" customHeight="1">
      <c r="A32" s="5">
        <v>26</v>
      </c>
      <c r="B32" s="41" t="s">
        <v>27</v>
      </c>
      <c r="C32" s="41"/>
      <c r="D32" s="42">
        <v>12301032.777093239</v>
      </c>
      <c r="E32" s="42"/>
      <c r="F32" s="43">
        <v>-1335798.3629344802</v>
      </c>
      <c r="G32" s="43">
        <v>-37533.550668960845</v>
      </c>
      <c r="H32" s="43">
        <v>-481048.11837155989</v>
      </c>
      <c r="I32" s="43">
        <v>6447869.62543236</v>
      </c>
      <c r="J32" s="43">
        <v>-1918072.4313368399</v>
      </c>
      <c r="K32" s="43">
        <v>138140.52856488063</v>
      </c>
      <c r="L32" s="43">
        <v>4806526.1253864001</v>
      </c>
      <c r="M32" s="43">
        <v>4680948.9610214392</v>
      </c>
      <c r="N32" s="43" t="e">
        <v>#VALUE!</v>
      </c>
      <c r="O32" s="43" t="s">
        <v>64</v>
      </c>
      <c r="P32" s="43" t="s">
        <v>64</v>
      </c>
      <c r="Q32" s="43" t="s">
        <v>64</v>
      </c>
    </row>
    <row r="33" spans="1:19" ht="12.75" hidden="1" customHeight="1">
      <c r="A33" s="5">
        <v>27</v>
      </c>
      <c r="B33" s="44" t="s">
        <v>28</v>
      </c>
      <c r="C33" s="44"/>
      <c r="D33" s="45"/>
      <c r="E33" s="45"/>
      <c r="F33" s="43"/>
      <c r="G33" s="43"/>
      <c r="H33" s="43"/>
      <c r="I33" s="43"/>
      <c r="J33" s="43"/>
      <c r="K33" s="43"/>
      <c r="L33" s="46">
        <v>0</v>
      </c>
      <c r="M33" s="43"/>
      <c r="N33" s="43"/>
      <c r="O33" s="43"/>
      <c r="P33" s="43"/>
      <c r="Q33" s="43"/>
    </row>
    <row r="34" spans="1:19" ht="28.5" customHeight="1">
      <c r="A34" s="5">
        <v>28</v>
      </c>
      <c r="B34" s="16" t="s">
        <v>29</v>
      </c>
      <c r="C34" s="16"/>
      <c r="D34" s="47"/>
      <c r="E34" s="47"/>
      <c r="F34" s="48">
        <v>-1335798.3629344802</v>
      </c>
      <c r="G34" s="48">
        <v>-1373331.9136034411</v>
      </c>
      <c r="H34" s="48">
        <v>-1854380.0319750011</v>
      </c>
      <c r="I34" s="48">
        <v>4593489.5934573589</v>
      </c>
      <c r="J34" s="48">
        <v>2675417.1621205192</v>
      </c>
      <c r="K34" s="48">
        <v>2813557.6906853998</v>
      </c>
      <c r="L34" s="48">
        <v>7620083.8160718</v>
      </c>
      <c r="M34" s="48">
        <v>12301032.777093239</v>
      </c>
      <c r="N34" s="48" t="e">
        <v>#VALUE!</v>
      </c>
      <c r="O34" s="48" t="s">
        <v>64</v>
      </c>
      <c r="P34" s="48" t="s">
        <v>64</v>
      </c>
      <c r="Q34" s="48" t="s">
        <v>64</v>
      </c>
      <c r="R34" s="33"/>
    </row>
    <row r="35" spans="1:19" ht="30.75" hidden="1" customHeight="1" outlineLevel="1">
      <c r="A35" s="2" t="s">
        <v>30</v>
      </c>
      <c r="B35" s="49">
        <v>10000000</v>
      </c>
      <c r="C35" s="50" t="s">
        <v>31</v>
      </c>
      <c r="D35" s="51">
        <v>0.9</v>
      </c>
      <c r="E35" s="51">
        <v>0.9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2301032.7770932391</v>
      </c>
      <c r="N35" s="34" t="e">
        <v>#VALUE!</v>
      </c>
      <c r="O35" s="34" t="s">
        <v>64</v>
      </c>
      <c r="P35" s="34" t="s">
        <v>64</v>
      </c>
      <c r="Q35" s="34" t="s">
        <v>64</v>
      </c>
      <c r="R35" s="52"/>
      <c r="S35" s="53"/>
    </row>
    <row r="36" spans="1:19" ht="19.5" hidden="1" customHeight="1" outlineLevel="1">
      <c r="A36" s="2" t="s">
        <v>30</v>
      </c>
      <c r="B36" s="49">
        <v>4000000</v>
      </c>
      <c r="C36" s="50" t="s">
        <v>176</v>
      </c>
      <c r="D36" s="51">
        <v>0.5</v>
      </c>
      <c r="E36" s="51">
        <v>0.75</v>
      </c>
      <c r="F36" s="34">
        <v>0</v>
      </c>
      <c r="G36" s="34">
        <v>0</v>
      </c>
      <c r="H36" s="34">
        <v>0</v>
      </c>
      <c r="I36" s="34">
        <v>593489.59345735889</v>
      </c>
      <c r="J36" s="34">
        <v>0</v>
      </c>
      <c r="K36" s="34">
        <v>0</v>
      </c>
      <c r="L36" s="34">
        <v>3620083.8160718</v>
      </c>
      <c r="M36" s="34">
        <v>6000000</v>
      </c>
      <c r="N36" s="34" t="e">
        <v>#VALUE!</v>
      </c>
      <c r="O36" s="34" t="s">
        <v>64</v>
      </c>
      <c r="P36" s="34" t="s">
        <v>64</v>
      </c>
      <c r="Q36" s="34" t="s">
        <v>64</v>
      </c>
      <c r="R36" s="52"/>
      <c r="S36" s="53"/>
    </row>
    <row r="37" spans="1:19" ht="21.75" hidden="1" customHeight="1" outlineLevel="1">
      <c r="A37" s="2" t="s">
        <v>30</v>
      </c>
      <c r="B37" s="49">
        <v>0</v>
      </c>
      <c r="C37" s="50" t="s">
        <v>177</v>
      </c>
      <c r="D37" s="51">
        <v>0</v>
      </c>
      <c r="E37" s="51">
        <v>0</v>
      </c>
      <c r="F37" s="34">
        <v>-1335798.3629344802</v>
      </c>
      <c r="G37" s="34">
        <v>-1373331.9136034411</v>
      </c>
      <c r="H37" s="34">
        <v>-1854380.0319750011</v>
      </c>
      <c r="I37" s="34">
        <v>4000000</v>
      </c>
      <c r="J37" s="34">
        <v>2675417.1621205192</v>
      </c>
      <c r="K37" s="34">
        <v>2813557.6906853998</v>
      </c>
      <c r="L37" s="34">
        <v>4000000</v>
      </c>
      <c r="M37" s="34">
        <v>4000000</v>
      </c>
      <c r="N37" s="34" t="e">
        <v>#VALUE!</v>
      </c>
      <c r="O37" s="34" t="s">
        <v>64</v>
      </c>
      <c r="P37" s="34" t="s">
        <v>64</v>
      </c>
      <c r="Q37" s="34" t="s">
        <v>64</v>
      </c>
      <c r="R37" s="52"/>
    </row>
    <row r="38" spans="1:19" ht="15.95" hidden="1" customHeight="1" outlineLevel="1">
      <c r="A38" s="2"/>
      <c r="B38" s="54"/>
      <c r="C38" s="2" t="s">
        <v>32</v>
      </c>
      <c r="D38" s="55"/>
      <c r="E38" s="55"/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 t="e">
        <v>#VALUE!</v>
      </c>
      <c r="O38" s="33" t="s">
        <v>64</v>
      </c>
      <c r="P38" s="33" t="s">
        <v>64</v>
      </c>
      <c r="Q38" s="33" t="s">
        <v>64</v>
      </c>
      <c r="R38" s="56"/>
    </row>
    <row r="39" spans="1:19" ht="23.25" customHeight="1" collapsed="1">
      <c r="A39" s="2" t="s">
        <v>33</v>
      </c>
      <c r="D39" s="57"/>
      <c r="E39" s="57"/>
      <c r="F39" s="34">
        <v>0</v>
      </c>
      <c r="G39" s="34">
        <v>0</v>
      </c>
      <c r="H39" s="34">
        <v>0</v>
      </c>
      <c r="I39" s="34">
        <v>296744.79672867944</v>
      </c>
      <c r="J39" s="34">
        <v>0</v>
      </c>
      <c r="K39" s="34">
        <v>0</v>
      </c>
      <c r="L39" s="34">
        <v>1810041.9080359</v>
      </c>
      <c r="M39" s="34">
        <v>5070929.4993839152</v>
      </c>
      <c r="N39" s="34" t="e">
        <v>#VALUE!</v>
      </c>
      <c r="O39" s="34" t="s">
        <v>64</v>
      </c>
      <c r="P39" s="34" t="s">
        <v>64</v>
      </c>
      <c r="Q39" s="34" t="s">
        <v>64</v>
      </c>
      <c r="R39" s="52" t="s">
        <v>34</v>
      </c>
    </row>
    <row r="40" spans="1:19" ht="20.25" customHeight="1">
      <c r="A40" s="2" t="s">
        <v>35</v>
      </c>
      <c r="F40" s="34">
        <v>0</v>
      </c>
      <c r="G40" s="34">
        <v>0</v>
      </c>
      <c r="H40" s="34">
        <v>0</v>
      </c>
      <c r="I40" s="34">
        <v>296744.79672867944</v>
      </c>
      <c r="J40" s="34">
        <v>-296744.79672867944</v>
      </c>
      <c r="K40" s="34">
        <v>0</v>
      </c>
      <c r="L40" s="34">
        <v>1810041.9080359</v>
      </c>
      <c r="M40" s="34">
        <v>3260887.5913480152</v>
      </c>
      <c r="N40" s="34" t="e">
        <v>#VALUE!</v>
      </c>
      <c r="O40" s="34" t="s">
        <v>64</v>
      </c>
      <c r="P40" s="34" t="s">
        <v>64</v>
      </c>
      <c r="Q40" s="34" t="s">
        <v>64</v>
      </c>
      <c r="R40" s="56"/>
    </row>
    <row r="41" spans="1:19" ht="24.75" customHeight="1">
      <c r="A41" s="44" t="s">
        <v>36</v>
      </c>
      <c r="B41" s="44"/>
      <c r="C41" s="44"/>
      <c r="D41" s="42">
        <v>-5070929.4993839152</v>
      </c>
      <c r="E41" s="42"/>
      <c r="F41" s="58">
        <v>0</v>
      </c>
      <c r="G41" s="58">
        <v>0</v>
      </c>
      <c r="H41" s="58">
        <v>0</v>
      </c>
      <c r="I41" s="58">
        <v>-296744.79672867944</v>
      </c>
      <c r="J41" s="58">
        <v>296744.79672867944</v>
      </c>
      <c r="K41" s="58">
        <v>0</v>
      </c>
      <c r="L41" s="58">
        <v>-1810041.9080359</v>
      </c>
      <c r="M41" s="58">
        <v>-3260887.5913480152</v>
      </c>
      <c r="N41" s="58" t="e">
        <v>#VALUE!</v>
      </c>
      <c r="O41" s="58" t="s">
        <v>64</v>
      </c>
      <c r="P41" s="58" t="s">
        <v>64</v>
      </c>
      <c r="Q41" s="58" t="s">
        <v>64</v>
      </c>
      <c r="R41" s="52"/>
    </row>
    <row r="42" spans="1:19" ht="26.25" customHeight="1" thickBot="1">
      <c r="A42" s="59" t="s">
        <v>37</v>
      </c>
      <c r="B42" s="59"/>
      <c r="C42" s="59"/>
      <c r="D42" s="60"/>
      <c r="E42" s="60"/>
      <c r="F42" s="61">
        <v>-1335798.3629344802</v>
      </c>
      <c r="G42" s="61">
        <v>-1373331.9136034411</v>
      </c>
      <c r="H42" s="61">
        <v>-1854380.0319750011</v>
      </c>
      <c r="I42" s="61">
        <v>4296744.7967286799</v>
      </c>
      <c r="J42" s="61">
        <v>2675417.1621205192</v>
      </c>
      <c r="K42" s="61">
        <v>2813557.6906853998</v>
      </c>
      <c r="L42" s="61">
        <v>5810041.9080359004</v>
      </c>
      <c r="M42" s="61">
        <v>7230103.2777093239</v>
      </c>
      <c r="N42" s="61" t="e">
        <v>#VALUE!</v>
      </c>
      <c r="O42" s="61" t="s">
        <v>64</v>
      </c>
      <c r="P42" s="61" t="s">
        <v>64</v>
      </c>
      <c r="Q42" s="61" t="s">
        <v>64</v>
      </c>
    </row>
    <row r="43" spans="1:19" ht="13.5" thickTop="1">
      <c r="A43" s="62"/>
    </row>
    <row r="44" spans="1:19">
      <c r="E44" s="63"/>
      <c r="F44" s="64" t="s">
        <v>38</v>
      </c>
      <c r="Q44" s="34"/>
      <c r="R44" s="33"/>
    </row>
    <row r="45" spans="1:19">
      <c r="E45" s="65"/>
      <c r="F45"/>
      <c r="H45" s="66"/>
      <c r="I45" s="66"/>
      <c r="J45" s="66"/>
      <c r="K45" s="66"/>
      <c r="Q45" s="67"/>
      <c r="R45" s="33"/>
    </row>
    <row r="46" spans="1:19">
      <c r="E46" s="63"/>
      <c r="F46" s="68"/>
      <c r="H46" s="66"/>
      <c r="I46" s="66"/>
      <c r="J46" s="66"/>
      <c r="K46" s="66"/>
      <c r="Q46" s="67"/>
      <c r="R46" s="33"/>
    </row>
    <row r="47" spans="1:19">
      <c r="H47" s="66"/>
      <c r="I47" s="66"/>
      <c r="J47" s="66"/>
      <c r="K47" s="66"/>
    </row>
    <row r="48" spans="1:19">
      <c r="F48" s="69"/>
      <c r="H48" s="66"/>
      <c r="I48" s="66"/>
      <c r="J48" s="66"/>
      <c r="K48" s="66"/>
    </row>
    <row r="49" spans="6:17">
      <c r="F49" s="69"/>
      <c r="H49" s="66"/>
      <c r="I49" s="66"/>
      <c r="J49" s="66"/>
      <c r="K49" s="66"/>
      <c r="Q49" s="33"/>
    </row>
    <row r="50" spans="6:17">
      <c r="H50" s="66"/>
      <c r="I50" s="66"/>
      <c r="J50" s="66"/>
      <c r="K50" s="66"/>
    </row>
    <row r="51" spans="6:17">
      <c r="H51" s="66"/>
      <c r="I51" s="66"/>
      <c r="J51" s="66"/>
      <c r="K51" s="66"/>
    </row>
    <row r="52" spans="6:17">
      <c r="H52" s="66"/>
      <c r="I52" s="66"/>
      <c r="J52" s="66"/>
      <c r="K52" s="66"/>
    </row>
    <row r="56" spans="6:17" hidden="1"/>
    <row r="57" spans="6:17" hidden="1"/>
    <row r="58" spans="6:17" hidden="1"/>
    <row r="59" spans="6:17" hidden="1"/>
    <row r="60" spans="6:17" hidden="1"/>
    <row r="61" spans="6:17" hidden="1"/>
    <row r="62" spans="6:17" hidden="1"/>
    <row r="63" spans="6:17" hidden="1"/>
    <row r="64" spans="6:17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</sheetData>
  <mergeCells count="35">
    <mergeCell ref="B33:C33"/>
    <mergeCell ref="A41:C41"/>
    <mergeCell ref="D41:E41"/>
    <mergeCell ref="A42:C42"/>
    <mergeCell ref="D27:E27"/>
    <mergeCell ref="D29:E29"/>
    <mergeCell ref="D30:E30"/>
    <mergeCell ref="B31:C31"/>
    <mergeCell ref="D31:E31"/>
    <mergeCell ref="B32:C32"/>
    <mergeCell ref="D32:E32"/>
    <mergeCell ref="D21:E21"/>
    <mergeCell ref="D22:E22"/>
    <mergeCell ref="D23:E23"/>
    <mergeCell ref="D24:E24"/>
    <mergeCell ref="D25:E25"/>
    <mergeCell ref="D26:E26"/>
    <mergeCell ref="D15:E15"/>
    <mergeCell ref="D16:E16"/>
    <mergeCell ref="D17:E17"/>
    <mergeCell ref="D18:E18"/>
    <mergeCell ref="D19:E19"/>
    <mergeCell ref="D20:E20"/>
    <mergeCell ref="D9:E9"/>
    <mergeCell ref="D10:E10"/>
    <mergeCell ref="D11:E11"/>
    <mergeCell ref="D12:E12"/>
    <mergeCell ref="D13:E13"/>
    <mergeCell ref="D14:E14"/>
    <mergeCell ref="A1:Q1"/>
    <mergeCell ref="A2:Q2"/>
    <mergeCell ref="D5:E5"/>
    <mergeCell ref="D6:E6"/>
    <mergeCell ref="D7:E7"/>
    <mergeCell ref="D8:E8"/>
  </mergeCells>
  <conditionalFormatting sqref="F38:R38">
    <cfRule type="expression" dxfId="0" priority="1" stopIfTrue="1">
      <formula>ABS(F38)&gt;0.1</formula>
    </cfRule>
  </conditionalFormatting>
  <pageMargins left="0.17" right="0.17" top="0.5" bottom="0.5" header="0.5" footer="0.25"/>
  <pageSetup scale="56" orientation="landscape" r:id="rId1"/>
  <headerFooter>
    <oddFooter xml:space="preserve">&amp;L&amp;F - &amp;D&amp;RPage &amp;P of 5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3637A-A2C0-4D11-8CB1-F3C306F15823}">
  <sheetPr>
    <tabColor theme="8" tint="-0.249977111117893"/>
  </sheetPr>
  <dimension ref="A1:T504"/>
  <sheetViews>
    <sheetView zoomScaleNormal="100" zoomScaleSheetLayoutView="100" workbookViewId="0">
      <pane xSplit="4" ySplit="5" topLeftCell="E105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11.42578125" defaultRowHeight="12.75" outlineLevelRow="2" outlineLevelCol="1"/>
  <cols>
    <col min="1" max="1" width="5" style="84" customWidth="1"/>
    <col min="2" max="2" width="46.140625" customWidth="1"/>
    <col min="3" max="3" width="33.5703125" hidden="1" customWidth="1" outlineLevel="1"/>
    <col min="4" max="4" width="13.42578125" bestFit="1" customWidth="1" collapsed="1"/>
    <col min="5" max="5" width="13.7109375" customWidth="1"/>
    <col min="6" max="6" width="12.7109375" customWidth="1"/>
    <col min="7" max="7" width="12.42578125" customWidth="1"/>
    <col min="8" max="8" width="12.5703125" customWidth="1"/>
    <col min="9" max="9" width="12.140625" customWidth="1"/>
    <col min="10" max="10" width="12.5703125" customWidth="1"/>
    <col min="11" max="16" width="12.7109375" customWidth="1"/>
    <col min="17" max="17" width="2.7109375" hidden="1" customWidth="1" outlineLevel="1"/>
    <col min="18" max="18" width="14.28515625" hidden="1" customWidth="1" outlineLevel="1"/>
    <col min="19" max="19" width="11.42578125" collapsed="1"/>
    <col min="20" max="20" width="13.28515625" bestFit="1" customWidth="1"/>
  </cols>
  <sheetData>
    <row r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1" t="s">
        <v>39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38.25" customHeight="1">
      <c r="A3"/>
    </row>
    <row r="4" spans="1:18">
      <c r="A4" s="70" t="s">
        <v>2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8">
      <c r="A5" s="72" t="s">
        <v>3</v>
      </c>
      <c r="C5" t="s">
        <v>40</v>
      </c>
      <c r="D5" s="73" t="s">
        <v>5</v>
      </c>
      <c r="E5" s="10">
        <v>44592</v>
      </c>
      <c r="F5" s="10">
        <f t="shared" ref="F5:P5" si="0">EOMONTH(E5,1)</f>
        <v>44620</v>
      </c>
      <c r="G5" s="10">
        <f t="shared" si="0"/>
        <v>44651</v>
      </c>
      <c r="H5" s="10">
        <f t="shared" si="0"/>
        <v>44681</v>
      </c>
      <c r="I5" s="10">
        <f t="shared" si="0"/>
        <v>44712</v>
      </c>
      <c r="J5" s="10">
        <f t="shared" si="0"/>
        <v>44742</v>
      </c>
      <c r="K5" s="10">
        <f t="shared" si="0"/>
        <v>44773</v>
      </c>
      <c r="L5" s="10">
        <f t="shared" si="0"/>
        <v>44804</v>
      </c>
      <c r="M5" s="10">
        <f t="shared" si="0"/>
        <v>44834</v>
      </c>
      <c r="N5" s="10">
        <f t="shared" si="0"/>
        <v>44865</v>
      </c>
      <c r="O5" s="10">
        <f t="shared" si="0"/>
        <v>44895</v>
      </c>
      <c r="P5" s="10">
        <f t="shared" si="0"/>
        <v>44926</v>
      </c>
      <c r="Q5" s="74"/>
      <c r="R5" s="10" t="s">
        <v>41</v>
      </c>
    </row>
    <row r="6" spans="1:18">
      <c r="A6" s="70"/>
      <c r="B6" s="75" t="s">
        <v>42</v>
      </c>
      <c r="C6" s="76"/>
    </row>
    <row r="7" spans="1:18">
      <c r="A7" s="70">
        <f>A6+1</f>
        <v>1</v>
      </c>
      <c r="B7" s="2" t="s">
        <v>43</v>
      </c>
      <c r="C7" s="4"/>
      <c r="D7" s="77">
        <f>SUM(E7:P7)</f>
        <v>24497397.794100001</v>
      </c>
      <c r="E7" s="77">
        <f>E24-SUM(E8:E23)</f>
        <v>2065904.616799999</v>
      </c>
      <c r="F7" s="77">
        <f t="shared" ref="F7:P7" si="1">F24-SUM(F8:F23)</f>
        <v>2293064.8536000028</v>
      </c>
      <c r="G7" s="77">
        <f t="shared" si="1"/>
        <v>1313639.1171000004</v>
      </c>
      <c r="H7" s="77">
        <f t="shared" si="1"/>
        <v>3289732.3049000017</v>
      </c>
      <c r="I7" s="77">
        <f t="shared" si="1"/>
        <v>2042973.9119000006</v>
      </c>
      <c r="J7" s="77">
        <f t="shared" si="1"/>
        <v>1522935.3441999983</v>
      </c>
      <c r="K7" s="77">
        <f t="shared" si="1"/>
        <v>1910516.7159999991</v>
      </c>
      <c r="L7" s="77">
        <f t="shared" si="1"/>
        <v>9515112.9295999985</v>
      </c>
      <c r="M7" s="77">
        <f t="shared" si="1"/>
        <v>543518</v>
      </c>
      <c r="N7" s="77">
        <f t="shared" si="1"/>
        <v>0</v>
      </c>
      <c r="O7" s="77">
        <f t="shared" si="1"/>
        <v>0</v>
      </c>
      <c r="P7" s="77">
        <f t="shared" si="1"/>
        <v>0</v>
      </c>
      <c r="Q7" s="78"/>
      <c r="R7" s="79">
        <f t="shared" ref="R7:R23" si="2">SUM(E7:P7)</f>
        <v>24497397.794100001</v>
      </c>
    </row>
    <row r="8" spans="1:18">
      <c r="A8" s="70">
        <v>2</v>
      </c>
      <c r="B8" s="80" t="s">
        <v>44</v>
      </c>
      <c r="C8" s="81">
        <v>100096</v>
      </c>
      <c r="D8" s="77">
        <f t="shared" ref="D8:D23" si="3">SUM(E8:P8)</f>
        <v>9914666.6400000006</v>
      </c>
      <c r="E8" s="82">
        <f>'[1]Input Tab'!C19</f>
        <v>1239333.33</v>
      </c>
      <c r="F8" s="82">
        <f>'[1]Input Tab'!D19</f>
        <v>1239333.33</v>
      </c>
      <c r="G8" s="82">
        <f>'[1]Input Tab'!E19</f>
        <v>1239333.33</v>
      </c>
      <c r="H8" s="82">
        <f>'[1]Input Tab'!F19</f>
        <v>1239333.33</v>
      </c>
      <c r="I8" s="82">
        <f>'[1]Input Tab'!G19</f>
        <v>1239333.33</v>
      </c>
      <c r="J8" s="82">
        <f>'[1]Input Tab'!H19</f>
        <v>1239333.33</v>
      </c>
      <c r="K8" s="82">
        <f>'[1]Input Tab'!I19</f>
        <v>1239333.33</v>
      </c>
      <c r="L8" s="82">
        <f>'[1]Input Tab'!J19</f>
        <v>1239333.33</v>
      </c>
      <c r="M8" s="82">
        <f>'[1]Input Tab'!K19</f>
        <v>0</v>
      </c>
      <c r="N8" s="82">
        <f>'[1]Input Tab'!L19</f>
        <v>0</v>
      </c>
      <c r="O8" s="82">
        <f>'[1]Input Tab'!M19</f>
        <v>0</v>
      </c>
      <c r="P8" s="82">
        <f>'[1]Input Tab'!N19</f>
        <v>0</v>
      </c>
      <c r="Q8" s="78"/>
      <c r="R8" s="79">
        <f t="shared" si="2"/>
        <v>9914666.6400000006</v>
      </c>
    </row>
    <row r="9" spans="1:18">
      <c r="A9" s="70">
        <v>3</v>
      </c>
      <c r="B9" s="80" t="s">
        <v>45</v>
      </c>
      <c r="C9" s="81">
        <v>107240</v>
      </c>
      <c r="D9" s="77">
        <f t="shared" si="3"/>
        <v>2244006.9899999998</v>
      </c>
      <c r="E9" s="82">
        <f>'[1]Input Tab'!C20</f>
        <v>275710.40999999997</v>
      </c>
      <c r="F9" s="82">
        <f>'[1]Input Tab'!D20</f>
        <v>234857.57</v>
      </c>
      <c r="G9" s="82">
        <f>'[1]Input Tab'!E20</f>
        <v>178914.26</v>
      </c>
      <c r="H9" s="82">
        <f>'[1]Input Tab'!F20</f>
        <v>234531.99</v>
      </c>
      <c r="I9" s="82">
        <f>'[1]Input Tab'!G20</f>
        <v>226285.09</v>
      </c>
      <c r="J9" s="82">
        <f>'[1]Input Tab'!H20</f>
        <v>178799.7</v>
      </c>
      <c r="K9" s="82">
        <f>'[1]Input Tab'!I20</f>
        <v>422184.11</v>
      </c>
      <c r="L9" s="82">
        <f>'[1]Input Tab'!J20</f>
        <v>492723.86</v>
      </c>
      <c r="M9" s="82">
        <f>'[1]Input Tab'!K20</f>
        <v>0</v>
      </c>
      <c r="N9" s="82">
        <f>'[1]Input Tab'!L20</f>
        <v>0</v>
      </c>
      <c r="O9" s="82">
        <f>'[1]Input Tab'!M20</f>
        <v>0</v>
      </c>
      <c r="P9" s="82">
        <f>'[1]Input Tab'!N20</f>
        <v>0</v>
      </c>
      <c r="Q9" s="78"/>
      <c r="R9" s="79">
        <f>SUM(E9:P9)</f>
        <v>2244006.9899999998</v>
      </c>
    </row>
    <row r="10" spans="1:18">
      <c r="A10" s="70">
        <v>4</v>
      </c>
      <c r="B10" s="2" t="s">
        <v>46</v>
      </c>
      <c r="C10" s="4">
        <v>100131</v>
      </c>
      <c r="D10" s="77">
        <f t="shared" si="3"/>
        <v>1502632</v>
      </c>
      <c r="E10" s="82">
        <f>'[1]Input Tab'!C21</f>
        <v>187829</v>
      </c>
      <c r="F10" s="82">
        <f>'[1]Input Tab'!D21</f>
        <v>187829</v>
      </c>
      <c r="G10" s="82">
        <f>'[1]Input Tab'!E21</f>
        <v>187829</v>
      </c>
      <c r="H10" s="82">
        <f>'[1]Input Tab'!F21</f>
        <v>187829</v>
      </c>
      <c r="I10" s="82">
        <f>'[1]Input Tab'!G21</f>
        <v>187829</v>
      </c>
      <c r="J10" s="82">
        <f>'[1]Input Tab'!H21</f>
        <v>187829</v>
      </c>
      <c r="K10" s="82">
        <f>'[1]Input Tab'!I21</f>
        <v>187829</v>
      </c>
      <c r="L10" s="82">
        <f>'[1]Input Tab'!J21</f>
        <v>187829</v>
      </c>
      <c r="M10" s="82">
        <f>'[1]Input Tab'!K21</f>
        <v>0</v>
      </c>
      <c r="N10" s="82">
        <f>'[1]Input Tab'!L21</f>
        <v>0</v>
      </c>
      <c r="O10" s="82">
        <f>'[1]Input Tab'!M21</f>
        <v>0</v>
      </c>
      <c r="P10" s="82">
        <f>'[1]Input Tab'!N21</f>
        <v>0</v>
      </c>
      <c r="Q10" s="78"/>
      <c r="R10" s="79">
        <f t="shared" si="2"/>
        <v>1502632</v>
      </c>
    </row>
    <row r="11" spans="1:18" ht="13.5" customHeight="1">
      <c r="A11" s="70">
        <v>5</v>
      </c>
      <c r="B11" s="2" t="s">
        <v>47</v>
      </c>
      <c r="C11" s="4">
        <v>100085</v>
      </c>
      <c r="D11" s="77">
        <f t="shared" si="3"/>
        <v>11485788.48</v>
      </c>
      <c r="E11" s="83">
        <f>'[1]Input Tab'!C22</f>
        <v>1429538.04</v>
      </c>
      <c r="F11" s="83">
        <f>'[1]Input Tab'!D22</f>
        <v>1429538.04</v>
      </c>
      <c r="G11" s="83">
        <f>'[1]Input Tab'!E22</f>
        <v>1429538.04</v>
      </c>
      <c r="H11" s="83">
        <f>'[1]Input Tab'!F22</f>
        <v>1479022.2</v>
      </c>
      <c r="I11" s="83">
        <f>'[1]Input Tab'!G22</f>
        <v>1429538.04</v>
      </c>
      <c r="J11" s="83">
        <f>'[1]Input Tab'!H22</f>
        <v>1429538.04</v>
      </c>
      <c r="K11" s="83">
        <f>'[1]Input Tab'!I22</f>
        <v>1429538.04</v>
      </c>
      <c r="L11" s="83">
        <f>'[1]Input Tab'!J22</f>
        <v>1429538.04</v>
      </c>
      <c r="M11" s="83">
        <f>'[1]Input Tab'!K22</f>
        <v>0</v>
      </c>
      <c r="N11" s="83">
        <f>'[1]Input Tab'!L22</f>
        <v>0</v>
      </c>
      <c r="O11" s="83">
        <f>'[1]Input Tab'!M22</f>
        <v>0</v>
      </c>
      <c r="P11" s="83">
        <f>'[1]Input Tab'!N22</f>
        <v>0</v>
      </c>
      <c r="Q11" s="78"/>
      <c r="R11" s="79">
        <f t="shared" si="2"/>
        <v>11485788.48</v>
      </c>
    </row>
    <row r="12" spans="1:18" ht="14.25">
      <c r="A12" s="70">
        <f>A11+1</f>
        <v>6</v>
      </c>
      <c r="B12" s="2" t="s">
        <v>48</v>
      </c>
      <c r="C12" s="84" t="s">
        <v>49</v>
      </c>
      <c r="D12" s="77">
        <f t="shared" si="3"/>
        <v>0</v>
      </c>
      <c r="E12" s="83">
        <f>'[1]Input Tab'!C23</f>
        <v>0</v>
      </c>
      <c r="F12" s="83">
        <f>'[1]Input Tab'!D23</f>
        <v>0</v>
      </c>
      <c r="G12" s="83">
        <f>'[1]Input Tab'!E23</f>
        <v>0</v>
      </c>
      <c r="H12" s="83">
        <f>'[1]Input Tab'!F23</f>
        <v>0</v>
      </c>
      <c r="I12" s="83">
        <f>'[1]Input Tab'!G23</f>
        <v>0</v>
      </c>
      <c r="J12" s="83">
        <f>'[1]Input Tab'!H23</f>
        <v>0</v>
      </c>
      <c r="K12" s="83">
        <f>'[1]Input Tab'!I23</f>
        <v>0</v>
      </c>
      <c r="L12" s="83">
        <f>'[1]Input Tab'!J23</f>
        <v>0</v>
      </c>
      <c r="M12" s="82">
        <f>'[1]Input Tab'!K23</f>
        <v>0</v>
      </c>
      <c r="N12" s="82">
        <f>'[1]Input Tab'!L23</f>
        <v>0</v>
      </c>
      <c r="O12" s="83">
        <f>'[1]Input Tab'!M23</f>
        <v>0</v>
      </c>
      <c r="P12" s="83">
        <f>'[1]Input Tab'!N23</f>
        <v>0</v>
      </c>
      <c r="Q12" s="78"/>
      <c r="R12" s="79">
        <f t="shared" si="2"/>
        <v>0</v>
      </c>
    </row>
    <row r="13" spans="1:18">
      <c r="A13" s="70">
        <f t="shared" ref="A13:A16" si="4">A12+1</f>
        <v>7</v>
      </c>
      <c r="B13" t="s">
        <v>50</v>
      </c>
      <c r="C13" s="84">
        <v>100137</v>
      </c>
      <c r="D13" s="77">
        <f t="shared" si="3"/>
        <v>9184.4000000000015</v>
      </c>
      <c r="E13" s="83">
        <f>'[1]Input Tab'!C24</f>
        <v>1402.15</v>
      </c>
      <c r="F13" s="83">
        <f>'[1]Input Tab'!D24</f>
        <v>1616.35</v>
      </c>
      <c r="G13" s="83">
        <f>'[1]Input Tab'!E24</f>
        <v>1595.35</v>
      </c>
      <c r="H13" s="83">
        <f>'[1]Input Tab'!F24</f>
        <v>1116.55</v>
      </c>
      <c r="I13" s="83">
        <f>'[1]Input Tab'!G24</f>
        <v>1066.1500000000001</v>
      </c>
      <c r="J13" s="83">
        <f>'[1]Input Tab'!H24</f>
        <v>881.35</v>
      </c>
      <c r="K13" s="83">
        <f>'[1]Input Tab'!I24</f>
        <v>730.15</v>
      </c>
      <c r="L13" s="83">
        <f>'[1]Input Tab'!J24</f>
        <v>776.35</v>
      </c>
      <c r="M13" s="83">
        <f>'[1]Input Tab'!K24</f>
        <v>0</v>
      </c>
      <c r="N13" s="83">
        <f>'[1]Input Tab'!L24</f>
        <v>0</v>
      </c>
      <c r="O13" s="83">
        <f>'[1]Input Tab'!M24</f>
        <v>0</v>
      </c>
      <c r="P13" s="83">
        <f>'[1]Input Tab'!N24</f>
        <v>0</v>
      </c>
      <c r="Q13" s="78"/>
      <c r="R13" s="79">
        <f t="shared" si="2"/>
        <v>9184.4000000000015</v>
      </c>
    </row>
    <row r="14" spans="1:18">
      <c r="A14" s="70">
        <f t="shared" si="4"/>
        <v>8</v>
      </c>
      <c r="B14" t="s">
        <v>51</v>
      </c>
      <c r="C14" s="4" t="s">
        <v>52</v>
      </c>
      <c r="D14" s="77">
        <f t="shared" si="3"/>
        <v>928176.9</v>
      </c>
      <c r="E14" s="83">
        <f>'[1]Input Tab'!C25</f>
        <v>101738.28</v>
      </c>
      <c r="F14" s="83">
        <f>'[1]Input Tab'!D25</f>
        <v>113617.67</v>
      </c>
      <c r="G14" s="83">
        <f>'[1]Input Tab'!E25</f>
        <v>122233.07</v>
      </c>
      <c r="H14" s="83">
        <f>'[1]Input Tab'!F25</f>
        <v>112144.05</v>
      </c>
      <c r="I14" s="83">
        <f>'[1]Input Tab'!G25</f>
        <v>129963.33</v>
      </c>
      <c r="J14" s="83">
        <f>'[1]Input Tab'!H25</f>
        <v>120476.17</v>
      </c>
      <c r="K14" s="83">
        <f>'[1]Input Tab'!I25</f>
        <v>157365.09</v>
      </c>
      <c r="L14" s="83">
        <f>'[1]Input Tab'!J25</f>
        <v>70639.240000000005</v>
      </c>
      <c r="M14" s="83">
        <f>'[1]Input Tab'!K25</f>
        <v>0</v>
      </c>
      <c r="N14" s="83">
        <f>'[1]Input Tab'!L25</f>
        <v>0</v>
      </c>
      <c r="O14" s="83">
        <f>'[1]Input Tab'!M25</f>
        <v>0</v>
      </c>
      <c r="P14" s="83">
        <f>'[1]Input Tab'!N25</f>
        <v>0</v>
      </c>
      <c r="Q14" s="78"/>
      <c r="R14" s="79">
        <f t="shared" si="2"/>
        <v>928176.9</v>
      </c>
    </row>
    <row r="15" spans="1:18">
      <c r="A15" s="70">
        <f t="shared" si="4"/>
        <v>9</v>
      </c>
      <c r="B15" s="2" t="s">
        <v>53</v>
      </c>
      <c r="C15" s="4">
        <v>185895</v>
      </c>
      <c r="D15" s="77">
        <f t="shared" si="3"/>
        <v>611355.62</v>
      </c>
      <c r="E15" s="83">
        <f>'[1]Input Tab'!C35</f>
        <v>139683.65</v>
      </c>
      <c r="F15" s="83">
        <f>'[1]Input Tab'!D35</f>
        <v>106342.55</v>
      </c>
      <c r="G15" s="83">
        <f>'[1]Input Tab'!E35</f>
        <v>90583.08</v>
      </c>
      <c r="H15" s="83">
        <f>'[1]Input Tab'!F35</f>
        <v>76205.08</v>
      </c>
      <c r="I15" s="83">
        <f>'[1]Input Tab'!G35</f>
        <v>73895.44</v>
      </c>
      <c r="J15" s="83">
        <f>'[1]Input Tab'!H35</f>
        <v>108776.36</v>
      </c>
      <c r="K15" s="83">
        <f>'[1]Input Tab'!I35</f>
        <v>15869.46</v>
      </c>
      <c r="L15" s="83">
        <f>'[1]Input Tab'!J35</f>
        <v>0</v>
      </c>
      <c r="M15" s="83">
        <f>'[1]Input Tab'!K35</f>
        <v>0</v>
      </c>
      <c r="N15" s="83">
        <f>'[1]Input Tab'!L35</f>
        <v>0</v>
      </c>
      <c r="O15" s="83">
        <f>'[1]Input Tab'!M35</f>
        <v>0</v>
      </c>
      <c r="P15" s="83">
        <f>'[1]Input Tab'!N35</f>
        <v>0</v>
      </c>
      <c r="Q15" s="78"/>
      <c r="R15" s="79">
        <f t="shared" si="2"/>
        <v>611355.62</v>
      </c>
    </row>
    <row r="16" spans="1:18" ht="12.75" customHeight="1">
      <c r="A16" s="70">
        <f t="shared" si="4"/>
        <v>10</v>
      </c>
      <c r="B16" t="s">
        <v>54</v>
      </c>
      <c r="C16" s="4">
        <v>186298</v>
      </c>
      <c r="D16" s="77">
        <f t="shared" si="3"/>
        <v>1486840.32</v>
      </c>
      <c r="E16" s="83">
        <f>'[1]Input Tab'!C36</f>
        <v>255050.88</v>
      </c>
      <c r="F16" s="83">
        <f>'[1]Input Tab'!D36</f>
        <v>195545.28</v>
      </c>
      <c r="G16" s="83">
        <f>'[1]Input Tab'!E36</f>
        <v>251977.60000000001</v>
      </c>
      <c r="H16" s="83">
        <f>'[1]Input Tab'!F36</f>
        <v>263706.23999999999</v>
      </c>
      <c r="I16" s="83">
        <f>'[1]Input Tab'!G36</f>
        <v>222311.04000000001</v>
      </c>
      <c r="J16" s="83">
        <f>'[1]Input Tab'!H36</f>
        <v>188787.20000000001</v>
      </c>
      <c r="K16" s="83">
        <f>'[1]Input Tab'!I36</f>
        <v>109462.08</v>
      </c>
      <c r="L16" s="83">
        <f>'[1]Input Tab'!J36</f>
        <v>0</v>
      </c>
      <c r="M16" s="83">
        <f>'[1]Input Tab'!K36</f>
        <v>0</v>
      </c>
      <c r="N16" s="83">
        <f>'[1]Input Tab'!L36</f>
        <v>0</v>
      </c>
      <c r="O16" s="83">
        <f>'[1]Input Tab'!M36</f>
        <v>0</v>
      </c>
      <c r="P16" s="83">
        <f>'[1]Input Tab'!N36</f>
        <v>0</v>
      </c>
      <c r="Q16" s="78"/>
      <c r="R16" s="79">
        <f t="shared" si="2"/>
        <v>1486840.32</v>
      </c>
    </row>
    <row r="17" spans="1:20">
      <c r="A17" s="70">
        <f>A16+1</f>
        <v>11</v>
      </c>
      <c r="B17" s="2" t="s">
        <v>55</v>
      </c>
      <c r="C17" s="4">
        <v>223063</v>
      </c>
      <c r="D17" s="77">
        <f t="shared" si="3"/>
        <v>3727220.71</v>
      </c>
      <c r="E17" s="83">
        <f>'[1]Input Tab'!C37</f>
        <v>443909.2</v>
      </c>
      <c r="F17" s="83">
        <f>'[1]Input Tab'!D37</f>
        <v>520423.76</v>
      </c>
      <c r="G17" s="83">
        <f>'[1]Input Tab'!E37</f>
        <v>427102.52</v>
      </c>
      <c r="H17" s="83">
        <f>'[1]Input Tab'!F37</f>
        <v>489566.87</v>
      </c>
      <c r="I17" s="83">
        <f>'[1]Input Tab'!G37</f>
        <v>335528.57</v>
      </c>
      <c r="J17" s="83">
        <f>'[1]Input Tab'!H37</f>
        <v>450349.77</v>
      </c>
      <c r="K17" s="83">
        <f>'[1]Input Tab'!I37</f>
        <v>471874.44</v>
      </c>
      <c r="L17" s="83">
        <f>'[1]Input Tab'!J37</f>
        <v>588465.57999999996</v>
      </c>
      <c r="M17" s="83">
        <f>'[1]Input Tab'!K37</f>
        <v>0</v>
      </c>
      <c r="N17" s="83">
        <f>'[1]Input Tab'!L37</f>
        <v>0</v>
      </c>
      <c r="O17" s="83">
        <f>'[1]Input Tab'!M37</f>
        <v>0</v>
      </c>
      <c r="P17" s="83">
        <f>'[1]Input Tab'!N37</f>
        <v>0</v>
      </c>
      <c r="Q17" s="78"/>
      <c r="R17" s="79">
        <f t="shared" si="2"/>
        <v>3727220.71</v>
      </c>
    </row>
    <row r="18" spans="1:20">
      <c r="A18" s="70">
        <f>A17+1</f>
        <v>12</v>
      </c>
      <c r="B18" s="2" t="s">
        <v>56</v>
      </c>
      <c r="C18" s="4">
        <v>102475</v>
      </c>
      <c r="D18" s="77">
        <f t="shared" si="3"/>
        <v>3381.69</v>
      </c>
      <c r="E18" s="82">
        <f>'[1]Input Tab'!C38</f>
        <v>1416.5</v>
      </c>
      <c r="F18" s="82">
        <f>'[1]Input Tab'!D38</f>
        <v>1965.19</v>
      </c>
      <c r="G18" s="82">
        <f>'[1]Input Tab'!E38</f>
        <v>0</v>
      </c>
      <c r="H18" s="82">
        <f>'[1]Input Tab'!F38</f>
        <v>0</v>
      </c>
      <c r="I18" s="82">
        <f>'[1]Input Tab'!G38</f>
        <v>0</v>
      </c>
      <c r="J18" s="82">
        <f>'[1]Input Tab'!H38</f>
        <v>0</v>
      </c>
      <c r="K18" s="82">
        <f>'[1]Input Tab'!I38</f>
        <v>0</v>
      </c>
      <c r="L18" s="82">
        <f>'[1]Input Tab'!J38</f>
        <v>0</v>
      </c>
      <c r="M18" s="82">
        <f>'[1]Input Tab'!K38</f>
        <v>0</v>
      </c>
      <c r="N18" s="82">
        <f>'[1]Input Tab'!L38</f>
        <v>0</v>
      </c>
      <c r="O18" s="82">
        <f>'[1]Input Tab'!M38</f>
        <v>0</v>
      </c>
      <c r="P18" s="82">
        <f>'[1]Input Tab'!N38</f>
        <v>0</v>
      </c>
      <c r="Q18" s="78"/>
      <c r="R18" s="79">
        <f t="shared" si="2"/>
        <v>3381.69</v>
      </c>
    </row>
    <row r="19" spans="1:20">
      <c r="A19" s="70">
        <f>A18+1</f>
        <v>13</v>
      </c>
      <c r="B19" s="2" t="s">
        <v>57</v>
      </c>
      <c r="C19" s="4" t="s">
        <v>58</v>
      </c>
      <c r="D19" s="77">
        <f t="shared" si="3"/>
        <v>19060349.789999999</v>
      </c>
      <c r="E19" s="82">
        <f>'[1]Input Tab'!C39</f>
        <v>2536804.73</v>
      </c>
      <c r="F19" s="82">
        <f>'[1]Input Tab'!D39</f>
        <v>2459575.0499999998</v>
      </c>
      <c r="G19" s="82">
        <f>'[1]Input Tab'!E39</f>
        <v>2423684.2000000002</v>
      </c>
      <c r="H19" s="82">
        <f>'[1]Input Tab'!F39</f>
        <v>2182183.06</v>
      </c>
      <c r="I19" s="82">
        <f>'[1]Input Tab'!G39</f>
        <v>2308372.13</v>
      </c>
      <c r="J19" s="82">
        <f>'[1]Input Tab'!H39</f>
        <v>2241306.4500000002</v>
      </c>
      <c r="K19" s="82">
        <f>'[1]Input Tab'!I39</f>
        <v>2372317.2999999998</v>
      </c>
      <c r="L19" s="82">
        <f>'[1]Input Tab'!J39</f>
        <v>2536106.87</v>
      </c>
      <c r="M19" s="82">
        <f>'[1]Input Tab'!K39</f>
        <v>0</v>
      </c>
      <c r="N19" s="82">
        <f>'[1]Input Tab'!L39</f>
        <v>0</v>
      </c>
      <c r="O19" s="82">
        <f>'[1]Input Tab'!M39</f>
        <v>0</v>
      </c>
      <c r="P19" s="82">
        <f>'[1]Input Tab'!N39</f>
        <v>0</v>
      </c>
      <c r="Q19" s="78"/>
      <c r="R19" s="79">
        <f t="shared" si="2"/>
        <v>19060349.789999999</v>
      </c>
    </row>
    <row r="20" spans="1:20">
      <c r="A20" s="70">
        <f>A19+1</f>
        <v>14</v>
      </c>
      <c r="B20" s="2" t="s">
        <v>59</v>
      </c>
      <c r="C20" s="4">
        <v>181462</v>
      </c>
      <c r="D20" s="77">
        <f t="shared" si="3"/>
        <v>14344100.939999999</v>
      </c>
      <c r="E20" s="82">
        <f>'[1]Input Tab'!C40</f>
        <v>1970703.54</v>
      </c>
      <c r="F20" s="82">
        <f>'[1]Input Tab'!D40</f>
        <v>2210056.29</v>
      </c>
      <c r="G20" s="82">
        <f>'[1]Input Tab'!E40</f>
        <v>2061559.89</v>
      </c>
      <c r="H20" s="82">
        <f>'[1]Input Tab'!F40</f>
        <v>2362590.75</v>
      </c>
      <c r="I20" s="82">
        <f>'[1]Input Tab'!G40</f>
        <v>2039480.82</v>
      </c>
      <c r="J20" s="82">
        <f>'[1]Input Tab'!H40</f>
        <v>1590604.86</v>
      </c>
      <c r="K20" s="82">
        <f>'[1]Input Tab'!I40</f>
        <v>842130.9</v>
      </c>
      <c r="L20" s="82">
        <f>'[1]Input Tab'!J40</f>
        <v>1266973.8899999999</v>
      </c>
      <c r="M20" s="82">
        <f>'[1]Input Tab'!K40</f>
        <v>0</v>
      </c>
      <c r="N20" s="82">
        <f>'[1]Input Tab'!L40</f>
        <v>0</v>
      </c>
      <c r="O20" s="82">
        <f>'[1]Input Tab'!M40</f>
        <v>0</v>
      </c>
      <c r="P20" s="82">
        <f>'[1]Input Tab'!N40</f>
        <v>0</v>
      </c>
      <c r="Q20" s="78"/>
      <c r="R20" s="79">
        <f t="shared" si="2"/>
        <v>14344100.939999999</v>
      </c>
    </row>
    <row r="21" spans="1:20">
      <c r="A21" s="70">
        <f t="shared" ref="A21:A24" si="5">A20+1</f>
        <v>15</v>
      </c>
      <c r="B21" s="2" t="s">
        <v>60</v>
      </c>
      <c r="C21" s="4"/>
      <c r="D21" s="77">
        <f t="shared" si="3"/>
        <v>8060195.459999999</v>
      </c>
      <c r="E21" s="82">
        <f>'[1]Input Tab'!C41</f>
        <v>665883.91</v>
      </c>
      <c r="F21" s="82">
        <f>'[1]Input Tab'!D41</f>
        <v>984063.69</v>
      </c>
      <c r="G21" s="82">
        <f>'[1]Input Tab'!E41</f>
        <v>1238157.18</v>
      </c>
      <c r="H21" s="82">
        <f>'[1]Input Tab'!F41</f>
        <v>1376406.34</v>
      </c>
      <c r="I21" s="82">
        <f>'[1]Input Tab'!G41</f>
        <v>1270230.56</v>
      </c>
      <c r="J21" s="82">
        <f>'[1]Input Tab'!H41</f>
        <v>1079343.8500000001</v>
      </c>
      <c r="K21" s="82">
        <f>'[1]Input Tab'!I41</f>
        <v>630495.21</v>
      </c>
      <c r="L21" s="82">
        <f>'[1]Input Tab'!J41</f>
        <v>815614.72</v>
      </c>
      <c r="M21" s="82">
        <f>'[1]Input Tab'!K41</f>
        <v>0</v>
      </c>
      <c r="N21" s="82">
        <f>'[1]Input Tab'!L41</f>
        <v>0</v>
      </c>
      <c r="O21" s="82">
        <f>'[1]Input Tab'!M41</f>
        <v>0</v>
      </c>
      <c r="P21" s="82">
        <f>'[1]Input Tab'!N41</f>
        <v>0</v>
      </c>
      <c r="Q21" s="78"/>
      <c r="R21" s="79"/>
    </row>
    <row r="22" spans="1:20">
      <c r="A22" s="70">
        <f t="shared" si="5"/>
        <v>16</v>
      </c>
      <c r="B22" t="s">
        <v>61</v>
      </c>
      <c r="C22" s="84"/>
      <c r="D22" s="77">
        <f t="shared" si="3"/>
        <v>793589</v>
      </c>
      <c r="E22" s="85">
        <f>E36</f>
        <v>109528</v>
      </c>
      <c r="F22" s="85">
        <f>F36</f>
        <v>121472</v>
      </c>
      <c r="G22" s="85">
        <f t="shared" ref="G22:P22" si="6">G36</f>
        <v>97399</v>
      </c>
      <c r="H22" s="85">
        <f t="shared" si="6"/>
        <v>91278</v>
      </c>
      <c r="I22" s="85">
        <f t="shared" si="6"/>
        <v>81024</v>
      </c>
      <c r="J22" s="85">
        <f t="shared" si="6"/>
        <v>87207</v>
      </c>
      <c r="K22" s="85">
        <f t="shared" si="6"/>
        <v>103806</v>
      </c>
      <c r="L22" s="85">
        <f t="shared" si="6"/>
        <v>101875</v>
      </c>
      <c r="M22" s="85">
        <f>M36</f>
        <v>0</v>
      </c>
      <c r="N22" s="85">
        <f>N36</f>
        <v>0</v>
      </c>
      <c r="O22" s="85">
        <f t="shared" si="6"/>
        <v>0</v>
      </c>
      <c r="P22" s="85">
        <f t="shared" si="6"/>
        <v>0</v>
      </c>
      <c r="Q22" s="85"/>
      <c r="R22" s="79">
        <f t="shared" si="2"/>
        <v>793589</v>
      </c>
    </row>
    <row r="23" spans="1:20">
      <c r="A23" s="70">
        <f t="shared" si="5"/>
        <v>17</v>
      </c>
      <c r="B23" s="2" t="s">
        <v>62</v>
      </c>
      <c r="C23" s="4"/>
      <c r="D23" s="77">
        <f t="shared" si="3"/>
        <v>78437</v>
      </c>
      <c r="E23" s="86">
        <f>E34</f>
        <v>55354</v>
      </c>
      <c r="F23" s="86">
        <f>F34</f>
        <v>12212</v>
      </c>
      <c r="G23" s="86">
        <f t="shared" ref="G23:P23" si="7">G34</f>
        <v>-8632</v>
      </c>
      <c r="H23" s="86">
        <f t="shared" si="7"/>
        <v>-14628</v>
      </c>
      <c r="I23" s="86">
        <f t="shared" si="7"/>
        <v>-40230</v>
      </c>
      <c r="J23" s="86">
        <f t="shared" si="7"/>
        <v>31771</v>
      </c>
      <c r="K23" s="86">
        <f t="shared" si="7"/>
        <v>-8666</v>
      </c>
      <c r="L23" s="86">
        <f t="shared" si="7"/>
        <v>51256</v>
      </c>
      <c r="M23" s="86">
        <f t="shared" si="7"/>
        <v>0</v>
      </c>
      <c r="N23" s="86">
        <f>N34</f>
        <v>0</v>
      </c>
      <c r="O23" s="86">
        <f t="shared" si="7"/>
        <v>0</v>
      </c>
      <c r="P23" s="86">
        <f t="shared" si="7"/>
        <v>0</v>
      </c>
      <c r="Q23" s="86"/>
      <c r="R23" s="79">
        <f t="shared" si="2"/>
        <v>78437</v>
      </c>
    </row>
    <row r="24" spans="1:20" s="92" customFormat="1" ht="13.5" thickBot="1">
      <c r="A24" s="70">
        <f t="shared" si="5"/>
        <v>18</v>
      </c>
      <c r="B24" s="87" t="s">
        <v>63</v>
      </c>
      <c r="C24" s="87"/>
      <c r="D24" s="88">
        <f>SUM(E24:P24)</f>
        <v>98747323.734099999</v>
      </c>
      <c r="E24" s="89">
        <f>E40</f>
        <v>11479790.2368</v>
      </c>
      <c r="F24" s="89">
        <f t="shared" ref="F24:P24" si="8">F40</f>
        <v>12111512.623600001</v>
      </c>
      <c r="G24" s="89">
        <f>G40</f>
        <v>11054913.6371</v>
      </c>
      <c r="H24" s="89">
        <f t="shared" si="8"/>
        <v>13371017.764900001</v>
      </c>
      <c r="I24" s="89">
        <f t="shared" si="8"/>
        <v>11547601.411900001</v>
      </c>
      <c r="J24" s="89">
        <f t="shared" si="8"/>
        <v>10457939.4242</v>
      </c>
      <c r="K24" s="89">
        <f t="shared" si="8"/>
        <v>9884785.8259999994</v>
      </c>
      <c r="L24" s="89">
        <f t="shared" si="8"/>
        <v>18296244.809599999</v>
      </c>
      <c r="M24" s="89">
        <f>M40</f>
        <v>543518</v>
      </c>
      <c r="N24" s="89">
        <f>N40</f>
        <v>0</v>
      </c>
      <c r="O24" s="89">
        <f t="shared" si="8"/>
        <v>0</v>
      </c>
      <c r="P24" s="89">
        <f t="shared" si="8"/>
        <v>0</v>
      </c>
      <c r="Q24" s="90"/>
      <c r="R24" s="91">
        <f>SUM(R7:R22)</f>
        <v>90608691.274099991</v>
      </c>
    </row>
    <row r="25" spans="1:20" ht="13.5" thickTop="1">
      <c r="A25" s="70"/>
      <c r="E25" s="93" t="s">
        <v>64</v>
      </c>
      <c r="F25" s="78" t="s">
        <v>64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</row>
    <row r="26" spans="1:20">
      <c r="A26" s="70"/>
      <c r="B26" s="2" t="s">
        <v>65</v>
      </c>
      <c r="C26" s="2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T26" s="94"/>
    </row>
    <row r="27" spans="1:20" outlineLevel="1">
      <c r="A27" s="70"/>
      <c r="B27" s="95" t="s">
        <v>42</v>
      </c>
      <c r="C27" s="95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</row>
    <row r="28" spans="1:20" outlineLevel="1">
      <c r="A28" s="70"/>
      <c r="B28">
        <v>555000</v>
      </c>
      <c r="D28" s="78">
        <f>SUM(E28:P28)</f>
        <v>91574377</v>
      </c>
      <c r="E28" s="34">
        <v>11234745</v>
      </c>
      <c r="F28" s="34">
        <v>11928631</v>
      </c>
      <c r="G28" s="34">
        <v>10633929</v>
      </c>
      <c r="H28" s="34">
        <v>13060810</v>
      </c>
      <c r="I28" s="34">
        <v>10657207</v>
      </c>
      <c r="J28" s="34">
        <v>9791849</v>
      </c>
      <c r="K28" s="34">
        <v>9256465</v>
      </c>
      <c r="L28" s="34">
        <v>15010741</v>
      </c>
      <c r="M28" s="34">
        <v>0</v>
      </c>
      <c r="N28" s="34">
        <v>0</v>
      </c>
      <c r="O28" s="34">
        <v>0</v>
      </c>
      <c r="P28" s="34">
        <v>0</v>
      </c>
      <c r="Q28" s="78"/>
      <c r="R28" s="79">
        <f t="shared" ref="R28:R39" si="9">SUM(E28:P28)</f>
        <v>91574377</v>
      </c>
    </row>
    <row r="29" spans="1:20" outlineLevel="1">
      <c r="A29" s="70"/>
      <c r="B29">
        <v>555030</v>
      </c>
      <c r="D29" s="78">
        <f>SUM(E29:P29)</f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78"/>
      <c r="R29" s="79"/>
    </row>
    <row r="30" spans="1:20" outlineLevel="1">
      <c r="A30" s="70"/>
      <c r="B30">
        <v>555100</v>
      </c>
      <c r="C30" t="s">
        <v>66</v>
      </c>
      <c r="D30" s="78">
        <f t="shared" ref="D30:D39" si="10">SUM(E30:P30)</f>
        <v>252656</v>
      </c>
      <c r="E30" s="34">
        <v>0</v>
      </c>
      <c r="F30" s="34">
        <v>0</v>
      </c>
      <c r="G30" s="34">
        <v>0</v>
      </c>
      <c r="H30" s="34">
        <v>-12</v>
      </c>
      <c r="I30" s="34">
        <v>0</v>
      </c>
      <c r="J30" s="34">
        <v>0</v>
      </c>
      <c r="K30" s="34">
        <v>252668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78"/>
      <c r="R30" s="79">
        <f t="shared" si="9"/>
        <v>252656</v>
      </c>
    </row>
    <row r="31" spans="1:20" outlineLevel="1">
      <c r="A31" s="70"/>
      <c r="B31" s="2">
        <v>555312</v>
      </c>
      <c r="C31" s="2" t="s">
        <v>67</v>
      </c>
      <c r="D31" s="78">
        <f t="shared" si="10"/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78"/>
      <c r="R31" s="79">
        <f>SUM(E31:P31)</f>
        <v>0</v>
      </c>
    </row>
    <row r="32" spans="1:20" outlineLevel="1">
      <c r="A32" s="70"/>
      <c r="B32">
        <v>555313</v>
      </c>
      <c r="C32" t="s">
        <v>67</v>
      </c>
      <c r="D32" s="78">
        <f t="shared" si="10"/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78"/>
      <c r="R32" s="79">
        <f>SUM(E32:P32)</f>
        <v>0</v>
      </c>
    </row>
    <row r="33" spans="1:18" outlineLevel="1">
      <c r="A33" s="70"/>
      <c r="B33">
        <v>555380</v>
      </c>
      <c r="C33" t="s">
        <v>68</v>
      </c>
      <c r="D33" s="78">
        <f t="shared" si="10"/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78"/>
      <c r="R33" s="79">
        <f>SUM(E33:P33)</f>
        <v>0</v>
      </c>
    </row>
    <row r="34" spans="1:18" outlineLevel="1">
      <c r="A34" s="70"/>
      <c r="B34">
        <v>555550</v>
      </c>
      <c r="C34" t="s">
        <v>69</v>
      </c>
      <c r="D34" s="78">
        <f t="shared" si="10"/>
        <v>78437</v>
      </c>
      <c r="E34" s="34">
        <v>55354</v>
      </c>
      <c r="F34" s="34">
        <v>12212</v>
      </c>
      <c r="G34" s="34">
        <v>-8632</v>
      </c>
      <c r="H34" s="34">
        <v>-14628</v>
      </c>
      <c r="I34" s="34">
        <v>-40230</v>
      </c>
      <c r="J34" s="34">
        <v>31771</v>
      </c>
      <c r="K34" s="34">
        <v>-8666</v>
      </c>
      <c r="L34" s="34">
        <v>51256</v>
      </c>
      <c r="M34" s="34">
        <v>0</v>
      </c>
      <c r="N34" s="34">
        <v>0</v>
      </c>
      <c r="O34" s="34">
        <v>0</v>
      </c>
      <c r="P34" s="34">
        <v>0</v>
      </c>
      <c r="Q34" s="78"/>
      <c r="R34" s="79">
        <f>SUM(E34:P34)</f>
        <v>78437</v>
      </c>
    </row>
    <row r="35" spans="1:18" outlineLevel="1">
      <c r="A35" s="70"/>
      <c r="B35">
        <v>555700</v>
      </c>
      <c r="C35" t="s">
        <v>70</v>
      </c>
      <c r="D35" s="78">
        <f t="shared" si="10"/>
        <v>1778699</v>
      </c>
      <c r="E35" s="34">
        <v>84396</v>
      </c>
      <c r="F35" s="34">
        <v>55210</v>
      </c>
      <c r="G35" s="34">
        <v>339348</v>
      </c>
      <c r="H35" s="34">
        <v>240204</v>
      </c>
      <c r="I35" s="34">
        <v>289688</v>
      </c>
      <c r="J35" s="34">
        <v>289939</v>
      </c>
      <c r="K35" s="34">
        <v>191616</v>
      </c>
      <c r="L35" s="34">
        <v>288298</v>
      </c>
      <c r="M35" s="34">
        <v>0</v>
      </c>
      <c r="N35" s="34">
        <v>0</v>
      </c>
      <c r="O35" s="34">
        <v>0</v>
      </c>
      <c r="P35" s="34">
        <v>0</v>
      </c>
      <c r="Q35" s="78"/>
      <c r="R35" s="79">
        <f t="shared" si="9"/>
        <v>1778699</v>
      </c>
    </row>
    <row r="36" spans="1:18" outlineLevel="1">
      <c r="A36" s="70"/>
      <c r="B36">
        <v>555710</v>
      </c>
      <c r="C36" t="s">
        <v>71</v>
      </c>
      <c r="D36" s="78">
        <f t="shared" si="10"/>
        <v>793589</v>
      </c>
      <c r="E36" s="34">
        <v>109528</v>
      </c>
      <c r="F36" s="34">
        <v>121472</v>
      </c>
      <c r="G36" s="34">
        <v>97399</v>
      </c>
      <c r="H36" s="34">
        <v>91278</v>
      </c>
      <c r="I36" s="34">
        <v>81024</v>
      </c>
      <c r="J36" s="34">
        <v>87207</v>
      </c>
      <c r="K36" s="34">
        <v>103806</v>
      </c>
      <c r="L36" s="34">
        <v>101875</v>
      </c>
      <c r="M36" s="34">
        <v>0</v>
      </c>
      <c r="N36" s="34">
        <v>0</v>
      </c>
      <c r="O36" s="34">
        <v>0</v>
      </c>
      <c r="P36" s="34">
        <v>0</v>
      </c>
      <c r="Q36" s="78"/>
      <c r="R36" s="79">
        <f t="shared" si="9"/>
        <v>793589</v>
      </c>
    </row>
    <row r="37" spans="1:18" outlineLevel="1">
      <c r="A37" s="70"/>
      <c r="B37">
        <v>555740</v>
      </c>
      <c r="D37" s="78">
        <f t="shared" si="10"/>
        <v>4325547</v>
      </c>
      <c r="E37" s="34">
        <v>0</v>
      </c>
      <c r="F37" s="34">
        <v>0</v>
      </c>
      <c r="G37" s="34">
        <v>0</v>
      </c>
      <c r="H37" s="34">
        <v>481</v>
      </c>
      <c r="I37" s="34">
        <v>567779</v>
      </c>
      <c r="J37" s="34">
        <v>265320</v>
      </c>
      <c r="K37" s="34">
        <v>97411</v>
      </c>
      <c r="L37" s="34">
        <v>2851038</v>
      </c>
      <c r="M37" s="34">
        <v>543518</v>
      </c>
      <c r="N37" s="34">
        <v>0</v>
      </c>
      <c r="O37" s="34">
        <v>0</v>
      </c>
      <c r="P37" s="34">
        <v>0</v>
      </c>
      <c r="Q37" s="78"/>
      <c r="R37" s="79"/>
    </row>
    <row r="38" spans="1:18" outlineLevel="1">
      <c r="A38" s="70"/>
      <c r="C38" t="s">
        <v>72</v>
      </c>
      <c r="D38" s="78">
        <f t="shared" si="10"/>
        <v>-55981.265899999999</v>
      </c>
      <c r="E38" s="34">
        <f>-SUM((43092/12)+(1.25*628)-(E53*0.0063))</f>
        <v>-4232.7632000000003</v>
      </c>
      <c r="F38" s="34">
        <f>-SUM((43092/12)+(1.25*2320)-(F53*0.0063))</f>
        <v>-6012.3764000000001</v>
      </c>
      <c r="G38" s="34">
        <f>-SUM((43092/12)+(1.25*3326)-(G53*0.0063))</f>
        <v>-7130.3629000000001</v>
      </c>
      <c r="H38" s="34">
        <f>-SUM((43092/12)+(1.25*4016)-(H53*0.0063))</f>
        <v>-7115.2350999999999</v>
      </c>
      <c r="I38" s="34">
        <f>-SUM((43092/12)+(1.25*4424)-(I53*0.0063))</f>
        <v>-7866.5880999999999</v>
      </c>
      <c r="J38" s="34">
        <f>-SUM((43092/12)+(1.25*4258)-(J53*0.0063))</f>
        <v>-8146.5757999999996</v>
      </c>
      <c r="K38" s="34">
        <f>-SUM((43092/12)+(1.25*5496)-(K53*0.0063))</f>
        <v>-8514.1739999999991</v>
      </c>
      <c r="L38" s="34">
        <f>-SUM((43092/12)+(1.25*4372)-(L53*0.0063))</f>
        <v>-6963.1903999999995</v>
      </c>
      <c r="M38" s="34"/>
      <c r="N38" s="34"/>
      <c r="O38" s="34"/>
      <c r="P38" s="34"/>
      <c r="Q38" s="78"/>
      <c r="R38" s="79"/>
    </row>
    <row r="39" spans="1:18" outlineLevel="1">
      <c r="A39" s="70"/>
      <c r="B39" s="65" t="s">
        <v>73</v>
      </c>
      <c r="C39" s="4" t="s">
        <v>74</v>
      </c>
      <c r="D39" s="96">
        <f t="shared" si="10"/>
        <v>0</v>
      </c>
      <c r="E39" s="97">
        <f>'[1]Input Tab'!C42</f>
        <v>0</v>
      </c>
      <c r="F39" s="97">
        <f>'[1]Input Tab'!D42</f>
        <v>0</v>
      </c>
      <c r="G39" s="97">
        <f>'[1]Input Tab'!E42</f>
        <v>0</v>
      </c>
      <c r="H39" s="97">
        <f>'[1]Input Tab'!F42</f>
        <v>0</v>
      </c>
      <c r="I39" s="97">
        <f>'[1]Input Tab'!G42</f>
        <v>0</v>
      </c>
      <c r="J39" s="97">
        <f>'[1]Input Tab'!H42</f>
        <v>0</v>
      </c>
      <c r="K39" s="97">
        <f>'[1]Input Tab'!I42</f>
        <v>0</v>
      </c>
      <c r="L39" s="97">
        <f>'[1]Input Tab'!J42</f>
        <v>0</v>
      </c>
      <c r="M39" s="97">
        <f>'[1]Input Tab'!K42</f>
        <v>0</v>
      </c>
      <c r="N39" s="97">
        <f>'[1]Input Tab'!L42</f>
        <v>0</v>
      </c>
      <c r="O39" s="97">
        <f>'[1]Input Tab'!M42</f>
        <v>0</v>
      </c>
      <c r="P39" s="97">
        <f>'[1]Input Tab'!N42</f>
        <v>0</v>
      </c>
      <c r="Q39" s="26"/>
      <c r="R39" s="79">
        <f t="shared" si="9"/>
        <v>0</v>
      </c>
    </row>
    <row r="40" spans="1:18" s="92" customFormat="1" outlineLevel="1">
      <c r="A40" s="6"/>
      <c r="B40" s="98"/>
      <c r="C40" s="98"/>
      <c r="D40" s="99">
        <f>SUM(E40:P40)</f>
        <v>98747323.734099999</v>
      </c>
      <c r="E40" s="99">
        <f t="shared" ref="E40:P40" si="11">SUM(E28:E39)</f>
        <v>11479790.2368</v>
      </c>
      <c r="F40" s="99">
        <f t="shared" si="11"/>
        <v>12111512.623600001</v>
      </c>
      <c r="G40" s="99">
        <f t="shared" si="11"/>
        <v>11054913.6371</v>
      </c>
      <c r="H40" s="99">
        <f t="shared" si="11"/>
        <v>13371017.764900001</v>
      </c>
      <c r="I40" s="99">
        <f t="shared" si="11"/>
        <v>11547601.411900001</v>
      </c>
      <c r="J40" s="99">
        <f t="shared" si="11"/>
        <v>10457939.4242</v>
      </c>
      <c r="K40" s="99">
        <f t="shared" si="11"/>
        <v>9884785.8259999994</v>
      </c>
      <c r="L40" s="99">
        <f t="shared" si="11"/>
        <v>18296244.809599999</v>
      </c>
      <c r="M40" s="99">
        <f t="shared" si="11"/>
        <v>543518</v>
      </c>
      <c r="N40" s="99">
        <f t="shared" si="11"/>
        <v>0</v>
      </c>
      <c r="O40" s="99">
        <f t="shared" si="11"/>
        <v>0</v>
      </c>
      <c r="P40" s="99">
        <f t="shared" si="11"/>
        <v>0</v>
      </c>
      <c r="Q40" s="99"/>
      <c r="R40" s="99">
        <f>SUM(R28:R39)</f>
        <v>94477758</v>
      </c>
    </row>
    <row r="41" spans="1:18">
      <c r="A41" s="70"/>
      <c r="B41" s="98"/>
      <c r="C41" s="9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</row>
    <row r="42" spans="1:18" ht="19.5" customHeight="1">
      <c r="A42" s="70"/>
      <c r="B42" s="75" t="s">
        <v>75</v>
      </c>
      <c r="C42" s="75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spans="1:18" ht="12.95" customHeight="1">
      <c r="A43" s="70">
        <f>A24+1</f>
        <v>19</v>
      </c>
      <c r="B43" t="s">
        <v>76</v>
      </c>
      <c r="C43" s="84"/>
      <c r="D43" s="78">
        <f t="shared" ref="D43:D48" si="12">SUM(E43:P43)</f>
        <v>-78131741.230000004</v>
      </c>
      <c r="E43" s="86">
        <f t="shared" ref="E43:P43" si="13">E48-SUM(E44:E47)</f>
        <v>-8010093.5999999996</v>
      </c>
      <c r="F43" s="86">
        <f t="shared" si="13"/>
        <v>-6147132.0199999996</v>
      </c>
      <c r="G43" s="86">
        <f t="shared" si="13"/>
        <v>-10901199.73</v>
      </c>
      <c r="H43" s="86">
        <f t="shared" si="13"/>
        <v>-8328162.3499999996</v>
      </c>
      <c r="I43" s="86">
        <f t="shared" si="13"/>
        <v>-13060107.25</v>
      </c>
      <c r="J43" s="86">
        <f t="shared" si="13"/>
        <v>-9242866.5700000003</v>
      </c>
      <c r="K43" s="86">
        <f t="shared" si="13"/>
        <v>-12430397.84</v>
      </c>
      <c r="L43" s="86">
        <f t="shared" si="13"/>
        <v>-9951201.870000001</v>
      </c>
      <c r="M43" s="86">
        <f t="shared" si="13"/>
        <v>-60580</v>
      </c>
      <c r="N43" s="86">
        <f t="shared" si="13"/>
        <v>0</v>
      </c>
      <c r="O43" s="86">
        <f t="shared" si="13"/>
        <v>0</v>
      </c>
      <c r="P43" s="86">
        <f t="shared" si="13"/>
        <v>0</v>
      </c>
      <c r="Q43" s="100"/>
      <c r="R43" s="78">
        <f>SUM(E43:P43)</f>
        <v>-78131741.230000004</v>
      </c>
    </row>
    <row r="44" spans="1:18">
      <c r="A44" s="70">
        <f>A43+1</f>
        <v>20</v>
      </c>
      <c r="B44" t="s">
        <v>77</v>
      </c>
      <c r="C44" s="84" t="s">
        <v>78</v>
      </c>
      <c r="D44" s="78">
        <f t="shared" si="12"/>
        <v>-1097617.21</v>
      </c>
      <c r="E44" s="83">
        <f>'[1]Input Tab'!C45</f>
        <v>-91370.92</v>
      </c>
      <c r="F44" s="83">
        <f>'[1]Input Tab'!D45</f>
        <v>-80283.58</v>
      </c>
      <c r="G44" s="83">
        <f>'[1]Input Tab'!E45</f>
        <v>-76918.399999999994</v>
      </c>
      <c r="H44" s="83">
        <f>'[1]Input Tab'!F45</f>
        <v>-161368.48000000001</v>
      </c>
      <c r="I44" s="83">
        <f>'[1]Input Tab'!G45</f>
        <v>-123757.56</v>
      </c>
      <c r="J44" s="83">
        <f>'[1]Input Tab'!H45</f>
        <v>-74388.5</v>
      </c>
      <c r="K44" s="83">
        <f>'[1]Input Tab'!I45</f>
        <v>-180914.92</v>
      </c>
      <c r="L44" s="83">
        <f>'[1]Input Tab'!J45</f>
        <v>-308614.84999999998</v>
      </c>
      <c r="M44" s="83">
        <f>'[1]Input Tab'!K45</f>
        <v>0</v>
      </c>
      <c r="N44" s="83">
        <f>'[1]Input Tab'!L45</f>
        <v>0</v>
      </c>
      <c r="O44" s="83">
        <f>'[1]Input Tab'!M45</f>
        <v>0</v>
      </c>
      <c r="P44" s="83">
        <f>'[1]Input Tab'!N45</f>
        <v>0</v>
      </c>
      <c r="Q44" s="100"/>
      <c r="R44" s="78">
        <f>SUM(E44:P44)</f>
        <v>-1097617.21</v>
      </c>
    </row>
    <row r="45" spans="1:18">
      <c r="A45" s="70">
        <f>A44+1</f>
        <v>21</v>
      </c>
      <c r="B45" s="2" t="s">
        <v>79</v>
      </c>
      <c r="C45" s="4" t="s">
        <v>80</v>
      </c>
      <c r="D45" s="78">
        <f t="shared" si="12"/>
        <v>-92533.819999999992</v>
      </c>
      <c r="E45" s="83">
        <f>'[1]Input Tab'!C46</f>
        <v>-12530.5</v>
      </c>
      <c r="F45" s="83">
        <f>'[1]Input Tab'!D46</f>
        <v>-11480.76</v>
      </c>
      <c r="G45" s="83">
        <f>'[1]Input Tab'!E46</f>
        <v>-12636.9</v>
      </c>
      <c r="H45" s="83">
        <f>'[1]Input Tab'!F46</f>
        <v>-11573.37</v>
      </c>
      <c r="I45" s="83">
        <f>'[1]Input Tab'!G46</f>
        <v>-12181.86</v>
      </c>
      <c r="J45" s="83">
        <f>'[1]Input Tab'!H46</f>
        <v>-10913.13</v>
      </c>
      <c r="K45" s="83">
        <f>'[1]Input Tab'!I46</f>
        <v>-10518.4</v>
      </c>
      <c r="L45" s="83">
        <f>'[1]Input Tab'!J46</f>
        <v>-10698.9</v>
      </c>
      <c r="M45" s="83">
        <f>'[1]Input Tab'!K46</f>
        <v>0</v>
      </c>
      <c r="N45" s="83">
        <f>'[1]Input Tab'!L46</f>
        <v>0</v>
      </c>
      <c r="O45" s="83">
        <f>'[1]Input Tab'!M46</f>
        <v>0</v>
      </c>
      <c r="P45" s="83">
        <f>'[1]Input Tab'!N46</f>
        <v>0</v>
      </c>
      <c r="Q45" s="100"/>
      <c r="R45" s="78">
        <f>SUM(E45:P45)</f>
        <v>-92533.819999999992</v>
      </c>
    </row>
    <row r="46" spans="1:18">
      <c r="A46" s="70">
        <f>A45+1</f>
        <v>22</v>
      </c>
      <c r="B46" t="s">
        <v>81</v>
      </c>
      <c r="C46" s="101" t="s">
        <v>82</v>
      </c>
      <c r="D46" s="78">
        <f t="shared" si="12"/>
        <v>-249916.74</v>
      </c>
      <c r="E46" s="83">
        <f>'[1]Input Tab'!C47</f>
        <v>-36290.980000000003</v>
      </c>
      <c r="F46" s="83">
        <f>'[1]Input Tab'!D47</f>
        <v>-30850.639999999999</v>
      </c>
      <c r="G46" s="83">
        <f>'[1]Input Tab'!E47</f>
        <v>-34959.980000000003</v>
      </c>
      <c r="H46" s="83">
        <f>'[1]Input Tab'!F47</f>
        <v>-31673.62</v>
      </c>
      <c r="I46" s="83">
        <f>'[1]Input Tab'!G47</f>
        <v>-29654.799999999999</v>
      </c>
      <c r="J46" s="83">
        <f>'[1]Input Tab'!H47</f>
        <v>-22578.5</v>
      </c>
      <c r="K46" s="83">
        <f>'[1]Input Tab'!I47</f>
        <v>-34173.839999999997</v>
      </c>
      <c r="L46" s="83">
        <f>'[1]Input Tab'!J47</f>
        <v>-29734.38</v>
      </c>
      <c r="M46" s="83">
        <f>'[1]Input Tab'!K47</f>
        <v>0</v>
      </c>
      <c r="N46" s="83">
        <f>'[1]Input Tab'!L47</f>
        <v>0</v>
      </c>
      <c r="O46" s="83">
        <f>'[1]Input Tab'!M47</f>
        <v>0</v>
      </c>
      <c r="P46" s="83">
        <f>'[1]Input Tab'!N47</f>
        <v>0</v>
      </c>
      <c r="Q46" s="100"/>
      <c r="R46" s="78">
        <f>SUM(E46:P46)</f>
        <v>-249916.74</v>
      </c>
    </row>
    <row r="47" spans="1:18">
      <c r="A47" s="70">
        <f>A46+1</f>
        <v>23</v>
      </c>
      <c r="B47" t="s">
        <v>83</v>
      </c>
      <c r="C47" s="84"/>
      <c r="D47" s="78">
        <f t="shared" si="12"/>
        <v>-18761268</v>
      </c>
      <c r="E47" s="102">
        <f>E58</f>
        <v>-1650817</v>
      </c>
      <c r="F47" s="102">
        <f>F58</f>
        <v>-1561478</v>
      </c>
      <c r="G47" s="102">
        <f t="shared" ref="G47:P47" si="14">G58</f>
        <v>-2100480</v>
      </c>
      <c r="H47" s="102">
        <f t="shared" si="14"/>
        <v>-2197778</v>
      </c>
      <c r="I47" s="102">
        <f t="shared" si="14"/>
        <v>-3292686</v>
      </c>
      <c r="J47" s="102">
        <f>J58</f>
        <v>-3505173</v>
      </c>
      <c r="K47" s="102">
        <f>K58</f>
        <v>-2068377</v>
      </c>
      <c r="L47" s="102">
        <f t="shared" si="14"/>
        <v>-2384479</v>
      </c>
      <c r="M47" s="102">
        <f t="shared" si="14"/>
        <v>0</v>
      </c>
      <c r="N47" s="102">
        <f t="shared" si="14"/>
        <v>0</v>
      </c>
      <c r="O47" s="102">
        <f t="shared" si="14"/>
        <v>0</v>
      </c>
      <c r="P47" s="102">
        <f t="shared" si="14"/>
        <v>0</v>
      </c>
      <c r="Q47" s="100"/>
      <c r="R47" s="78">
        <f>SUM(E47:P47)</f>
        <v>-18761268</v>
      </c>
    </row>
    <row r="48" spans="1:18" s="92" customFormat="1" ht="24.75" customHeight="1" thickBot="1">
      <c r="A48" s="103">
        <f>A47+1</f>
        <v>24</v>
      </c>
      <c r="B48" s="87" t="s">
        <v>84</v>
      </c>
      <c r="C48" s="87"/>
      <c r="D48" s="88">
        <f t="shared" si="12"/>
        <v>-98333077</v>
      </c>
      <c r="E48" s="89">
        <f>E61</f>
        <v>-9801103</v>
      </c>
      <c r="F48" s="89">
        <f>F61</f>
        <v>-7831225</v>
      </c>
      <c r="G48" s="89">
        <f t="shared" ref="G48:P48" si="15">G61</f>
        <v>-13126195.01</v>
      </c>
      <c r="H48" s="89">
        <f>H61</f>
        <v>-10730555.82</v>
      </c>
      <c r="I48" s="89">
        <f>I61</f>
        <v>-16518387.470000001</v>
      </c>
      <c r="J48" s="89">
        <f t="shared" si="15"/>
        <v>-12855919.699999999</v>
      </c>
      <c r="K48" s="89">
        <f t="shared" si="15"/>
        <v>-14724382</v>
      </c>
      <c r="L48" s="89">
        <f t="shared" si="15"/>
        <v>-12684729</v>
      </c>
      <c r="M48" s="89">
        <f>M61</f>
        <v>-60580</v>
      </c>
      <c r="N48" s="89">
        <f t="shared" si="15"/>
        <v>0</v>
      </c>
      <c r="O48" s="89">
        <f t="shared" si="15"/>
        <v>0</v>
      </c>
      <c r="P48" s="89">
        <f t="shared" si="15"/>
        <v>0</v>
      </c>
      <c r="Q48" s="104"/>
      <c r="R48" s="91">
        <f>SUM(R43:R47)</f>
        <v>-98333076.999999985</v>
      </c>
    </row>
    <row r="49" spans="1:18" ht="13.5" thickTop="1">
      <c r="A49" s="70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105"/>
    </row>
    <row r="50" spans="1:18" outlineLevel="2">
      <c r="A50" s="70"/>
      <c r="E50" s="78"/>
      <c r="F50" s="78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105"/>
    </row>
    <row r="51" spans="1:18" outlineLevel="2">
      <c r="A51" s="70"/>
      <c r="B51" s="106" t="s">
        <v>75</v>
      </c>
      <c r="C51" s="106"/>
      <c r="E51" s="78"/>
      <c r="F51" s="78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105"/>
    </row>
    <row r="52" spans="1:18" outlineLevel="2">
      <c r="A52" s="70"/>
      <c r="B52">
        <v>447000</v>
      </c>
      <c r="D52" s="78">
        <f t="shared" ref="D52:D61" si="16">SUM(E52:P52)</f>
        <v>-62339432</v>
      </c>
      <c r="E52" s="34">
        <v>-5173718</v>
      </c>
      <c r="F52" s="34">
        <v>-3861452</v>
      </c>
      <c r="G52" s="34">
        <v>-7428467</v>
      </c>
      <c r="H52" s="34">
        <v>-10718639</v>
      </c>
      <c r="I52" s="34">
        <v>-15134882</v>
      </c>
      <c r="J52" s="34">
        <v>-7199518</v>
      </c>
      <c r="K52" s="34">
        <v>-7814936</v>
      </c>
      <c r="L52" s="34">
        <v>-5007820</v>
      </c>
      <c r="M52" s="34">
        <v>0</v>
      </c>
      <c r="N52" s="34">
        <v>0</v>
      </c>
      <c r="O52" s="34">
        <v>0</v>
      </c>
      <c r="P52" s="34">
        <v>0</v>
      </c>
      <c r="Q52" s="107"/>
      <c r="R52" s="79">
        <f t="shared" ref="R52:R58" si="17">SUM(E52:P52)</f>
        <v>-62339432</v>
      </c>
    </row>
    <row r="53" spans="1:18" outlineLevel="2">
      <c r="A53" s="70"/>
      <c r="B53" t="s">
        <v>85</v>
      </c>
      <c r="C53" s="92" t="s">
        <v>86</v>
      </c>
      <c r="D53" s="78">
        <f t="shared" si="16"/>
        <v>1396307</v>
      </c>
      <c r="E53" s="34">
        <v>22736</v>
      </c>
      <c r="F53" s="34">
        <v>75972</v>
      </c>
      <c r="G53" s="34">
        <v>98117</v>
      </c>
      <c r="H53" s="34">
        <v>237423</v>
      </c>
      <c r="I53" s="34">
        <v>199113</v>
      </c>
      <c r="J53" s="34">
        <v>121734</v>
      </c>
      <c r="K53" s="34">
        <v>309020</v>
      </c>
      <c r="L53" s="34">
        <v>332192</v>
      </c>
      <c r="M53" s="34"/>
      <c r="N53" s="34"/>
      <c r="O53" s="34"/>
      <c r="P53" s="34"/>
      <c r="Q53" s="107"/>
      <c r="R53" s="79"/>
    </row>
    <row r="54" spans="1:18" outlineLevel="2">
      <c r="A54" s="70"/>
      <c r="B54">
        <v>447100</v>
      </c>
      <c r="D54" s="78">
        <f t="shared" si="16"/>
        <v>9487796</v>
      </c>
      <c r="E54" s="34">
        <v>0</v>
      </c>
      <c r="F54" s="34">
        <v>-166176</v>
      </c>
      <c r="G54" s="34">
        <v>14400</v>
      </c>
      <c r="H54" s="34">
        <v>6629820</v>
      </c>
      <c r="I54" s="34">
        <v>5347276</v>
      </c>
      <c r="J54" s="34">
        <v>771264</v>
      </c>
      <c r="K54" s="34">
        <v>-1614500</v>
      </c>
      <c r="L54" s="34">
        <v>-1494288</v>
      </c>
      <c r="M54" s="34">
        <v>0</v>
      </c>
      <c r="N54" s="34">
        <v>0</v>
      </c>
      <c r="O54" s="34">
        <v>0</v>
      </c>
      <c r="P54" s="34">
        <v>0</v>
      </c>
      <c r="Q54" s="107"/>
      <c r="R54" s="79">
        <f t="shared" si="17"/>
        <v>9487796</v>
      </c>
    </row>
    <row r="55" spans="1:18" outlineLevel="2">
      <c r="A55" s="70"/>
      <c r="B55">
        <v>447150</v>
      </c>
      <c r="D55" s="78">
        <f t="shared" si="16"/>
        <v>-18642387</v>
      </c>
      <c r="E55" s="34">
        <v>-2812376</v>
      </c>
      <c r="F55" s="34">
        <v>-2137430</v>
      </c>
      <c r="G55" s="34">
        <v>-1583613</v>
      </c>
      <c r="H55" s="34">
        <v>-2791797</v>
      </c>
      <c r="I55" s="34">
        <v>-2340315</v>
      </c>
      <c r="J55" s="34">
        <v>-1203543</v>
      </c>
      <c r="K55" s="34">
        <v>-2124846</v>
      </c>
      <c r="L55" s="34">
        <v>-3648467</v>
      </c>
      <c r="M55" s="34">
        <v>0</v>
      </c>
      <c r="N55" s="34">
        <v>0</v>
      </c>
      <c r="O55" s="34">
        <v>0</v>
      </c>
      <c r="P55" s="34">
        <v>0</v>
      </c>
      <c r="Q55" s="107"/>
      <c r="R55" s="79">
        <f t="shared" si="17"/>
        <v>-18642387</v>
      </c>
    </row>
    <row r="56" spans="1:18" outlineLevel="2">
      <c r="A56" s="70"/>
      <c r="B56">
        <v>447700</v>
      </c>
      <c r="D56" s="78">
        <f t="shared" si="16"/>
        <v>-1762158</v>
      </c>
      <c r="E56" s="34">
        <v>-77400</v>
      </c>
      <c r="F56" s="34">
        <v>-59189</v>
      </c>
      <c r="G56" s="34">
        <v>-327530</v>
      </c>
      <c r="H56" s="34">
        <v>-238944</v>
      </c>
      <c r="I56" s="34">
        <v>-279600</v>
      </c>
      <c r="J56" s="34">
        <v>-292295</v>
      </c>
      <c r="K56" s="34">
        <v>-191400</v>
      </c>
      <c r="L56" s="34">
        <v>-295800</v>
      </c>
      <c r="M56" s="34">
        <v>0</v>
      </c>
      <c r="N56" s="34">
        <v>0</v>
      </c>
      <c r="O56" s="34">
        <v>0</v>
      </c>
      <c r="P56" s="34">
        <v>0</v>
      </c>
      <c r="Q56" s="107"/>
      <c r="R56" s="79">
        <f t="shared" si="17"/>
        <v>-1762158</v>
      </c>
    </row>
    <row r="57" spans="1:18" outlineLevel="2">
      <c r="A57" s="70"/>
      <c r="B57">
        <v>447710</v>
      </c>
      <c r="D57" s="78">
        <f t="shared" si="16"/>
        <v>-793589</v>
      </c>
      <c r="E57" s="34">
        <v>-109528</v>
      </c>
      <c r="F57" s="34">
        <v>-121472</v>
      </c>
      <c r="G57" s="34">
        <v>-97399</v>
      </c>
      <c r="H57" s="34">
        <v>-91278</v>
      </c>
      <c r="I57" s="34">
        <v>-81024</v>
      </c>
      <c r="J57" s="34">
        <v>-87207</v>
      </c>
      <c r="K57" s="34">
        <v>-103806</v>
      </c>
      <c r="L57" s="34">
        <v>-101875</v>
      </c>
      <c r="M57" s="34">
        <v>0</v>
      </c>
      <c r="N57" s="34">
        <v>0</v>
      </c>
      <c r="O57" s="34">
        <v>0</v>
      </c>
      <c r="P57" s="34">
        <v>0</v>
      </c>
      <c r="Q57" s="107"/>
      <c r="R57" s="79">
        <f t="shared" si="17"/>
        <v>-793589</v>
      </c>
    </row>
    <row r="58" spans="1:18" outlineLevel="2">
      <c r="A58" s="70"/>
      <c r="B58">
        <v>447720</v>
      </c>
      <c r="C58" s="2" t="s">
        <v>87</v>
      </c>
      <c r="D58" s="78">
        <f t="shared" si="16"/>
        <v>-18761268</v>
      </c>
      <c r="E58" s="34">
        <v>-1650817</v>
      </c>
      <c r="F58" s="34">
        <v>-1561478</v>
      </c>
      <c r="G58" s="34">
        <v>-2100480</v>
      </c>
      <c r="H58" s="34">
        <v>-2197778</v>
      </c>
      <c r="I58" s="34">
        <v>-3292686</v>
      </c>
      <c r="J58" s="34">
        <v>-3505173</v>
      </c>
      <c r="K58" s="34">
        <v>-2068377</v>
      </c>
      <c r="L58" s="34">
        <v>-2384479</v>
      </c>
      <c r="M58" s="34">
        <v>0</v>
      </c>
      <c r="N58" s="34">
        <v>0</v>
      </c>
      <c r="O58" s="34">
        <v>0</v>
      </c>
      <c r="P58" s="34">
        <v>0</v>
      </c>
      <c r="Q58" s="107"/>
      <c r="R58" s="108">
        <f t="shared" si="17"/>
        <v>-18761268</v>
      </c>
    </row>
    <row r="59" spans="1:18" outlineLevel="2">
      <c r="A59" s="70"/>
      <c r="B59">
        <v>447740</v>
      </c>
      <c r="C59" s="2"/>
      <c r="D59" s="78">
        <f t="shared" si="16"/>
        <v>-6816346</v>
      </c>
      <c r="E59" s="34">
        <v>0</v>
      </c>
      <c r="F59" s="34">
        <v>0</v>
      </c>
      <c r="G59" s="34">
        <v>-1676297</v>
      </c>
      <c r="H59" s="34">
        <v>-1519257</v>
      </c>
      <c r="I59" s="34">
        <v>-906081</v>
      </c>
      <c r="J59" s="34">
        <v>-1454402</v>
      </c>
      <c r="K59" s="34">
        <v>-1115537</v>
      </c>
      <c r="L59" s="34">
        <v>-84192</v>
      </c>
      <c r="M59" s="34">
        <v>-60580</v>
      </c>
      <c r="N59" s="34">
        <v>0</v>
      </c>
      <c r="O59" s="34">
        <v>0</v>
      </c>
      <c r="P59" s="34">
        <v>0</v>
      </c>
      <c r="Q59" s="107"/>
      <c r="R59" s="109"/>
    </row>
    <row r="60" spans="1:18" outlineLevel="2">
      <c r="A60" s="70"/>
      <c r="B60" t="s">
        <v>88</v>
      </c>
      <c r="C60" s="2"/>
      <c r="D60" s="78">
        <f t="shared" si="16"/>
        <v>-102000</v>
      </c>
      <c r="E60" s="34">
        <v>0</v>
      </c>
      <c r="F60" s="34">
        <v>0</v>
      </c>
      <c r="G60" s="110">
        <f>'[1]EIM Charges for ERM'!C9</f>
        <v>-24926.01</v>
      </c>
      <c r="H60" s="110">
        <f>'[1]EIM Charges for ERM'!D9</f>
        <v>-40105.82</v>
      </c>
      <c r="I60" s="110">
        <f>'[1]EIM Charges for ERM'!E9</f>
        <v>-30188.47</v>
      </c>
      <c r="J60" s="110">
        <f>'[1]EIM Charges for ERM'!F14</f>
        <v>-6779.7</v>
      </c>
      <c r="K60" s="34">
        <v>0</v>
      </c>
      <c r="L60" s="34">
        <v>0</v>
      </c>
      <c r="M60" s="34"/>
      <c r="N60" s="34"/>
      <c r="O60" s="34"/>
      <c r="P60" s="34"/>
      <c r="Q60" s="107"/>
      <c r="R60" s="109"/>
    </row>
    <row r="61" spans="1:18" s="92" customFormat="1" outlineLevel="2">
      <c r="A61" s="6"/>
      <c r="D61" s="111">
        <f t="shared" si="16"/>
        <v>-98333077</v>
      </c>
      <c r="E61" s="112">
        <f>SUM(E52:E60)</f>
        <v>-9801103</v>
      </c>
      <c r="F61" s="112">
        <f t="shared" ref="F61:P61" si="18">SUM(F52:F60)</f>
        <v>-7831225</v>
      </c>
      <c r="G61" s="112">
        <f t="shared" si="18"/>
        <v>-13126195.01</v>
      </c>
      <c r="H61" s="112">
        <f t="shared" si="18"/>
        <v>-10730555.82</v>
      </c>
      <c r="I61" s="112">
        <f t="shared" si="18"/>
        <v>-16518387.470000001</v>
      </c>
      <c r="J61" s="112">
        <f t="shared" si="18"/>
        <v>-12855919.699999999</v>
      </c>
      <c r="K61" s="112">
        <f t="shared" si="18"/>
        <v>-14724382</v>
      </c>
      <c r="L61" s="112">
        <f t="shared" si="18"/>
        <v>-12684729</v>
      </c>
      <c r="M61" s="112">
        <f t="shared" si="18"/>
        <v>-60580</v>
      </c>
      <c r="N61" s="112">
        <f t="shared" si="18"/>
        <v>0</v>
      </c>
      <c r="O61" s="112">
        <f t="shared" si="18"/>
        <v>0</v>
      </c>
      <c r="P61" s="112">
        <f t="shared" si="18"/>
        <v>0</v>
      </c>
      <c r="Q61" s="113"/>
      <c r="R61" s="99">
        <f>SUM(R52:R58)</f>
        <v>-92811038</v>
      </c>
    </row>
    <row r="62" spans="1:18" outlineLevel="2">
      <c r="A62" s="70"/>
      <c r="E62" s="78"/>
      <c r="F62" s="78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107"/>
      <c r="R62" s="78"/>
    </row>
    <row r="63" spans="1:18">
      <c r="A63" s="70"/>
      <c r="B63" s="75" t="s">
        <v>89</v>
      </c>
      <c r="C63" s="7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107"/>
      <c r="R63" s="78"/>
    </row>
    <row r="64" spans="1:18">
      <c r="A64" s="70">
        <f>A48+1</f>
        <v>25</v>
      </c>
      <c r="B64" s="2" t="s">
        <v>90</v>
      </c>
      <c r="C64" s="2"/>
      <c r="D64" s="78">
        <f>SUM(E64:P64)</f>
        <v>5054354</v>
      </c>
      <c r="E64" s="34">
        <v>631287</v>
      </c>
      <c r="F64" s="34">
        <v>799627</v>
      </c>
      <c r="G64" s="34">
        <v>782074</v>
      </c>
      <c r="H64" s="34">
        <v>545982</v>
      </c>
      <c r="I64" s="34">
        <v>160319</v>
      </c>
      <c r="J64" s="34">
        <v>335339</v>
      </c>
      <c r="K64" s="34">
        <v>790633</v>
      </c>
      <c r="L64" s="34">
        <v>1009093</v>
      </c>
      <c r="M64" s="34">
        <v>0</v>
      </c>
      <c r="N64" s="34">
        <v>0</v>
      </c>
      <c r="O64" s="34">
        <v>0</v>
      </c>
      <c r="P64" s="34">
        <v>0</v>
      </c>
      <c r="Q64" s="114"/>
      <c r="R64" s="33">
        <f>SUM(E64:P64)</f>
        <v>5054354</v>
      </c>
    </row>
    <row r="65" spans="1:18">
      <c r="A65" s="70">
        <f>+A64+1</f>
        <v>26</v>
      </c>
      <c r="B65" s="2" t="s">
        <v>91</v>
      </c>
      <c r="C65" s="2"/>
      <c r="D65" s="78">
        <f>SUM(E65:P65)</f>
        <v>32130</v>
      </c>
      <c r="E65" s="34">
        <v>11538</v>
      </c>
      <c r="F65" s="34">
        <v>3487</v>
      </c>
      <c r="G65" s="34">
        <v>5370</v>
      </c>
      <c r="H65" s="34">
        <v>2863</v>
      </c>
      <c r="I65" s="34">
        <v>4024</v>
      </c>
      <c r="J65" s="34">
        <v>4363</v>
      </c>
      <c r="K65" s="34">
        <v>-1872</v>
      </c>
      <c r="L65" s="34">
        <v>2357</v>
      </c>
      <c r="M65" s="34">
        <v>0</v>
      </c>
      <c r="N65" s="34">
        <v>0</v>
      </c>
      <c r="O65" s="34">
        <v>0</v>
      </c>
      <c r="P65" s="34">
        <v>0</v>
      </c>
      <c r="Q65" s="114"/>
      <c r="R65" s="33">
        <f>SUM(E65:P65)</f>
        <v>32130</v>
      </c>
    </row>
    <row r="66" spans="1:18">
      <c r="A66" s="70">
        <f>+A65+1</f>
        <v>27</v>
      </c>
      <c r="B66" t="s">
        <v>92</v>
      </c>
      <c r="D66" s="78">
        <f>SUM(E66:P66)</f>
        <v>20818135</v>
      </c>
      <c r="E66" s="34">
        <v>2860347</v>
      </c>
      <c r="F66" s="34">
        <v>2966453</v>
      </c>
      <c r="G66" s="34">
        <v>3119783</v>
      </c>
      <c r="H66" s="34">
        <v>1466394</v>
      </c>
      <c r="I66" s="34">
        <v>1853828</v>
      </c>
      <c r="J66" s="34">
        <v>2075202</v>
      </c>
      <c r="K66" s="34">
        <v>2778203</v>
      </c>
      <c r="L66" s="34">
        <v>3697925</v>
      </c>
      <c r="M66" s="34">
        <v>0</v>
      </c>
      <c r="N66" s="34">
        <v>0</v>
      </c>
      <c r="O66" s="34">
        <v>0</v>
      </c>
      <c r="P66" s="34">
        <v>0</v>
      </c>
      <c r="Q66" s="114"/>
      <c r="R66" s="115">
        <f>SUM(E66:P66)</f>
        <v>20818135</v>
      </c>
    </row>
    <row r="67" spans="1:18">
      <c r="A67" s="70">
        <f>+A66+1</f>
        <v>28</v>
      </c>
      <c r="B67" t="s">
        <v>93</v>
      </c>
      <c r="D67" s="78">
        <f>SUM(E67:P67)</f>
        <v>94370</v>
      </c>
      <c r="E67" s="34">
        <v>22035</v>
      </c>
      <c r="F67" s="34">
        <v>0</v>
      </c>
      <c r="G67" s="34">
        <v>16587</v>
      </c>
      <c r="H67" s="34">
        <v>0</v>
      </c>
      <c r="I67" s="34">
        <v>466</v>
      </c>
      <c r="J67" s="34">
        <v>55282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114"/>
      <c r="R67" s="115">
        <f>SUM(E67:P67)</f>
        <v>94370</v>
      </c>
    </row>
    <row r="68" spans="1:18" s="92" customFormat="1" ht="27.75" customHeight="1" thickBot="1">
      <c r="A68" s="103">
        <f>+A67+1</f>
        <v>29</v>
      </c>
      <c r="B68" s="87" t="s">
        <v>94</v>
      </c>
      <c r="C68" s="87"/>
      <c r="D68" s="88">
        <f>SUM(E68:P68)</f>
        <v>25998989</v>
      </c>
      <c r="E68" s="58">
        <f>SUM(E64:E67)</f>
        <v>3525207</v>
      </c>
      <c r="F68" s="58">
        <f t="shared" ref="F68:P68" si="19">SUM(F64:F67)</f>
        <v>3769567</v>
      </c>
      <c r="G68" s="58">
        <f t="shared" si="19"/>
        <v>3923814</v>
      </c>
      <c r="H68" s="58">
        <f t="shared" si="19"/>
        <v>2015239</v>
      </c>
      <c r="I68" s="58">
        <f t="shared" si="19"/>
        <v>2018637</v>
      </c>
      <c r="J68" s="58">
        <f t="shared" si="19"/>
        <v>2470186</v>
      </c>
      <c r="K68" s="58">
        <f t="shared" si="19"/>
        <v>3566964</v>
      </c>
      <c r="L68" s="58">
        <f t="shared" si="19"/>
        <v>4709375</v>
      </c>
      <c r="M68" s="58">
        <f t="shared" si="19"/>
        <v>0</v>
      </c>
      <c r="N68" s="58">
        <f t="shared" si="19"/>
        <v>0</v>
      </c>
      <c r="O68" s="58">
        <f t="shared" si="19"/>
        <v>0</v>
      </c>
      <c r="P68" s="58">
        <f t="shared" si="19"/>
        <v>0</v>
      </c>
      <c r="Q68" s="116"/>
      <c r="R68" s="91">
        <f>SUM(E68:P68)</f>
        <v>25998989</v>
      </c>
    </row>
    <row r="69" spans="1:18" ht="13.5" thickTop="1">
      <c r="A69" s="70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105"/>
    </row>
    <row r="70" spans="1:18" ht="18.75" customHeight="1">
      <c r="A70" s="70"/>
      <c r="B70" s="75" t="s">
        <v>95</v>
      </c>
      <c r="C70" s="7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105"/>
    </row>
    <row r="71" spans="1:18">
      <c r="A71" s="70">
        <f>A68+1</f>
        <v>30</v>
      </c>
      <c r="B71" t="s">
        <v>96</v>
      </c>
      <c r="C71" s="2" t="s">
        <v>97</v>
      </c>
      <c r="D71" s="117">
        <f>SUM(E71:P71)</f>
        <v>312415</v>
      </c>
      <c r="E71" s="118">
        <f>'[1]Input Tab'!C50</f>
        <v>41132</v>
      </c>
      <c r="F71" s="118">
        <f>'[1]Input Tab'!D50</f>
        <v>53137</v>
      </c>
      <c r="G71" s="118">
        <f>'[1]Input Tab'!E50</f>
        <v>51108</v>
      </c>
      <c r="H71" s="118">
        <f>'[1]Input Tab'!F50</f>
        <v>35405</v>
      </c>
      <c r="I71" s="118">
        <f>'[1]Input Tab'!G50</f>
        <v>9389</v>
      </c>
      <c r="J71" s="118">
        <f>'[1]Input Tab'!H50</f>
        <v>20234</v>
      </c>
      <c r="K71" s="118">
        <f>'[1]Input Tab'!I50</f>
        <v>45624</v>
      </c>
      <c r="L71" s="118">
        <f>'[1]Input Tab'!J50</f>
        <v>56386</v>
      </c>
      <c r="M71" s="118">
        <f>'[1]Input Tab'!K50</f>
        <v>0</v>
      </c>
      <c r="N71" s="118">
        <f>'[1]Input Tab'!L50</f>
        <v>0</v>
      </c>
      <c r="O71" s="118">
        <f>'[1]Input Tab'!M50</f>
        <v>0</v>
      </c>
      <c r="P71" s="118">
        <f>'[1]Input Tab'!N50</f>
        <v>0</v>
      </c>
      <c r="Q71" s="105"/>
      <c r="R71" s="119">
        <f>SUM(E71:P71)</f>
        <v>312415</v>
      </c>
    </row>
    <row r="72" spans="1:18">
      <c r="A72" s="70">
        <f>A71+1</f>
        <v>31</v>
      </c>
      <c r="B72" t="s">
        <v>98</v>
      </c>
      <c r="C72" s="2" t="s">
        <v>99</v>
      </c>
      <c r="D72" s="117">
        <f>SUM(E72:P72)</f>
        <v>637440</v>
      </c>
      <c r="E72" s="118">
        <f>'[1]Input Tab'!C51</f>
        <v>103081</v>
      </c>
      <c r="F72" s="118">
        <f>'[1]Input Tab'!D51</f>
        <v>83755</v>
      </c>
      <c r="G72" s="118">
        <f>'[1]Input Tab'!E51</f>
        <v>99302</v>
      </c>
      <c r="H72" s="118">
        <f>'[1]Input Tab'!F51</f>
        <v>45750</v>
      </c>
      <c r="I72" s="118">
        <f>'[1]Input Tab'!G51</f>
        <v>55630</v>
      </c>
      <c r="J72" s="118">
        <f>'[1]Input Tab'!H51</f>
        <v>63645</v>
      </c>
      <c r="K72" s="118">
        <f>'[1]Input Tab'!I51</f>
        <v>85351</v>
      </c>
      <c r="L72" s="118">
        <f>'[1]Input Tab'!J51</f>
        <v>100926</v>
      </c>
      <c r="M72" s="118">
        <f>'[1]Input Tab'!K51</f>
        <v>0</v>
      </c>
      <c r="N72" s="118">
        <f>'[1]Input Tab'!L51</f>
        <v>0</v>
      </c>
      <c r="O72" s="118">
        <f>'[1]Input Tab'!M51</f>
        <v>0</v>
      </c>
      <c r="P72" s="118">
        <f>'[1]Input Tab'!N51</f>
        <v>0</v>
      </c>
      <c r="Q72" s="105"/>
      <c r="R72" s="119">
        <f>SUM(E72:P72)</f>
        <v>637440</v>
      </c>
    </row>
    <row r="73" spans="1:18">
      <c r="A73" s="70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105"/>
    </row>
    <row r="74" spans="1:18" ht="21" customHeight="1">
      <c r="A74" s="70"/>
      <c r="B74" s="75" t="s">
        <v>100</v>
      </c>
      <c r="C74" s="7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105"/>
    </row>
    <row r="75" spans="1:18">
      <c r="A75" s="70">
        <f>A72+1</f>
        <v>32</v>
      </c>
      <c r="B75" t="s">
        <v>96</v>
      </c>
      <c r="D75" s="70" t="s">
        <v>101</v>
      </c>
      <c r="E75" s="120">
        <f>IF(E71=0," ",E64/E71)</f>
        <v>15.347831372167656</v>
      </c>
      <c r="F75" s="120">
        <f>IF(F71=0," ",F64/F71)</f>
        <v>15.048403184221916</v>
      </c>
      <c r="G75" s="120">
        <f>IF(G71=0," ",G64/G71)</f>
        <v>15.302379275260233</v>
      </c>
      <c r="H75" s="120">
        <f t="shared" ref="H75:P75" si="20">IF(H71=0," ",H64/H71)</f>
        <v>15.42104222567434</v>
      </c>
      <c r="I75" s="120">
        <f>IF(I71=0," ",I64/I71)</f>
        <v>17.075194376397913</v>
      </c>
      <c r="J75" s="120">
        <f t="shared" si="20"/>
        <v>16.573045369180587</v>
      </c>
      <c r="K75" s="120">
        <f>IF(K71=0," ",K64/K71)</f>
        <v>17.329322286515868</v>
      </c>
      <c r="L75" s="120">
        <f t="shared" si="20"/>
        <v>17.896162167914021</v>
      </c>
      <c r="M75" s="120" t="str">
        <f t="shared" si="20"/>
        <v xml:space="preserve"> </v>
      </c>
      <c r="N75" s="120" t="str">
        <f t="shared" si="20"/>
        <v xml:space="preserve"> </v>
      </c>
      <c r="O75" s="120" t="str">
        <f t="shared" si="20"/>
        <v xml:space="preserve"> </v>
      </c>
      <c r="P75" s="120" t="str">
        <f t="shared" si="20"/>
        <v xml:space="preserve"> </v>
      </c>
      <c r="Q75" s="121"/>
      <c r="R75" s="122">
        <f>R64/R71</f>
        <v>16.178333306659411</v>
      </c>
    </row>
    <row r="76" spans="1:18">
      <c r="A76" s="70">
        <f>A75+1</f>
        <v>33</v>
      </c>
      <c r="B76" t="s">
        <v>102</v>
      </c>
      <c r="D76" s="70" t="s">
        <v>103</v>
      </c>
      <c r="E76" s="120">
        <f>IF(E72=0," ",E66/E72)</f>
        <v>27.748537557842862</v>
      </c>
      <c r="F76" s="120">
        <f>IF(F72=0," ",F66/F72)</f>
        <v>35.418219807772672</v>
      </c>
      <c r="G76" s="120">
        <f t="shared" ref="G76:P76" si="21">IF(G72=0," ",G66/G72)</f>
        <v>31.417121508126723</v>
      </c>
      <c r="H76" s="120">
        <f t="shared" si="21"/>
        <v>32.052327868852458</v>
      </c>
      <c r="I76" s="120">
        <f>IF(I72=0," ",I66/I72)</f>
        <v>33.324249505662415</v>
      </c>
      <c r="J76" s="120">
        <f t="shared" si="21"/>
        <v>32.60589205750648</v>
      </c>
      <c r="K76" s="120">
        <f t="shared" si="21"/>
        <v>32.550327471265717</v>
      </c>
      <c r="L76" s="120">
        <f t="shared" si="21"/>
        <v>36.639963933971423</v>
      </c>
      <c r="M76" s="120" t="str">
        <f t="shared" si="21"/>
        <v xml:space="preserve"> </v>
      </c>
      <c r="N76" s="120" t="str">
        <f t="shared" si="21"/>
        <v xml:space="preserve"> </v>
      </c>
      <c r="O76" s="120" t="str">
        <f t="shared" si="21"/>
        <v xml:space="preserve"> </v>
      </c>
      <c r="P76" s="120" t="str">
        <f t="shared" si="21"/>
        <v xml:space="preserve"> </v>
      </c>
      <c r="Q76" s="121"/>
      <c r="R76" s="122">
        <f>R66/R72</f>
        <v>32.658971824799195</v>
      </c>
    </row>
    <row r="77" spans="1:18">
      <c r="A77" s="70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105"/>
    </row>
    <row r="78" spans="1:18">
      <c r="A78" s="70"/>
      <c r="B78" s="75" t="s">
        <v>104</v>
      </c>
      <c r="C78" s="7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105"/>
    </row>
    <row r="79" spans="1:18">
      <c r="A79" s="70">
        <f>A76+1</f>
        <v>34</v>
      </c>
      <c r="B79" t="s">
        <v>105</v>
      </c>
      <c r="D79" s="78">
        <f t="shared" ref="D79:D85" si="22">SUM(E79:P79)</f>
        <v>24059</v>
      </c>
      <c r="E79" s="34">
        <v>-4649</v>
      </c>
      <c r="F79" s="34">
        <v>5526</v>
      </c>
      <c r="G79" s="34">
        <v>19264</v>
      </c>
      <c r="H79" s="34">
        <v>3556</v>
      </c>
      <c r="I79" s="34">
        <v>2646</v>
      </c>
      <c r="J79" s="34">
        <v>1336</v>
      </c>
      <c r="K79" s="34">
        <v>-3446</v>
      </c>
      <c r="L79" s="34">
        <v>-174</v>
      </c>
      <c r="M79" s="34">
        <v>0</v>
      </c>
      <c r="N79" s="34">
        <v>0</v>
      </c>
      <c r="O79" s="34">
        <v>0</v>
      </c>
      <c r="P79" s="34">
        <v>0</v>
      </c>
      <c r="Q79" s="123"/>
      <c r="R79" s="124">
        <f t="shared" ref="R79:R84" si="23">SUM(E79:P79)</f>
        <v>24059</v>
      </c>
    </row>
    <row r="80" spans="1:18">
      <c r="A80" s="70">
        <f t="shared" ref="A80:A85" si="24">A79+1</f>
        <v>35</v>
      </c>
      <c r="B80" t="s">
        <v>106</v>
      </c>
      <c r="D80" s="78">
        <f t="shared" si="22"/>
        <v>1590950</v>
      </c>
      <c r="E80" s="34">
        <v>77272</v>
      </c>
      <c r="F80" s="34">
        <v>71797</v>
      </c>
      <c r="G80" s="34">
        <v>21157</v>
      </c>
      <c r="H80" s="34">
        <v>423994</v>
      </c>
      <c r="I80" s="34">
        <v>159713</v>
      </c>
      <c r="J80" s="34">
        <v>70780</v>
      </c>
      <c r="K80" s="34">
        <v>282994</v>
      </c>
      <c r="L80" s="34">
        <v>483243</v>
      </c>
      <c r="M80" s="34">
        <v>0</v>
      </c>
      <c r="N80" s="34">
        <v>0</v>
      </c>
      <c r="O80" s="34">
        <v>0</v>
      </c>
      <c r="P80" s="34">
        <v>0</v>
      </c>
      <c r="Q80" s="123"/>
      <c r="R80" s="124">
        <f t="shared" si="23"/>
        <v>1590950</v>
      </c>
    </row>
    <row r="81" spans="1:18">
      <c r="A81" s="70">
        <f t="shared" si="24"/>
        <v>36</v>
      </c>
      <c r="B81" t="s">
        <v>107</v>
      </c>
      <c r="D81" s="78">
        <f t="shared" si="22"/>
        <v>112059</v>
      </c>
      <c r="E81" s="34">
        <v>-951</v>
      </c>
      <c r="F81" s="34">
        <v>7921</v>
      </c>
      <c r="G81" s="34">
        <v>1966</v>
      </c>
      <c r="H81" s="34">
        <v>25228</v>
      </c>
      <c r="I81" s="34">
        <v>7275</v>
      </c>
      <c r="J81" s="34">
        <v>7732</v>
      </c>
      <c r="K81" s="34">
        <v>11966</v>
      </c>
      <c r="L81" s="34">
        <v>50922</v>
      </c>
      <c r="M81" s="34">
        <v>0</v>
      </c>
      <c r="N81" s="34">
        <v>0</v>
      </c>
      <c r="O81" s="34">
        <v>0</v>
      </c>
      <c r="P81" s="34">
        <v>0</v>
      </c>
      <c r="Q81" s="123"/>
      <c r="R81" s="124">
        <f t="shared" si="23"/>
        <v>112059</v>
      </c>
    </row>
    <row r="82" spans="1:18">
      <c r="A82" s="70">
        <f t="shared" si="24"/>
        <v>37</v>
      </c>
      <c r="B82" t="s">
        <v>108</v>
      </c>
      <c r="D82" s="78">
        <f t="shared" si="22"/>
        <v>38401300</v>
      </c>
      <c r="E82" s="34">
        <v>4751336</v>
      </c>
      <c r="F82" s="34">
        <v>6208877</v>
      </c>
      <c r="G82" s="34">
        <v>5367061</v>
      </c>
      <c r="H82" s="34">
        <v>6651047</v>
      </c>
      <c r="I82" s="34">
        <v>2794922</v>
      </c>
      <c r="J82" s="34">
        <v>1982425</v>
      </c>
      <c r="K82" s="34">
        <v>3900496</v>
      </c>
      <c r="L82" s="34">
        <v>6745136</v>
      </c>
      <c r="M82" s="34">
        <v>0</v>
      </c>
      <c r="N82" s="34">
        <v>0</v>
      </c>
      <c r="O82" s="34">
        <v>0</v>
      </c>
      <c r="P82" s="34">
        <v>0</v>
      </c>
      <c r="Q82" s="123"/>
      <c r="R82" s="124">
        <f t="shared" si="23"/>
        <v>38401300</v>
      </c>
    </row>
    <row r="83" spans="1:18">
      <c r="A83" s="70">
        <f>A82+1</f>
        <v>38</v>
      </c>
      <c r="B83" s="2" t="s">
        <v>109</v>
      </c>
      <c r="C83" s="2"/>
      <c r="D83" s="78">
        <f t="shared" si="22"/>
        <v>35916613</v>
      </c>
      <c r="E83" s="34">
        <v>4378393</v>
      </c>
      <c r="F83" s="34">
        <v>5695889</v>
      </c>
      <c r="G83" s="34">
        <v>4602489</v>
      </c>
      <c r="H83" s="34">
        <v>891833</v>
      </c>
      <c r="I83" s="34">
        <v>6359670</v>
      </c>
      <c r="J83" s="34">
        <v>1973838</v>
      </c>
      <c r="K83" s="34">
        <v>5283132</v>
      </c>
      <c r="L83" s="34">
        <v>6731369</v>
      </c>
      <c r="M83" s="34">
        <v>0</v>
      </c>
      <c r="N83" s="34">
        <v>0</v>
      </c>
      <c r="O83" s="34">
        <v>0</v>
      </c>
      <c r="P83" s="34">
        <v>0</v>
      </c>
      <c r="Q83" s="123"/>
      <c r="R83" s="124">
        <f>SUM(E83:P83)</f>
        <v>35916613</v>
      </c>
    </row>
    <row r="84" spans="1:18">
      <c r="A84" s="70">
        <f>A83+1</f>
        <v>39</v>
      </c>
      <c r="B84" s="125" t="s">
        <v>110</v>
      </c>
      <c r="C84" s="125"/>
      <c r="D84" s="78">
        <f t="shared" si="22"/>
        <v>3777948</v>
      </c>
      <c r="E84" s="126">
        <v>108275</v>
      </c>
      <c r="F84" s="126">
        <v>126413</v>
      </c>
      <c r="G84" s="126">
        <v>47125</v>
      </c>
      <c r="H84" s="126">
        <v>986394</v>
      </c>
      <c r="I84" s="126">
        <v>181852</v>
      </c>
      <c r="J84" s="126">
        <v>217472</v>
      </c>
      <c r="K84" s="126">
        <v>482310</v>
      </c>
      <c r="L84" s="126">
        <v>1628107</v>
      </c>
      <c r="M84" s="126">
        <v>0</v>
      </c>
      <c r="N84" s="126">
        <v>0</v>
      </c>
      <c r="O84" s="126">
        <v>0</v>
      </c>
      <c r="P84" s="126">
        <v>0</v>
      </c>
      <c r="Q84" s="123"/>
      <c r="R84" s="127">
        <f t="shared" si="23"/>
        <v>3777948</v>
      </c>
    </row>
    <row r="85" spans="1:18" s="92" customFormat="1" ht="21.75" customHeight="1">
      <c r="A85" s="103">
        <f t="shared" si="24"/>
        <v>40</v>
      </c>
      <c r="B85" s="87" t="s">
        <v>111</v>
      </c>
      <c r="C85" s="87"/>
      <c r="D85" s="88">
        <f t="shared" si="22"/>
        <v>79822929</v>
      </c>
      <c r="E85" s="58">
        <f t="shared" ref="E85:P85" si="25">SUM(E79:E84)</f>
        <v>9309676</v>
      </c>
      <c r="F85" s="58">
        <f t="shared" si="25"/>
        <v>12116423</v>
      </c>
      <c r="G85" s="58">
        <f t="shared" si="25"/>
        <v>10059062</v>
      </c>
      <c r="H85" s="58">
        <f t="shared" si="25"/>
        <v>8982052</v>
      </c>
      <c r="I85" s="58">
        <f t="shared" si="25"/>
        <v>9506078</v>
      </c>
      <c r="J85" s="58">
        <f t="shared" si="25"/>
        <v>4253583</v>
      </c>
      <c r="K85" s="58">
        <f t="shared" si="25"/>
        <v>9957452</v>
      </c>
      <c r="L85" s="58">
        <f t="shared" si="25"/>
        <v>15638603</v>
      </c>
      <c r="M85" s="58">
        <f t="shared" si="25"/>
        <v>0</v>
      </c>
      <c r="N85" s="58">
        <f t="shared" si="25"/>
        <v>0</v>
      </c>
      <c r="O85" s="58">
        <f t="shared" si="25"/>
        <v>0</v>
      </c>
      <c r="P85" s="58">
        <f t="shared" si="25"/>
        <v>0</v>
      </c>
      <c r="Q85" s="128"/>
      <c r="R85" s="129">
        <f>SUM(R79:R84)</f>
        <v>79822929</v>
      </c>
    </row>
    <row r="86" spans="1:18" ht="15.75" customHeight="1">
      <c r="A86" s="70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123"/>
      <c r="R86" s="124"/>
    </row>
    <row r="87" spans="1:18" ht="21" customHeight="1">
      <c r="A87" s="103">
        <f>A85+1</f>
        <v>41</v>
      </c>
      <c r="B87" s="130" t="s">
        <v>112</v>
      </c>
      <c r="C87" s="130"/>
      <c r="D87" s="131">
        <f>SUM(E87:P87)</f>
        <v>106236164.7341</v>
      </c>
      <c r="E87" s="58">
        <f t="shared" ref="E87:P87" si="26">E24+E48+E68+E85</f>
        <v>14513570.2368</v>
      </c>
      <c r="F87" s="58">
        <f t="shared" si="26"/>
        <v>20166277.623599999</v>
      </c>
      <c r="G87" s="58">
        <f t="shared" si="26"/>
        <v>11911594.6271</v>
      </c>
      <c r="H87" s="58">
        <f t="shared" si="26"/>
        <v>13637752.9449</v>
      </c>
      <c r="I87" s="58">
        <f t="shared" si="26"/>
        <v>6553928.9419</v>
      </c>
      <c r="J87" s="58">
        <f t="shared" si="26"/>
        <v>4325788.724200001</v>
      </c>
      <c r="K87" s="58">
        <f t="shared" si="26"/>
        <v>8684819.8259999994</v>
      </c>
      <c r="L87" s="58">
        <f t="shared" si="26"/>
        <v>25959493.809599999</v>
      </c>
      <c r="M87" s="58">
        <f t="shared" si="26"/>
        <v>482938</v>
      </c>
      <c r="N87" s="58">
        <f t="shared" si="26"/>
        <v>0</v>
      </c>
      <c r="O87" s="58">
        <f t="shared" si="26"/>
        <v>0</v>
      </c>
      <c r="P87" s="58">
        <f t="shared" si="26"/>
        <v>0</v>
      </c>
      <c r="Q87" s="132"/>
      <c r="R87" s="133">
        <f>R24-R48+R68+R85</f>
        <v>294763686.27409995</v>
      </c>
    </row>
    <row r="88" spans="1:18" ht="12" customHeight="1"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105"/>
    </row>
    <row r="89" spans="1:18" outlineLevel="1">
      <c r="B89" s="134" t="s">
        <v>64</v>
      </c>
      <c r="C89" s="134"/>
      <c r="E89" s="135">
        <v>202201</v>
      </c>
      <c r="F89" s="135">
        <v>202202</v>
      </c>
      <c r="G89" s="135">
        <v>202203</v>
      </c>
      <c r="H89" s="135">
        <v>202204</v>
      </c>
      <c r="I89" s="135">
        <v>202205</v>
      </c>
      <c r="J89" s="135">
        <v>202206</v>
      </c>
      <c r="K89" s="135">
        <v>202207</v>
      </c>
      <c r="L89" s="135">
        <v>202208</v>
      </c>
      <c r="M89" s="135">
        <v>202209</v>
      </c>
      <c r="N89" s="135">
        <v>202210</v>
      </c>
      <c r="O89" s="135">
        <v>202211</v>
      </c>
      <c r="P89" s="135">
        <v>202212</v>
      </c>
      <c r="Q89" s="105"/>
    </row>
    <row r="90" spans="1:18">
      <c r="B90" s="76" t="s">
        <v>113</v>
      </c>
      <c r="C90" s="76"/>
      <c r="D90" s="136"/>
      <c r="E90" s="100"/>
      <c r="F90" s="85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05"/>
    </row>
    <row r="91" spans="1:18">
      <c r="A91" s="70">
        <f>A87+1</f>
        <v>42</v>
      </c>
      <c r="B91" s="134" t="s">
        <v>114</v>
      </c>
      <c r="C91" s="134"/>
      <c r="D91" s="78">
        <f t="shared" ref="D91:D99" si="27">SUM(E91:P91)</f>
        <v>-16857420</v>
      </c>
      <c r="E91" s="34">
        <v>-1203651</v>
      </c>
      <c r="F91" s="34">
        <v>-1175793</v>
      </c>
      <c r="G91" s="34">
        <v>-1256613</v>
      </c>
      <c r="H91" s="34">
        <v>-1939952</v>
      </c>
      <c r="I91" s="34">
        <v>-2178819</v>
      </c>
      <c r="J91" s="34">
        <v>-3314739</v>
      </c>
      <c r="K91" s="34">
        <v>-3167663</v>
      </c>
      <c r="L91" s="34">
        <v>-2620190</v>
      </c>
      <c r="M91" s="34">
        <v>0</v>
      </c>
      <c r="N91" s="34">
        <v>0</v>
      </c>
      <c r="O91" s="34">
        <v>0</v>
      </c>
      <c r="P91" s="34">
        <v>0</v>
      </c>
      <c r="Q91" s="123"/>
      <c r="R91" s="124">
        <f t="shared" ref="R91:R99" si="28">SUM(E91:P91)</f>
        <v>-16857420</v>
      </c>
    </row>
    <row r="92" spans="1:18">
      <c r="A92" s="70">
        <v>45</v>
      </c>
      <c r="B92" s="134" t="s">
        <v>115</v>
      </c>
      <c r="C92" s="134"/>
      <c r="D92" s="78">
        <f t="shared" si="27"/>
        <v>-616000</v>
      </c>
      <c r="E92" s="23">
        <v>-77000</v>
      </c>
      <c r="F92" s="23">
        <v>-77000</v>
      </c>
      <c r="G92" s="23">
        <v>-77000</v>
      </c>
      <c r="H92" s="23">
        <v>-77000</v>
      </c>
      <c r="I92" s="23">
        <v>-77000</v>
      </c>
      <c r="J92" s="23">
        <v>-77000</v>
      </c>
      <c r="K92" s="23">
        <v>-77000</v>
      </c>
      <c r="L92" s="23">
        <v>-77000</v>
      </c>
      <c r="M92" s="23">
        <v>0</v>
      </c>
      <c r="N92" s="23">
        <v>0</v>
      </c>
      <c r="O92" s="23">
        <v>0</v>
      </c>
      <c r="P92" s="23">
        <v>0</v>
      </c>
      <c r="Q92" s="123"/>
      <c r="R92" s="124">
        <f t="shared" si="28"/>
        <v>-616000</v>
      </c>
    </row>
    <row r="93" spans="1:18">
      <c r="A93" s="70">
        <f>A92+1</f>
        <v>46</v>
      </c>
      <c r="B93" s="134" t="s">
        <v>116</v>
      </c>
      <c r="C93" s="134"/>
      <c r="D93" s="78">
        <f t="shared" si="27"/>
        <v>-3250</v>
      </c>
      <c r="E93" s="34">
        <v>0</v>
      </c>
      <c r="F93" s="34">
        <v>0</v>
      </c>
      <c r="G93" s="34">
        <v>0</v>
      </c>
      <c r="H93" s="34">
        <v>0</v>
      </c>
      <c r="I93" s="34">
        <v>-2125</v>
      </c>
      <c r="J93" s="34">
        <v>-1125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/>
      <c r="R93" s="124">
        <f t="shared" si="28"/>
        <v>-3250</v>
      </c>
    </row>
    <row r="94" spans="1:18">
      <c r="A94" s="70">
        <f>A93+1</f>
        <v>47</v>
      </c>
      <c r="B94" s="134" t="s">
        <v>117</v>
      </c>
      <c r="C94" s="134"/>
      <c r="D94" s="78">
        <f t="shared" si="27"/>
        <v>-1100000</v>
      </c>
      <c r="E94" s="34">
        <v>-137500</v>
      </c>
      <c r="F94" s="34">
        <v>-137424</v>
      </c>
      <c r="G94" s="34">
        <v>-137576</v>
      </c>
      <c r="H94" s="34">
        <v>-137500</v>
      </c>
      <c r="I94" s="34">
        <v>-137500</v>
      </c>
      <c r="J94" s="34">
        <v>-137500</v>
      </c>
      <c r="K94" s="34">
        <v>-137500</v>
      </c>
      <c r="L94" s="34">
        <v>-137500</v>
      </c>
      <c r="M94" s="34">
        <v>0</v>
      </c>
      <c r="N94" s="34">
        <v>0</v>
      </c>
      <c r="O94" s="34">
        <v>0</v>
      </c>
      <c r="P94" s="34">
        <v>0</v>
      </c>
      <c r="Q94" s="34"/>
      <c r="R94" s="124"/>
    </row>
    <row r="95" spans="1:18">
      <c r="A95" s="70">
        <f>A94+1</f>
        <v>48</v>
      </c>
      <c r="B95" s="134" t="s">
        <v>118</v>
      </c>
      <c r="C95" s="134"/>
      <c r="D95" s="78">
        <f t="shared" si="27"/>
        <v>-793589</v>
      </c>
      <c r="E95" s="34">
        <v>-109526</v>
      </c>
      <c r="F95" s="34">
        <v>-121472</v>
      </c>
      <c r="G95" s="34">
        <v>-97399</v>
      </c>
      <c r="H95" s="34">
        <v>-91280</v>
      </c>
      <c r="I95" s="34">
        <v>-81024</v>
      </c>
      <c r="J95" s="34">
        <v>-87207</v>
      </c>
      <c r="K95" s="34">
        <v>-103806</v>
      </c>
      <c r="L95" s="34">
        <v>-101875</v>
      </c>
      <c r="M95" s="34">
        <v>0</v>
      </c>
      <c r="N95" s="34">
        <v>0</v>
      </c>
      <c r="O95" s="34">
        <v>0</v>
      </c>
      <c r="P95" s="34">
        <v>0</v>
      </c>
      <c r="Q95" s="123"/>
      <c r="R95" s="124">
        <f t="shared" si="28"/>
        <v>-793589</v>
      </c>
    </row>
    <row r="96" spans="1:18">
      <c r="A96" s="70">
        <f>+A95+1</f>
        <v>49</v>
      </c>
      <c r="B96" s="2" t="s">
        <v>119</v>
      </c>
      <c r="C96" s="2"/>
      <c r="D96" s="33">
        <f>SUM(E96:P96)</f>
        <v>-81336</v>
      </c>
      <c r="E96" s="138">
        <v>-10167</v>
      </c>
      <c r="F96" s="138">
        <v>-10167</v>
      </c>
      <c r="G96" s="138">
        <v>-10167</v>
      </c>
      <c r="H96" s="138">
        <v>-10167</v>
      </c>
      <c r="I96" s="138">
        <v>-10167</v>
      </c>
      <c r="J96" s="138">
        <v>-10167</v>
      </c>
      <c r="K96" s="138">
        <v>-10167</v>
      </c>
      <c r="L96" s="138">
        <v>-10167</v>
      </c>
      <c r="M96" s="138">
        <v>0</v>
      </c>
      <c r="N96" s="138">
        <v>0</v>
      </c>
      <c r="O96" s="138">
        <v>0</v>
      </c>
      <c r="P96" s="138">
        <v>0</v>
      </c>
      <c r="Q96" s="123"/>
      <c r="R96" s="124">
        <f t="shared" si="28"/>
        <v>-81336</v>
      </c>
    </row>
    <row r="97" spans="1:18">
      <c r="A97" s="70">
        <f>+A96+1</f>
        <v>50</v>
      </c>
      <c r="B97" s="134" t="s">
        <v>120</v>
      </c>
      <c r="C97" s="134"/>
      <c r="D97" s="78">
        <f t="shared" si="27"/>
        <v>-83093</v>
      </c>
      <c r="E97" s="34">
        <v>-9523</v>
      </c>
      <c r="F97" s="34">
        <v>-9523</v>
      </c>
      <c r="G97" s="34">
        <v>-9523</v>
      </c>
      <c r="H97" s="34">
        <v>-11191</v>
      </c>
      <c r="I97" s="34">
        <v>-11191</v>
      </c>
      <c r="J97" s="34">
        <v>-10714</v>
      </c>
      <c r="K97" s="34">
        <v>-10714</v>
      </c>
      <c r="L97" s="34">
        <v>-10714</v>
      </c>
      <c r="M97" s="34">
        <v>0</v>
      </c>
      <c r="N97" s="34">
        <v>0</v>
      </c>
      <c r="O97" s="34">
        <v>0</v>
      </c>
      <c r="P97" s="34">
        <v>0</v>
      </c>
      <c r="Q97" s="139"/>
      <c r="R97" s="124">
        <f t="shared" si="28"/>
        <v>-83093</v>
      </c>
    </row>
    <row r="98" spans="1:18">
      <c r="A98" s="70">
        <f>+A97+1</f>
        <v>51</v>
      </c>
      <c r="B98" s="140" t="s">
        <v>121</v>
      </c>
      <c r="C98" s="140" t="s">
        <v>122</v>
      </c>
      <c r="D98" s="78">
        <f t="shared" si="27"/>
        <v>-1186352</v>
      </c>
      <c r="E98" s="126">
        <v>-148294</v>
      </c>
      <c r="F98" s="126">
        <v>-148294</v>
      </c>
      <c r="G98" s="126">
        <v>-148294</v>
      </c>
      <c r="H98" s="126">
        <v>-148294</v>
      </c>
      <c r="I98" s="126">
        <v>-148294</v>
      </c>
      <c r="J98" s="126">
        <v>-148294</v>
      </c>
      <c r="K98" s="126">
        <v>-148294</v>
      </c>
      <c r="L98" s="126">
        <v>-148294</v>
      </c>
      <c r="M98" s="126">
        <v>0</v>
      </c>
      <c r="N98" s="126">
        <v>0</v>
      </c>
      <c r="O98" s="126">
        <v>0</v>
      </c>
      <c r="P98" s="126">
        <v>0</v>
      </c>
      <c r="Q98" s="123"/>
      <c r="R98" s="127">
        <f t="shared" si="28"/>
        <v>-1186352</v>
      </c>
    </row>
    <row r="99" spans="1:18" s="92" customFormat="1" ht="20.25" customHeight="1">
      <c r="A99" s="103">
        <f>A98+1</f>
        <v>52</v>
      </c>
      <c r="B99" s="141" t="s">
        <v>123</v>
      </c>
      <c r="C99" s="141"/>
      <c r="D99" s="88">
        <f t="shared" si="27"/>
        <v>-20721040</v>
      </c>
      <c r="E99" s="88">
        <f>SUM(E91:E98)</f>
        <v>-1695661</v>
      </c>
      <c r="F99" s="88">
        <f t="shared" ref="F99:P99" si="29">SUM(F91:F98)</f>
        <v>-1679673</v>
      </c>
      <c r="G99" s="88">
        <f t="shared" si="29"/>
        <v>-1736572</v>
      </c>
      <c r="H99" s="88">
        <f t="shared" si="29"/>
        <v>-2415384</v>
      </c>
      <c r="I99" s="88">
        <f t="shared" si="29"/>
        <v>-2646120</v>
      </c>
      <c r="J99" s="88">
        <f t="shared" si="29"/>
        <v>-3786746</v>
      </c>
      <c r="K99" s="88">
        <f t="shared" si="29"/>
        <v>-3655144</v>
      </c>
      <c r="L99" s="88">
        <f t="shared" si="29"/>
        <v>-3105740</v>
      </c>
      <c r="M99" s="88">
        <f t="shared" si="29"/>
        <v>0</v>
      </c>
      <c r="N99" s="88">
        <f t="shared" si="29"/>
        <v>0</v>
      </c>
      <c r="O99" s="88">
        <f t="shared" si="29"/>
        <v>0</v>
      </c>
      <c r="P99" s="88">
        <f t="shared" si="29"/>
        <v>0</v>
      </c>
      <c r="Q99" s="128"/>
      <c r="R99" s="129">
        <f t="shared" si="28"/>
        <v>-20721040</v>
      </c>
    </row>
    <row r="100" spans="1:18">
      <c r="A100" s="70"/>
      <c r="E100" s="78"/>
      <c r="F100" s="78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123"/>
      <c r="R100" s="124"/>
    </row>
    <row r="101" spans="1:18">
      <c r="A101" s="70"/>
      <c r="B101" s="75" t="s">
        <v>124</v>
      </c>
      <c r="C101" s="75"/>
      <c r="E101" s="78"/>
      <c r="F101" s="78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123"/>
      <c r="R101" s="124"/>
    </row>
    <row r="102" spans="1:18">
      <c r="A102" s="70">
        <f>A99+1</f>
        <v>53</v>
      </c>
      <c r="B102" s="2" t="s">
        <v>125</v>
      </c>
      <c r="C102" s="2"/>
      <c r="D102" s="78">
        <f>SUM(E102:P102)</f>
        <v>13250470</v>
      </c>
      <c r="E102" s="34">
        <v>1548018</v>
      </c>
      <c r="F102" s="142">
        <v>1815874</v>
      </c>
      <c r="G102" s="142">
        <v>1718585</v>
      </c>
      <c r="H102" s="142">
        <v>1668736</v>
      </c>
      <c r="I102" s="142">
        <v>1600142</v>
      </c>
      <c r="J102" s="142">
        <v>1569179</v>
      </c>
      <c r="K102" s="142">
        <v>1644959</v>
      </c>
      <c r="L102" s="142">
        <v>1684977</v>
      </c>
      <c r="M102" s="142">
        <v>0</v>
      </c>
      <c r="N102" s="142">
        <v>0</v>
      </c>
      <c r="O102" s="142">
        <v>0</v>
      </c>
      <c r="P102" s="142">
        <v>0</v>
      </c>
      <c r="Q102" s="123"/>
      <c r="R102" s="124">
        <f>SUM(E102:P102)</f>
        <v>13250470</v>
      </c>
    </row>
    <row r="103" spans="1:18">
      <c r="A103" s="70">
        <f>A102+1</f>
        <v>54</v>
      </c>
      <c r="B103" s="2" t="s">
        <v>126</v>
      </c>
      <c r="C103" s="2" t="s">
        <v>67</v>
      </c>
      <c r="D103" s="78">
        <f>SUM(E103:P103)</f>
        <v>0</v>
      </c>
      <c r="E103" s="142">
        <v>0</v>
      </c>
      <c r="F103" s="142">
        <v>0</v>
      </c>
      <c r="G103" s="142">
        <v>0</v>
      </c>
      <c r="H103" s="142">
        <v>0</v>
      </c>
      <c r="I103" s="142">
        <v>0</v>
      </c>
      <c r="J103" s="142">
        <v>0</v>
      </c>
      <c r="K103" s="142">
        <v>0</v>
      </c>
      <c r="L103" s="142">
        <v>0</v>
      </c>
      <c r="M103" s="142">
        <v>0</v>
      </c>
      <c r="N103" s="142">
        <v>0</v>
      </c>
      <c r="O103" s="142">
        <v>0</v>
      </c>
      <c r="P103" s="142">
        <v>0</v>
      </c>
      <c r="Q103" s="123"/>
      <c r="R103" s="124">
        <f>SUM(E103:P103)</f>
        <v>0</v>
      </c>
    </row>
    <row r="104" spans="1:18">
      <c r="A104" s="143">
        <f>A103+1</f>
        <v>55</v>
      </c>
      <c r="B104" s="8" t="s">
        <v>127</v>
      </c>
      <c r="C104" s="8"/>
      <c r="D104" s="78">
        <f>SUM(E104:P104)</f>
        <v>36288</v>
      </c>
      <c r="E104" s="126">
        <v>4536</v>
      </c>
      <c r="F104" s="126">
        <v>4536</v>
      </c>
      <c r="G104" s="126">
        <v>4536</v>
      </c>
      <c r="H104" s="126">
        <v>4536</v>
      </c>
      <c r="I104" s="126">
        <v>4536</v>
      </c>
      <c r="J104" s="126">
        <v>4536</v>
      </c>
      <c r="K104" s="126">
        <v>4536</v>
      </c>
      <c r="L104" s="126">
        <v>4536</v>
      </c>
      <c r="M104" s="126">
        <v>0</v>
      </c>
      <c r="N104" s="126">
        <v>0</v>
      </c>
      <c r="O104" s="126">
        <v>0</v>
      </c>
      <c r="P104" s="126">
        <v>0</v>
      </c>
      <c r="Q104" s="123"/>
      <c r="R104" s="127">
        <f>SUM(E104:P104)</f>
        <v>36288</v>
      </c>
    </row>
    <row r="105" spans="1:18" s="92" customFormat="1" ht="20.25" customHeight="1">
      <c r="A105" s="103">
        <f>A104+1</f>
        <v>56</v>
      </c>
      <c r="B105" s="141" t="s">
        <v>128</v>
      </c>
      <c r="C105" s="141"/>
      <c r="D105" s="88">
        <f>SUM(E105:P105)</f>
        <v>13286758</v>
      </c>
      <c r="E105" s="58">
        <f t="shared" ref="E105:P105" si="30">SUM(E102:E104)</f>
        <v>1552554</v>
      </c>
      <c r="F105" s="58">
        <f t="shared" si="30"/>
        <v>1820410</v>
      </c>
      <c r="G105" s="58">
        <f t="shared" si="30"/>
        <v>1723121</v>
      </c>
      <c r="H105" s="58">
        <f t="shared" si="30"/>
        <v>1673272</v>
      </c>
      <c r="I105" s="58">
        <f t="shared" si="30"/>
        <v>1604678</v>
      </c>
      <c r="J105" s="58">
        <f t="shared" si="30"/>
        <v>1573715</v>
      </c>
      <c r="K105" s="58">
        <f t="shared" si="30"/>
        <v>1649495</v>
      </c>
      <c r="L105" s="58">
        <f t="shared" si="30"/>
        <v>1689513</v>
      </c>
      <c r="M105" s="58">
        <f t="shared" si="30"/>
        <v>0</v>
      </c>
      <c r="N105" s="58">
        <f t="shared" si="30"/>
        <v>0</v>
      </c>
      <c r="O105" s="58">
        <f t="shared" si="30"/>
        <v>0</v>
      </c>
      <c r="P105" s="58">
        <f t="shared" si="30"/>
        <v>0</v>
      </c>
      <c r="Q105" s="128"/>
      <c r="R105" s="129">
        <f>SUM(E105:P105)</f>
        <v>13286758</v>
      </c>
    </row>
    <row r="106" spans="1:18">
      <c r="A106" s="70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123"/>
      <c r="R106" s="124"/>
    </row>
    <row r="107" spans="1:18">
      <c r="A107" s="70"/>
      <c r="B107" s="75" t="s">
        <v>129</v>
      </c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123"/>
      <c r="R107" s="124"/>
    </row>
    <row r="108" spans="1:18">
      <c r="A108" s="70">
        <f>A105+1</f>
        <v>57</v>
      </c>
      <c r="B108" s="2" t="s">
        <v>130</v>
      </c>
      <c r="D108" s="78">
        <f>SUM(E108:P108)</f>
        <v>266603</v>
      </c>
      <c r="E108" s="85">
        <v>20893</v>
      </c>
      <c r="F108" s="85">
        <v>28383</v>
      </c>
      <c r="G108" s="85">
        <v>32655</v>
      </c>
      <c r="H108" s="85">
        <v>31197</v>
      </c>
      <c r="I108" s="85">
        <v>45593</v>
      </c>
      <c r="J108" s="85">
        <v>43753</v>
      </c>
      <c r="K108" s="85">
        <v>32872</v>
      </c>
      <c r="L108" s="85">
        <v>31257</v>
      </c>
      <c r="M108" s="85">
        <v>0</v>
      </c>
      <c r="N108" s="85">
        <v>0</v>
      </c>
      <c r="O108" s="85">
        <v>0</v>
      </c>
      <c r="P108" s="85">
        <v>0</v>
      </c>
      <c r="Q108" s="123"/>
      <c r="R108" s="124"/>
    </row>
    <row r="109" spans="1:18">
      <c r="A109" s="70">
        <f>A108+1</f>
        <v>58</v>
      </c>
      <c r="B109" t="s">
        <v>131</v>
      </c>
      <c r="D109" s="78">
        <f>SUM(E109:P109)</f>
        <v>0</v>
      </c>
      <c r="E109" s="85">
        <v>0</v>
      </c>
      <c r="F109" s="85">
        <v>0</v>
      </c>
      <c r="G109" s="85">
        <v>0</v>
      </c>
      <c r="H109" s="85">
        <v>0</v>
      </c>
      <c r="I109" s="85">
        <v>0</v>
      </c>
      <c r="J109" s="85">
        <v>0</v>
      </c>
      <c r="K109" s="85">
        <v>0</v>
      </c>
      <c r="L109" s="85">
        <v>0</v>
      </c>
      <c r="M109" s="85">
        <v>0</v>
      </c>
      <c r="N109" s="85">
        <v>0</v>
      </c>
      <c r="O109" s="85">
        <v>0</v>
      </c>
      <c r="P109" s="85">
        <v>0</v>
      </c>
      <c r="Q109" s="123"/>
      <c r="R109" s="124"/>
    </row>
    <row r="110" spans="1:18">
      <c r="A110" s="70">
        <f>A109+1</f>
        <v>59</v>
      </c>
      <c r="B110" t="s">
        <v>132</v>
      </c>
      <c r="C110" t="s">
        <v>133</v>
      </c>
      <c r="D110" s="78">
        <f>SUM(E110:P110)</f>
        <v>141788</v>
      </c>
      <c r="E110" s="85">
        <v>8671</v>
      </c>
      <c r="F110" s="85">
        <v>12827</v>
      </c>
      <c r="G110" s="85">
        <v>15016</v>
      </c>
      <c r="H110" s="85">
        <v>33599</v>
      </c>
      <c r="I110" s="85">
        <v>9887</v>
      </c>
      <c r="J110" s="85">
        <v>51922</v>
      </c>
      <c r="K110" s="85">
        <v>-6561</v>
      </c>
      <c r="L110" s="85">
        <v>16427</v>
      </c>
      <c r="M110" s="85">
        <v>0</v>
      </c>
      <c r="N110" s="85">
        <v>0</v>
      </c>
      <c r="O110" s="85">
        <v>0</v>
      </c>
      <c r="P110" s="85">
        <v>0</v>
      </c>
      <c r="Q110" s="123"/>
      <c r="R110" s="124"/>
    </row>
    <row r="111" spans="1:18">
      <c r="A111" s="70">
        <f>A110+1</f>
        <v>60</v>
      </c>
      <c r="B111" t="s">
        <v>134</v>
      </c>
      <c r="C111" t="s">
        <v>135</v>
      </c>
      <c r="D111" s="78">
        <f>SUM(E111:P111)</f>
        <v>32913</v>
      </c>
      <c r="E111" s="85">
        <v>3687</v>
      </c>
      <c r="F111" s="85">
        <v>3313</v>
      </c>
      <c r="G111" s="85">
        <v>3691</v>
      </c>
      <c r="H111" s="85">
        <v>3648</v>
      </c>
      <c r="I111" s="85">
        <v>4126</v>
      </c>
      <c r="J111" s="85">
        <v>5047</v>
      </c>
      <c r="K111" s="85">
        <v>4747</v>
      </c>
      <c r="L111" s="85">
        <v>4654</v>
      </c>
      <c r="M111" s="85">
        <v>0</v>
      </c>
      <c r="N111" s="85">
        <v>0</v>
      </c>
      <c r="O111" s="85">
        <v>0</v>
      </c>
      <c r="P111" s="85">
        <v>0</v>
      </c>
      <c r="Q111" s="123"/>
      <c r="R111" s="124"/>
    </row>
    <row r="112" spans="1:18" s="92" customFormat="1" ht="20.25" customHeight="1">
      <c r="A112" s="70">
        <f>A111+1</f>
        <v>61</v>
      </c>
      <c r="B112" s="141" t="s">
        <v>136</v>
      </c>
      <c r="C112" s="141"/>
      <c r="D112" s="88">
        <f>D108+D109+D110+D111</f>
        <v>441304</v>
      </c>
      <c r="E112" s="88">
        <f>E108+E109+E110+E111</f>
        <v>33251</v>
      </c>
      <c r="F112" s="88">
        <f t="shared" ref="F112:P112" si="31">F108+F109+F110+F111</f>
        <v>44523</v>
      </c>
      <c r="G112" s="88">
        <f t="shared" si="31"/>
        <v>51362</v>
      </c>
      <c r="H112" s="88">
        <f t="shared" si="31"/>
        <v>68444</v>
      </c>
      <c r="I112" s="88">
        <f t="shared" si="31"/>
        <v>59606</v>
      </c>
      <c r="J112" s="88">
        <f t="shared" si="31"/>
        <v>100722</v>
      </c>
      <c r="K112" s="88">
        <f t="shared" si="31"/>
        <v>31058</v>
      </c>
      <c r="L112" s="88">
        <f t="shared" si="31"/>
        <v>52338</v>
      </c>
      <c r="M112" s="88">
        <f t="shared" si="31"/>
        <v>0</v>
      </c>
      <c r="N112" s="88">
        <f t="shared" si="31"/>
        <v>0</v>
      </c>
      <c r="O112" s="88">
        <f t="shared" si="31"/>
        <v>0</v>
      </c>
      <c r="P112" s="88">
        <f t="shared" si="31"/>
        <v>0</v>
      </c>
      <c r="Q112" s="128"/>
      <c r="R112" s="129"/>
    </row>
    <row r="113" spans="1:18" ht="9" customHeight="1">
      <c r="A113" s="70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123"/>
      <c r="R113" s="124"/>
    </row>
    <row r="114" spans="1:18">
      <c r="A114" s="70"/>
      <c r="B114" s="144" t="s">
        <v>137</v>
      </c>
      <c r="C114" s="144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123"/>
      <c r="R114" s="124"/>
    </row>
    <row r="115" spans="1:18">
      <c r="A115" s="70">
        <f>A112+1</f>
        <v>62</v>
      </c>
      <c r="B115" t="s">
        <v>138</v>
      </c>
      <c r="D115" s="78">
        <f>SUM(E115:P115)</f>
        <v>6882751</v>
      </c>
      <c r="E115" s="77">
        <v>-3219304</v>
      </c>
      <c r="F115" s="77">
        <v>1501227</v>
      </c>
      <c r="G115" s="77">
        <v>-18670</v>
      </c>
      <c r="H115" s="77">
        <v>678773</v>
      </c>
      <c r="I115" s="77">
        <v>2081774</v>
      </c>
      <c r="J115" s="77">
        <v>2509463</v>
      </c>
      <c r="K115" s="77">
        <v>487731</v>
      </c>
      <c r="L115" s="77">
        <v>2861757</v>
      </c>
      <c r="M115" s="77">
        <v>0</v>
      </c>
      <c r="N115" s="77">
        <v>0</v>
      </c>
      <c r="O115" s="77">
        <v>0</v>
      </c>
      <c r="P115" s="77">
        <v>0</v>
      </c>
      <c r="Q115" s="123"/>
      <c r="R115" s="124">
        <f t="shared" ref="R115:R126" si="32">SUM(E115:P115)</f>
        <v>6882751</v>
      </c>
    </row>
    <row r="116" spans="1:18">
      <c r="A116" s="70">
        <f>A115+1</f>
        <v>63</v>
      </c>
      <c r="B116" t="s">
        <v>139</v>
      </c>
      <c r="D116" s="78">
        <f t="shared" ref="D116:D126" si="33">SUM(E116:P116)</f>
        <v>24550537</v>
      </c>
      <c r="E116" s="77">
        <v>3077287</v>
      </c>
      <c r="F116" s="77">
        <v>-1109407</v>
      </c>
      <c r="G116" s="77">
        <v>-230441</v>
      </c>
      <c r="H116" s="77">
        <v>2994098</v>
      </c>
      <c r="I116" s="77">
        <v>5228665</v>
      </c>
      <c r="J116" s="77">
        <v>12282800</v>
      </c>
      <c r="K116" s="77">
        <v>2743726</v>
      </c>
      <c r="L116" s="77">
        <v>-436191</v>
      </c>
      <c r="M116" s="77">
        <v>0</v>
      </c>
      <c r="N116" s="77">
        <v>0</v>
      </c>
      <c r="O116" s="77">
        <v>0</v>
      </c>
      <c r="P116" s="77">
        <v>0</v>
      </c>
      <c r="Q116" s="123"/>
      <c r="R116" s="124">
        <f t="shared" si="32"/>
        <v>24550537</v>
      </c>
    </row>
    <row r="117" spans="1:18">
      <c r="A117" s="70">
        <f t="shared" ref="A117:A126" si="34">A116+1</f>
        <v>64</v>
      </c>
      <c r="B117" t="s">
        <v>140</v>
      </c>
      <c r="D117" s="78">
        <f t="shared" si="33"/>
        <v>3693697</v>
      </c>
      <c r="E117" s="77">
        <v>104025</v>
      </c>
      <c r="F117" s="77">
        <v>192213</v>
      </c>
      <c r="G117" s="77">
        <v>97556</v>
      </c>
      <c r="H117" s="77">
        <v>252538</v>
      </c>
      <c r="I117" s="77">
        <v>71650</v>
      </c>
      <c r="J117" s="77">
        <v>961411</v>
      </c>
      <c r="K117" s="77">
        <v>0</v>
      </c>
      <c r="L117" s="77">
        <v>2014304</v>
      </c>
      <c r="M117" s="77">
        <v>0</v>
      </c>
      <c r="N117" s="77">
        <v>0</v>
      </c>
      <c r="O117" s="77">
        <v>0</v>
      </c>
      <c r="P117" s="77">
        <v>0</v>
      </c>
      <c r="Q117" s="123"/>
      <c r="R117" s="124">
        <f t="shared" si="32"/>
        <v>3693697</v>
      </c>
    </row>
    <row r="118" spans="1:18">
      <c r="A118" s="70">
        <f t="shared" si="34"/>
        <v>65</v>
      </c>
      <c r="B118" s="2" t="s">
        <v>141</v>
      </c>
      <c r="C118" s="2"/>
      <c r="D118" s="78">
        <f t="shared" si="33"/>
        <v>-3693697</v>
      </c>
      <c r="E118" s="77">
        <v>-104025</v>
      </c>
      <c r="F118" s="77">
        <v>-192213</v>
      </c>
      <c r="G118" s="77">
        <v>-97556</v>
      </c>
      <c r="H118" s="77">
        <v>-252538</v>
      </c>
      <c r="I118" s="77">
        <v>-71650</v>
      </c>
      <c r="J118" s="77">
        <v>-961411</v>
      </c>
      <c r="K118" s="77">
        <v>0</v>
      </c>
      <c r="L118" s="77">
        <v>-2014304</v>
      </c>
      <c r="M118" s="77">
        <v>0</v>
      </c>
      <c r="N118" s="77">
        <v>0</v>
      </c>
      <c r="O118" s="77">
        <v>0</v>
      </c>
      <c r="P118" s="77">
        <v>0</v>
      </c>
      <c r="Q118" s="123"/>
      <c r="R118" s="124">
        <f>SUM(E118:P118)</f>
        <v>-3693697</v>
      </c>
    </row>
    <row r="119" spans="1:18">
      <c r="A119" s="70">
        <f t="shared" si="34"/>
        <v>66</v>
      </c>
      <c r="B119" t="s">
        <v>142</v>
      </c>
      <c r="D119" s="78">
        <f t="shared" si="33"/>
        <v>33494037</v>
      </c>
      <c r="E119" s="77">
        <v>2299563</v>
      </c>
      <c r="F119" s="77">
        <v>2459022</v>
      </c>
      <c r="G119" s="77">
        <v>4559576</v>
      </c>
      <c r="H119" s="77">
        <v>3421251</v>
      </c>
      <c r="I119" s="77">
        <v>4813987</v>
      </c>
      <c r="J119" s="77">
        <v>3647973</v>
      </c>
      <c r="K119" s="77">
        <v>6846144</v>
      </c>
      <c r="L119" s="77">
        <v>5446521</v>
      </c>
      <c r="M119" s="77">
        <v>0</v>
      </c>
      <c r="N119" s="77">
        <v>0</v>
      </c>
      <c r="O119" s="77">
        <v>0</v>
      </c>
      <c r="P119" s="77">
        <v>0</v>
      </c>
      <c r="Q119" s="123"/>
      <c r="R119" s="124">
        <f t="shared" si="32"/>
        <v>33494037</v>
      </c>
    </row>
    <row r="120" spans="1:18">
      <c r="A120" s="70">
        <f t="shared" si="34"/>
        <v>67</v>
      </c>
      <c r="B120" s="2" t="s">
        <v>143</v>
      </c>
      <c r="C120" s="2"/>
      <c r="D120" s="78">
        <f t="shared" si="33"/>
        <v>624436</v>
      </c>
      <c r="E120" s="77">
        <v>4105989</v>
      </c>
      <c r="F120" s="77">
        <v>-1177715</v>
      </c>
      <c r="G120" s="77">
        <v>-345224</v>
      </c>
      <c r="H120" s="77">
        <v>-563775</v>
      </c>
      <c r="I120" s="77">
        <v>-913260</v>
      </c>
      <c r="J120" s="77">
        <v>-138563</v>
      </c>
      <c r="K120" s="77">
        <v>-332243</v>
      </c>
      <c r="L120" s="77">
        <v>-10773</v>
      </c>
      <c r="M120" s="77">
        <v>0</v>
      </c>
      <c r="N120" s="77">
        <v>0</v>
      </c>
      <c r="O120" s="77">
        <v>0</v>
      </c>
      <c r="P120" s="77">
        <v>0</v>
      </c>
      <c r="Q120" s="123"/>
      <c r="R120" s="124">
        <f t="shared" si="32"/>
        <v>624436</v>
      </c>
    </row>
    <row r="121" spans="1:18">
      <c r="A121" s="70">
        <f t="shared" si="34"/>
        <v>68</v>
      </c>
      <c r="B121" t="s">
        <v>144</v>
      </c>
      <c r="D121" s="78">
        <f t="shared" si="33"/>
        <v>-66306966</v>
      </c>
      <c r="E121" s="77">
        <v>-4261910</v>
      </c>
      <c r="F121" s="77">
        <v>-2694357</v>
      </c>
      <c r="G121" s="77">
        <v>-4617011</v>
      </c>
      <c r="H121" s="77">
        <v>-1936542</v>
      </c>
      <c r="I121" s="77">
        <v>-14733979</v>
      </c>
      <c r="J121" s="77">
        <v>-18374851</v>
      </c>
      <c r="K121" s="77">
        <v>-9019705</v>
      </c>
      <c r="L121" s="77">
        <v>-10668611</v>
      </c>
      <c r="M121" s="77">
        <v>0</v>
      </c>
      <c r="N121" s="77">
        <v>0</v>
      </c>
      <c r="O121" s="77">
        <v>0</v>
      </c>
      <c r="P121" s="77">
        <v>0</v>
      </c>
      <c r="Q121" s="123"/>
      <c r="R121" s="124">
        <f t="shared" si="32"/>
        <v>-66306966</v>
      </c>
    </row>
    <row r="122" spans="1:18">
      <c r="A122" s="70">
        <f t="shared" si="34"/>
        <v>69</v>
      </c>
      <c r="B122" t="s">
        <v>145</v>
      </c>
      <c r="D122" s="78">
        <f t="shared" si="33"/>
        <v>-416486</v>
      </c>
      <c r="E122" s="77">
        <v>-45009</v>
      </c>
      <c r="F122" s="77">
        <v>-53303</v>
      </c>
      <c r="G122" s="77">
        <v>-55378</v>
      </c>
      <c r="H122" s="77">
        <v>-71495</v>
      </c>
      <c r="I122" s="77">
        <v>-49770</v>
      </c>
      <c r="J122" s="77">
        <v>-51583</v>
      </c>
      <c r="K122" s="77">
        <v>-42166</v>
      </c>
      <c r="L122" s="77">
        <v>-47782</v>
      </c>
      <c r="M122" s="77">
        <v>0</v>
      </c>
      <c r="N122" s="77">
        <v>0</v>
      </c>
      <c r="O122" s="77">
        <v>0</v>
      </c>
      <c r="P122" s="77">
        <v>0</v>
      </c>
      <c r="Q122" s="123"/>
      <c r="R122" s="124"/>
    </row>
    <row r="123" spans="1:18">
      <c r="A123" s="70">
        <f t="shared" si="34"/>
        <v>70</v>
      </c>
      <c r="B123" t="s">
        <v>146</v>
      </c>
      <c r="D123" s="78">
        <f t="shared" si="33"/>
        <v>0</v>
      </c>
      <c r="E123" s="77">
        <v>0</v>
      </c>
      <c r="F123" s="77">
        <v>0</v>
      </c>
      <c r="G123" s="77">
        <v>0</v>
      </c>
      <c r="H123" s="77">
        <v>0</v>
      </c>
      <c r="I123" s="77">
        <v>0</v>
      </c>
      <c r="J123" s="77">
        <v>0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123"/>
      <c r="R123" s="124"/>
    </row>
    <row r="124" spans="1:18">
      <c r="A124" s="70">
        <f t="shared" si="34"/>
        <v>71</v>
      </c>
      <c r="B124" t="s">
        <v>147</v>
      </c>
      <c r="D124" s="78">
        <f t="shared" si="33"/>
        <v>-7358311</v>
      </c>
      <c r="E124" s="77">
        <v>0</v>
      </c>
      <c r="F124" s="77">
        <v>-229809</v>
      </c>
      <c r="G124" s="77">
        <v>-17514</v>
      </c>
      <c r="H124" s="77">
        <v>-192379</v>
      </c>
      <c r="I124" s="77">
        <v>-2218634</v>
      </c>
      <c r="J124" s="77">
        <v>-1742151</v>
      </c>
      <c r="K124" s="77">
        <v>-1846708</v>
      </c>
      <c r="L124" s="77">
        <v>-1111116</v>
      </c>
      <c r="M124" s="77">
        <v>0</v>
      </c>
      <c r="N124" s="77">
        <v>0</v>
      </c>
      <c r="O124" s="77">
        <v>0</v>
      </c>
      <c r="P124" s="77">
        <v>0</v>
      </c>
      <c r="Q124" s="123"/>
      <c r="R124" s="124">
        <f t="shared" si="32"/>
        <v>-7358311</v>
      </c>
    </row>
    <row r="125" spans="1:18">
      <c r="A125" s="70">
        <f t="shared" si="34"/>
        <v>72</v>
      </c>
      <c r="B125" s="2" t="s">
        <v>148</v>
      </c>
      <c r="C125" s="2"/>
      <c r="D125" s="78">
        <f t="shared" si="33"/>
        <v>2118340</v>
      </c>
      <c r="E125" s="12">
        <v>0</v>
      </c>
      <c r="F125" s="12">
        <v>39330</v>
      </c>
      <c r="G125" s="12">
        <v>21975</v>
      </c>
      <c r="H125" s="12">
        <v>205499</v>
      </c>
      <c r="I125" s="12">
        <v>128018</v>
      </c>
      <c r="J125" s="12">
        <v>1198401</v>
      </c>
      <c r="K125" s="12">
        <v>0</v>
      </c>
      <c r="L125" s="12">
        <v>525117</v>
      </c>
      <c r="M125" s="12">
        <v>0</v>
      </c>
      <c r="N125" s="12">
        <v>0</v>
      </c>
      <c r="O125" s="12">
        <v>0</v>
      </c>
      <c r="P125" s="12">
        <v>0</v>
      </c>
      <c r="Q125" s="123"/>
      <c r="R125" s="124">
        <f>SUM(E125:P125)</f>
        <v>2118340</v>
      </c>
    </row>
    <row r="126" spans="1:18">
      <c r="A126" s="70">
        <f t="shared" si="34"/>
        <v>73</v>
      </c>
      <c r="B126" s="125" t="s">
        <v>149</v>
      </c>
      <c r="C126" s="125"/>
      <c r="D126" s="78">
        <f t="shared" si="33"/>
        <v>-2118340</v>
      </c>
      <c r="E126" s="145">
        <v>0</v>
      </c>
      <c r="F126" s="145">
        <v>-39330</v>
      </c>
      <c r="G126" s="145">
        <v>-21975</v>
      </c>
      <c r="H126" s="145">
        <v>-205499</v>
      </c>
      <c r="I126" s="145">
        <v>-128018</v>
      </c>
      <c r="J126" s="145">
        <v>-1198401</v>
      </c>
      <c r="K126" s="145">
        <v>0</v>
      </c>
      <c r="L126" s="145">
        <v>-525117</v>
      </c>
      <c r="M126" s="145">
        <v>0</v>
      </c>
      <c r="N126" s="145">
        <v>0</v>
      </c>
      <c r="O126" s="145">
        <v>0</v>
      </c>
      <c r="P126" s="145">
        <v>0</v>
      </c>
      <c r="Q126" s="123"/>
      <c r="R126" s="127">
        <f t="shared" si="32"/>
        <v>-2118340</v>
      </c>
    </row>
    <row r="127" spans="1:18" ht="22.5" customHeight="1">
      <c r="A127" s="146">
        <f>+A126+1</f>
        <v>74</v>
      </c>
      <c r="B127" s="141" t="s">
        <v>150</v>
      </c>
      <c r="C127" s="141"/>
      <c r="D127" s="88">
        <f>SUM(E127:P127)</f>
        <v>-8530002</v>
      </c>
      <c r="E127" s="147">
        <f>SUM(E115:E126)</f>
        <v>1956616</v>
      </c>
      <c r="F127" s="147">
        <f t="shared" ref="F127:P127" si="35">SUM(F115:F126)</f>
        <v>-1304342</v>
      </c>
      <c r="G127" s="147">
        <f t="shared" si="35"/>
        <v>-724662</v>
      </c>
      <c r="H127" s="147">
        <f t="shared" si="35"/>
        <v>4329931</v>
      </c>
      <c r="I127" s="147">
        <f t="shared" si="35"/>
        <v>-5791217</v>
      </c>
      <c r="J127" s="147">
        <f t="shared" si="35"/>
        <v>-1866912</v>
      </c>
      <c r="K127" s="147">
        <f t="shared" si="35"/>
        <v>-1163221</v>
      </c>
      <c r="L127" s="147">
        <f t="shared" si="35"/>
        <v>-3966195</v>
      </c>
      <c r="M127" s="147">
        <f t="shared" si="35"/>
        <v>0</v>
      </c>
      <c r="N127" s="147">
        <f t="shared" si="35"/>
        <v>0</v>
      </c>
      <c r="O127" s="147">
        <f t="shared" si="35"/>
        <v>0</v>
      </c>
      <c r="P127" s="147">
        <f t="shared" si="35"/>
        <v>0</v>
      </c>
      <c r="Q127" s="123"/>
      <c r="R127" s="148">
        <f>SUM(R115:R126)</f>
        <v>-8113516</v>
      </c>
    </row>
    <row r="128" spans="1:18" ht="9" customHeight="1">
      <c r="A128" s="70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123"/>
      <c r="R128" s="124"/>
    </row>
    <row r="129" spans="1:19" ht="9" customHeight="1">
      <c r="A129" s="70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123"/>
      <c r="R129" s="124"/>
    </row>
    <row r="130" spans="1:19">
      <c r="A130" s="70">
        <f>A127+1</f>
        <v>75</v>
      </c>
      <c r="B130" s="4" t="s">
        <v>151</v>
      </c>
      <c r="C130" s="4"/>
      <c r="D130" s="149">
        <f>SUM(E130:P130)</f>
        <v>61944</v>
      </c>
      <c r="E130" s="150">
        <v>0</v>
      </c>
      <c r="F130" s="150">
        <v>0</v>
      </c>
      <c r="G130" s="150">
        <v>0</v>
      </c>
      <c r="H130" s="150">
        <v>0</v>
      </c>
      <c r="I130" s="150">
        <v>0</v>
      </c>
      <c r="J130" s="150">
        <v>0</v>
      </c>
      <c r="K130" s="150">
        <v>61944</v>
      </c>
      <c r="L130" s="150">
        <v>0</v>
      </c>
      <c r="M130" s="150">
        <v>0</v>
      </c>
      <c r="N130" s="150">
        <v>0</v>
      </c>
      <c r="O130" s="150">
        <v>0</v>
      </c>
      <c r="P130" s="150">
        <v>0</v>
      </c>
      <c r="Q130" s="123"/>
      <c r="R130" s="124">
        <f>SUM(E130:P130)</f>
        <v>61944</v>
      </c>
    </row>
    <row r="131" spans="1:19" ht="18.75" customHeight="1">
      <c r="A131" s="146">
        <f>A130+1</f>
        <v>76</v>
      </c>
      <c r="B131" s="141" t="s">
        <v>152</v>
      </c>
      <c r="C131" s="141"/>
      <c r="D131" s="151">
        <f>SUM(E131:P131)</f>
        <v>61944</v>
      </c>
      <c r="E131" s="58">
        <f t="shared" ref="E131:P131" si="36">IF(E24=0," ",E130)</f>
        <v>0</v>
      </c>
      <c r="F131" s="58">
        <f t="shared" si="36"/>
        <v>0</v>
      </c>
      <c r="G131" s="58">
        <f t="shared" si="36"/>
        <v>0</v>
      </c>
      <c r="H131" s="58">
        <f t="shared" si="36"/>
        <v>0</v>
      </c>
      <c r="I131" s="58">
        <f t="shared" si="36"/>
        <v>0</v>
      </c>
      <c r="J131" s="58">
        <f t="shared" si="36"/>
        <v>0</v>
      </c>
      <c r="K131" s="58">
        <f t="shared" si="36"/>
        <v>61944</v>
      </c>
      <c r="L131" s="58">
        <f t="shared" si="36"/>
        <v>0</v>
      </c>
      <c r="M131" s="58">
        <f t="shared" si="36"/>
        <v>0</v>
      </c>
      <c r="N131" s="58" t="str">
        <f t="shared" si="36"/>
        <v xml:space="preserve"> </v>
      </c>
      <c r="O131" s="58" t="str">
        <f t="shared" si="36"/>
        <v xml:space="preserve"> </v>
      </c>
      <c r="P131" s="58" t="str">
        <f t="shared" si="36"/>
        <v xml:space="preserve"> </v>
      </c>
      <c r="Q131" s="123"/>
      <c r="R131" s="124">
        <f>SUM(E131:P131)</f>
        <v>61944</v>
      </c>
    </row>
    <row r="132" spans="1:19" ht="9" customHeight="1">
      <c r="A132" s="70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123"/>
      <c r="R132" s="124"/>
    </row>
    <row r="133" spans="1:19" ht="9" customHeight="1">
      <c r="A133" s="70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123"/>
      <c r="R133" s="124"/>
    </row>
    <row r="134" spans="1:19">
      <c r="A134" s="70">
        <f>A131+1</f>
        <v>77</v>
      </c>
      <c r="B134" s="134" t="s">
        <v>153</v>
      </c>
      <c r="C134" s="134"/>
      <c r="D134" s="150">
        <f>SUM(E134:P134)</f>
        <v>0</v>
      </c>
      <c r="E134" s="152">
        <v>0</v>
      </c>
      <c r="F134" s="152">
        <v>0</v>
      </c>
      <c r="G134" s="152">
        <v>0</v>
      </c>
      <c r="H134" s="152">
        <v>0</v>
      </c>
      <c r="I134" s="152">
        <v>0</v>
      </c>
      <c r="J134" s="152">
        <v>0</v>
      </c>
      <c r="K134" s="152">
        <v>0</v>
      </c>
      <c r="L134" s="152">
        <v>0</v>
      </c>
      <c r="M134" s="152">
        <v>0</v>
      </c>
      <c r="N134" s="152">
        <v>0</v>
      </c>
      <c r="O134" s="152">
        <v>0</v>
      </c>
      <c r="P134" s="152">
        <v>0</v>
      </c>
      <c r="Q134" s="123"/>
      <c r="R134" s="124">
        <f>SUM(E134:P134)</f>
        <v>0</v>
      </c>
      <c r="S134" s="153" t="s">
        <v>64</v>
      </c>
    </row>
    <row r="135" spans="1:19">
      <c r="A135" s="143">
        <f>A134+1</f>
        <v>78</v>
      </c>
      <c r="B135" s="154" t="s">
        <v>154</v>
      </c>
      <c r="C135" s="154"/>
      <c r="D135" s="151">
        <f>SUM(E135:P135)</f>
        <v>930</v>
      </c>
      <c r="E135" s="126">
        <v>18</v>
      </c>
      <c r="F135" s="126">
        <v>51</v>
      </c>
      <c r="G135" s="126">
        <v>55</v>
      </c>
      <c r="H135" s="126">
        <v>146</v>
      </c>
      <c r="I135" s="126">
        <v>119</v>
      </c>
      <c r="J135" s="126">
        <v>79</v>
      </c>
      <c r="K135" s="126">
        <v>195</v>
      </c>
      <c r="L135" s="126">
        <v>267</v>
      </c>
      <c r="M135" s="126">
        <v>0</v>
      </c>
      <c r="N135" s="126">
        <v>0</v>
      </c>
      <c r="O135" s="126">
        <v>0</v>
      </c>
      <c r="P135" s="126">
        <v>0</v>
      </c>
      <c r="Q135" s="123"/>
      <c r="R135" s="127">
        <f>SUM(E135:P135)</f>
        <v>930</v>
      </c>
    </row>
    <row r="136" spans="1:19" ht="17.25" customHeight="1">
      <c r="A136" s="70">
        <f>A135+1</f>
        <v>79</v>
      </c>
      <c r="B136" s="62" t="s">
        <v>155</v>
      </c>
      <c r="C136" s="62"/>
      <c r="D136" s="155">
        <f>SUM(E136:P136)</f>
        <v>930</v>
      </c>
      <c r="E136" s="155">
        <f>E135-E134</f>
        <v>18</v>
      </c>
      <c r="F136" s="155">
        <f t="shared" ref="F136:P136" si="37">F135-F134</f>
        <v>51</v>
      </c>
      <c r="G136" s="155">
        <f t="shared" si="37"/>
        <v>55</v>
      </c>
      <c r="H136" s="155">
        <f t="shared" si="37"/>
        <v>146</v>
      </c>
      <c r="I136" s="155">
        <f t="shared" si="37"/>
        <v>119</v>
      </c>
      <c r="J136" s="155">
        <f t="shared" si="37"/>
        <v>79</v>
      </c>
      <c r="K136" s="155">
        <f t="shared" si="37"/>
        <v>195</v>
      </c>
      <c r="L136" s="155">
        <f t="shared" si="37"/>
        <v>267</v>
      </c>
      <c r="M136" s="155">
        <f t="shared" si="37"/>
        <v>0</v>
      </c>
      <c r="N136" s="155">
        <f t="shared" si="37"/>
        <v>0</v>
      </c>
      <c r="O136" s="155">
        <f t="shared" si="37"/>
        <v>0</v>
      </c>
      <c r="P136" s="155">
        <f t="shared" si="37"/>
        <v>0</v>
      </c>
      <c r="Q136" s="123"/>
      <c r="R136" s="124">
        <f>SUM(E136:P136)</f>
        <v>930</v>
      </c>
    </row>
    <row r="137" spans="1:19" ht="17.25" customHeight="1">
      <c r="A137" s="70"/>
      <c r="B137" s="62"/>
      <c r="C137" s="62"/>
      <c r="D137" s="155"/>
      <c r="E137" s="155"/>
      <c r="F137" s="155"/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23"/>
      <c r="R137" s="124"/>
    </row>
    <row r="138" spans="1:19">
      <c r="A138" s="70">
        <f>A136+1</f>
        <v>80</v>
      </c>
      <c r="B138" s="134" t="s">
        <v>156</v>
      </c>
      <c r="C138" s="134"/>
      <c r="D138" s="150">
        <f>SUM(E138:P138)</f>
        <v>0</v>
      </c>
      <c r="E138" s="142">
        <v>0</v>
      </c>
      <c r="F138" s="142">
        <v>0</v>
      </c>
      <c r="G138" s="142">
        <v>0</v>
      </c>
      <c r="H138" s="142">
        <v>0</v>
      </c>
      <c r="I138" s="142">
        <v>0</v>
      </c>
      <c r="J138" s="142">
        <v>0</v>
      </c>
      <c r="K138" s="142">
        <v>0</v>
      </c>
      <c r="L138" s="142">
        <v>0</v>
      </c>
      <c r="M138" s="142">
        <v>0</v>
      </c>
      <c r="N138" s="142">
        <v>0</v>
      </c>
      <c r="O138" s="142">
        <v>0</v>
      </c>
      <c r="P138" s="142">
        <v>0</v>
      </c>
      <c r="Q138" s="123"/>
      <c r="R138" s="124">
        <f>SUM(E138:P138)</f>
        <v>0</v>
      </c>
      <c r="S138" s="153" t="s">
        <v>64</v>
      </c>
    </row>
    <row r="139" spans="1:19">
      <c r="A139" s="70">
        <f>A138+1</f>
        <v>81</v>
      </c>
      <c r="B139" s="134" t="s">
        <v>157</v>
      </c>
      <c r="C139" s="134"/>
      <c r="D139" s="150">
        <f>SUM(E139:P139)</f>
        <v>0</v>
      </c>
      <c r="E139" s="142">
        <v>0</v>
      </c>
      <c r="F139" s="142">
        <v>0</v>
      </c>
      <c r="G139" s="142">
        <v>0</v>
      </c>
      <c r="H139" s="142">
        <v>0</v>
      </c>
      <c r="I139" s="142">
        <v>0</v>
      </c>
      <c r="J139" s="142">
        <v>0</v>
      </c>
      <c r="K139" s="142">
        <v>0</v>
      </c>
      <c r="L139" s="142">
        <v>0</v>
      </c>
      <c r="M139" s="142">
        <v>0</v>
      </c>
      <c r="N139" s="142">
        <v>0</v>
      </c>
      <c r="O139" s="142">
        <v>0</v>
      </c>
      <c r="P139" s="142">
        <v>0</v>
      </c>
      <c r="Q139" s="123"/>
      <c r="R139" s="124"/>
      <c r="S139" s="153"/>
    </row>
    <row r="140" spans="1:19">
      <c r="A140" s="143">
        <f>A139+1</f>
        <v>82</v>
      </c>
      <c r="B140" s="140" t="s">
        <v>158</v>
      </c>
      <c r="C140" s="154"/>
      <c r="D140" s="151">
        <f>SUM(E140:P140)</f>
        <v>0</v>
      </c>
      <c r="E140" s="126">
        <v>0</v>
      </c>
      <c r="F140" s="126">
        <v>0</v>
      </c>
      <c r="G140" s="126">
        <v>0</v>
      </c>
      <c r="H140" s="126">
        <v>0</v>
      </c>
      <c r="I140" s="126">
        <v>0</v>
      </c>
      <c r="J140" s="126">
        <v>0</v>
      </c>
      <c r="K140" s="126">
        <v>0</v>
      </c>
      <c r="L140" s="126">
        <v>0</v>
      </c>
      <c r="M140" s="126">
        <v>0</v>
      </c>
      <c r="N140" s="126">
        <v>0</v>
      </c>
      <c r="O140" s="126">
        <v>0</v>
      </c>
      <c r="P140" s="126">
        <v>0</v>
      </c>
      <c r="Q140" s="123"/>
      <c r="R140" s="127">
        <f>SUM(E140:P140)</f>
        <v>0</v>
      </c>
    </row>
    <row r="141" spans="1:19" ht="17.25" customHeight="1">
      <c r="A141" s="70">
        <f>A140+1</f>
        <v>83</v>
      </c>
      <c r="B141" s="62" t="s">
        <v>159</v>
      </c>
      <c r="C141" s="62"/>
      <c r="D141" s="155">
        <f>E141+F141+G141+H141+I141+J141+K141</f>
        <v>0</v>
      </c>
      <c r="E141" s="155">
        <f>E138+E139+E140</f>
        <v>0</v>
      </c>
      <c r="F141" s="155">
        <f t="shared" ref="F141:P141" si="38">F138+F139+F140</f>
        <v>0</v>
      </c>
      <c r="G141" s="155">
        <f t="shared" si="38"/>
        <v>0</v>
      </c>
      <c r="H141" s="155">
        <f t="shared" si="38"/>
        <v>0</v>
      </c>
      <c r="I141" s="155">
        <f t="shared" si="38"/>
        <v>0</v>
      </c>
      <c r="J141" s="155">
        <f t="shared" si="38"/>
        <v>0</v>
      </c>
      <c r="K141" s="155">
        <f t="shared" si="38"/>
        <v>0</v>
      </c>
      <c r="L141" s="155">
        <f t="shared" si="38"/>
        <v>0</v>
      </c>
      <c r="M141" s="155">
        <f t="shared" si="38"/>
        <v>0</v>
      </c>
      <c r="N141" s="155">
        <f t="shared" si="38"/>
        <v>0</v>
      </c>
      <c r="O141" s="155">
        <f t="shared" si="38"/>
        <v>0</v>
      </c>
      <c r="P141" s="155">
        <f t="shared" si="38"/>
        <v>0</v>
      </c>
      <c r="Q141" s="155">
        <f>Q138+Q139+Q140</f>
        <v>0</v>
      </c>
      <c r="R141" s="155">
        <f>R138+R139+R140</f>
        <v>0</v>
      </c>
    </row>
    <row r="142" spans="1:19" ht="7.5" customHeight="1">
      <c r="A142" s="70"/>
      <c r="B142" s="156"/>
      <c r="C142" s="156"/>
      <c r="D142" s="157"/>
      <c r="E142" s="150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23"/>
      <c r="R142" s="124"/>
    </row>
    <row r="143" spans="1:19" ht="23.25" customHeight="1">
      <c r="A143" s="103">
        <f>A141+1</f>
        <v>84</v>
      </c>
      <c r="B143" s="87" t="s">
        <v>160</v>
      </c>
      <c r="C143" s="87"/>
      <c r="D143" s="88">
        <f>SUM(E143:P143)</f>
        <v>-8467128</v>
      </c>
      <c r="E143" s="58">
        <f t="shared" ref="E143:P143" si="39">IF(E24=0," ",E127+E131+E136)</f>
        <v>1956634</v>
      </c>
      <c r="F143" s="58">
        <f t="shared" si="39"/>
        <v>-1304291</v>
      </c>
      <c r="G143" s="58">
        <f t="shared" si="39"/>
        <v>-724607</v>
      </c>
      <c r="H143" s="58">
        <f t="shared" si="39"/>
        <v>4330077</v>
      </c>
      <c r="I143" s="58">
        <f t="shared" si="39"/>
        <v>-5791098</v>
      </c>
      <c r="J143" s="58">
        <f t="shared" si="39"/>
        <v>-1866833</v>
      </c>
      <c r="K143" s="58">
        <f t="shared" si="39"/>
        <v>-1101082</v>
      </c>
      <c r="L143" s="58">
        <f t="shared" si="39"/>
        <v>-3965928</v>
      </c>
      <c r="M143" s="58">
        <f t="shared" si="39"/>
        <v>0</v>
      </c>
      <c r="N143" s="58" t="str">
        <f t="shared" si="39"/>
        <v xml:space="preserve"> </v>
      </c>
      <c r="O143" s="58" t="str">
        <f t="shared" si="39"/>
        <v xml:space="preserve"> </v>
      </c>
      <c r="P143" s="58" t="str">
        <f t="shared" si="39"/>
        <v xml:space="preserve"> </v>
      </c>
      <c r="Q143" s="123"/>
      <c r="R143" s="124">
        <f>SUM(F143:Q143)</f>
        <v>-10423762</v>
      </c>
    </row>
    <row r="144" spans="1:19" ht="9.75" customHeight="1">
      <c r="B144" s="2"/>
      <c r="C144" s="2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123"/>
      <c r="R144" s="124"/>
    </row>
    <row r="145" spans="1:18" s="92" customFormat="1" ht="25.5" customHeight="1" thickBot="1">
      <c r="A145" s="158">
        <f>A143+1</f>
        <v>85</v>
      </c>
      <c r="B145" s="159" t="s">
        <v>13</v>
      </c>
      <c r="C145" s="159"/>
      <c r="D145" s="160">
        <f>SUM(E145:P145)</f>
        <v>90776058.734099999</v>
      </c>
      <c r="E145" s="161">
        <f t="shared" ref="E145:P145" si="40">IF(E24=0," ",E87+E99+E105+E112+E143+E141)</f>
        <v>16360348.2368</v>
      </c>
      <c r="F145" s="161">
        <f t="shared" si="40"/>
        <v>19047246.623599999</v>
      </c>
      <c r="G145" s="161">
        <f t="shared" si="40"/>
        <v>11224898.6271</v>
      </c>
      <c r="H145" s="161">
        <f t="shared" si="40"/>
        <v>17294161.944899999</v>
      </c>
      <c r="I145" s="161">
        <f t="shared" si="40"/>
        <v>-219005.05810000002</v>
      </c>
      <c r="J145" s="161">
        <f t="shared" si="40"/>
        <v>346646.72420000099</v>
      </c>
      <c r="K145" s="161">
        <f t="shared" si="40"/>
        <v>5609146.8259999994</v>
      </c>
      <c r="L145" s="161">
        <f t="shared" si="40"/>
        <v>20629676.809599999</v>
      </c>
      <c r="M145" s="161">
        <f t="shared" si="40"/>
        <v>482938</v>
      </c>
      <c r="N145" s="161" t="str">
        <f t="shared" si="40"/>
        <v xml:space="preserve"> </v>
      </c>
      <c r="O145" s="161" t="str">
        <f t="shared" si="40"/>
        <v xml:space="preserve"> </v>
      </c>
      <c r="P145" s="161" t="str">
        <f t="shared" si="40"/>
        <v xml:space="preserve"> </v>
      </c>
      <c r="Q145" s="128"/>
      <c r="R145" s="162"/>
    </row>
    <row r="146" spans="1:18" ht="13.5" thickTop="1"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105"/>
    </row>
    <row r="147" spans="1:18">
      <c r="Q147" s="105"/>
    </row>
    <row r="148" spans="1:18">
      <c r="E148" s="94"/>
      <c r="F148" s="94"/>
      <c r="G148" s="94"/>
      <c r="H148" s="94"/>
      <c r="I148" s="94"/>
      <c r="J148" s="163"/>
      <c r="K148" s="94"/>
      <c r="L148" s="94"/>
      <c r="M148" s="94"/>
      <c r="N148" s="94"/>
      <c r="O148" s="94"/>
      <c r="P148" s="94"/>
      <c r="Q148" s="105"/>
    </row>
    <row r="149" spans="1:18">
      <c r="E149" s="94"/>
      <c r="F149" s="94"/>
      <c r="G149" s="94"/>
      <c r="H149" s="94"/>
      <c r="I149" s="94"/>
      <c r="J149" s="163"/>
      <c r="K149" s="94"/>
      <c r="L149" s="94"/>
      <c r="M149" s="94"/>
      <c r="N149" s="94"/>
      <c r="O149" s="94"/>
      <c r="P149" s="94"/>
      <c r="Q149" s="105"/>
    </row>
    <row r="150" spans="1:18">
      <c r="E150" s="94"/>
      <c r="F150" s="94"/>
      <c r="G150" s="94"/>
      <c r="H150" s="94"/>
      <c r="I150" s="94"/>
      <c r="J150" s="163"/>
      <c r="K150" s="94"/>
      <c r="L150" s="94"/>
      <c r="M150" s="94"/>
      <c r="N150" s="94"/>
      <c r="O150" s="94"/>
      <c r="P150" s="94"/>
      <c r="Q150" s="105"/>
    </row>
    <row r="151" spans="1:18">
      <c r="E151" s="94"/>
      <c r="F151" s="94"/>
      <c r="G151" s="94"/>
      <c r="H151" s="94"/>
      <c r="I151" s="94"/>
      <c r="J151" s="163"/>
      <c r="K151" s="94"/>
      <c r="L151" s="94"/>
      <c r="M151" s="94"/>
      <c r="N151" s="94"/>
      <c r="O151" s="94"/>
      <c r="P151" s="94"/>
      <c r="Q151" s="105"/>
    </row>
    <row r="152" spans="1:18">
      <c r="E152" s="94"/>
      <c r="F152" s="94"/>
      <c r="G152" s="94"/>
      <c r="H152" s="94"/>
      <c r="I152" s="94"/>
      <c r="J152" s="163"/>
      <c r="K152" s="94"/>
      <c r="L152" s="94"/>
      <c r="M152" s="94"/>
      <c r="N152" s="94"/>
      <c r="O152" s="94"/>
      <c r="P152" s="94"/>
      <c r="Q152" s="105"/>
    </row>
    <row r="153" spans="1:18">
      <c r="E153" s="94"/>
      <c r="F153" s="94"/>
      <c r="G153" s="94"/>
      <c r="H153" s="94"/>
      <c r="I153" s="94"/>
      <c r="J153" s="163"/>
      <c r="K153" s="94"/>
      <c r="L153" s="94"/>
      <c r="M153" s="94"/>
      <c r="N153" s="94"/>
      <c r="O153" s="94"/>
      <c r="P153" s="94"/>
      <c r="Q153" s="105"/>
    </row>
    <row r="154" spans="1:18">
      <c r="E154" s="94"/>
      <c r="F154" s="94"/>
      <c r="G154" s="94"/>
      <c r="H154" s="94"/>
      <c r="I154" s="94"/>
      <c r="J154" s="163"/>
      <c r="K154" s="94"/>
      <c r="L154" s="94"/>
      <c r="M154" s="94"/>
      <c r="N154" s="94"/>
      <c r="O154" s="94"/>
      <c r="P154" s="94"/>
      <c r="Q154" s="105"/>
    </row>
    <row r="155" spans="1:18">
      <c r="E155" s="94"/>
      <c r="F155" s="94"/>
      <c r="G155" s="94"/>
      <c r="H155" s="94"/>
      <c r="I155" s="94"/>
      <c r="J155" s="163"/>
      <c r="K155" s="94"/>
      <c r="L155" s="94"/>
      <c r="M155" s="94"/>
      <c r="N155" s="94"/>
      <c r="O155" s="94"/>
      <c r="P155" s="94"/>
      <c r="Q155" s="105"/>
    </row>
    <row r="156" spans="1:18">
      <c r="E156" s="94"/>
      <c r="F156" s="94"/>
      <c r="G156" s="94"/>
      <c r="H156" s="94"/>
      <c r="I156" s="94"/>
      <c r="J156" s="163"/>
      <c r="K156" s="94"/>
      <c r="L156" s="94"/>
      <c r="M156" s="94"/>
      <c r="N156" s="94"/>
      <c r="O156" s="94"/>
      <c r="P156" s="94"/>
      <c r="Q156" s="105"/>
    </row>
    <row r="157" spans="1:18">
      <c r="E157" s="94"/>
      <c r="F157" s="94"/>
      <c r="G157" s="94"/>
      <c r="H157" s="94"/>
      <c r="I157" s="94"/>
      <c r="J157" s="163"/>
      <c r="K157" s="94"/>
      <c r="L157" s="94"/>
      <c r="M157" s="94"/>
      <c r="N157" s="94"/>
      <c r="O157" s="94"/>
      <c r="P157" s="94"/>
      <c r="Q157" s="105"/>
    </row>
    <row r="158" spans="1:18"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105"/>
    </row>
    <row r="159" spans="1:18"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105"/>
    </row>
    <row r="160" spans="1:18"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105"/>
    </row>
    <row r="161" spans="5:17"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105"/>
    </row>
    <row r="162" spans="5:17"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105"/>
    </row>
    <row r="163" spans="5:17"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105"/>
    </row>
    <row r="164" spans="5:17"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105"/>
    </row>
    <row r="165" spans="5:17"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105"/>
    </row>
    <row r="166" spans="5:17"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105"/>
    </row>
    <row r="167" spans="5:17"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105"/>
    </row>
    <row r="168" spans="5:17"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105"/>
    </row>
    <row r="169" spans="5:17"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105"/>
    </row>
    <row r="170" spans="5:17"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105"/>
    </row>
    <row r="171" spans="5:17"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105"/>
    </row>
    <row r="172" spans="5:17"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105"/>
    </row>
    <row r="173" spans="5:17"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105"/>
    </row>
    <row r="174" spans="5:17"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105"/>
    </row>
    <row r="175" spans="5:17"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105"/>
    </row>
    <row r="176" spans="5:17"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105"/>
    </row>
    <row r="177" spans="5:17"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105"/>
    </row>
    <row r="178" spans="5:17"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105"/>
    </row>
    <row r="179" spans="5:17"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105"/>
    </row>
    <row r="180" spans="5:17"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105"/>
    </row>
    <row r="181" spans="5:17"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105"/>
    </row>
    <row r="182" spans="5:17"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105"/>
    </row>
    <row r="183" spans="5:17"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105"/>
    </row>
    <row r="184" spans="5:17"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105"/>
    </row>
    <row r="185" spans="5:17"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105"/>
    </row>
    <row r="186" spans="5:17"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105"/>
    </row>
    <row r="187" spans="5:17"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105"/>
    </row>
    <row r="188" spans="5:17"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105"/>
    </row>
    <row r="189" spans="5:17"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105"/>
    </row>
    <row r="190" spans="5:17"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105"/>
    </row>
    <row r="191" spans="5:17"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105"/>
    </row>
    <row r="192" spans="5:17"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105"/>
    </row>
    <row r="193" spans="5:17"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105"/>
    </row>
    <row r="194" spans="5:17"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105"/>
    </row>
    <row r="195" spans="5:17"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105"/>
    </row>
    <row r="196" spans="5:17"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105"/>
    </row>
    <row r="197" spans="5:17"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105"/>
    </row>
    <row r="198" spans="5:17"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105"/>
    </row>
    <row r="199" spans="5:17"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105"/>
    </row>
    <row r="200" spans="5:17"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105"/>
    </row>
    <row r="201" spans="5:17"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105"/>
    </row>
    <row r="202" spans="5:17"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105"/>
    </row>
    <row r="203" spans="5:17"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105"/>
    </row>
    <row r="204" spans="5:17"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105"/>
    </row>
    <row r="205" spans="5:17"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105"/>
    </row>
    <row r="206" spans="5:17"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105"/>
    </row>
    <row r="207" spans="5:17"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105"/>
    </row>
    <row r="208" spans="5:17"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105"/>
    </row>
    <row r="209" spans="5:17"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105"/>
    </row>
    <row r="210" spans="5:17"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105"/>
    </row>
    <row r="211" spans="5:17"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105"/>
    </row>
    <row r="212" spans="5:17"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105"/>
    </row>
    <row r="213" spans="5:17"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105"/>
    </row>
    <row r="214" spans="5:17"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105"/>
    </row>
    <row r="215" spans="5:17"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105"/>
    </row>
    <row r="216" spans="5:17"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105"/>
    </row>
    <row r="217" spans="5:17"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105"/>
    </row>
    <row r="218" spans="5:17"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105"/>
    </row>
    <row r="219" spans="5:17"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105"/>
    </row>
    <row r="220" spans="5:17"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105"/>
    </row>
    <row r="221" spans="5:17"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105"/>
    </row>
    <row r="222" spans="5:17"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105"/>
    </row>
    <row r="223" spans="5:17"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105"/>
    </row>
    <row r="224" spans="5:17"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105"/>
    </row>
    <row r="225" spans="5:17"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105"/>
    </row>
    <row r="226" spans="5:17"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105"/>
    </row>
    <row r="227" spans="5:17"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105"/>
    </row>
    <row r="228" spans="5:17"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105"/>
    </row>
    <row r="229" spans="5:17"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105"/>
    </row>
    <row r="230" spans="5:17"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105"/>
    </row>
    <row r="231" spans="5:17"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105"/>
    </row>
    <row r="232" spans="5:17"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105"/>
    </row>
    <row r="233" spans="5:17"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105"/>
    </row>
    <row r="234" spans="5:17"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105"/>
    </row>
    <row r="235" spans="5:17"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105"/>
    </row>
    <row r="236" spans="5:17"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105"/>
    </row>
    <row r="237" spans="5:17"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105"/>
    </row>
    <row r="238" spans="5:17"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105"/>
    </row>
    <row r="239" spans="5:17"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105"/>
    </row>
    <row r="240" spans="5:17"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105"/>
    </row>
    <row r="241" spans="5:17"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105"/>
    </row>
    <row r="242" spans="5:17"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105"/>
    </row>
    <row r="243" spans="5:17"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105"/>
    </row>
    <row r="244" spans="5:17"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105"/>
    </row>
    <row r="245" spans="5:17"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105"/>
    </row>
    <row r="246" spans="5:17"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105"/>
    </row>
    <row r="247" spans="5:17"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105"/>
    </row>
    <row r="248" spans="5:17"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105"/>
    </row>
    <row r="249" spans="5:17"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105"/>
    </row>
    <row r="250" spans="5:17"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105"/>
    </row>
    <row r="251" spans="5:17"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105"/>
    </row>
    <row r="252" spans="5:17"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105"/>
    </row>
    <row r="253" spans="5:17"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105"/>
    </row>
    <row r="254" spans="5:17"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105"/>
    </row>
    <row r="255" spans="5:17"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105"/>
    </row>
    <row r="256" spans="5:17"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105"/>
    </row>
    <row r="257" spans="6:17"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105"/>
    </row>
    <row r="258" spans="6:17"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105"/>
    </row>
    <row r="259" spans="6:17"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105"/>
    </row>
    <row r="260" spans="6:17"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105"/>
    </row>
    <row r="261" spans="6:17"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105"/>
    </row>
    <row r="262" spans="6:17"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105"/>
    </row>
    <row r="263" spans="6:17"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105"/>
    </row>
    <row r="264" spans="6:17"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105"/>
    </row>
    <row r="265" spans="6:17"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105"/>
    </row>
    <row r="266" spans="6:17"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105"/>
    </row>
    <row r="267" spans="6:17"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105"/>
    </row>
    <row r="268" spans="6:17"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105"/>
    </row>
    <row r="269" spans="6:17"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105"/>
    </row>
    <row r="270" spans="6:17"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105"/>
    </row>
    <row r="271" spans="6:17"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105"/>
    </row>
    <row r="272" spans="6:17"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105"/>
    </row>
    <row r="273" spans="6:17"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105"/>
    </row>
    <row r="274" spans="6:17"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105"/>
    </row>
    <row r="275" spans="6:17"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105"/>
    </row>
    <row r="276" spans="6:17"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105"/>
    </row>
    <row r="277" spans="6:17"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105"/>
    </row>
    <row r="278" spans="6:17"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105"/>
    </row>
    <row r="279" spans="6:17"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105"/>
    </row>
    <row r="280" spans="6:17"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105"/>
    </row>
    <row r="281" spans="6:17"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105"/>
    </row>
    <row r="282" spans="6:17"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105"/>
    </row>
    <row r="283" spans="6:17"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105"/>
    </row>
    <row r="284" spans="6:17"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105"/>
    </row>
    <row r="285" spans="6:17"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105"/>
    </row>
    <row r="286" spans="6:17"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105"/>
    </row>
    <row r="287" spans="6:17"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105"/>
    </row>
    <row r="288" spans="6:17"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105"/>
    </row>
    <row r="289" spans="6:17"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105"/>
    </row>
    <row r="290" spans="6:17"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105"/>
    </row>
    <row r="291" spans="6:17"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105"/>
    </row>
    <row r="292" spans="6:17"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105"/>
    </row>
    <row r="293" spans="6:17"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105"/>
    </row>
    <row r="294" spans="6:17"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105"/>
    </row>
    <row r="295" spans="6:17"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105"/>
    </row>
    <row r="296" spans="6:17"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105"/>
    </row>
    <row r="297" spans="6:17"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105"/>
    </row>
    <row r="298" spans="6:17"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105"/>
    </row>
    <row r="299" spans="6:17"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105"/>
    </row>
    <row r="300" spans="6:17"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105"/>
    </row>
    <row r="301" spans="6:17"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105"/>
    </row>
    <row r="302" spans="6:17"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105"/>
    </row>
    <row r="303" spans="6:17"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105"/>
    </row>
    <row r="304" spans="6:17"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105"/>
    </row>
    <row r="305" spans="6:17"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105"/>
    </row>
    <row r="306" spans="6:17"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105"/>
    </row>
    <row r="307" spans="6:17"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105"/>
    </row>
    <row r="308" spans="6:17"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105"/>
    </row>
    <row r="309" spans="6:17"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105"/>
    </row>
    <row r="310" spans="6:17"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105"/>
    </row>
    <row r="311" spans="6:17"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105"/>
    </row>
    <row r="312" spans="6:17"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105"/>
    </row>
    <row r="313" spans="6:17"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105"/>
    </row>
    <row r="314" spans="6:17"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105"/>
    </row>
    <row r="315" spans="6:17"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105"/>
    </row>
    <row r="316" spans="6:17"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105"/>
    </row>
    <row r="317" spans="6:17"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105"/>
    </row>
    <row r="318" spans="6:17"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105"/>
    </row>
    <row r="319" spans="6:17"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105"/>
    </row>
    <row r="320" spans="6:17"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105"/>
    </row>
    <row r="321" spans="6:17"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105"/>
    </row>
    <row r="322" spans="6:17"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105"/>
    </row>
    <row r="323" spans="6:17"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105"/>
    </row>
    <row r="324" spans="6:17"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105"/>
    </row>
    <row r="325" spans="6:17"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105"/>
    </row>
    <row r="326" spans="6:17"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105"/>
    </row>
    <row r="327" spans="6:17"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105"/>
    </row>
    <row r="328" spans="6:17"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105"/>
    </row>
    <row r="329" spans="6:17"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105"/>
    </row>
    <row r="330" spans="6:17"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105"/>
    </row>
    <row r="331" spans="6:17"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105"/>
    </row>
    <row r="332" spans="6:17"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105"/>
    </row>
    <row r="333" spans="6:17"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105"/>
    </row>
    <row r="334" spans="6:17"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105"/>
    </row>
    <row r="335" spans="6:17"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105"/>
    </row>
    <row r="336" spans="6:17"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105"/>
    </row>
    <row r="337" spans="6:17"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105"/>
    </row>
    <row r="338" spans="6:17"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105"/>
    </row>
    <row r="339" spans="6:17"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105"/>
    </row>
    <row r="340" spans="6:17"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105"/>
    </row>
    <row r="341" spans="6:17"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105"/>
    </row>
    <row r="342" spans="6:17"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105"/>
    </row>
    <row r="343" spans="6:17"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105"/>
    </row>
    <row r="344" spans="6:17"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105"/>
    </row>
    <row r="345" spans="6:17"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105"/>
    </row>
    <row r="346" spans="6:17"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105"/>
    </row>
    <row r="347" spans="6:17"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105"/>
    </row>
    <row r="348" spans="6:17"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105"/>
    </row>
    <row r="349" spans="6:17"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105"/>
    </row>
    <row r="350" spans="6:17"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105"/>
    </row>
    <row r="351" spans="6:17"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105"/>
    </row>
    <row r="352" spans="6:17"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105"/>
    </row>
    <row r="353" spans="6:17"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105"/>
    </row>
    <row r="354" spans="6:17"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105"/>
    </row>
    <row r="355" spans="6:17"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105"/>
    </row>
    <row r="356" spans="6:17"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105"/>
    </row>
    <row r="357" spans="6:17"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105"/>
    </row>
    <row r="358" spans="6:17"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105"/>
    </row>
    <row r="359" spans="6:17"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105"/>
    </row>
    <row r="360" spans="6:17"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105"/>
    </row>
    <row r="361" spans="6:17"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105"/>
    </row>
    <row r="362" spans="6:17"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105"/>
    </row>
    <row r="363" spans="6:17"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105"/>
    </row>
    <row r="364" spans="6:17"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105"/>
    </row>
    <row r="365" spans="6:17"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105"/>
    </row>
    <row r="366" spans="6:17"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105"/>
    </row>
    <row r="367" spans="6:17"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105"/>
    </row>
    <row r="368" spans="6:17"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105"/>
    </row>
    <row r="369" spans="6:17"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105"/>
    </row>
    <row r="370" spans="6:17"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105"/>
    </row>
    <row r="371" spans="6:17"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105"/>
    </row>
    <row r="372" spans="6:17"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105"/>
    </row>
    <row r="373" spans="6:17"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105"/>
    </row>
    <row r="374" spans="6:17"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105"/>
    </row>
    <row r="375" spans="6:17"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105"/>
    </row>
    <row r="376" spans="6:17"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105"/>
    </row>
    <row r="377" spans="6:17"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105"/>
    </row>
    <row r="378" spans="6:17"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105"/>
    </row>
    <row r="379" spans="6:17"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105"/>
    </row>
    <row r="380" spans="6:17"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105"/>
    </row>
    <row r="381" spans="6:17"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105"/>
    </row>
    <row r="382" spans="6:17"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105"/>
    </row>
    <row r="383" spans="6:17"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105"/>
    </row>
    <row r="384" spans="6:17"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105"/>
    </row>
    <row r="385" spans="6:17"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105"/>
    </row>
    <row r="386" spans="6:17"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105"/>
    </row>
    <row r="387" spans="6:17"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105"/>
    </row>
    <row r="388" spans="6:17"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105"/>
    </row>
    <row r="389" spans="6:17"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105"/>
    </row>
    <row r="390" spans="6:17"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105"/>
    </row>
    <row r="391" spans="6:17"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105"/>
    </row>
    <row r="392" spans="6:17"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105"/>
    </row>
    <row r="393" spans="6:17"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105"/>
    </row>
    <row r="394" spans="6:17"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105"/>
    </row>
    <row r="395" spans="6:17"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105"/>
    </row>
    <row r="396" spans="6:17"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105"/>
    </row>
    <row r="397" spans="6:17"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105"/>
    </row>
    <row r="398" spans="6:17"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105"/>
    </row>
    <row r="399" spans="6:17"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105"/>
    </row>
    <row r="400" spans="6:17"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105"/>
    </row>
    <row r="401" spans="6:17"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105"/>
    </row>
    <row r="402" spans="6:17"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105"/>
    </row>
    <row r="403" spans="6:17"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105"/>
    </row>
    <row r="404" spans="6:17"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105"/>
    </row>
    <row r="405" spans="6:17"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105"/>
    </row>
    <row r="406" spans="6:17"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105"/>
    </row>
    <row r="407" spans="6:17"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105"/>
    </row>
    <row r="408" spans="6:17"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105"/>
    </row>
    <row r="409" spans="6:17"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105"/>
    </row>
    <row r="410" spans="6:17"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105"/>
    </row>
    <row r="411" spans="6:17"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105"/>
    </row>
    <row r="412" spans="6:17"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105"/>
    </row>
    <row r="413" spans="6:17"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105"/>
    </row>
    <row r="414" spans="6:17"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105"/>
    </row>
    <row r="415" spans="6:17"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105"/>
    </row>
    <row r="416" spans="6:17"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105"/>
    </row>
    <row r="417" spans="6:17"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105"/>
    </row>
    <row r="418" spans="6:17"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105"/>
    </row>
    <row r="419" spans="6:17"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105"/>
    </row>
    <row r="420" spans="6:17"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105"/>
    </row>
    <row r="421" spans="6:17"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105"/>
    </row>
    <row r="422" spans="6:17"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105"/>
    </row>
    <row r="423" spans="6:17"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105"/>
    </row>
    <row r="424" spans="6:17"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105"/>
    </row>
    <row r="425" spans="6:17"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105"/>
    </row>
    <row r="426" spans="6:17"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105"/>
    </row>
    <row r="427" spans="6:17"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105"/>
    </row>
    <row r="428" spans="6:17"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105"/>
    </row>
    <row r="429" spans="6:17"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105"/>
    </row>
    <row r="430" spans="6:17"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105"/>
    </row>
    <row r="431" spans="6:17"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105"/>
    </row>
    <row r="432" spans="6:17"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105"/>
    </row>
    <row r="433" spans="6:17"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105"/>
    </row>
    <row r="434" spans="6:17"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105"/>
    </row>
    <row r="435" spans="6:17"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105"/>
    </row>
    <row r="436" spans="6:17"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105"/>
    </row>
    <row r="437" spans="6:17"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105"/>
    </row>
    <row r="438" spans="6:17"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105"/>
    </row>
    <row r="439" spans="6:17"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105"/>
    </row>
    <row r="440" spans="6:17"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105"/>
    </row>
    <row r="441" spans="6:17"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105"/>
    </row>
    <row r="442" spans="6:17"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105"/>
    </row>
    <row r="443" spans="6:17"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105"/>
    </row>
    <row r="444" spans="6:17"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105"/>
    </row>
    <row r="445" spans="6:17"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105"/>
    </row>
    <row r="446" spans="6:17"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105"/>
    </row>
    <row r="447" spans="6:17"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105"/>
    </row>
    <row r="448" spans="6:17"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105"/>
    </row>
    <row r="449" spans="6:17"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105"/>
    </row>
    <row r="450" spans="6:17"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105"/>
    </row>
    <row r="451" spans="6:17"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105"/>
    </row>
    <row r="452" spans="6:17"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105"/>
    </row>
    <row r="453" spans="6:17"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105"/>
    </row>
    <row r="454" spans="6:17"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105"/>
    </row>
    <row r="455" spans="6:17"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105"/>
    </row>
    <row r="456" spans="6:17"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105"/>
    </row>
    <row r="457" spans="6:17"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105"/>
    </row>
    <row r="458" spans="6:17"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105"/>
    </row>
    <row r="459" spans="6:17"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105"/>
    </row>
    <row r="460" spans="6:17"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105"/>
    </row>
    <row r="461" spans="6:17"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105"/>
    </row>
    <row r="462" spans="6:17"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105"/>
    </row>
    <row r="463" spans="6:17"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105"/>
    </row>
    <row r="464" spans="6:17"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105"/>
    </row>
    <row r="465" spans="6:17"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105"/>
    </row>
    <row r="466" spans="6:17"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105"/>
    </row>
    <row r="467" spans="6:17"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105"/>
    </row>
    <row r="468" spans="6:17"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105"/>
    </row>
    <row r="469" spans="6:17"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105"/>
    </row>
    <row r="470" spans="6:17"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105"/>
    </row>
    <row r="471" spans="6:17"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105"/>
    </row>
    <row r="472" spans="6:17"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105"/>
    </row>
    <row r="473" spans="6:17"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105"/>
    </row>
    <row r="474" spans="6:17"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105"/>
    </row>
    <row r="475" spans="6:17"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105"/>
    </row>
    <row r="476" spans="6:17"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105"/>
    </row>
    <row r="477" spans="6:17"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105"/>
    </row>
    <row r="478" spans="6:17"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105"/>
    </row>
    <row r="479" spans="6:17"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105"/>
    </row>
    <row r="480" spans="6:17"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105"/>
    </row>
    <row r="481" spans="6:17"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105"/>
    </row>
    <row r="482" spans="6:17"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105"/>
    </row>
    <row r="483" spans="6:17"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105"/>
    </row>
    <row r="484" spans="6:17"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105"/>
    </row>
    <row r="485" spans="6:17"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105"/>
    </row>
    <row r="486" spans="6:17"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105"/>
    </row>
    <row r="487" spans="6:17"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105"/>
    </row>
    <row r="488" spans="6:17"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105"/>
    </row>
    <row r="489" spans="6:17"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105"/>
    </row>
    <row r="490" spans="6:17"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105"/>
    </row>
    <row r="491" spans="6:17"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105"/>
    </row>
    <row r="492" spans="6:17"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105"/>
    </row>
    <row r="493" spans="6:17"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105"/>
    </row>
    <row r="494" spans="6:17"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105"/>
    </row>
    <row r="495" spans="6:17"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105"/>
    </row>
    <row r="496" spans="6:17"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105"/>
    </row>
    <row r="497" spans="6:17"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105"/>
    </row>
    <row r="498" spans="6:17"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105"/>
    </row>
    <row r="499" spans="6:17"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105"/>
    </row>
    <row r="500" spans="6:17"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105"/>
    </row>
    <row r="501" spans="6:17"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105"/>
    </row>
    <row r="502" spans="6:17"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105"/>
    </row>
    <row r="503" spans="6:17"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105"/>
    </row>
    <row r="504" spans="6:17"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105"/>
    </row>
  </sheetData>
  <mergeCells count="2">
    <mergeCell ref="A1:R1"/>
    <mergeCell ref="A2:R2"/>
  </mergeCells>
  <printOptions horizontalCentered="1"/>
  <pageMargins left="0" right="0" top="0.2" bottom="0.25" header="0.17" footer="0.17"/>
  <pageSetup scale="60" fitToHeight="2" orientation="landscape" r:id="rId1"/>
  <headerFooter alignWithMargins="0">
    <oddFooter>&amp;L&amp;F - &amp;D&amp;R&amp;P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16DEE-5D6C-425D-9678-8921E449F87B}">
  <sheetPr>
    <pageSetUpPr fitToPage="1"/>
  </sheetPr>
  <dimension ref="A1:Q32"/>
  <sheetViews>
    <sheetView zoomScale="80" zoomScaleNormal="80" workbookViewId="0">
      <selection sqref="A1:XFD1048576"/>
    </sheetView>
  </sheetViews>
  <sheetFormatPr defaultColWidth="7.7109375" defaultRowHeight="15"/>
  <cols>
    <col min="1" max="1" width="32.42578125" style="164" customWidth="1"/>
    <col min="2" max="2" width="15.7109375" style="164" bestFit="1" customWidth="1"/>
    <col min="3" max="3" width="15.85546875" style="164" bestFit="1" customWidth="1"/>
    <col min="4" max="4" width="15.140625" style="164" bestFit="1" customWidth="1"/>
    <col min="5" max="5" width="16.42578125" style="164" bestFit="1" customWidth="1"/>
    <col min="6" max="6" width="16.5703125" style="164" bestFit="1" customWidth="1"/>
    <col min="7" max="7" width="15" style="164" bestFit="1" customWidth="1"/>
    <col min="8" max="8" width="15.140625" style="164" bestFit="1" customWidth="1"/>
    <col min="9" max="9" width="16.42578125" style="164" bestFit="1" customWidth="1"/>
    <col min="10" max="10" width="15" style="164" bestFit="1" customWidth="1"/>
    <col min="11" max="11" width="15.140625" style="164" bestFit="1" customWidth="1"/>
    <col min="12" max="12" width="15.5703125" style="164" customWidth="1"/>
    <col min="13" max="13" width="15" style="164" bestFit="1" customWidth="1"/>
    <col min="14" max="14" width="17" style="164" bestFit="1" customWidth="1"/>
    <col min="15" max="15" width="7.7109375" style="164"/>
    <col min="16" max="16" width="23" style="164" bestFit="1" customWidth="1"/>
    <col min="17" max="17" width="10.85546875" style="164" bestFit="1" customWidth="1"/>
    <col min="18" max="16384" width="7.7109375" style="164"/>
  </cols>
  <sheetData>
    <row r="1" spans="1:17" ht="15.7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7" ht="20.25">
      <c r="A2" s="165" t="s">
        <v>161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</row>
    <row r="3" spans="1:17" ht="23.25">
      <c r="A3" s="166" t="s">
        <v>162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</row>
    <row r="4" spans="1:17" ht="15.75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</row>
    <row r="7" spans="1:17" ht="27" customHeight="1">
      <c r="A7" s="168" t="s">
        <v>163</v>
      </c>
      <c r="B7" s="169">
        <v>44592</v>
      </c>
      <c r="C7" s="169">
        <f>EOMONTH(B7,1)</f>
        <v>44620</v>
      </c>
      <c r="D7" s="169">
        <f t="shared" ref="D7:M7" si="0">EOMONTH(C7,1)</f>
        <v>44651</v>
      </c>
      <c r="E7" s="169">
        <f t="shared" si="0"/>
        <v>44681</v>
      </c>
      <c r="F7" s="169">
        <f t="shared" si="0"/>
        <v>44712</v>
      </c>
      <c r="G7" s="169">
        <f t="shared" si="0"/>
        <v>44742</v>
      </c>
      <c r="H7" s="169">
        <f t="shared" si="0"/>
        <v>44773</v>
      </c>
      <c r="I7" s="169">
        <f t="shared" si="0"/>
        <v>44804</v>
      </c>
      <c r="J7" s="169">
        <f t="shared" si="0"/>
        <v>44834</v>
      </c>
      <c r="K7" s="169">
        <f t="shared" si="0"/>
        <v>44865</v>
      </c>
      <c r="L7" s="169">
        <f t="shared" si="0"/>
        <v>44895</v>
      </c>
      <c r="M7" s="169">
        <f t="shared" si="0"/>
        <v>44926</v>
      </c>
      <c r="N7" s="170" t="s">
        <v>164</v>
      </c>
    </row>
    <row r="8" spans="1:17" ht="24.95" customHeight="1">
      <c r="A8" s="171" t="s">
        <v>165</v>
      </c>
      <c r="B8" s="172">
        <f>'[1]Input Tab'!C54</f>
        <v>570066</v>
      </c>
      <c r="C8" s="172">
        <f>'[1]Input Tab'!D54</f>
        <v>525153</v>
      </c>
      <c r="D8" s="172">
        <f>'[1]Input Tab'!E54</f>
        <v>540861</v>
      </c>
      <c r="E8" s="172">
        <f>'[1]Input Tab'!F54</f>
        <v>447567</v>
      </c>
      <c r="F8" s="172">
        <f>'[1]Input Tab'!G54</f>
        <v>423386</v>
      </c>
      <c r="G8" s="172">
        <f>'[1]Input Tab'!H54</f>
        <v>416513</v>
      </c>
      <c r="H8" s="172">
        <f>'[1]Input Tab'!I54</f>
        <v>447109</v>
      </c>
      <c r="I8" s="172">
        <f>'[1]Input Tab'!J54</f>
        <v>536405</v>
      </c>
      <c r="J8" s="172">
        <f>'[1]Input Tab'!K54</f>
        <v>0</v>
      </c>
      <c r="K8" s="172">
        <f>'[1]Input Tab'!L54</f>
        <v>0</v>
      </c>
      <c r="L8" s="172">
        <f>'[1]Input Tab'!M54</f>
        <v>0</v>
      </c>
      <c r="M8" s="172">
        <f>'[1]Input Tab'!N54</f>
        <v>0</v>
      </c>
      <c r="N8" s="173">
        <f t="shared" ref="N8:N13" si="1">SUM(B8:M8)</f>
        <v>3907060</v>
      </c>
      <c r="P8" s="174"/>
    </row>
    <row r="9" spans="1:17" ht="24.95" customHeight="1">
      <c r="A9" s="175" t="s">
        <v>166</v>
      </c>
      <c r="B9" s="176">
        <f>-312074029/1000</f>
        <v>-312074.02899999998</v>
      </c>
      <c r="C9" s="177">
        <f>IF(C8=0,0,-B10)</f>
        <v>-307661</v>
      </c>
      <c r="D9" s="177">
        <f t="shared" ref="D9:M9" si="2">IF(D8=0,0,-C10)</f>
        <v>-275383</v>
      </c>
      <c r="E9" s="177">
        <f t="shared" si="2"/>
        <v>-231672</v>
      </c>
      <c r="F9" s="177">
        <f t="shared" si="2"/>
        <v>-245273</v>
      </c>
      <c r="G9" s="177">
        <f t="shared" si="2"/>
        <v>-240875</v>
      </c>
      <c r="H9" s="177">
        <f t="shared" si="2"/>
        <v>-236709</v>
      </c>
      <c r="I9" s="177">
        <f t="shared" si="2"/>
        <v>-286164</v>
      </c>
      <c r="J9" s="177">
        <f t="shared" si="2"/>
        <v>0</v>
      </c>
      <c r="K9" s="177">
        <f t="shared" si="2"/>
        <v>0</v>
      </c>
      <c r="L9" s="177">
        <f t="shared" si="2"/>
        <v>0</v>
      </c>
      <c r="M9" s="177">
        <f t="shared" si="2"/>
        <v>0</v>
      </c>
      <c r="N9" s="173">
        <f t="shared" si="1"/>
        <v>-2135811.0290000001</v>
      </c>
    </row>
    <row r="10" spans="1:17" ht="24.95" customHeight="1">
      <c r="A10" s="175" t="s">
        <v>167</v>
      </c>
      <c r="B10" s="172">
        <f>'[1]Input Tab'!C55</f>
        <v>307661</v>
      </c>
      <c r="C10" s="172">
        <f>'[1]Input Tab'!D55</f>
        <v>275383</v>
      </c>
      <c r="D10" s="172">
        <f>'[1]Input Tab'!E55</f>
        <v>231672</v>
      </c>
      <c r="E10" s="172">
        <f>'[1]Input Tab'!F55</f>
        <v>245273</v>
      </c>
      <c r="F10" s="172">
        <f>'[1]Input Tab'!G55</f>
        <v>240875</v>
      </c>
      <c r="G10" s="172">
        <f>'[1]Input Tab'!H55</f>
        <v>236709</v>
      </c>
      <c r="H10" s="172">
        <f>'[1]Input Tab'!I55</f>
        <v>286164</v>
      </c>
      <c r="I10" s="172">
        <f>'[1]Input Tab'!J55</f>
        <v>295027</v>
      </c>
      <c r="J10" s="172">
        <f>'[1]Input Tab'!K55</f>
        <v>0</v>
      </c>
      <c r="K10" s="172">
        <f>'[1]Input Tab'!L55</f>
        <v>0</v>
      </c>
      <c r="L10" s="172">
        <f>'[1]Input Tab'!M55</f>
        <v>0</v>
      </c>
      <c r="M10" s="172">
        <f>'[1]Input Tab'!N55</f>
        <v>0</v>
      </c>
      <c r="N10" s="173">
        <f t="shared" si="1"/>
        <v>2118764</v>
      </c>
      <c r="P10" s="178"/>
      <c r="Q10" s="178"/>
    </row>
    <row r="11" spans="1:17" ht="30.75" customHeight="1">
      <c r="A11" s="179" t="s">
        <v>168</v>
      </c>
      <c r="B11" s="180">
        <f t="shared" ref="B11:L11" si="3">SUM(B8:B10)</f>
        <v>565652.97100000002</v>
      </c>
      <c r="C11" s="180">
        <f t="shared" si="3"/>
        <v>492875</v>
      </c>
      <c r="D11" s="180">
        <f t="shared" si="3"/>
        <v>497150</v>
      </c>
      <c r="E11" s="180">
        <f t="shared" si="3"/>
        <v>461168</v>
      </c>
      <c r="F11" s="180">
        <f t="shared" si="3"/>
        <v>418988</v>
      </c>
      <c r="G11" s="180">
        <f t="shared" si="3"/>
        <v>412347</v>
      </c>
      <c r="H11" s="180">
        <f t="shared" si="3"/>
        <v>496564</v>
      </c>
      <c r="I11" s="180">
        <f t="shared" si="3"/>
        <v>545268</v>
      </c>
      <c r="J11" s="180">
        <f t="shared" si="3"/>
        <v>0</v>
      </c>
      <c r="K11" s="180">
        <f t="shared" si="3"/>
        <v>0</v>
      </c>
      <c r="L11" s="180">
        <f t="shared" si="3"/>
        <v>0</v>
      </c>
      <c r="M11" s="180">
        <f>SUM(M8:M10)</f>
        <v>0</v>
      </c>
      <c r="N11" s="181">
        <f t="shared" si="1"/>
        <v>3890012.9709999999</v>
      </c>
      <c r="P11" s="176"/>
      <c r="Q11" s="174"/>
    </row>
    <row r="12" spans="1:17" ht="32.25" customHeight="1">
      <c r="A12" s="182" t="s">
        <v>169</v>
      </c>
      <c r="B12" s="183">
        <f>'[1]Input Tab'!C56</f>
        <v>545742</v>
      </c>
      <c r="C12" s="183">
        <f>'[1]Input Tab'!D56</f>
        <v>461878</v>
      </c>
      <c r="D12" s="183">
        <f>'[1]Input Tab'!E56</f>
        <v>485113</v>
      </c>
      <c r="E12" s="183">
        <f>'[1]Input Tab'!F56</f>
        <v>413424</v>
      </c>
      <c r="F12" s="183">
        <f>'[1]Input Tab'!G56</f>
        <v>435935</v>
      </c>
      <c r="G12" s="183">
        <f>'[1]Input Tab'!H56</f>
        <v>419692</v>
      </c>
      <c r="H12" s="183">
        <f>'[1]Input Tab'!I56</f>
        <v>493733</v>
      </c>
      <c r="I12" s="183">
        <f>'[1]Input Tab'!J56</f>
        <v>470991</v>
      </c>
      <c r="J12" s="183">
        <f>'[1]Input Tab'!K56</f>
        <v>419374</v>
      </c>
      <c r="K12" s="183">
        <f>'[1]Input Tab'!L56</f>
        <v>453843</v>
      </c>
      <c r="L12" s="183">
        <f>'[1]Input Tab'!M56</f>
        <v>464733</v>
      </c>
      <c r="M12" s="183">
        <f>'[1]Input Tab'!N56</f>
        <v>551297</v>
      </c>
      <c r="N12" s="184">
        <f>SUM(B12:I12)</f>
        <v>3726508</v>
      </c>
      <c r="P12" s="117" t="s">
        <v>170</v>
      </c>
    </row>
    <row r="13" spans="1:17" ht="38.25" customHeight="1">
      <c r="A13" s="185" t="s">
        <v>171</v>
      </c>
      <c r="B13" s="186">
        <f>B11-B12</f>
        <v>19910.97100000002</v>
      </c>
      <c r="C13" s="186">
        <f>IF(C8=0," ",C11-C12)</f>
        <v>30997</v>
      </c>
      <c r="D13" s="186">
        <f t="shared" ref="D13:M13" si="4">IF(D8=0," ",D11-D12)</f>
        <v>12037</v>
      </c>
      <c r="E13" s="186">
        <f t="shared" si="4"/>
        <v>47744</v>
      </c>
      <c r="F13" s="186">
        <f t="shared" si="4"/>
        <v>-16947</v>
      </c>
      <c r="G13" s="186">
        <f t="shared" si="4"/>
        <v>-7345</v>
      </c>
      <c r="H13" s="186">
        <f t="shared" si="4"/>
        <v>2831</v>
      </c>
      <c r="I13" s="186">
        <f t="shared" si="4"/>
        <v>74277</v>
      </c>
      <c r="J13" s="186" t="str">
        <f t="shared" si="4"/>
        <v xml:space="preserve"> </v>
      </c>
      <c r="K13" s="186" t="str">
        <f t="shared" si="4"/>
        <v xml:space="preserve"> </v>
      </c>
      <c r="L13" s="186" t="str">
        <f t="shared" si="4"/>
        <v xml:space="preserve"> </v>
      </c>
      <c r="M13" s="186" t="str">
        <f t="shared" si="4"/>
        <v xml:space="preserve"> </v>
      </c>
      <c r="N13" s="187">
        <f t="shared" si="1"/>
        <v>163504.97100000002</v>
      </c>
    </row>
    <row r="14" spans="1:17" ht="42.75" customHeight="1">
      <c r="A14" s="185" t="s">
        <v>172</v>
      </c>
      <c r="B14" s="188">
        <f>'[1]Input Tab'!C57</f>
        <v>12.87</v>
      </c>
      <c r="C14" s="188">
        <f>'[1]Input Tab'!D57</f>
        <v>12.87</v>
      </c>
      <c r="D14" s="188">
        <f>'[1]Input Tab'!E57</f>
        <v>12.87</v>
      </c>
      <c r="E14" s="188">
        <f>'[1]Input Tab'!F57</f>
        <v>12.87</v>
      </c>
      <c r="F14" s="188">
        <f>'[1]Input Tab'!G57</f>
        <v>12.87</v>
      </c>
      <c r="G14" s="188">
        <f>'[1]Input Tab'!H57</f>
        <v>12.87</v>
      </c>
      <c r="H14" s="188">
        <f>'[1]Input Tab'!I57</f>
        <v>12.87</v>
      </c>
      <c r="I14" s="188">
        <f>'[1]Input Tab'!J57</f>
        <v>12.87</v>
      </c>
      <c r="J14" s="188">
        <f>'[1]Input Tab'!K57</f>
        <v>12.87</v>
      </c>
      <c r="K14" s="188">
        <f>'[1]Input Tab'!L57</f>
        <v>12.87</v>
      </c>
      <c r="L14" s="188">
        <f>'[1]Input Tab'!M57</f>
        <v>12.87</v>
      </c>
      <c r="M14" s="188">
        <f>'[1]Input Tab'!N57</f>
        <v>12.87</v>
      </c>
      <c r="N14" s="173"/>
    </row>
    <row r="15" spans="1:17" ht="30.75" customHeight="1" thickBot="1">
      <c r="A15" s="189" t="s">
        <v>173</v>
      </c>
      <c r="B15" s="190">
        <f>B13*B14</f>
        <v>256254.19677000024</v>
      </c>
      <c r="C15" s="190">
        <f>IF(C8=0,0,C13*C14)</f>
        <v>398931.38999999996</v>
      </c>
      <c r="D15" s="190">
        <f t="shared" ref="D15:M15" si="5">IF(D8=0,0,D13*D14)</f>
        <v>154916.19</v>
      </c>
      <c r="E15" s="190">
        <f t="shared" si="5"/>
        <v>614465.27999999991</v>
      </c>
      <c r="F15" s="190">
        <f t="shared" si="5"/>
        <v>-218107.88999999998</v>
      </c>
      <c r="G15" s="190">
        <f t="shared" si="5"/>
        <v>-94530.15</v>
      </c>
      <c r="H15" s="190">
        <f t="shared" si="5"/>
        <v>36434.97</v>
      </c>
      <c r="I15" s="190">
        <f t="shared" si="5"/>
        <v>955944.99</v>
      </c>
      <c r="J15" s="190">
        <f t="shared" si="5"/>
        <v>0</v>
      </c>
      <c r="K15" s="190">
        <f t="shared" si="5"/>
        <v>0</v>
      </c>
      <c r="L15" s="190">
        <f t="shared" si="5"/>
        <v>0</v>
      </c>
      <c r="M15" s="190">
        <f t="shared" si="5"/>
        <v>0</v>
      </c>
      <c r="N15" s="190">
        <f>SUM(B15:M15)</f>
        <v>2104308.9767700005</v>
      </c>
    </row>
    <row r="16" spans="1:17" ht="20.100000000000001" customHeight="1" thickTop="1">
      <c r="G16" s="191"/>
      <c r="N16" s="174"/>
    </row>
    <row r="17" spans="1:14" ht="20.100000000000001" customHeight="1">
      <c r="A17" s="192"/>
      <c r="N17" s="174"/>
    </row>
    <row r="18" spans="1:14" ht="36.75" customHeight="1">
      <c r="A18" s="193" t="s">
        <v>174</v>
      </c>
      <c r="B18" s="194">
        <f>B7</f>
        <v>44592</v>
      </c>
      <c r="C18" s="194">
        <f t="shared" ref="C18:N18" si="6">C7</f>
        <v>44620</v>
      </c>
      <c r="D18" s="194">
        <f t="shared" si="6"/>
        <v>44651</v>
      </c>
      <c r="E18" s="194">
        <f t="shared" si="6"/>
        <v>44681</v>
      </c>
      <c r="F18" s="194">
        <f t="shared" si="6"/>
        <v>44712</v>
      </c>
      <c r="G18" s="194">
        <f t="shared" si="6"/>
        <v>44742</v>
      </c>
      <c r="H18" s="194">
        <f t="shared" si="6"/>
        <v>44773</v>
      </c>
      <c r="I18" s="194">
        <f t="shared" si="6"/>
        <v>44804</v>
      </c>
      <c r="J18" s="194">
        <f t="shared" si="6"/>
        <v>44834</v>
      </c>
      <c r="K18" s="194">
        <f t="shared" si="6"/>
        <v>44865</v>
      </c>
      <c r="L18" s="194">
        <f t="shared" si="6"/>
        <v>44895</v>
      </c>
      <c r="M18" s="194">
        <f t="shared" si="6"/>
        <v>44926</v>
      </c>
      <c r="N18" s="169" t="str">
        <f t="shared" si="6"/>
        <v>YTD</v>
      </c>
    </row>
    <row r="19" spans="1:14" ht="29.25" customHeight="1">
      <c r="A19" s="195" t="s">
        <v>175</v>
      </c>
      <c r="B19" s="196">
        <f>IF(B8=0," ",B15*-1)</f>
        <v>-256254.19677000024</v>
      </c>
      <c r="C19" s="196">
        <f>IF(C8=0," ",C15*-1)</f>
        <v>-398931.38999999996</v>
      </c>
      <c r="D19" s="196">
        <f t="shared" ref="D19:M19" si="7">IF(D8=0," ",D15*-1)</f>
        <v>-154916.19</v>
      </c>
      <c r="E19" s="196">
        <f t="shared" si="7"/>
        <v>-614465.27999999991</v>
      </c>
      <c r="F19" s="196">
        <f t="shared" si="7"/>
        <v>218107.88999999998</v>
      </c>
      <c r="G19" s="196">
        <f t="shared" si="7"/>
        <v>94530.15</v>
      </c>
      <c r="H19" s="196">
        <f t="shared" si="7"/>
        <v>-36434.97</v>
      </c>
      <c r="I19" s="196">
        <f t="shared" si="7"/>
        <v>-955944.99</v>
      </c>
      <c r="J19" s="196" t="str">
        <f t="shared" si="7"/>
        <v xml:space="preserve"> </v>
      </c>
      <c r="K19" s="196" t="str">
        <f t="shared" si="7"/>
        <v xml:space="preserve"> </v>
      </c>
      <c r="L19" s="196" t="str">
        <f t="shared" si="7"/>
        <v xml:space="preserve"> </v>
      </c>
      <c r="M19" s="196" t="str">
        <f t="shared" si="7"/>
        <v xml:space="preserve"> </v>
      </c>
      <c r="N19" s="196">
        <f>N15*-1</f>
        <v>-2104308.9767700005</v>
      </c>
    </row>
    <row r="20" spans="1:14" ht="15.75">
      <c r="A20" s="197"/>
      <c r="B20" s="198" t="str">
        <f>IF(B19&lt;0,"Rebate","Surcharge")</f>
        <v>Rebate</v>
      </c>
      <c r="C20" s="198" t="str">
        <f t="shared" ref="C20:N20" si="8">IF(C19&lt;0,"Rebate","Surcharge")</f>
        <v>Rebate</v>
      </c>
      <c r="D20" s="198" t="str">
        <f t="shared" si="8"/>
        <v>Rebate</v>
      </c>
      <c r="E20" s="198" t="str">
        <f t="shared" si="8"/>
        <v>Rebate</v>
      </c>
      <c r="F20" s="198" t="str">
        <f t="shared" si="8"/>
        <v>Surcharge</v>
      </c>
      <c r="G20" s="198" t="str">
        <f t="shared" si="8"/>
        <v>Surcharge</v>
      </c>
      <c r="H20" s="198" t="str">
        <f t="shared" si="8"/>
        <v>Rebate</v>
      </c>
      <c r="I20" s="198" t="str">
        <f t="shared" si="8"/>
        <v>Rebate</v>
      </c>
      <c r="J20" s="198" t="str">
        <f t="shared" si="8"/>
        <v>Surcharge</v>
      </c>
      <c r="K20" s="198" t="str">
        <f t="shared" si="8"/>
        <v>Surcharge</v>
      </c>
      <c r="L20" s="198" t="str">
        <f t="shared" si="8"/>
        <v>Surcharge</v>
      </c>
      <c r="M20" s="198" t="str">
        <f t="shared" si="8"/>
        <v>Surcharge</v>
      </c>
      <c r="N20" s="198" t="str">
        <f t="shared" si="8"/>
        <v>Rebate</v>
      </c>
    </row>
    <row r="23" spans="1:14">
      <c r="G23" s="174"/>
    </row>
    <row r="32" spans="1:14">
      <c r="A32" s="199"/>
    </row>
  </sheetData>
  <mergeCells count="4">
    <mergeCell ref="A1:N1"/>
    <mergeCell ref="A2:N2"/>
    <mergeCell ref="A3:N3"/>
    <mergeCell ref="A4:N4"/>
  </mergeCells>
  <pageMargins left="0.17" right="0.17" top="0.75" bottom="0.75" header="0.3" footer="0.3"/>
  <pageSetup scale="59" orientation="landscape" r:id="rId1"/>
  <headerFooter>
    <oddFooter>&amp;RPage 5 of 5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SignificantOrder xmlns="dc463f71-b30c-4ab2-9473-d307f9d35888">false</SignificantOrder>
    <Date1 xmlns="dc463f71-b30c-4ab2-9473-d307f9d35888">2022-09-15T07:00:00+00:00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140188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E1726466-F716-46D2-BBFD-8C29EB4A3C0D}"/>
</file>

<file path=customXml/itemProps2.xml><?xml version="1.0" encoding="utf-8"?>
<ds:datastoreItem xmlns:ds="http://schemas.openxmlformats.org/officeDocument/2006/customXml" ds:itemID="{6291EE96-EC15-47D9-ABCC-52E891B51714}"/>
</file>

<file path=customXml/itemProps3.xml><?xml version="1.0" encoding="utf-8"?>
<ds:datastoreItem xmlns:ds="http://schemas.openxmlformats.org/officeDocument/2006/customXml" ds:itemID="{66F7F69C-D827-43F7-A18B-38E099EF4131}"/>
</file>

<file path=customXml/itemProps4.xml><?xml version="1.0" encoding="utf-8"?>
<ds:datastoreItem xmlns:ds="http://schemas.openxmlformats.org/officeDocument/2006/customXml" ds:itemID="{2101B3DE-1189-47F3-81B7-46C163786B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WA Summary </vt:lpstr>
      <vt:lpstr>WA Monthly</vt:lpstr>
      <vt:lpstr>WA RRC</vt:lpstr>
      <vt:lpstr>AVARpt</vt:lpstr>
      <vt:lpstr>DefRpt</vt:lpstr>
      <vt:lpstr>GLAccts</vt:lpstr>
      <vt:lpstr>'WA Monthly'!Print_Area</vt:lpstr>
      <vt:lpstr>'WA RRC'!Print_Area</vt:lpstr>
      <vt:lpstr>'WA Summary '!Print_Area</vt:lpstr>
      <vt:lpstr>'WA Monthly'!Print_Titles</vt:lpstr>
      <vt:lpstr>WAAVARpt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Brandon, Annette</dc:creator>
  <cp:lastModifiedBy>Brandon, Annette</cp:lastModifiedBy>
  <dcterms:created xsi:type="dcterms:W3CDTF">2022-09-14T19:29:31Z</dcterms:created>
  <dcterms:modified xsi:type="dcterms:W3CDTF">2022-09-14T19:30:20Z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