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worksheets/sheet1.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drawings/drawing1.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printerSettings/printerSettings1.bin" ContentType="application/vnd.openxmlformats-officedocument.spreadsheetml.printerSettings"/>
  <Override PartName="/docProps/custom.xml" ContentType="application/vnd.openxmlformats-officedocument.custom-properties+xml"/>
  <Override PartName="/docProps/app.xml" ContentType="application/vnd.openxmlformats-officedocument.extended-properties+xml"/>
  <Override PartName="/xl/externalLinks/externalLink1.xml" ContentType="application/vnd.openxmlformats-officedocument.spreadsheetml.externalLink+xml"/>
  <Override PartName="/docProps/core.xml" ContentType="application/vnd.openxmlformats-package.core-properties+xml"/>
  <Override PartName="/xl/printerSettings/printerSettings4.bin" ContentType="application/vnd.openxmlformats-officedocument.spreadsheetml.printerSettings"/>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5.bin" ContentType="application/vnd.openxmlformats-officedocument.spreadsheetml.printerSettings"/>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xl/calcChain.xml" ContentType="application/vnd.openxmlformats-officedocument.spreadsheetml.calcChain+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J:\GrpRevnu\PUBLIC\# Commission Basis Report\Dec_31_24\TO FILE 2024 CBR WP\"/>
    </mc:Choice>
  </mc:AlternateContent>
  <bookViews>
    <workbookView xWindow="0" yWindow="0" windowWidth="15525" windowHeight="6765" firstSheet="1" activeTab="1"/>
  </bookViews>
  <sheets>
    <sheet name="_com.sap.ip.bi.xl.hiddensheet" sheetId="2" state="veryHidden" r:id="rId1"/>
    <sheet name="Lead E" sheetId="5" r:id="rId2"/>
    <sheet name="Lead G" sheetId="6" r:id="rId3"/>
    <sheet name="Excise Tax " sheetId="3" r:id="rId4"/>
    <sheet name="KOB1 Jan 2024 2025" sheetId="12" r:id="rId5"/>
    <sheet name="Filing Fees TY" sheetId="4" r:id="rId6"/>
    <sheet name="E Filing Fee Restated" sheetId="7" r:id="rId7"/>
    <sheet name="G Filing Fee Restated" sheetId="8" r:id="rId8"/>
  </sheets>
  <externalReferences>
    <externalReference r:id="rId9"/>
  </externalReferences>
  <definedNames>
    <definedName name="DATA1">#REF!</definedName>
    <definedName name="DATA10">#REF!</definedName>
    <definedName name="DATA12">#REF!</definedName>
    <definedName name="DATA13">#REF!</definedName>
    <definedName name="DATA14">#REF!</definedName>
    <definedName name="DATA15">#REF!</definedName>
    <definedName name="DATA16">#REF!</definedName>
    <definedName name="DATA2">#REF!</definedName>
    <definedName name="DATA3">#REF!</definedName>
    <definedName name="DATA6">#REF!</definedName>
    <definedName name="DATA7">#REF!</definedName>
    <definedName name="DATA8">#REF!</definedName>
    <definedName name="SAPCrosstab1">#REF!</definedName>
    <definedName name="SAPCrosstab2">'Excise Tax '!$A$2:$D$38</definedName>
    <definedName name="SAPCrosstab3">'Filing Fees TY'!$A$1:$D$29</definedName>
    <definedName name="TEST0">#REF!</definedName>
    <definedName name="TESTHKEY">#REF!</definedName>
    <definedName name="TESTKEYS">#REF!</definedName>
    <definedName name="TESTVKEY">#REF!</definedName>
  </definedNames>
  <calcPr calcId="162913" concurrentManualCount="12"/>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42" i="3" l="1"/>
  <c r="J42" i="3"/>
  <c r="K41" i="3"/>
  <c r="J41" i="3"/>
  <c r="J40" i="3"/>
  <c r="K40" i="3"/>
  <c r="J28" i="3"/>
  <c r="K28" i="3"/>
  <c r="G40" i="3" l="1"/>
  <c r="F41" i="3"/>
  <c r="G23" i="3" l="1"/>
  <c r="I26" i="3"/>
  <c r="H14" i="3"/>
  <c r="E47" i="7"/>
  <c r="E46" i="7"/>
  <c r="E45" i="7"/>
  <c r="E44" i="7"/>
  <c r="D12" i="8"/>
  <c r="F17" i="8" s="1"/>
  <c r="F19" i="8" s="1"/>
  <c r="D12" i="7"/>
  <c r="F17" i="7" s="1"/>
  <c r="N6" i="3"/>
  <c r="N5" i="3"/>
  <c r="H38" i="3" s="1"/>
  <c r="I15" i="3"/>
  <c r="I14" i="3"/>
  <c r="K14" i="3" s="1"/>
  <c r="H16" i="3"/>
  <c r="I16" i="3"/>
  <c r="H17" i="3"/>
  <c r="I17" i="3"/>
  <c r="H18" i="3"/>
  <c r="I18" i="3"/>
  <c r="H19" i="3"/>
  <c r="J19" i="3" s="1"/>
  <c r="I19" i="3"/>
  <c r="H20" i="3"/>
  <c r="I20" i="3"/>
  <c r="H21" i="3"/>
  <c r="I21" i="3"/>
  <c r="H22" i="3"/>
  <c r="I22" i="3"/>
  <c r="H23" i="3"/>
  <c r="I23" i="3"/>
  <c r="H24" i="3"/>
  <c r="I24" i="3"/>
  <c r="H25" i="3"/>
  <c r="I25" i="3"/>
  <c r="H26" i="3"/>
  <c r="J26" i="3" s="1"/>
  <c r="H28" i="3"/>
  <c r="I28" i="3"/>
  <c r="H29" i="3"/>
  <c r="I29" i="3"/>
  <c r="H3" i="3"/>
  <c r="H15" i="3"/>
  <c r="H41" i="3" s="1"/>
  <c r="J15" i="3"/>
  <c r="H4" i="3"/>
  <c r="H5" i="3"/>
  <c r="I5" i="3"/>
  <c r="I40" i="3" s="1"/>
  <c r="H6" i="3"/>
  <c r="I6" i="3"/>
  <c r="H7" i="3"/>
  <c r="I7" i="3"/>
  <c r="H8" i="3"/>
  <c r="I8" i="3"/>
  <c r="K8" i="3" s="1"/>
  <c r="H9" i="3"/>
  <c r="I9" i="3"/>
  <c r="K9" i="3" s="1"/>
  <c r="H10" i="3"/>
  <c r="I10" i="3"/>
  <c r="K10" i="3"/>
  <c r="H11" i="3"/>
  <c r="I11" i="3"/>
  <c r="H12" i="3"/>
  <c r="I12" i="3"/>
  <c r="K12" i="3" s="1"/>
  <c r="H13" i="3"/>
  <c r="I13" i="3"/>
  <c r="K13" i="3" s="1"/>
  <c r="J16" i="3"/>
  <c r="H30" i="3"/>
  <c r="I30" i="3"/>
  <c r="H31" i="3"/>
  <c r="I31" i="3"/>
  <c r="H32" i="3"/>
  <c r="I32" i="3"/>
  <c r="H33" i="3"/>
  <c r="I33" i="3"/>
  <c r="H34" i="3"/>
  <c r="I34" i="3"/>
  <c r="H35" i="3"/>
  <c r="I35" i="3"/>
  <c r="H36" i="3"/>
  <c r="I36" i="3"/>
  <c r="H37" i="3"/>
  <c r="I37" i="3"/>
  <c r="K4" i="3"/>
  <c r="K3" i="3"/>
  <c r="J17" i="3"/>
  <c r="J18" i="3"/>
  <c r="J20" i="3"/>
  <c r="J21" i="3"/>
  <c r="J22" i="3"/>
  <c r="J23" i="3"/>
  <c r="J24" i="3"/>
  <c r="J25" i="3"/>
  <c r="F7" i="3"/>
  <c r="J7" i="3" s="1"/>
  <c r="F8" i="3"/>
  <c r="F9" i="3"/>
  <c r="E4" i="3"/>
  <c r="F4" i="3" s="1"/>
  <c r="E5" i="3"/>
  <c r="F5" i="3" s="1"/>
  <c r="E6" i="3"/>
  <c r="F6" i="3" s="1"/>
  <c r="E7" i="3"/>
  <c r="E8" i="3"/>
  <c r="E9" i="3"/>
  <c r="E10" i="3"/>
  <c r="F10" i="3" s="1"/>
  <c r="E11" i="3"/>
  <c r="F11" i="3" s="1"/>
  <c r="E12" i="3"/>
  <c r="F12" i="3" s="1"/>
  <c r="E13" i="3"/>
  <c r="F13" i="3" s="1"/>
  <c r="E14" i="3"/>
  <c r="F14" i="3" s="1"/>
  <c r="E15" i="3"/>
  <c r="G15" i="3" s="1"/>
  <c r="E16" i="3"/>
  <c r="G16" i="3" s="1"/>
  <c r="E17" i="3"/>
  <c r="G17" i="3" s="1"/>
  <c r="E18" i="3"/>
  <c r="G18" i="3" s="1"/>
  <c r="E19" i="3"/>
  <c r="G19" i="3" s="1"/>
  <c r="E20" i="3"/>
  <c r="G20" i="3" s="1"/>
  <c r="E21" i="3"/>
  <c r="G21" i="3" s="1"/>
  <c r="E22" i="3"/>
  <c r="G22" i="3" s="1"/>
  <c r="E23" i="3"/>
  <c r="E24" i="3"/>
  <c r="G24" i="3" s="1"/>
  <c r="K24" i="3" s="1"/>
  <c r="E25" i="3"/>
  <c r="G25" i="3" s="1"/>
  <c r="E26" i="3"/>
  <c r="G26" i="3" s="1"/>
  <c r="K26" i="3" s="1"/>
  <c r="E27" i="3"/>
  <c r="E28" i="3"/>
  <c r="E29" i="3"/>
  <c r="E30" i="3"/>
  <c r="E31" i="3"/>
  <c r="E32" i="3"/>
  <c r="E33" i="3"/>
  <c r="E34" i="3"/>
  <c r="E35" i="3"/>
  <c r="E36" i="3"/>
  <c r="E37" i="3"/>
  <c r="E38" i="3"/>
  <c r="E3" i="3"/>
  <c r="F3" i="3" s="1"/>
  <c r="F31" i="8"/>
  <c r="F31" i="7"/>
  <c r="C13" i="6"/>
  <c r="C13" i="5"/>
  <c r="A5" i="6"/>
  <c r="A4" i="6"/>
  <c r="K11" i="3"/>
  <c r="K7" i="3"/>
  <c r="K6" i="3"/>
  <c r="K18" i="3" l="1"/>
  <c r="K25" i="3"/>
  <c r="K17" i="3"/>
  <c r="K5" i="3"/>
  <c r="H40" i="3"/>
  <c r="K16" i="3"/>
  <c r="I41" i="3"/>
  <c r="G41" i="3"/>
  <c r="J3" i="3"/>
  <c r="F40" i="3"/>
  <c r="J11" i="3"/>
  <c r="J4" i="3"/>
  <c r="F34" i="3"/>
  <c r="J9" i="3"/>
  <c r="F32" i="3"/>
  <c r="J32" i="3" s="1"/>
  <c r="K23" i="3"/>
  <c r="I38" i="3"/>
  <c r="G33" i="3"/>
  <c r="K33" i="3" s="1"/>
  <c r="G34" i="3"/>
  <c r="K34" i="3" s="1"/>
  <c r="G35" i="3"/>
  <c r="K35" i="3" s="1"/>
  <c r="G28" i="3"/>
  <c r="G36" i="3"/>
  <c r="K36" i="3" s="1"/>
  <c r="G37" i="3"/>
  <c r="K37" i="3" s="1"/>
  <c r="G38" i="3"/>
  <c r="G31" i="3"/>
  <c r="K31" i="3" s="1"/>
  <c r="G27" i="3"/>
  <c r="G32" i="3"/>
  <c r="K32" i="3" s="1"/>
  <c r="G29" i="3"/>
  <c r="K29" i="3" s="1"/>
  <c r="G30" i="3"/>
  <c r="K30" i="3" s="1"/>
  <c r="J6" i="3"/>
  <c r="F33" i="3"/>
  <c r="J33" i="3" s="1"/>
  <c r="F38" i="3"/>
  <c r="J38" i="3" s="1"/>
  <c r="F30" i="3"/>
  <c r="J30" i="3" s="1"/>
  <c r="J10" i="3"/>
  <c r="F37" i="3"/>
  <c r="J37" i="3" s="1"/>
  <c r="F29" i="3"/>
  <c r="J29" i="3" s="1"/>
  <c r="F31" i="3"/>
  <c r="J31" i="3" s="1"/>
  <c r="F36" i="3"/>
  <c r="J36" i="3" s="1"/>
  <c r="F28" i="3"/>
  <c r="K21" i="3"/>
  <c r="F35" i="3"/>
  <c r="J35" i="3" s="1"/>
  <c r="F27" i="3"/>
  <c r="K22" i="3"/>
  <c r="K20" i="3"/>
  <c r="J14" i="3"/>
  <c r="K19" i="3"/>
  <c r="J34" i="3"/>
  <c r="J13" i="3"/>
  <c r="J8" i="3"/>
  <c r="E48" i="7"/>
  <c r="F18" i="7" s="1"/>
  <c r="F19" i="7" s="1"/>
  <c r="D22" i="7" s="1"/>
  <c r="F22" i="7" s="1"/>
  <c r="J12" i="3"/>
  <c r="J5" i="3"/>
  <c r="F21" i="8"/>
  <c r="D24" i="8"/>
  <c r="D22" i="8"/>
  <c r="F22" i="8" s="1"/>
  <c r="K15" i="3"/>
  <c r="H27" i="3"/>
  <c r="H42" i="3" s="1"/>
  <c r="I27" i="3"/>
  <c r="I42" i="3" s="1"/>
  <c r="F42" i="3" l="1"/>
  <c r="G42" i="3"/>
  <c r="G43" i="3" s="1"/>
  <c r="C12" i="6" s="1"/>
  <c r="K38" i="3"/>
  <c r="F43" i="3"/>
  <c r="C12" i="5" s="1"/>
  <c r="I43" i="3"/>
  <c r="K27" i="3"/>
  <c r="D24" i="7"/>
  <c r="D25" i="7" s="1"/>
  <c r="F25" i="7" s="1"/>
  <c r="F21" i="7"/>
  <c r="H43" i="3"/>
  <c r="D25" i="8"/>
  <c r="F25" i="8" s="1"/>
  <c r="J27" i="3"/>
  <c r="K43" i="3" l="1"/>
  <c r="D12" i="6" s="1"/>
  <c r="C14" i="6"/>
  <c r="J43" i="3"/>
  <c r="D12" i="5" s="1"/>
  <c r="D26" i="8"/>
  <c r="F26" i="8" s="1"/>
  <c r="F27" i="8" s="1"/>
  <c r="D26" i="7"/>
  <c r="F26" i="7" s="1"/>
  <c r="F27" i="7" s="1"/>
  <c r="C14" i="5"/>
  <c r="E12" i="6" l="1"/>
  <c r="E12" i="5"/>
  <c r="F34" i="7"/>
  <c r="F35" i="7" s="1"/>
  <c r="F38" i="7" s="1"/>
  <c r="D13" i="5" s="1"/>
  <c r="F34" i="8"/>
  <c r="F35" i="8" s="1"/>
  <c r="F38" i="8" s="1"/>
  <c r="D13" i="6" s="1"/>
  <c r="E13" i="6" l="1"/>
  <c r="E14" i="6" s="1"/>
  <c r="E16" i="6" s="1"/>
  <c r="E17" i="6" s="1"/>
  <c r="E18" i="6" s="1"/>
  <c r="D14" i="6"/>
  <c r="E13" i="5"/>
  <c r="E14" i="5" s="1"/>
  <c r="E16" i="5" s="1"/>
  <c r="E17" i="5" s="1"/>
  <c r="E18" i="5" s="1"/>
  <c r="D14" i="5"/>
</calcChain>
</file>

<file path=xl/sharedStrings.xml><?xml version="1.0" encoding="utf-8"?>
<sst xmlns="http://schemas.openxmlformats.org/spreadsheetml/2006/main" count="778" uniqueCount="198">
  <si>
    <t>CO Order</t>
  </si>
  <si>
    <t>$</t>
  </si>
  <si>
    <t>Fiscal year/period</t>
  </si>
  <si>
    <t>40810002</t>
  </si>
  <si>
    <t>State Excise Taxes</t>
  </si>
  <si>
    <t>40810302</t>
  </si>
  <si>
    <t>40810602</t>
  </si>
  <si>
    <t>Excise Taxes</t>
  </si>
  <si>
    <t>92800010</t>
  </si>
  <si>
    <t>1180 - WUTC Filing Fees - Electric</t>
  </si>
  <si>
    <t>92800310</t>
  </si>
  <si>
    <t>1180 - WUTC Filing Fees - Gas</t>
  </si>
  <si>
    <t>Test Year</t>
  </si>
  <si>
    <t>Restated</t>
  </si>
  <si>
    <t>Electric</t>
  </si>
  <si>
    <t>Reason for</t>
  </si>
  <si>
    <t>Gas</t>
  </si>
  <si>
    <t>Adjustment</t>
  </si>
  <si>
    <t xml:space="preserve">Electric </t>
  </si>
  <si>
    <t>Restating Adjustments</t>
  </si>
  <si>
    <t>Allocation Factors:</t>
  </si>
  <si>
    <t>Grand Total Excise Tax</t>
  </si>
  <si>
    <t>Total Electric Only Excise Taxes</t>
  </si>
  <si>
    <t>Total Gas Only Excise Taxes</t>
  </si>
  <si>
    <t>Total Common Allocated To Elec and Gas</t>
  </si>
  <si>
    <t>Result</t>
  </si>
  <si>
    <t>Overall Result</t>
  </si>
  <si>
    <t>Ref 3.09E</t>
  </si>
  <si>
    <t>PUGET SOUND ENERGY-ELECTRIC</t>
  </si>
  <si>
    <t>WUTC FILING FEE &amp; EXCISE TAX</t>
  </si>
  <si>
    <t>LINE</t>
  </si>
  <si>
    <t>NO.</t>
  </si>
  <si>
    <t>DESCRIPTION</t>
  </si>
  <si>
    <t>TEST YEAR</t>
  </si>
  <si>
    <t>RESTATED</t>
  </si>
  <si>
    <t>ADJUSTMENT</t>
  </si>
  <si>
    <t>EXCISE TAXES</t>
  </si>
  <si>
    <t>WUTC FILING FEE</t>
  </si>
  <si>
    <t>INCREASE(DECREASE) EXCISE AND WUTC FILING FEE</t>
  </si>
  <si>
    <t xml:space="preserve">INCREASE(DECREASE) OPERATING EXPENSE </t>
  </si>
  <si>
    <t>INCREASE(DECREASE) FIT @</t>
  </si>
  <si>
    <t>INCREASE(DECREASE) NOI</t>
  </si>
  <si>
    <t>Ref 3.09G</t>
  </si>
  <si>
    <t>PUGET SOUND ENERGY-GAS</t>
  </si>
  <si>
    <t>WASHINGTON UTILITIES AND TRANSPORTATION COMMISSION</t>
  </si>
  <si>
    <t>INVESTOR OWNED ELECTRICAL UTILITY REGULATORY FEE SCHEDULE 1</t>
  </si>
  <si>
    <t>Company:  Puget Sound Energy</t>
  </si>
  <si>
    <t xml:space="preserve">In accordance with RCW 80.24.010 "Regulatory Fees", the Commission requires Electric companies to file reports of gross intrastate operating revenue and pay fees on that revenue.  Every company subject </t>
  </si>
  <si>
    <t xml:space="preserve">to regulation shall file with the Commission a statement under oath showing its gross intrastate operating revenue from operations for the preceding year and pay to the Commission a fee as instructed below. </t>
  </si>
  <si>
    <t xml:space="preserve">WAC 480-100-252 (2) requires that each utility must also submit to this commission, in essentially the same format and content as the FERC Form No. 1, a report that documents the costs incurred and the </t>
  </si>
  <si>
    <t xml:space="preserve">property necessary to furnish utility service to its customers and the revenues obtained in the state of Washington. Data entry by the Company, as instructed by Schedule 1 below, is restricted to Lines </t>
  </si>
  <si>
    <t>1.a, 1.b, 1.c, 1.d, 1.e, 6.a and 7.a (highlighted in blue) and Schedule 2, Columns A, B and C (separate worksheet).  When completed, the Company must file both Reg. Fee Schedule 1 and Schedule 2.</t>
  </si>
  <si>
    <t>Ln</t>
  </si>
  <si>
    <t>1.a</t>
  </si>
  <si>
    <t>Total Sales to Ultimate Customers (from WA State Electrical Annual Report, FERC Form 1, Page 300, Line 10) *</t>
  </si>
  <si>
    <t>1.b</t>
  </si>
  <si>
    <t>Check the box to the right if amount on Line 1 above includes unbilled revenue for this annual report year</t>
  </si>
  <si>
    <t>X</t>
  </si>
  <si>
    <t>1.c</t>
  </si>
  <si>
    <t>Check the box to the right if amount on Line 1 above does not include unbilled revenue for this annual report year</t>
  </si>
  <si>
    <t>1.d</t>
  </si>
  <si>
    <r>
      <t xml:space="preserve">     If box in 1.c has been checked, enter unbilled revenue amount  for </t>
    </r>
    <r>
      <rPr>
        <b/>
        <u/>
        <sz val="11"/>
        <color theme="1"/>
        <rFont val="Calibri"/>
        <family val="2"/>
      </rPr>
      <t>this annual report year</t>
    </r>
  </si>
  <si>
    <t>1.e</t>
  </si>
  <si>
    <r>
      <t xml:space="preserve">     If box in 1.c has been checked, enter unbilled revenue amount  for the </t>
    </r>
    <r>
      <rPr>
        <b/>
        <u/>
        <sz val="11"/>
        <color theme="1"/>
        <rFont val="Calibri"/>
        <family val="2"/>
      </rPr>
      <t>last annual report year**</t>
    </r>
  </si>
  <si>
    <t xml:space="preserve">Add lines 1.a and 1.e and enter total </t>
  </si>
  <si>
    <t>.</t>
  </si>
  <si>
    <t>Enter total from Schedule 2</t>
  </si>
  <si>
    <t>(see components of below)</t>
  </si>
  <si>
    <t>Total Gross Intrastate Operating Revenue (add Lines 1 and 2)</t>
  </si>
  <si>
    <t>Regulatory Fee Calculations:</t>
  </si>
  <si>
    <t>4.a</t>
  </si>
  <si>
    <r>
      <t xml:space="preserve">If line 3 is </t>
    </r>
    <r>
      <rPr>
        <b/>
        <sz val="11"/>
        <color theme="1"/>
        <rFont val="Calibri"/>
        <family val="2"/>
        <scheme val="minor"/>
      </rPr>
      <t>UNDER</t>
    </r>
    <r>
      <rPr>
        <sz val="9"/>
        <color theme="1"/>
        <rFont val="Times New Roman"/>
        <family val="2"/>
      </rPr>
      <t xml:space="preserve"> $20,000, Enter </t>
    </r>
    <r>
      <rPr>
        <b/>
        <sz val="11"/>
        <color theme="1"/>
        <rFont val="Calibri"/>
        <family val="2"/>
        <scheme val="minor"/>
      </rPr>
      <t>ZERO</t>
    </r>
    <r>
      <rPr>
        <sz val="9"/>
        <color theme="1"/>
        <rFont val="Times New Roman"/>
        <family val="2"/>
      </rPr>
      <t xml:space="preserve"> (Filing </t>
    </r>
    <r>
      <rPr>
        <b/>
        <sz val="11"/>
        <color theme="1"/>
        <rFont val="Calibri"/>
        <family val="2"/>
      </rPr>
      <t>ZERO</t>
    </r>
    <r>
      <rPr>
        <sz val="9"/>
        <color theme="1"/>
        <rFont val="Times New Roman"/>
        <family val="2"/>
      </rPr>
      <t xml:space="preserve"> indicates schedule is complete)</t>
    </r>
  </si>
  <si>
    <t>4a</t>
  </si>
  <si>
    <t>4.b</t>
  </si>
  <si>
    <r>
      <t xml:space="preserve">If line 3 is </t>
    </r>
    <r>
      <rPr>
        <b/>
        <sz val="11"/>
        <color theme="1"/>
        <rFont val="Calibri"/>
        <family val="2"/>
      </rPr>
      <t>BETWEEN</t>
    </r>
    <r>
      <rPr>
        <sz val="9"/>
        <color theme="1"/>
        <rFont val="Times New Roman"/>
        <family val="2"/>
      </rPr>
      <t xml:space="preserve"> $20,000 and $50,000-enter amount from line 3</t>
    </r>
  </si>
  <si>
    <t>4b</t>
  </si>
  <si>
    <t>x .001 (.1%)      =</t>
  </si>
  <si>
    <r>
      <t xml:space="preserve">(Filing </t>
    </r>
    <r>
      <rPr>
        <b/>
        <sz val="11"/>
        <color theme="1"/>
        <rFont val="Calibri"/>
        <family val="2"/>
      </rPr>
      <t>BETWEEN</t>
    </r>
    <r>
      <rPr>
        <sz val="9"/>
        <color theme="1"/>
        <rFont val="Times New Roman"/>
        <family val="2"/>
      </rPr>
      <t xml:space="preserve"> $20,000 and $50,000 indicates schedule is complete.  If filing after May 1st go to Line 6)</t>
    </r>
  </si>
  <si>
    <t>4.c</t>
  </si>
  <si>
    <r>
      <t xml:space="preserve">If line 3 is </t>
    </r>
    <r>
      <rPr>
        <b/>
        <sz val="11"/>
        <color theme="1"/>
        <rFont val="Calibri"/>
        <family val="2"/>
      </rPr>
      <t>OVER</t>
    </r>
    <r>
      <rPr>
        <sz val="9"/>
        <color theme="1"/>
        <rFont val="Times New Roman"/>
        <family val="2"/>
      </rPr>
      <t xml:space="preserve"> $50,000-enter amount from line 3</t>
    </r>
  </si>
  <si>
    <t>4c</t>
  </si>
  <si>
    <t>4.d</t>
  </si>
  <si>
    <r>
      <rPr>
        <b/>
        <sz val="11"/>
        <color theme="1"/>
        <rFont val="Calibri"/>
        <family val="2"/>
      </rPr>
      <t>First</t>
    </r>
    <r>
      <rPr>
        <sz val="9"/>
        <color theme="1"/>
        <rFont val="Times New Roman"/>
        <family val="2"/>
      </rPr>
      <t xml:space="preserve"> $50,000 is subject to .1% regulatory fee</t>
    </r>
  </si>
  <si>
    <t>4d</t>
  </si>
  <si>
    <t>4.e</t>
  </si>
  <si>
    <t>Adjustment of Gross Intrastate Operating Revenue (subtract Line 4d from 4c)</t>
  </si>
  <si>
    <t>4e</t>
  </si>
  <si>
    <t>Total Regulatory Fees owed (enter line 4b, or add 4d and 4e)</t>
  </si>
  <si>
    <t>Agency Use Only</t>
  </si>
  <si>
    <t>001-111-02-68-140-01</t>
  </si>
  <si>
    <t>Complete Lines 6 through 9 if filing after May 2</t>
  </si>
  <si>
    <t>Penalties on Regulatory Fees filed after May 2</t>
  </si>
  <si>
    <t>6.a</t>
  </si>
  <si>
    <t>Total Penalties on Regulatory Fees owed - enter amount from line 5</t>
  </si>
  <si>
    <t>6a</t>
  </si>
  <si>
    <t>x .02 (2 %)        =</t>
  </si>
  <si>
    <t>Interest on Regulatory Fees filed after May 31</t>
  </si>
  <si>
    <t>7.a</t>
  </si>
  <si>
    <t>Number of months past May 31</t>
  </si>
  <si>
    <t>7.b</t>
  </si>
  <si>
    <t>Amount from line 5 __________________ x Number of months past May 31 _________ x .01 (1%) =</t>
  </si>
  <si>
    <t>Total Penalties and Interest owed (add lines 6.a and 7.b)</t>
  </si>
  <si>
    <t>001-111-02-68-140-11</t>
  </si>
  <si>
    <t>Total Regulatory, Penalty and Interest Fees Due (add lines 5 and 8)</t>
  </si>
  <si>
    <t>*</t>
  </si>
  <si>
    <t xml:space="preserve">The total of the following FERC Operating Revenue Accounts: 440 - Residential Sales, 442 - Commercial and Industrial Sales, 444 - Public Street and Highway Lighting, 445 - Other Sales to Public Authorities, 446 - Sales to Railroads and Railways and 448- Interdepartmental Sales. </t>
  </si>
  <si>
    <t>**</t>
  </si>
  <si>
    <t>Unbilled revenues not included in the previous year's annual report must be included in this year's report for calculation of the Commission's regulatory fee. The amount must be the same as Line 1.d in the previous year's annual report.</t>
  </si>
  <si>
    <t>Components of Line 2 "Other Operating Revenue"</t>
  </si>
  <si>
    <t xml:space="preserve">          (5) 450 - Forfeited Discounts</t>
  </si>
  <si>
    <t xml:space="preserve">          (5) 451 - Electric Misc Service Revenue</t>
  </si>
  <si>
    <t xml:space="preserve">          (5) 454 - Rent For Electric Property</t>
  </si>
  <si>
    <t>INVESTOR OWNED GAS UTILITY REGULATORY FEE CALCULATION SCHEDULE 1</t>
  </si>
  <si>
    <t xml:space="preserve">In accordance with RCW 80.24.010 "Regulatory Fees", the Commission requires Gas companies to file reports of gross intrastate operating revenue and pay fees on that revenue.  Every company subject to </t>
  </si>
  <si>
    <t xml:space="preserve">regulation shall file with the Commission a statement under oath showing its gross intrastate operating revenue from operations for the preceding year and pay to the Commission a fee as instructed below. </t>
  </si>
  <si>
    <t xml:space="preserve">WAC 480-90-252 (2) requires that each utility must also submit to this commission, in essentially the same format and content as the FERC Form No. 2, a report that documents the costs incurred and the property </t>
  </si>
  <si>
    <t>1.a, 1.b, 1.c, 1.d, 1.e, 6.a and 7.a (highlighted in blue below) and Schedule 2, Columns A, B and C (separate worksheet). When completed, the Company must file both Reg. Fee Schedule 1 and Schedule 2.</t>
  </si>
  <si>
    <t>Total Sales to Ultimate Customers (from WA State Gas Annual Report, FERC Form 2, Page 300, Line 21, Column (h)) *</t>
  </si>
  <si>
    <t>Enter total from Schedule 2; Non-Fee Paying Revenue</t>
  </si>
  <si>
    <t>Total Regulatory, Penalty and Interest Fees Due (add lines 4b, 5 and 8)</t>
  </si>
  <si>
    <t>The total of the following FERC Gas Operating Revenue Accounts: 480 Residential Sales, 481 Commercial and Industrial Sales, 482 Other Sales to Public Authorities, 483 Sales for Resale, 484 Interdepartmental Sales, 485 lntracompany Transfers, 487 Forfeited Discounts, 488 Miscellaneous Service Revenues, 489.1 Revenues from Transportation of Gas of Others Through Gathering Facilities, 489.2 Revenues from Transportation of Gas of Others Through Transmission Facilities, 489.3 Revenues from Transportation of Gas of Others Through Distribution Facilities, 489.4 Revenues from Storing Gas of Others, 490 Sales of Prod. Ext. from Natural Gas, 491 Revenues from Natural Gas Proc. by Others, 492 Incidental Gasoline and Oil Sales, 493 Rent from Gas Property, 494 Interdepartmental Rents, 495 Other Gas Revenues and 496 (Less) Provision for Rate Refunds.</t>
  </si>
  <si>
    <t>FERC Amount</t>
  </si>
  <si>
    <t xml:space="preserve">               Grand Total Other Operating Revenue on Line 2 Above</t>
  </si>
  <si>
    <t/>
  </si>
  <si>
    <t xml:space="preserve">          (5) 456 - Other Electric Revenues</t>
  </si>
  <si>
    <t>Order</t>
  </si>
  <si>
    <t>Name</t>
  </si>
  <si>
    <t>Func. Area Text</t>
  </si>
  <si>
    <t>FERC</t>
  </si>
  <si>
    <t>FERC Text</t>
  </si>
  <si>
    <t>63400400</t>
  </si>
  <si>
    <t>23600021</t>
  </si>
  <si>
    <t>Taxes</t>
  </si>
  <si>
    <t>WA Tax - Unblld Elec</t>
  </si>
  <si>
    <t>Taxes Other than Inc.Tax</t>
  </si>
  <si>
    <t>4081</t>
  </si>
  <si>
    <t>Taxes Other Than Inc Taxes, Utility Operating Inc</t>
  </si>
  <si>
    <t>23600471</t>
  </si>
  <si>
    <t>Accrd WA St Util-Ele</t>
  </si>
  <si>
    <t>23600552</t>
  </si>
  <si>
    <t>Accr WA St Util-Gas</t>
  </si>
  <si>
    <t>State Tax True Up - Electric</t>
  </si>
  <si>
    <t>State Tax True Up - Gas</t>
  </si>
  <si>
    <t>Common</t>
  </si>
  <si>
    <t>23601023</t>
  </si>
  <si>
    <t>Accrued WA City B &amp;</t>
  </si>
  <si>
    <t>State Tax True Up - Common</t>
  </si>
  <si>
    <t>63100000</t>
  </si>
  <si>
    <t>103448</t>
  </si>
  <si>
    <t>WELLS FARGO BANK NA</t>
  </si>
  <si>
    <t>WA DEPT. OF REVENUE-Faith Banda</t>
  </si>
  <si>
    <t>OPC WA DEPT. OF REVENUE-Faith Banda</t>
  </si>
  <si>
    <t>City of Monroe License Payment</t>
  </si>
  <si>
    <t>JAN 2024</t>
  </si>
  <si>
    <t>FEB 2024</t>
  </si>
  <si>
    <t>MAR 2024</t>
  </si>
  <si>
    <t>APR 2024</t>
  </si>
  <si>
    <t>MAY 2024</t>
  </si>
  <si>
    <t>JUN 2024</t>
  </si>
  <si>
    <t>JUL 2024</t>
  </si>
  <si>
    <t>AUG 2024</t>
  </si>
  <si>
    <t>SEP 2024</t>
  </si>
  <si>
    <t>OCT 2024</t>
  </si>
  <si>
    <t>NOV 2024</t>
  </si>
  <si>
    <t>DEC 2024</t>
  </si>
  <si>
    <t>K1/001/2024</t>
  </si>
  <si>
    <t>K1/002/2024</t>
  </si>
  <si>
    <t>K1/003/2024</t>
  </si>
  <si>
    <t>K1/004/2024</t>
  </si>
  <si>
    <t>K1/005/2024</t>
  </si>
  <si>
    <t>K1/006/2024</t>
  </si>
  <si>
    <t>K1/007/2024</t>
  </si>
  <si>
    <t>K1/008/2024</t>
  </si>
  <si>
    <t>K1/009/2024</t>
  </si>
  <si>
    <t>K1/010/2024</t>
  </si>
  <si>
    <t>K1/011/2024</t>
  </si>
  <si>
    <t>K1/012/2024</t>
  </si>
  <si>
    <t>2100</t>
  </si>
  <si>
    <t>3</t>
  </si>
  <si>
    <t>2</t>
  </si>
  <si>
    <t>1</t>
  </si>
  <si>
    <t>Permits, Fees &amp; Ease</t>
  </si>
  <si>
    <t>Posting Date</t>
  </si>
  <si>
    <t>Functional Area</t>
  </si>
  <si>
    <t>Proc. Grp. Text</t>
  </si>
  <si>
    <t>Processing  Group</t>
  </si>
  <si>
    <t>Period</t>
  </si>
  <si>
    <t>Name of offsetting account</t>
  </si>
  <si>
    <t>Cost element name</t>
  </si>
  <si>
    <t>Val.in rep.cur.</t>
  </si>
  <si>
    <t>Offsetting acct no.</t>
  </si>
  <si>
    <t>Cost Element</t>
  </si>
  <si>
    <t xml:space="preserve">1.  Remove True-ups related to Dec 2023 (reported in Jan 2024) </t>
  </si>
  <si>
    <t>2.  Add True-ups related to December 2024 (reported in January 2025)</t>
  </si>
  <si>
    <t>Purchasing Document</t>
  </si>
  <si>
    <t>FOR THE TWELVE MONTHS ENDED DEC 31, 2024</t>
  </si>
  <si>
    <t>2024 CBR</t>
  </si>
  <si>
    <t xml:space="preserve">x .005 (.5%)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</si>
</sst>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
    <numFmt numFmtId="165" formatCode="_(* #,##0_);_(* \(#,##0\);_(* &quot;-&quot;??_);_(@_)"/>
    <numFmt numFmtId="166" formatCode="_(* #,##0.000_);_(* \(#,##0.000\);_(* &quot;-&quot;??_);_(@_)"/>
    <numFmt numFmtId="167" formatCode="_(&quot;$&quot;* #,##0_);_(&quot;$&quot;* \(#,##0\);_(&quot;$&quot;* &quot;-&quot;??_);_(@_)"/>
    <numFmt numFmtId="168" formatCode="#,##0_);[Red]\(#,##0\);&quot; &quot;"/>
    <numFmt numFmtId="169" formatCode="#,##0.00;\-#,##0.00;#,##0.00"/>
  </numFmts>
  <fonts count="49" x14ac:knownFonts="1">
    <font>
      <sz val="9"/>
      <color theme="1"/>
      <name val="Times New Roman"/>
      <family val="2"/>
    </font>
    <font>
      <sz val="11"/>
      <color theme="1"/>
      <name val="Calibri"/>
      <family val="2"/>
      <scheme val="minor"/>
    </font>
    <font>
      <sz val="11"/>
      <color theme="1"/>
      <name val="Calibri"/>
      <family val="2"/>
    </font>
    <font>
      <sz val="11"/>
      <color theme="1"/>
      <name val="Calibri"/>
      <family val="2"/>
    </font>
    <font>
      <sz val="9"/>
      <color theme="1"/>
      <name val="Times New Roman"/>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9"/>
      <color theme="1"/>
      <name val="Arial"/>
      <family val="2"/>
    </font>
    <font>
      <sz val="8"/>
      <color rgb="FF000000"/>
      <name val="Arial"/>
      <family val="2"/>
    </font>
    <font>
      <sz val="8"/>
      <color rgb="FFDBE5F1"/>
      <name val="Verdana"/>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sz val="10"/>
      <name val="Arial"/>
      <family val="2"/>
    </font>
    <font>
      <b/>
      <sz val="9"/>
      <color theme="1"/>
      <name val="Arial"/>
      <family val="2"/>
    </font>
    <font>
      <sz val="11"/>
      <color theme="1"/>
      <name val="Calibri"/>
      <family val="2"/>
      <scheme val="minor"/>
    </font>
    <font>
      <sz val="10"/>
      <name val="Times New Roman"/>
      <family val="1"/>
    </font>
    <font>
      <b/>
      <sz val="10"/>
      <name val="Times New Roman"/>
      <family val="1"/>
    </font>
    <font>
      <sz val="11"/>
      <name val="Arial"/>
      <family val="2"/>
    </font>
    <font>
      <sz val="11"/>
      <name val="Times New Roman"/>
      <family val="1"/>
    </font>
    <font>
      <b/>
      <sz val="10"/>
      <name val="Arial"/>
      <family val="2"/>
    </font>
    <font>
      <b/>
      <sz val="11"/>
      <color theme="1"/>
      <name val="Calibri"/>
      <family val="2"/>
      <scheme val="minor"/>
    </font>
    <font>
      <sz val="9"/>
      <name val="Arial"/>
      <family val="2"/>
    </font>
    <font>
      <b/>
      <u/>
      <sz val="11"/>
      <color theme="1"/>
      <name val="Calibri"/>
      <family val="2"/>
    </font>
    <font>
      <b/>
      <sz val="11"/>
      <color theme="1"/>
      <name val="Calibri"/>
      <family val="2"/>
    </font>
    <font>
      <sz val="8"/>
      <name val="Arial"/>
      <family val="2"/>
    </font>
    <font>
      <sz val="7.5"/>
      <name val="Arial"/>
      <family val="2"/>
    </font>
    <font>
      <sz val="18"/>
      <color theme="3"/>
      <name val="Calibri Light"/>
      <family val="2"/>
      <scheme val="major"/>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sz val="11"/>
      <color theme="0"/>
      <name val="Calibri"/>
      <family val="2"/>
    </font>
    <font>
      <sz val="10"/>
      <name val="Arial"/>
    </font>
  </fonts>
  <fills count="55">
    <fill>
      <patternFill patternType="none"/>
    </fill>
    <fill>
      <patternFill patternType="gray125"/>
    </fill>
    <fill>
      <patternFill patternType="solid">
        <fgColor rgb="FFDBE5F1"/>
        <bgColor rgb="FF000000"/>
      </patternFill>
    </fill>
    <fill>
      <patternFill patternType="solid">
        <fgColor rgb="FFDBE5F1"/>
        <bgColor rgb="FFFFFFFF"/>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indexed="13"/>
        <bgColor indexed="64"/>
      </patternFill>
    </fill>
    <fill>
      <patternFill patternType="solid">
        <fgColor indexed="22"/>
        <bgColor indexed="64"/>
      </patternFill>
    </fill>
    <fill>
      <patternFill patternType="solid">
        <fgColor rgb="FF92D050"/>
        <bgColor indexed="64"/>
      </patternFill>
    </fill>
  </fills>
  <borders count="41">
    <border>
      <left/>
      <right/>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medium">
        <color rgb="FFFF0000"/>
      </left>
      <right style="medium">
        <color rgb="FFFF0000"/>
      </right>
      <top style="medium">
        <color rgb="FFFF0000"/>
      </top>
      <bottom style="medium">
        <color rgb="FFFF0000"/>
      </bottom>
      <diagonal/>
    </border>
    <border>
      <left style="thin">
        <color rgb="FF000000"/>
      </left>
      <right style="thin">
        <color rgb="FF000000"/>
      </right>
      <top style="thin">
        <color rgb="FF000000"/>
      </top>
      <bottom style="thin">
        <color rgb="FF000000"/>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double">
        <color indexed="64"/>
      </bottom>
      <diagonal/>
    </border>
    <border>
      <left style="thin">
        <color indexed="64"/>
      </left>
      <right/>
      <top style="thin">
        <color indexed="64"/>
      </top>
      <bottom style="medium">
        <color indexed="64"/>
      </bottom>
      <diagonal/>
    </border>
    <border>
      <left style="thin">
        <color indexed="64"/>
      </left>
      <right/>
      <top style="medium">
        <color indexed="64"/>
      </top>
      <bottom style="double">
        <color indexed="64"/>
      </bottom>
      <diagonal/>
    </border>
    <border>
      <left/>
      <right style="thin">
        <color indexed="64"/>
      </right>
      <top style="thin">
        <color indexed="64"/>
      </top>
      <bottom style="thin">
        <color indexed="64"/>
      </bottom>
      <diagonal/>
    </border>
    <border>
      <left/>
      <right style="thin">
        <color indexed="64"/>
      </right>
      <top style="medium">
        <color indexed="64"/>
      </top>
      <bottom style="double">
        <color indexed="64"/>
      </bottom>
      <diagonal/>
    </border>
    <border>
      <left style="thick">
        <color indexed="64"/>
      </left>
      <right style="thick">
        <color indexed="64"/>
      </right>
      <top style="thick">
        <color indexed="64"/>
      </top>
      <bottom style="thick">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08080"/>
      </left>
      <right style="thin">
        <color rgb="FF808080"/>
      </right>
      <top style="thin">
        <color rgb="FF808080"/>
      </top>
      <bottom style="thin">
        <color theme="3" tint="-0.24994659260841701"/>
      </bottom>
      <diagonal/>
    </border>
    <border>
      <left style="thin">
        <color theme="3" tint="0.59996337778862885"/>
      </left>
      <right style="thin">
        <color theme="3" tint="-0.24994659260841701"/>
      </right>
      <top style="thin">
        <color theme="3" tint="0.59996337778862885"/>
      </top>
      <bottom style="thin">
        <color theme="3" tint="0.59996337778862885"/>
      </bottom>
      <diagonal/>
    </border>
    <border>
      <left style="thin">
        <color rgb="FF808080"/>
      </left>
      <right style="thin">
        <color theme="3" tint="-0.24994659260841701"/>
      </right>
      <top style="thin">
        <color rgb="FF808080"/>
      </top>
      <bottom style="thin">
        <color theme="3" tint="-0.24994659260841701"/>
      </bottom>
      <diagonal/>
    </border>
    <border>
      <left style="thin">
        <color theme="3" tint="-0.24994659260841701"/>
      </left>
      <right style="thin">
        <color rgb="FF808080"/>
      </right>
      <top style="thin">
        <color rgb="FF808080"/>
      </top>
      <bottom style="thin">
        <color theme="3" tint="-0.24994659260841701"/>
      </bottom>
      <diagonal/>
    </border>
    <border>
      <left style="thin">
        <color rgb="FF808080"/>
      </left>
      <right style="thin">
        <color theme="3" tint="-0.24994659260841701"/>
      </right>
      <top style="thin">
        <color rgb="FF808080"/>
      </top>
      <bottom style="thin">
        <color rgb="FF808080"/>
      </bottom>
      <diagonal/>
    </border>
    <border>
      <left style="thin">
        <color theme="3" tint="0.59996337778862885"/>
      </left>
      <right style="thin">
        <color theme="3" tint="-0.24994659260841701"/>
      </right>
      <top style="thin">
        <color theme="3" tint="0.59996337778862885"/>
      </top>
      <bottom style="thin">
        <color theme="3" tint="-0.24994659260841701"/>
      </bottom>
      <diagonal/>
    </border>
  </borders>
  <cellStyleXfs count="107">
    <xf numFmtId="0" fontId="0" fillId="0" borderId="0"/>
    <xf numFmtId="43" fontId="4" fillId="0" borderId="0" applyFont="0" applyFill="0" applyBorder="0" applyAlignment="0" applyProtection="0"/>
    <xf numFmtId="0" fontId="5" fillId="2" borderId="1" applyNumberFormat="0" applyAlignment="0" applyProtection="0">
      <alignment horizontal="left" vertical="center" indent="1"/>
    </xf>
    <xf numFmtId="164" fontId="6" fillId="0" borderId="2" applyNumberFormat="0" applyProtection="0">
      <alignment horizontal="right" vertical="center"/>
    </xf>
    <xf numFmtId="164" fontId="5" fillId="0" borderId="3" applyNumberFormat="0" applyProtection="0">
      <alignment horizontal="right" vertical="center"/>
    </xf>
    <xf numFmtId="164" fontId="6" fillId="3" borderId="1" applyNumberFormat="0" applyAlignment="0" applyProtection="0">
      <alignment horizontal="left" vertical="center" indent="1"/>
    </xf>
    <xf numFmtId="0" fontId="7" fillId="4" borderId="3" applyNumberFormat="0" applyAlignment="0">
      <alignment horizontal="left" vertical="center" indent="1"/>
      <protection locked="0"/>
    </xf>
    <xf numFmtId="0" fontId="7" fillId="5" borderId="3" applyNumberFormat="0" applyAlignment="0" applyProtection="0">
      <alignment horizontal="left" vertical="center" indent="1"/>
    </xf>
    <xf numFmtId="164" fontId="6" fillId="6" borderId="2" applyNumberFormat="0" applyBorder="0">
      <alignment horizontal="right" vertical="center"/>
      <protection locked="0"/>
    </xf>
    <xf numFmtId="0" fontId="7" fillId="4" borderId="3" applyNumberFormat="0" applyAlignment="0">
      <alignment horizontal="left" vertical="center" indent="1"/>
      <protection locked="0"/>
    </xf>
    <xf numFmtId="164" fontId="5" fillId="5" borderId="3" applyNumberFormat="0" applyProtection="0">
      <alignment horizontal="right" vertical="center"/>
    </xf>
    <xf numFmtId="164" fontId="5" fillId="6" borderId="3" applyNumberFormat="0" applyBorder="0">
      <alignment horizontal="right" vertical="center"/>
      <protection locked="0"/>
    </xf>
    <xf numFmtId="164" fontId="8" fillId="7" borderId="4" applyNumberFormat="0" applyBorder="0" applyAlignment="0" applyProtection="0">
      <alignment horizontal="right" vertical="center" indent="1"/>
    </xf>
    <xf numFmtId="164" fontId="9" fillId="8" borderId="4" applyNumberFormat="0" applyBorder="0" applyAlignment="0" applyProtection="0">
      <alignment horizontal="right" vertical="center" indent="1"/>
    </xf>
    <xf numFmtId="164" fontId="9" fillId="9" borderId="4" applyNumberFormat="0" applyBorder="0" applyAlignment="0" applyProtection="0">
      <alignment horizontal="right" vertical="center" indent="1"/>
    </xf>
    <xf numFmtId="164" fontId="10" fillId="10" borderId="4" applyNumberFormat="0" applyBorder="0" applyAlignment="0" applyProtection="0">
      <alignment horizontal="right" vertical="center" indent="1"/>
    </xf>
    <xf numFmtId="164" fontId="10" fillId="11" borderId="4" applyNumberFormat="0" applyBorder="0" applyAlignment="0" applyProtection="0">
      <alignment horizontal="right" vertical="center" indent="1"/>
    </xf>
    <xf numFmtId="164" fontId="10" fillId="12" borderId="4" applyNumberFormat="0" applyBorder="0" applyAlignment="0" applyProtection="0">
      <alignment horizontal="right" vertical="center" indent="1"/>
    </xf>
    <xf numFmtId="164" fontId="11" fillId="13" borderId="4" applyNumberFormat="0" applyBorder="0" applyAlignment="0" applyProtection="0">
      <alignment horizontal="right" vertical="center" indent="1"/>
    </xf>
    <xf numFmtId="164" fontId="11" fillId="14" borderId="4" applyNumberFormat="0" applyBorder="0" applyAlignment="0" applyProtection="0">
      <alignment horizontal="right" vertical="center" indent="1"/>
    </xf>
    <xf numFmtId="164" fontId="11" fillId="15" borderId="4" applyNumberFormat="0" applyBorder="0" applyAlignment="0" applyProtection="0">
      <alignment horizontal="right" vertical="center" indent="1"/>
    </xf>
    <xf numFmtId="0" fontId="13" fillId="0" borderId="1" applyNumberFormat="0" applyFont="0" applyFill="0" applyAlignment="0" applyProtection="0"/>
    <xf numFmtId="164" fontId="14" fillId="3" borderId="0" applyNumberFormat="0" applyAlignment="0" applyProtection="0">
      <alignment horizontal="left" vertical="center" indent="1"/>
    </xf>
    <xf numFmtId="0" fontId="13" fillId="0" borderId="5" applyNumberFormat="0" applyFont="0" applyFill="0" applyAlignment="0" applyProtection="0"/>
    <xf numFmtId="164" fontId="6" fillId="0" borderId="2" applyNumberFormat="0" applyFill="0" applyBorder="0" applyAlignment="0" applyProtection="0">
      <alignment horizontal="right" vertical="center"/>
    </xf>
    <xf numFmtId="164" fontId="6" fillId="3" borderId="1" applyNumberFormat="0" applyAlignment="0" applyProtection="0">
      <alignment horizontal="left" vertical="center" indent="1"/>
    </xf>
    <xf numFmtId="0" fontId="5" fillId="2" borderId="3" applyNumberFormat="0" applyAlignment="0" applyProtection="0">
      <alignment horizontal="left" vertical="center" indent="1"/>
    </xf>
    <xf numFmtId="0" fontId="7" fillId="16" borderId="1" applyNumberFormat="0" applyAlignment="0" applyProtection="0">
      <alignment horizontal="left" vertical="center" indent="1"/>
    </xf>
    <xf numFmtId="0" fontId="7" fillId="17" borderId="1" applyNumberFormat="0" applyAlignment="0" applyProtection="0">
      <alignment horizontal="left" vertical="center" indent="1"/>
    </xf>
    <xf numFmtId="0" fontId="7" fillId="18" borderId="1" applyNumberFormat="0" applyAlignment="0" applyProtection="0">
      <alignment horizontal="left" vertical="center" indent="1"/>
    </xf>
    <xf numFmtId="0" fontId="7" fillId="6" borderId="1" applyNumberFormat="0" applyAlignment="0" applyProtection="0">
      <alignment horizontal="left" vertical="center" indent="1"/>
    </xf>
    <xf numFmtId="0" fontId="7" fillId="5" borderId="3" applyNumberFormat="0" applyAlignment="0" applyProtection="0">
      <alignment horizontal="left" vertical="center" indent="1"/>
    </xf>
    <xf numFmtId="0" fontId="15" fillId="0" borderId="6" applyNumberFormat="0" applyFill="0" applyBorder="0" applyAlignment="0" applyProtection="0"/>
    <xf numFmtId="0" fontId="16" fillId="0" borderId="6" applyNumberFormat="0" applyBorder="0" applyAlignment="0" applyProtection="0"/>
    <xf numFmtId="0" fontId="15" fillId="4" borderId="3" applyNumberFormat="0" applyAlignment="0">
      <alignment horizontal="left" vertical="center" indent="1"/>
      <protection locked="0"/>
    </xf>
    <xf numFmtId="0" fontId="15" fillId="4" borderId="3" applyNumberFormat="0" applyAlignment="0">
      <alignment horizontal="left" vertical="center" indent="1"/>
      <protection locked="0"/>
    </xf>
    <xf numFmtId="0" fontId="15" fillId="5" borderId="3" applyNumberFormat="0" applyAlignment="0" applyProtection="0">
      <alignment horizontal="left" vertical="center" indent="1"/>
    </xf>
    <xf numFmtId="164" fontId="17" fillId="5" borderId="3" applyNumberFormat="0" applyProtection="0">
      <alignment horizontal="right" vertical="center"/>
    </xf>
    <xf numFmtId="164" fontId="18" fillId="6" borderId="2" applyNumberFormat="0" applyBorder="0">
      <alignment horizontal="right" vertical="center"/>
      <protection locked="0"/>
    </xf>
    <xf numFmtId="164" fontId="17" fillId="6" borderId="3" applyNumberFormat="0" applyBorder="0">
      <alignment horizontal="right" vertical="center"/>
      <protection locked="0"/>
    </xf>
    <xf numFmtId="164" fontId="6" fillId="0" borderId="2" applyNumberFormat="0" applyFill="0" applyBorder="0" applyAlignment="0" applyProtection="0">
      <alignment horizontal="right" vertical="center"/>
    </xf>
    <xf numFmtId="0" fontId="19" fillId="0" borderId="0"/>
    <xf numFmtId="43" fontId="19" fillId="0" borderId="0" applyFont="0" applyFill="0" applyBorder="0" applyAlignment="0" applyProtection="0"/>
    <xf numFmtId="0" fontId="19"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0" fontId="19" fillId="0" borderId="0"/>
    <xf numFmtId="0" fontId="24" fillId="0" borderId="0"/>
    <xf numFmtId="0" fontId="33" fillId="0" borderId="0" applyNumberFormat="0" applyFill="0" applyBorder="0" applyAlignment="0" applyProtection="0"/>
    <xf numFmtId="0" fontId="34" fillId="0" borderId="26" applyNumberFormat="0" applyFill="0" applyAlignment="0" applyProtection="0"/>
    <xf numFmtId="0" fontId="35" fillId="0" borderId="27" applyNumberFormat="0" applyFill="0" applyAlignment="0" applyProtection="0"/>
    <xf numFmtId="0" fontId="36" fillId="0" borderId="28" applyNumberFormat="0" applyFill="0" applyAlignment="0" applyProtection="0"/>
    <xf numFmtId="0" fontId="36" fillId="0" borderId="0" applyNumberFormat="0" applyFill="0" applyBorder="0" applyAlignment="0" applyProtection="0"/>
    <xf numFmtId="0" fontId="37" fillId="20" borderId="0" applyNumberFormat="0" applyBorder="0" applyAlignment="0" applyProtection="0"/>
    <xf numFmtId="0" fontId="38" fillId="21" borderId="0" applyNumberFormat="0" applyBorder="0" applyAlignment="0" applyProtection="0"/>
    <xf numFmtId="0" fontId="39" fillId="22" borderId="0" applyNumberFormat="0" applyBorder="0" applyAlignment="0" applyProtection="0"/>
    <xf numFmtId="0" fontId="40" fillId="23" borderId="29" applyNumberFormat="0" applyAlignment="0" applyProtection="0"/>
    <xf numFmtId="0" fontId="41" fillId="24" borderId="30" applyNumberFormat="0" applyAlignment="0" applyProtection="0"/>
    <xf numFmtId="0" fontId="42" fillId="24" borderId="29" applyNumberFormat="0" applyAlignment="0" applyProtection="0"/>
    <xf numFmtId="0" fontId="43" fillId="0" borderId="31" applyNumberFormat="0" applyFill="0" applyAlignment="0" applyProtection="0"/>
    <xf numFmtId="0" fontId="44" fillId="25" borderId="32" applyNumberFormat="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30" fillId="0" borderId="34" applyNumberFormat="0" applyFill="0" applyAlignment="0" applyProtection="0"/>
    <xf numFmtId="0" fontId="47"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47" fillId="42" borderId="0" applyNumberFormat="0" applyBorder="0" applyAlignment="0" applyProtection="0"/>
    <xf numFmtId="0" fontId="47" fillId="4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47" fillId="46" borderId="0" applyNumberFormat="0" applyBorder="0" applyAlignment="0" applyProtection="0"/>
    <xf numFmtId="0" fontId="47"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47" fillId="50" borderId="0" applyNumberFormat="0" applyBorder="0" applyAlignment="0" applyProtection="0"/>
    <xf numFmtId="0" fontId="3" fillId="0" borderId="0"/>
    <xf numFmtId="0" fontId="3" fillId="26" borderId="33" applyNumberFormat="0" applyFont="0" applyAlignment="0" applyProtection="0"/>
    <xf numFmtId="0" fontId="2" fillId="0" borderId="0"/>
    <xf numFmtId="0" fontId="2" fillId="26" borderId="33" applyNumberFormat="0" applyFont="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1" fillId="0" borderId="0"/>
    <xf numFmtId="0" fontId="48" fillId="0" borderId="0"/>
  </cellStyleXfs>
  <cellXfs count="137">
    <xf numFmtId="0" fontId="0" fillId="0" borderId="0" xfId="0"/>
    <xf numFmtId="0" fontId="20" fillId="0" borderId="0" xfId="0" applyFont="1"/>
    <xf numFmtId="43" fontId="12" fillId="0" borderId="9" xfId="1" applyFont="1" applyBorder="1"/>
    <xf numFmtId="43" fontId="12" fillId="0" borderId="10" xfId="1" applyFont="1" applyBorder="1"/>
    <xf numFmtId="0" fontId="20" fillId="0" borderId="7" xfId="0" applyFont="1" applyFill="1" applyBorder="1" applyAlignment="1">
      <alignment horizontal="center"/>
    </xf>
    <xf numFmtId="0" fontId="20" fillId="0" borderId="8" xfId="0" applyFont="1" applyFill="1" applyBorder="1" applyAlignment="1">
      <alignment horizontal="center"/>
    </xf>
    <xf numFmtId="0" fontId="12" fillId="0" borderId="0" xfId="0" applyFont="1"/>
    <xf numFmtId="43" fontId="12" fillId="0" borderId="0" xfId="1" applyFont="1"/>
    <xf numFmtId="0" fontId="12" fillId="0" borderId="16" xfId="0" applyFont="1" applyBorder="1"/>
    <xf numFmtId="0" fontId="12" fillId="0" borderId="17" xfId="0" applyFont="1" applyBorder="1"/>
    <xf numFmtId="0" fontId="12" fillId="0" borderId="18" xfId="0" applyFont="1" applyBorder="1"/>
    <xf numFmtId="43" fontId="12" fillId="0" borderId="14" xfId="1" applyFont="1" applyBorder="1"/>
    <xf numFmtId="43" fontId="12" fillId="0" borderId="19" xfId="1" applyFont="1" applyBorder="1"/>
    <xf numFmtId="43" fontId="12" fillId="0" borderId="20" xfId="1" applyFont="1" applyBorder="1"/>
    <xf numFmtId="43" fontId="12" fillId="0" borderId="21" xfId="1" applyFont="1" applyBorder="1"/>
    <xf numFmtId="43" fontId="12" fillId="0" borderId="22" xfId="1" applyFont="1" applyBorder="1"/>
    <xf numFmtId="3" fontId="22" fillId="0" borderId="0" xfId="44" applyNumberFormat="1" applyFont="1" applyFill="1" applyBorder="1" applyAlignment="1"/>
    <xf numFmtId="41" fontId="22" fillId="0" borderId="0" xfId="45" applyNumberFormat="1" applyFont="1" applyFill="1" applyBorder="1"/>
    <xf numFmtId="0" fontId="22" fillId="0" borderId="0" xfId="45" applyFont="1" applyFill="1" applyBorder="1" applyAlignment="1"/>
    <xf numFmtId="0" fontId="23" fillId="0" borderId="23" xfId="45" applyFont="1" applyFill="1" applyBorder="1" applyAlignment="1">
      <alignment horizontal="right"/>
    </xf>
    <xf numFmtId="0" fontId="24" fillId="0" borderId="0" xfId="45" applyFont="1" applyFill="1" applyBorder="1"/>
    <xf numFmtId="0" fontId="21" fillId="0" borderId="0" xfId="45"/>
    <xf numFmtId="3" fontId="23" fillId="0" borderId="0" xfId="44" applyNumberFormat="1" applyFont="1" applyFill="1" applyBorder="1" applyAlignment="1">
      <alignment horizontal="centerContinuous"/>
    </xf>
    <xf numFmtId="3" fontId="22" fillId="0" borderId="0" xfId="44" applyNumberFormat="1" applyFont="1" applyFill="1" applyBorder="1" applyAlignment="1">
      <alignment horizontal="centerContinuous"/>
    </xf>
    <xf numFmtId="41" fontId="22" fillId="0" borderId="0" xfId="45" applyNumberFormat="1" applyFont="1" applyFill="1" applyBorder="1" applyAlignment="1">
      <alignment horizontal="centerContinuous"/>
    </xf>
    <xf numFmtId="0" fontId="22" fillId="0" borderId="0" xfId="45" applyFont="1" applyFill="1" applyBorder="1" applyAlignment="1">
      <alignment horizontal="centerContinuous"/>
    </xf>
    <xf numFmtId="0" fontId="23" fillId="0" borderId="0" xfId="45" applyFont="1" applyFill="1" applyBorder="1" applyAlignment="1">
      <alignment horizontal="centerContinuous"/>
    </xf>
    <xf numFmtId="0" fontId="25" fillId="0" borderId="0" xfId="45" applyFont="1" applyFill="1" applyBorder="1" applyAlignment="1">
      <alignment horizontal="centerContinuous"/>
    </xf>
    <xf numFmtId="0" fontId="21" fillId="0" borderId="0" xfId="45" applyAlignment="1">
      <alignment horizontal="centerContinuous"/>
    </xf>
    <xf numFmtId="42" fontId="22" fillId="0" borderId="0" xfId="45" applyNumberFormat="1" applyFont="1" applyFill="1" applyBorder="1" applyAlignment="1">
      <alignment horizontal="centerContinuous"/>
    </xf>
    <xf numFmtId="0" fontId="24" fillId="0" borderId="0" xfId="45" applyFont="1" applyFill="1" applyBorder="1" applyAlignment="1">
      <alignment horizontal="centerContinuous"/>
    </xf>
    <xf numFmtId="0" fontId="23" fillId="0" borderId="0" xfId="45" applyFont="1" applyFill="1" applyBorder="1" applyAlignment="1">
      <alignment horizontal="centerContinuous" vertical="center" wrapText="1"/>
    </xf>
    <xf numFmtId="42" fontId="22" fillId="0" borderId="0" xfId="45" applyNumberFormat="1" applyFont="1" applyFill="1" applyBorder="1"/>
    <xf numFmtId="0" fontId="23" fillId="0" borderId="0" xfId="45" applyFont="1" applyFill="1" applyBorder="1" applyAlignment="1"/>
    <xf numFmtId="0" fontId="23" fillId="0" borderId="0" xfId="45" applyFont="1" applyFill="1" applyBorder="1" applyAlignment="1" applyProtection="1">
      <protection locked="0"/>
    </xf>
    <xf numFmtId="0" fontId="25" fillId="0" borderId="0" xfId="45" applyFont="1" applyFill="1" applyBorder="1"/>
    <xf numFmtId="0" fontId="23" fillId="0" borderId="0" xfId="45" applyFont="1" applyFill="1" applyBorder="1" applyAlignment="1">
      <alignment horizontal="center"/>
    </xf>
    <xf numFmtId="41" fontId="23" fillId="0" borderId="0" xfId="45" applyNumberFormat="1" applyFont="1" applyFill="1" applyBorder="1" applyAlignment="1">
      <alignment horizontal="center"/>
    </xf>
    <xf numFmtId="0" fontId="23" fillId="0" borderId="15" xfId="45" applyFont="1" applyFill="1" applyBorder="1" applyAlignment="1">
      <alignment horizontal="center"/>
    </xf>
    <xf numFmtId="0" fontId="23" fillId="0" borderId="15" xfId="45" applyFont="1" applyFill="1" applyBorder="1" applyAlignment="1" applyProtection="1">
      <protection locked="0"/>
    </xf>
    <xf numFmtId="41" fontId="23" fillId="0" borderId="15" xfId="45" applyNumberFormat="1" applyFont="1" applyFill="1" applyBorder="1" applyAlignment="1">
      <alignment horizontal="center"/>
    </xf>
    <xf numFmtId="0" fontId="22" fillId="0" borderId="0" xfId="45" applyFont="1" applyFill="1" applyBorder="1"/>
    <xf numFmtId="0" fontId="22" fillId="0" borderId="0" xfId="45" applyFont="1" applyFill="1" applyBorder="1" applyAlignment="1">
      <alignment horizontal="center"/>
    </xf>
    <xf numFmtId="0" fontId="22" fillId="0" borderId="0" xfId="46" applyNumberFormat="1" applyFont="1" applyFill="1" applyBorder="1" applyAlignment="1" applyProtection="1">
      <protection locked="0"/>
    </xf>
    <xf numFmtId="165" fontId="22" fillId="0" borderId="0" xfId="45" applyNumberFormat="1" applyFont="1" applyFill="1" applyBorder="1"/>
    <xf numFmtId="0" fontId="22" fillId="0" borderId="0" xfId="45" applyNumberFormat="1" applyFont="1" applyFill="1" applyBorder="1" applyAlignment="1" applyProtection="1">
      <protection locked="0"/>
    </xf>
    <xf numFmtId="41" fontId="22" fillId="0" borderId="15" xfId="45" applyNumberFormat="1" applyFont="1" applyFill="1" applyBorder="1"/>
    <xf numFmtId="165" fontId="22" fillId="0" borderId="15" xfId="45" applyNumberFormat="1" applyFont="1" applyFill="1" applyBorder="1"/>
    <xf numFmtId="41" fontId="22" fillId="0" borderId="0" xfId="46" applyNumberFormat="1" applyFont="1" applyFill="1" applyBorder="1" applyProtection="1">
      <protection locked="0"/>
    </xf>
    <xf numFmtId="165" fontId="25" fillId="0" borderId="0" xfId="45" applyNumberFormat="1" applyFont="1" applyFill="1" applyBorder="1"/>
    <xf numFmtId="0" fontId="22" fillId="0" borderId="0" xfId="45" applyFont="1" applyFill="1" applyBorder="1" applyAlignment="1">
      <alignment horizontal="left"/>
    </xf>
    <xf numFmtId="41" fontId="22" fillId="0" borderId="0" xfId="45" applyNumberFormat="1" applyFont="1" applyFill="1" applyBorder="1" applyAlignment="1"/>
    <xf numFmtId="9" fontId="22" fillId="0" borderId="0" xfId="45" applyNumberFormat="1" applyFont="1" applyFill="1" applyBorder="1" applyAlignment="1">
      <alignment horizontal="center"/>
    </xf>
    <xf numFmtId="41" fontId="22" fillId="0" borderId="0" xfId="45" applyNumberFormat="1" applyFont="1" applyFill="1" applyBorder="1" applyAlignment="1" applyProtection="1">
      <protection locked="0"/>
    </xf>
    <xf numFmtId="42" fontId="22" fillId="0" borderId="24" xfId="45" applyNumberFormat="1" applyFont="1" applyFill="1" applyBorder="1" applyAlignment="1"/>
    <xf numFmtId="0" fontId="21" fillId="0" borderId="0" xfId="45" applyFill="1"/>
    <xf numFmtId="165" fontId="22" fillId="0" borderId="0" xfId="44" applyNumberFormat="1" applyFont="1" applyFill="1" applyBorder="1"/>
    <xf numFmtId="166" fontId="0" fillId="0" borderId="0" xfId="44" applyNumberFormat="1" applyFont="1" applyFill="1"/>
    <xf numFmtId="165" fontId="22" fillId="0" borderId="15" xfId="44" applyNumberFormat="1" applyFont="1" applyFill="1" applyBorder="1"/>
    <xf numFmtId="165" fontId="22" fillId="0" borderId="0" xfId="44" applyNumberFormat="1" applyFont="1" applyFill="1" applyBorder="1" applyProtection="1">
      <protection locked="0"/>
    </xf>
    <xf numFmtId="165" fontId="25" fillId="0" borderId="0" xfId="44" applyNumberFormat="1" applyFont="1" applyFill="1" applyBorder="1"/>
    <xf numFmtId="166" fontId="0" fillId="0" borderId="0" xfId="44" applyNumberFormat="1" applyFont="1"/>
    <xf numFmtId="165" fontId="22" fillId="0" borderId="0" xfId="44" applyNumberFormat="1" applyFont="1" applyFill="1" applyBorder="1" applyAlignment="1"/>
    <xf numFmtId="165" fontId="22" fillId="0" borderId="0" xfId="44" applyNumberFormat="1" applyFont="1" applyFill="1" applyBorder="1" applyAlignment="1" applyProtection="1">
      <protection locked="0"/>
    </xf>
    <xf numFmtId="165" fontId="22" fillId="0" borderId="24" xfId="44" applyNumberFormat="1" applyFont="1" applyFill="1" applyBorder="1" applyAlignment="1"/>
    <xf numFmtId="166" fontId="22" fillId="0" borderId="0" xfId="44" applyNumberFormat="1" applyFont="1" applyFill="1" applyBorder="1"/>
    <xf numFmtId="166" fontId="25" fillId="0" borderId="0" xfId="44" applyNumberFormat="1" applyFont="1" applyFill="1" applyBorder="1"/>
    <xf numFmtId="0" fontId="27" fillId="0" borderId="0" xfId="45" applyFont="1" applyFill="1" applyAlignment="1">
      <alignment horizontal="centerContinuous"/>
    </xf>
    <xf numFmtId="0" fontId="21" fillId="0" borderId="0" xfId="45" applyFill="1" applyAlignment="1">
      <alignment horizontal="centerContinuous"/>
    </xf>
    <xf numFmtId="0" fontId="21" fillId="0" borderId="0" xfId="45" applyFill="1" applyAlignment="1"/>
    <xf numFmtId="0" fontId="21" fillId="0" borderId="0" xfId="45" applyFill="1" applyAlignment="1">
      <alignment horizontal="left"/>
    </xf>
    <xf numFmtId="0" fontId="21" fillId="0" borderId="0" xfId="45" applyFill="1" applyAlignment="1">
      <alignment horizontal="center"/>
    </xf>
    <xf numFmtId="0" fontId="28" fillId="0" borderId="0" xfId="47" applyFont="1" applyFill="1" applyAlignment="1">
      <alignment horizontal="right"/>
    </xf>
    <xf numFmtId="42" fontId="28" fillId="0" borderId="13" xfId="47" applyNumberFormat="1" applyFont="1" applyFill="1" applyBorder="1" applyProtection="1">
      <protection locked="0"/>
    </xf>
    <xf numFmtId="0" fontId="28" fillId="0" borderId="13" xfId="47" applyFont="1" applyFill="1" applyBorder="1" applyAlignment="1" applyProtection="1">
      <alignment horizontal="center"/>
      <protection locked="0"/>
    </xf>
    <xf numFmtId="0" fontId="27" fillId="0" borderId="0" xfId="45" applyFont="1" applyFill="1"/>
    <xf numFmtId="167" fontId="28" fillId="0" borderId="25" xfId="47" applyNumberFormat="1" applyFont="1" applyFill="1" applyBorder="1"/>
    <xf numFmtId="167" fontId="28" fillId="0" borderId="11" xfId="47" applyNumberFormat="1" applyFont="1" applyFill="1" applyBorder="1"/>
    <xf numFmtId="0" fontId="28" fillId="0" borderId="14" xfId="47" applyFont="1" applyFill="1" applyBorder="1"/>
    <xf numFmtId="0" fontId="21" fillId="0" borderId="0" xfId="45" applyFill="1" applyAlignment="1">
      <alignment horizontal="right"/>
    </xf>
    <xf numFmtId="167" fontId="28" fillId="0" borderId="13" xfId="47" applyNumberFormat="1" applyFont="1" applyFill="1" applyBorder="1" applyAlignment="1">
      <alignment horizontal="center"/>
    </xf>
    <xf numFmtId="167" fontId="28" fillId="0" borderId="13" xfId="47" applyNumberFormat="1" applyFont="1" applyFill="1" applyBorder="1"/>
    <xf numFmtId="44" fontId="28" fillId="0" borderId="13" xfId="47" applyNumberFormat="1" applyFont="1" applyFill="1" applyBorder="1"/>
    <xf numFmtId="0" fontId="31" fillId="0" borderId="13" xfId="47" applyFont="1" applyFill="1" applyBorder="1" applyAlignment="1">
      <alignment horizontal="center"/>
    </xf>
    <xf numFmtId="0" fontId="32" fillId="0" borderId="13" xfId="47" applyFont="1" applyFill="1" applyBorder="1" applyAlignment="1">
      <alignment horizontal="center"/>
    </xf>
    <xf numFmtId="44" fontId="28" fillId="0" borderId="13" xfId="47" applyNumberFormat="1" applyFont="1" applyFill="1" applyBorder="1" applyProtection="1">
      <protection locked="0"/>
    </xf>
    <xf numFmtId="1" fontId="28" fillId="0" borderId="13" xfId="47" applyNumberFormat="1" applyFont="1" applyFill="1" applyBorder="1" applyProtection="1">
      <protection locked="0"/>
    </xf>
    <xf numFmtId="43" fontId="0" fillId="0" borderId="0" xfId="44" applyFont="1" applyFill="1"/>
    <xf numFmtId="0" fontId="21" fillId="0" borderId="0" xfId="45" applyFill="1" applyAlignment="1">
      <alignment wrapText="1"/>
    </xf>
    <xf numFmtId="43" fontId="27" fillId="0" borderId="0" xfId="44" applyFont="1" applyFill="1"/>
    <xf numFmtId="168" fontId="28" fillId="0" borderId="0" xfId="48" applyNumberFormat="1" applyFont="1" applyFill="1" applyAlignment="1">
      <alignment horizontal="left"/>
    </xf>
    <xf numFmtId="165" fontId="12" fillId="0" borderId="0" xfId="44" applyNumberFormat="1" applyFont="1" applyFill="1" applyAlignment="1">
      <alignment horizontal="right"/>
    </xf>
    <xf numFmtId="165" fontId="21" fillId="0" borderId="24" xfId="45" applyNumberFormat="1" applyFill="1" applyBorder="1"/>
    <xf numFmtId="0" fontId="21" fillId="0" borderId="0" xfId="45" applyFill="1" applyBorder="1"/>
    <xf numFmtId="10" fontId="20" fillId="0" borderId="0" xfId="0" applyNumberFormat="1" applyFont="1" applyFill="1"/>
    <xf numFmtId="0" fontId="6" fillId="3" borderId="1" xfId="25" applyNumberFormat="1" applyAlignment="1"/>
    <xf numFmtId="0" fontId="5" fillId="2" borderId="1" xfId="2" applyNumberFormat="1" applyBorder="1" applyAlignment="1"/>
    <xf numFmtId="0" fontId="6" fillId="3" borderId="1" xfId="25" applyNumberFormat="1" applyBorder="1" applyAlignment="1"/>
    <xf numFmtId="0" fontId="5" fillId="2" borderId="35" xfId="26" applyNumberFormat="1" applyBorder="1" applyAlignment="1"/>
    <xf numFmtId="169" fontId="6" fillId="0" borderId="36" xfId="3" applyNumberFormat="1" applyBorder="1">
      <alignment horizontal="right" vertical="center"/>
    </xf>
    <xf numFmtId="169" fontId="5" fillId="0" borderId="37" xfId="4" applyNumberFormat="1" applyBorder="1">
      <alignment horizontal="right" vertical="center"/>
    </xf>
    <xf numFmtId="0" fontId="5" fillId="2" borderId="37" xfId="26" applyNumberFormat="1" applyBorder="1" applyAlignment="1"/>
    <xf numFmtId="0" fontId="5" fillId="2" borderId="1" xfId="2" quotePrefix="1" applyNumberFormat="1" applyBorder="1" applyAlignment="1"/>
    <xf numFmtId="0" fontId="6" fillId="3" borderId="1" xfId="25" quotePrefix="1" applyNumberFormat="1" applyBorder="1" applyAlignment="1"/>
    <xf numFmtId="0" fontId="6" fillId="3" borderId="1" xfId="25" quotePrefix="1" applyNumberFormat="1" applyBorder="1" applyAlignment="1">
      <alignment horizontal="right"/>
    </xf>
    <xf numFmtId="0" fontId="6" fillId="3" borderId="1" xfId="25" quotePrefix="1" applyNumberFormat="1" applyAlignment="1"/>
    <xf numFmtId="169" fontId="5" fillId="0" borderId="39" xfId="4" applyNumberFormat="1" applyBorder="1">
      <alignment horizontal="right" vertical="center"/>
    </xf>
    <xf numFmtId="0" fontId="5" fillId="2" borderId="39" xfId="26" quotePrefix="1" applyNumberFormat="1" applyBorder="1" applyAlignment="1"/>
    <xf numFmtId="0" fontId="5" fillId="2" borderId="38" xfId="26" quotePrefix="1" applyNumberFormat="1" applyBorder="1" applyAlignment="1"/>
    <xf numFmtId="0" fontId="26" fillId="0" borderId="0" xfId="41" applyFont="1" applyFill="1" applyAlignment="1">
      <alignment vertical="top"/>
    </xf>
    <xf numFmtId="0" fontId="20" fillId="0" borderId="0" xfId="0" applyFont="1" applyFill="1"/>
    <xf numFmtId="0" fontId="12" fillId="0" borderId="0" xfId="0" applyFont="1" applyFill="1"/>
    <xf numFmtId="0" fontId="20" fillId="0" borderId="12" xfId="0" applyFont="1" applyFill="1" applyBorder="1" applyAlignment="1">
      <alignment horizontal="center"/>
    </xf>
    <xf numFmtId="0" fontId="20" fillId="0" borderId="11" xfId="0" applyFont="1" applyFill="1" applyBorder="1" applyAlignment="1">
      <alignment horizontal="center"/>
    </xf>
    <xf numFmtId="0" fontId="12" fillId="0" borderId="12" xfId="0" applyFont="1" applyFill="1" applyBorder="1" applyAlignment="1">
      <alignment horizontal="center"/>
    </xf>
    <xf numFmtId="0" fontId="12" fillId="0" borderId="12" xfId="0" applyFont="1" applyFill="1" applyBorder="1"/>
    <xf numFmtId="0" fontId="26" fillId="51" borderId="0" xfId="41" applyFont="1" applyFill="1" applyAlignment="1">
      <alignment vertical="top"/>
    </xf>
    <xf numFmtId="0" fontId="20" fillId="51" borderId="0" xfId="0" applyFont="1" applyFill="1"/>
    <xf numFmtId="168" fontId="12" fillId="0" borderId="0" xfId="0" applyNumberFormat="1" applyFont="1" applyFill="1" applyAlignment="1">
      <alignment horizontal="left"/>
    </xf>
    <xf numFmtId="169" fontId="0" fillId="0" borderId="0" xfId="0" applyNumberFormat="1"/>
    <xf numFmtId="0" fontId="20" fillId="0" borderId="9" xfId="0" applyFont="1" applyFill="1" applyBorder="1" applyAlignment="1">
      <alignment horizontal="center"/>
    </xf>
    <xf numFmtId="0" fontId="20" fillId="0" borderId="10" xfId="0" applyFont="1" applyFill="1" applyBorder="1" applyAlignment="1">
      <alignment horizontal="center"/>
    </xf>
    <xf numFmtId="169" fontId="6" fillId="0" borderId="40" xfId="3" applyNumberFormat="1" applyBorder="1">
      <alignment horizontal="right" vertical="center"/>
    </xf>
    <xf numFmtId="0" fontId="19" fillId="0" borderId="0" xfId="41" applyAlignment="1">
      <alignment vertical="top"/>
    </xf>
    <xf numFmtId="14" fontId="19" fillId="52" borderId="13" xfId="41" applyNumberFormat="1" applyFill="1" applyBorder="1" applyAlignment="1">
      <alignment horizontal="right" vertical="top"/>
    </xf>
    <xf numFmtId="0" fontId="19" fillId="52" borderId="13" xfId="41" applyFill="1" applyBorder="1" applyAlignment="1">
      <alignment vertical="top"/>
    </xf>
    <xf numFmtId="4" fontId="19" fillId="52" borderId="13" xfId="41" applyNumberFormat="1" applyFill="1" applyBorder="1" applyAlignment="1">
      <alignment horizontal="right" vertical="top"/>
    </xf>
    <xf numFmtId="14" fontId="19" fillId="0" borderId="0" xfId="41" applyNumberFormat="1" applyAlignment="1">
      <alignment horizontal="right" vertical="top"/>
    </xf>
    <xf numFmtId="4" fontId="19" fillId="0" borderId="0" xfId="41" applyNumberFormat="1" applyAlignment="1">
      <alignment horizontal="right" vertical="top"/>
    </xf>
    <xf numFmtId="0" fontId="19" fillId="53" borderId="13" xfId="41" applyFill="1" applyBorder="1" applyAlignment="1">
      <alignment vertical="top"/>
    </xf>
    <xf numFmtId="0" fontId="19" fillId="53" borderId="13" xfId="41" applyFill="1" applyBorder="1" applyAlignment="1">
      <alignment vertical="top" wrapText="1"/>
    </xf>
    <xf numFmtId="0" fontId="19" fillId="19" borderId="0" xfId="41" applyFill="1" applyAlignment="1">
      <alignment vertical="top"/>
    </xf>
    <xf numFmtId="0" fontId="19" fillId="54" borderId="0" xfId="41" applyFill="1" applyAlignment="1">
      <alignment vertical="top"/>
    </xf>
    <xf numFmtId="4" fontId="19" fillId="54" borderId="0" xfId="41" applyNumberFormat="1" applyFill="1" applyAlignment="1">
      <alignment horizontal="right" vertical="top"/>
    </xf>
    <xf numFmtId="14" fontId="19" fillId="54" borderId="0" xfId="41" applyNumberFormat="1" applyFill="1" applyAlignment="1">
      <alignment horizontal="right" vertical="top"/>
    </xf>
    <xf numFmtId="43" fontId="12" fillId="0" borderId="9" xfId="1" applyFont="1" applyFill="1" applyBorder="1"/>
    <xf numFmtId="0" fontId="19" fillId="0" borderId="0" xfId="41" applyFill="1" applyAlignment="1">
      <alignment vertical="top"/>
    </xf>
  </cellXfs>
  <cellStyles count="107">
    <cellStyle name="20% - Accent1" xfId="66" builtinId="30" customBuiltin="1"/>
    <cellStyle name="20% - Accent1 2" xfId="93"/>
    <cellStyle name="20% - Accent2" xfId="70" builtinId="34" customBuiltin="1"/>
    <cellStyle name="20% - Accent2 2" xfId="95"/>
    <cellStyle name="20% - Accent3" xfId="74" builtinId="38" customBuiltin="1"/>
    <cellStyle name="20% - Accent3 2" xfId="97"/>
    <cellStyle name="20% - Accent4" xfId="78" builtinId="42" customBuiltin="1"/>
    <cellStyle name="20% - Accent4 2" xfId="99"/>
    <cellStyle name="20% - Accent5" xfId="82" builtinId="46" customBuiltin="1"/>
    <cellStyle name="20% - Accent5 2" xfId="101"/>
    <cellStyle name="20% - Accent6" xfId="86" builtinId="50" customBuiltin="1"/>
    <cellStyle name="20% - Accent6 2" xfId="103"/>
    <cellStyle name="40% - Accent1" xfId="67" builtinId="31" customBuiltin="1"/>
    <cellStyle name="40% - Accent1 2" xfId="94"/>
    <cellStyle name="40% - Accent2" xfId="71" builtinId="35" customBuiltin="1"/>
    <cellStyle name="40% - Accent2 2" xfId="96"/>
    <cellStyle name="40% - Accent3" xfId="75" builtinId="39" customBuiltin="1"/>
    <cellStyle name="40% - Accent3 2" xfId="98"/>
    <cellStyle name="40% - Accent4" xfId="79" builtinId="43" customBuiltin="1"/>
    <cellStyle name="40% - Accent4 2" xfId="100"/>
    <cellStyle name="40% - Accent5" xfId="83" builtinId="47" customBuiltin="1"/>
    <cellStyle name="40% - Accent5 2" xfId="102"/>
    <cellStyle name="40% - Accent6" xfId="87" builtinId="51" customBuiltin="1"/>
    <cellStyle name="40% - Accent6 2" xfId="104"/>
    <cellStyle name="60% - Accent1" xfId="68" builtinId="32" customBuiltin="1"/>
    <cellStyle name="60% - Accent2" xfId="72" builtinId="36" customBuiltin="1"/>
    <cellStyle name="60% - Accent3" xfId="76" builtinId="40" customBuiltin="1"/>
    <cellStyle name="60% - Accent4" xfId="80" builtinId="44" customBuiltin="1"/>
    <cellStyle name="60% - Accent5" xfId="84" builtinId="48" customBuiltin="1"/>
    <cellStyle name="60% - Accent6" xfId="88" builtinId="52" customBuiltin="1"/>
    <cellStyle name="Accent1" xfId="65" builtinId="29" customBuiltin="1"/>
    <cellStyle name="Accent2" xfId="69" builtinId="33" customBuiltin="1"/>
    <cellStyle name="Accent3" xfId="73" builtinId="37" customBuiltin="1"/>
    <cellStyle name="Accent4" xfId="77" builtinId="41" customBuiltin="1"/>
    <cellStyle name="Accent5" xfId="81" builtinId="45" customBuiltin="1"/>
    <cellStyle name="Accent6" xfId="85" builtinId="49" customBuiltin="1"/>
    <cellStyle name="Bad" xfId="55" builtinId="27" customBuiltin="1"/>
    <cellStyle name="Calculation" xfId="59" builtinId="22" customBuiltin="1"/>
    <cellStyle name="Check Cell" xfId="61" builtinId="23" customBuiltin="1"/>
    <cellStyle name="Comma" xfId="1" builtinId="3"/>
    <cellStyle name="Comma 2" xfId="42"/>
    <cellStyle name="Comma 3" xfId="44"/>
    <cellStyle name="Currency 2" xfId="46"/>
    <cellStyle name="Explanatory Text" xfId="63" builtinId="53" customBuiltin="1"/>
    <cellStyle name="Good" xfId="54" builtinId="26" customBuiltin="1"/>
    <cellStyle name="Heading 1" xfId="50" builtinId="16" customBuiltin="1"/>
    <cellStyle name="Heading 2" xfId="51" builtinId="17" customBuiltin="1"/>
    <cellStyle name="Heading 3" xfId="52" builtinId="18" customBuiltin="1"/>
    <cellStyle name="Heading 4" xfId="53" builtinId="19" customBuiltin="1"/>
    <cellStyle name="Input" xfId="57" builtinId="20" customBuiltin="1"/>
    <cellStyle name="Linked Cell" xfId="60" builtinId="24" customBuiltin="1"/>
    <cellStyle name="Neutral" xfId="56" builtinId="28" customBuiltin="1"/>
    <cellStyle name="Normal" xfId="0" builtinId="0"/>
    <cellStyle name="Normal 2" xfId="41"/>
    <cellStyle name="Normal 2 2" xfId="47"/>
    <cellStyle name="Normal 3" xfId="45"/>
    <cellStyle name="Normal 4" xfId="89"/>
    <cellStyle name="Normal 48" xfId="43"/>
    <cellStyle name="Normal 5" xfId="91"/>
    <cellStyle name="Normal 6" xfId="105"/>
    <cellStyle name="Normal 7" xfId="106"/>
    <cellStyle name="Normal_Detail" xfId="48"/>
    <cellStyle name="Note 2" xfId="90"/>
    <cellStyle name="Note 3" xfId="92"/>
    <cellStyle name="Output" xfId="58" builtinId="21" customBuiltin="1"/>
    <cellStyle name="SAPBorder" xfId="21"/>
    <cellStyle name="SAPDataCell" xfId="3"/>
    <cellStyle name="SAPDataRemoved" xfId="22"/>
    <cellStyle name="SAPDataTotalCell" xfId="4"/>
    <cellStyle name="SAPDimensionCell" xfId="2"/>
    <cellStyle name="SAPEditableDataCell" xfId="6"/>
    <cellStyle name="SAPEditableDataTotalCell" xfId="9"/>
    <cellStyle name="SAPEmphasized" xfId="32"/>
    <cellStyle name="SAPEmphasizedEditableDataCell" xfId="34"/>
    <cellStyle name="SAPEmphasizedEditableDataTotalCell" xfId="35"/>
    <cellStyle name="SAPEmphasizedLockedDataCell" xfId="38"/>
    <cellStyle name="SAPEmphasizedLockedDataTotalCell" xfId="39"/>
    <cellStyle name="SAPEmphasizedReadonlyDataCell" xfId="36"/>
    <cellStyle name="SAPEmphasizedReadonlyDataTotalCell" xfId="37"/>
    <cellStyle name="SAPEmphasizedTotal" xfId="33"/>
    <cellStyle name="SAPError" xfId="23"/>
    <cellStyle name="SAPExceptionLevel1" xfId="12"/>
    <cellStyle name="SAPExceptionLevel2" xfId="13"/>
    <cellStyle name="SAPExceptionLevel3" xfId="14"/>
    <cellStyle name="SAPExceptionLevel4" xfId="15"/>
    <cellStyle name="SAPExceptionLevel5" xfId="16"/>
    <cellStyle name="SAPExceptionLevel6" xfId="17"/>
    <cellStyle name="SAPExceptionLevel7" xfId="18"/>
    <cellStyle name="SAPExceptionLevel8" xfId="19"/>
    <cellStyle name="SAPExceptionLevel9" xfId="20"/>
    <cellStyle name="SAPFormula" xfId="40"/>
    <cellStyle name="SAPGroupingFillCell" xfId="5"/>
    <cellStyle name="SAPHierarchyCell0" xfId="27"/>
    <cellStyle name="SAPHierarchyCell1" xfId="28"/>
    <cellStyle name="SAPHierarchyCell2" xfId="29"/>
    <cellStyle name="SAPHierarchyCell3" xfId="30"/>
    <cellStyle name="SAPHierarchyCell4" xfId="31"/>
    <cellStyle name="SAPLockedDataCell" xfId="8"/>
    <cellStyle name="SAPLockedDataTotalCell" xfId="11"/>
    <cellStyle name="SAPMemberCell" xfId="25"/>
    <cellStyle name="SAPMemberTotalCell" xfId="26"/>
    <cellStyle name="SAPMessageText" xfId="24"/>
    <cellStyle name="SAPReadonlyDataCell" xfId="7"/>
    <cellStyle name="SAPReadonlyDataTotalCell" xfId="10"/>
    <cellStyle name="Title" xfId="49" builtinId="15" customBuiltin="1"/>
    <cellStyle name="Total" xfId="64" builtinId="25" customBuiltin="1"/>
    <cellStyle name="Warning Text" xfId="6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60960</xdr:colOff>
      <xdr:row>89</xdr:row>
      <xdr:rowOff>76200</xdr:rowOff>
    </xdr:from>
    <xdr:to>
      <xdr:col>6</xdr:col>
      <xdr:colOff>647585</xdr:colOff>
      <xdr:row>108</xdr:row>
      <xdr:rowOff>1570</xdr:rowOff>
    </xdr:to>
    <xdr:pic>
      <xdr:nvPicPr>
        <xdr:cNvPr id="4" name="Picture 3"/>
        <xdr:cNvPicPr>
          <a:picLocks noChangeAspect="1"/>
        </xdr:cNvPicPr>
      </xdr:nvPicPr>
      <xdr:blipFill>
        <a:blip xmlns:r="http://schemas.openxmlformats.org/officeDocument/2006/relationships" r:embed="rId1"/>
        <a:stretch>
          <a:fillRect/>
        </a:stretch>
      </xdr:blipFill>
      <xdr:spPr>
        <a:xfrm>
          <a:off x="60960" y="8343900"/>
          <a:ext cx="6000000" cy="26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70556</xdr:colOff>
      <xdr:row>36</xdr:row>
      <xdr:rowOff>34828</xdr:rowOff>
    </xdr:from>
    <xdr:to>
      <xdr:col>14</xdr:col>
      <xdr:colOff>3047294</xdr:colOff>
      <xdr:row>79</xdr:row>
      <xdr:rowOff>69881</xdr:rowOff>
    </xdr:to>
    <xdr:pic>
      <xdr:nvPicPr>
        <xdr:cNvPr id="2" name="Picture 1"/>
        <xdr:cNvPicPr>
          <a:picLocks noChangeAspect="1"/>
        </xdr:cNvPicPr>
      </xdr:nvPicPr>
      <xdr:blipFill>
        <a:blip xmlns:r="http://schemas.openxmlformats.org/officeDocument/2006/relationships" r:embed="rId1"/>
        <a:stretch>
          <a:fillRect/>
        </a:stretch>
      </xdr:blipFill>
      <xdr:spPr>
        <a:xfrm>
          <a:off x="2448278" y="6511828"/>
          <a:ext cx="16862072" cy="70129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31750</xdr:colOff>
      <xdr:row>0</xdr:row>
      <xdr:rowOff>0</xdr:rowOff>
    </xdr:from>
    <xdr:to>
      <xdr:col>25</xdr:col>
      <xdr:colOff>285750</xdr:colOff>
      <xdr:row>29</xdr:row>
      <xdr:rowOff>57150</xdr:rowOff>
    </xdr:to>
    <xdr:pic>
      <xdr:nvPicPr>
        <xdr:cNvPr id="3" name="Picture 2"/>
        <xdr:cNvPicPr>
          <a:picLocks noChangeAspect="1"/>
        </xdr:cNvPicPr>
      </xdr:nvPicPr>
      <xdr:blipFill>
        <a:blip xmlns:r="http://schemas.openxmlformats.org/officeDocument/2006/relationships" r:embed="rId1"/>
        <a:stretch>
          <a:fillRect/>
        </a:stretch>
      </xdr:blipFill>
      <xdr:spPr>
        <a:xfrm>
          <a:off x="5651500" y="0"/>
          <a:ext cx="10414000" cy="4292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20Income%20Statement%20Dec%202024%20CB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Allocated (CBR)"/>
      <sheetName val="Unallocated Summary (CBR)"/>
      <sheetName val="Unallocated Detail (CBR)"/>
      <sheetName val="Common by Account (CBR)"/>
      <sheetName val="==&gt;"/>
      <sheetName val="Allocators (CBR)"/>
      <sheetName val="FM"/>
      <sheetName val="FERC 9496000"/>
      <sheetName val="Topsides Q4 24"/>
    </sheetNames>
    <sheetDataSet>
      <sheetData sheetId="0"/>
      <sheetData sheetId="1">
        <row r="9">
          <cell r="B9">
            <v>3002846860.5500002</v>
          </cell>
          <cell r="C9">
            <v>1253115807.6500001</v>
          </cell>
        </row>
      </sheetData>
      <sheetData sheetId="2"/>
      <sheetData sheetId="3">
        <row r="29">
          <cell r="B29">
            <v>-2261.94</v>
          </cell>
        </row>
        <row r="30">
          <cell r="B30">
            <v>18751716.120000001</v>
          </cell>
        </row>
        <row r="31">
          <cell r="B31">
            <v>18853928.699999999</v>
          </cell>
        </row>
        <row r="32">
          <cell r="B32">
            <v>-12669159.279999999</v>
          </cell>
        </row>
      </sheetData>
      <sheetData sheetId="4"/>
      <sheetData sheetId="5"/>
      <sheetData sheetId="6">
        <row r="70">
          <cell r="F70">
            <v>0.66269999999999996</v>
          </cell>
          <cell r="G70">
            <v>0.33729999999999999</v>
          </cell>
        </row>
      </sheetData>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customProperty" Target="../customProperty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3.bin"/><Relationship Id="rId4"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customProperty" Target="../customProperty8.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0.bin"/><Relationship Id="rId1" Type="http://schemas.openxmlformats.org/officeDocument/2006/relationships/customProperty" Target="../customProperty9.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 x14ac:dyDescent="0.2"/>
  <sheetData/>
  <pageMargins left="0.7" right="0.7" top="0.75" bottom="0.75" header="0.3" footer="0.3"/>
  <customProperties>
    <customPr name="_pios_id" r:id="rId1"/>
    <customPr name="CofWorksheetType" r:id="rId2"/>
    <customPr name="serializedData2"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9"/>
  <sheetViews>
    <sheetView tabSelected="1" workbookViewId="0">
      <selection activeCell="B36" sqref="B36"/>
    </sheetView>
  </sheetViews>
  <sheetFormatPr defaultColWidth="9.1640625" defaultRowHeight="15" x14ac:dyDescent="0.25"/>
  <cols>
    <col min="1" max="1" width="9.1640625" style="21"/>
    <col min="2" max="2" width="72.83203125" style="21" customWidth="1"/>
    <col min="3" max="3" width="15.83203125" style="21" bestFit="1" customWidth="1"/>
    <col min="4" max="4" width="18.5" style="21" bestFit="1" customWidth="1"/>
    <col min="5" max="5" width="17.5" style="21" bestFit="1" customWidth="1"/>
    <col min="6" max="16384" width="9.1640625" style="21"/>
  </cols>
  <sheetData>
    <row r="1" spans="1:6" ht="16.5" thickTop="1" thickBot="1" x14ac:dyDescent="0.3">
      <c r="A1" s="16"/>
      <c r="B1" s="16"/>
      <c r="C1" s="17"/>
      <c r="D1" s="18"/>
      <c r="E1" s="19" t="s">
        <v>27</v>
      </c>
      <c r="F1" s="20"/>
    </row>
    <row r="2" spans="1:6" ht="15.75" thickTop="1" x14ac:dyDescent="0.25">
      <c r="A2" s="22" t="s">
        <v>28</v>
      </c>
      <c r="B2" s="23"/>
      <c r="C2" s="24"/>
      <c r="D2" s="25"/>
      <c r="E2" s="26"/>
      <c r="F2" s="20"/>
    </row>
    <row r="3" spans="1:6" x14ac:dyDescent="0.25">
      <c r="A3" s="26" t="s">
        <v>29</v>
      </c>
      <c r="B3" s="26"/>
      <c r="C3" s="24"/>
      <c r="D3" s="27"/>
      <c r="E3" s="28"/>
      <c r="F3" s="20"/>
    </row>
    <row r="4" spans="1:6" x14ac:dyDescent="0.25">
      <c r="A4" s="22" t="s">
        <v>195</v>
      </c>
      <c r="B4" s="23"/>
      <c r="C4" s="29"/>
      <c r="D4" s="30"/>
      <c r="E4" s="30"/>
      <c r="F4" s="20"/>
    </row>
    <row r="5" spans="1:6" x14ac:dyDescent="0.25">
      <c r="A5" s="22" t="s">
        <v>196</v>
      </c>
      <c r="B5" s="31"/>
      <c r="C5" s="29"/>
      <c r="D5" s="30"/>
      <c r="E5" s="30"/>
      <c r="F5" s="20"/>
    </row>
    <row r="6" spans="1:6" x14ac:dyDescent="0.25">
      <c r="A6" s="16"/>
      <c r="B6" s="31"/>
      <c r="C6" s="32"/>
      <c r="D6" s="20"/>
      <c r="E6" s="20"/>
      <c r="F6" s="20"/>
    </row>
    <row r="7" spans="1:6" x14ac:dyDescent="0.25">
      <c r="A7" s="16"/>
      <c r="B7" s="31"/>
      <c r="C7" s="32"/>
      <c r="D7" s="20"/>
      <c r="E7" s="20"/>
      <c r="F7" s="20"/>
    </row>
    <row r="8" spans="1:6" x14ac:dyDescent="0.25">
      <c r="A8" s="33"/>
      <c r="B8" s="34"/>
      <c r="C8" s="17"/>
      <c r="D8" s="35"/>
      <c r="E8" s="35"/>
      <c r="F8" s="20"/>
    </row>
    <row r="9" spans="1:6" x14ac:dyDescent="0.25">
      <c r="A9" s="36" t="s">
        <v>30</v>
      </c>
      <c r="B9" s="33"/>
      <c r="C9" s="37"/>
      <c r="D9" s="35"/>
      <c r="E9" s="35"/>
      <c r="F9" s="20"/>
    </row>
    <row r="10" spans="1:6" x14ac:dyDescent="0.25">
      <c r="A10" s="38" t="s">
        <v>31</v>
      </c>
      <c r="B10" s="39" t="s">
        <v>32</v>
      </c>
      <c r="C10" s="40" t="s">
        <v>33</v>
      </c>
      <c r="D10" s="38" t="s">
        <v>34</v>
      </c>
      <c r="E10" s="38" t="s">
        <v>35</v>
      </c>
      <c r="F10" s="20"/>
    </row>
    <row r="11" spans="1:6" x14ac:dyDescent="0.25">
      <c r="A11" s="18"/>
      <c r="B11" s="18"/>
      <c r="C11" s="17"/>
      <c r="D11" s="35"/>
      <c r="E11" s="41"/>
      <c r="F11" s="20"/>
    </row>
    <row r="12" spans="1:6" x14ac:dyDescent="0.25">
      <c r="A12" s="42">
        <v>1</v>
      </c>
      <c r="B12" s="43" t="s">
        <v>36</v>
      </c>
      <c r="C12" s="17">
        <f>'Excise Tax '!F43</f>
        <v>117866477.056072</v>
      </c>
      <c r="D12" s="44">
        <f>'Excise Tax '!J43</f>
        <v>116914158.32606</v>
      </c>
      <c r="E12" s="44">
        <f>D12-C12</f>
        <v>-952318.73001199961</v>
      </c>
      <c r="F12" s="20"/>
    </row>
    <row r="13" spans="1:6" x14ac:dyDescent="0.25">
      <c r="A13" s="42">
        <v>2</v>
      </c>
      <c r="B13" s="45" t="s">
        <v>37</v>
      </c>
      <c r="C13" s="46">
        <f>'Filing Fees TY'!D15</f>
        <v>15183980.140000001</v>
      </c>
      <c r="D13" s="47">
        <f>'E Filing Fee Restated'!F38</f>
        <v>12110974.3366</v>
      </c>
      <c r="E13" s="47">
        <f>D13-C13</f>
        <v>-3073005.8034000006</v>
      </c>
      <c r="F13" s="20"/>
    </row>
    <row r="14" spans="1:6" x14ac:dyDescent="0.25">
      <c r="A14" s="42">
        <v>3</v>
      </c>
      <c r="B14" s="43" t="s">
        <v>38</v>
      </c>
      <c r="C14" s="48">
        <f>C12+C13</f>
        <v>133050457.196072</v>
      </c>
      <c r="D14" s="48">
        <f>D12+D13</f>
        <v>129025132.66266</v>
      </c>
      <c r="E14" s="48">
        <f>E12+E13</f>
        <v>-4025324.5334120002</v>
      </c>
      <c r="F14" s="20"/>
    </row>
    <row r="15" spans="1:6" x14ac:dyDescent="0.25">
      <c r="A15" s="42">
        <v>4</v>
      </c>
      <c r="B15" s="43"/>
      <c r="C15" s="17"/>
      <c r="D15" s="49"/>
      <c r="E15" s="49"/>
      <c r="F15" s="20"/>
    </row>
    <row r="16" spans="1:6" x14ac:dyDescent="0.25">
      <c r="A16" s="42">
        <v>5</v>
      </c>
      <c r="B16" s="50" t="s">
        <v>39</v>
      </c>
      <c r="C16" s="17"/>
      <c r="D16" s="49"/>
      <c r="E16" s="51">
        <f>E14</f>
        <v>-4025324.5334120002</v>
      </c>
      <c r="F16" s="20"/>
    </row>
    <row r="17" spans="1:6" x14ac:dyDescent="0.25">
      <c r="A17" s="42">
        <v>6</v>
      </c>
      <c r="B17" s="50" t="s">
        <v>40</v>
      </c>
      <c r="C17" s="52">
        <v>0.21</v>
      </c>
      <c r="D17" s="49"/>
      <c r="E17" s="53">
        <f>ROUND(-E16*C17,0)</f>
        <v>845318</v>
      </c>
      <c r="F17" s="20"/>
    </row>
    <row r="18" spans="1:6" ht="15.75" thickBot="1" x14ac:dyDescent="0.3">
      <c r="A18" s="42">
        <v>7</v>
      </c>
      <c r="B18" s="50" t="s">
        <v>41</v>
      </c>
      <c r="C18" s="17"/>
      <c r="D18" s="49"/>
      <c r="E18" s="54">
        <f>-E16-E17</f>
        <v>3180006.5334120002</v>
      </c>
      <c r="F18" s="20"/>
    </row>
    <row r="19" spans="1:6" ht="15.75" thickTop="1" x14ac:dyDescent="0.25">
      <c r="A19" s="42"/>
      <c r="B19" s="16"/>
      <c r="C19" s="17"/>
      <c r="D19" s="35"/>
      <c r="E19" s="35"/>
      <c r="F19" s="20"/>
    </row>
  </sheetData>
  <pageMargins left="0.7" right="0.7" top="0.75" bottom="0.75" header="0.3" footer="0.3"/>
  <pageSetup scale="94" orientation="portrait"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9"/>
  <sheetViews>
    <sheetView workbookViewId="0">
      <selection activeCell="J27" sqref="J27"/>
    </sheetView>
  </sheetViews>
  <sheetFormatPr defaultColWidth="9.1640625" defaultRowHeight="15" x14ac:dyDescent="0.25"/>
  <cols>
    <col min="1" max="1" width="9.1640625" style="21"/>
    <col min="2" max="2" width="60.5" style="21" bestFit="1" customWidth="1"/>
    <col min="3" max="4" width="16.5" style="21" bestFit="1" customWidth="1"/>
    <col min="5" max="5" width="17.33203125" style="21" bestFit="1" customWidth="1"/>
    <col min="6" max="16384" width="9.1640625" style="21"/>
  </cols>
  <sheetData>
    <row r="1" spans="1:6" ht="16.5" thickTop="1" thickBot="1" x14ac:dyDescent="0.3">
      <c r="A1" s="16"/>
      <c r="B1" s="16"/>
      <c r="C1" s="17"/>
      <c r="D1" s="18"/>
      <c r="E1" s="19" t="s">
        <v>42</v>
      </c>
    </row>
    <row r="2" spans="1:6" ht="15.75" thickTop="1" x14ac:dyDescent="0.25">
      <c r="A2" s="22" t="s">
        <v>43</v>
      </c>
      <c r="B2" s="23"/>
      <c r="C2" s="24"/>
      <c r="D2" s="25"/>
      <c r="E2" s="26"/>
    </row>
    <row r="3" spans="1:6" x14ac:dyDescent="0.25">
      <c r="A3" s="26" t="s">
        <v>29</v>
      </c>
      <c r="B3" s="26"/>
      <c r="C3" s="24"/>
      <c r="D3" s="27"/>
      <c r="E3" s="28"/>
    </row>
    <row r="4" spans="1:6" x14ac:dyDescent="0.25">
      <c r="A4" s="22" t="str">
        <f>'Lead E'!A4</f>
        <v>FOR THE TWELVE MONTHS ENDED DEC 31, 2024</v>
      </c>
      <c r="B4" s="23"/>
      <c r="C4" s="29"/>
      <c r="D4" s="30"/>
      <c r="E4" s="30"/>
    </row>
    <row r="5" spans="1:6" x14ac:dyDescent="0.25">
      <c r="A5" s="22" t="str">
        <f>'Lead E'!A5</f>
        <v>2024 CBR</v>
      </c>
      <c r="B5" s="31"/>
      <c r="C5" s="29"/>
      <c r="D5" s="30"/>
      <c r="E5" s="30"/>
    </row>
    <row r="6" spans="1:6" x14ac:dyDescent="0.25">
      <c r="A6" s="16"/>
      <c r="B6" s="31"/>
      <c r="C6" s="32"/>
      <c r="D6" s="20"/>
      <c r="E6" s="20"/>
    </row>
    <row r="7" spans="1:6" x14ac:dyDescent="0.25">
      <c r="A7" s="16"/>
      <c r="B7" s="31"/>
      <c r="C7" s="32"/>
      <c r="D7" s="20"/>
      <c r="E7" s="20"/>
    </row>
    <row r="8" spans="1:6" x14ac:dyDescent="0.25">
      <c r="A8" s="33"/>
      <c r="B8" s="34"/>
      <c r="C8" s="17"/>
      <c r="D8" s="35"/>
      <c r="E8" s="35"/>
    </row>
    <row r="9" spans="1:6" x14ac:dyDescent="0.25">
      <c r="A9" s="36" t="s">
        <v>30</v>
      </c>
      <c r="B9" s="33"/>
      <c r="C9" s="37"/>
      <c r="D9" s="35"/>
      <c r="E9" s="35"/>
    </row>
    <row r="10" spans="1:6" x14ac:dyDescent="0.25">
      <c r="A10" s="38" t="s">
        <v>31</v>
      </c>
      <c r="B10" s="39" t="s">
        <v>32</v>
      </c>
      <c r="C10" s="40" t="s">
        <v>33</v>
      </c>
      <c r="D10" s="38" t="s">
        <v>34</v>
      </c>
      <c r="E10" s="38" t="s">
        <v>35</v>
      </c>
    </row>
    <row r="11" spans="1:6" x14ac:dyDescent="0.25">
      <c r="A11" s="18"/>
      <c r="B11" s="18"/>
      <c r="C11" s="17"/>
      <c r="D11" s="35"/>
      <c r="E11" s="41"/>
      <c r="F11" s="55"/>
    </row>
    <row r="12" spans="1:6" x14ac:dyDescent="0.25">
      <c r="A12" s="42">
        <v>1</v>
      </c>
      <c r="B12" s="43" t="s">
        <v>36</v>
      </c>
      <c r="C12" s="56">
        <f>'Excise Tax '!G43</f>
        <v>46109182.613928005</v>
      </c>
      <c r="D12" s="56">
        <f>'Excise Tax '!K43</f>
        <v>47217622.333939999</v>
      </c>
      <c r="E12" s="56">
        <f>D12-C12</f>
        <v>1108439.7200119942</v>
      </c>
      <c r="F12" s="57"/>
    </row>
    <row r="13" spans="1:6" x14ac:dyDescent="0.25">
      <c r="A13" s="42">
        <v>2</v>
      </c>
      <c r="B13" s="45" t="s">
        <v>37</v>
      </c>
      <c r="C13" s="58">
        <f>'Filing Fees TY'!D28</f>
        <v>7760734.9299999997</v>
      </c>
      <c r="D13" s="58">
        <f>'G Filing Fee Restated'!F38</f>
        <v>5012313.2306000004</v>
      </c>
      <c r="E13" s="58">
        <f>D13-C13</f>
        <v>-2748421.6993999993</v>
      </c>
      <c r="F13" s="57"/>
    </row>
    <row r="14" spans="1:6" x14ac:dyDescent="0.25">
      <c r="A14" s="42">
        <v>3</v>
      </c>
      <c r="B14" s="43" t="s">
        <v>38</v>
      </c>
      <c r="C14" s="59">
        <f>C12+C13</f>
        <v>53869917.543928005</v>
      </c>
      <c r="D14" s="59">
        <f>D12+D13</f>
        <v>52229935.564539999</v>
      </c>
      <c r="E14" s="59">
        <f>E12+E13</f>
        <v>-1639981.9793880051</v>
      </c>
      <c r="F14" s="57"/>
    </row>
    <row r="15" spans="1:6" x14ac:dyDescent="0.25">
      <c r="A15" s="42">
        <v>4</v>
      </c>
      <c r="B15" s="43"/>
      <c r="C15" s="56"/>
      <c r="D15" s="60"/>
      <c r="E15" s="60"/>
      <c r="F15" s="61"/>
    </row>
    <row r="16" spans="1:6" x14ac:dyDescent="0.25">
      <c r="A16" s="42">
        <v>5</v>
      </c>
      <c r="B16" s="50" t="s">
        <v>39</v>
      </c>
      <c r="C16" s="56"/>
      <c r="D16" s="60"/>
      <c r="E16" s="62">
        <f>E14</f>
        <v>-1639981.9793880051</v>
      </c>
      <c r="F16" s="61"/>
    </row>
    <row r="17" spans="1:6" x14ac:dyDescent="0.25">
      <c r="A17" s="42">
        <v>6</v>
      </c>
      <c r="B17" s="50" t="s">
        <v>40</v>
      </c>
      <c r="C17" s="52">
        <v>0.21</v>
      </c>
      <c r="D17" s="60"/>
      <c r="E17" s="63">
        <f>(-E16*C17)</f>
        <v>344396.21567148104</v>
      </c>
      <c r="F17" s="61"/>
    </row>
    <row r="18" spans="1:6" ht="15.75" thickBot="1" x14ac:dyDescent="0.3">
      <c r="A18" s="42">
        <v>7</v>
      </c>
      <c r="B18" s="50" t="s">
        <v>41</v>
      </c>
      <c r="C18" s="56"/>
      <c r="D18" s="60"/>
      <c r="E18" s="64">
        <f>-E16-E17</f>
        <v>1295585.763716524</v>
      </c>
      <c r="F18" s="61"/>
    </row>
    <row r="19" spans="1:6" ht="15.75" thickTop="1" x14ac:dyDescent="0.25">
      <c r="A19" s="42"/>
      <c r="B19" s="16"/>
      <c r="C19" s="65"/>
      <c r="D19" s="66"/>
      <c r="E19" s="66"/>
      <c r="F19" s="61"/>
    </row>
  </sheetData>
  <pageMargins left="0.7" right="0.7" top="0.75" bottom="0.75" header="0.3" footer="0.3"/>
  <pageSetup scale="94" orientation="portrait"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2"/>
  <sheetViews>
    <sheetView zoomScaleNormal="100" workbookViewId="0">
      <selection activeCell="F17" sqref="F17"/>
    </sheetView>
  </sheetViews>
  <sheetFormatPr defaultColWidth="9.1640625" defaultRowHeight="12" x14ac:dyDescent="0.2"/>
  <cols>
    <col min="1" max="1" width="10.1640625" style="6" customWidth="1"/>
    <col min="2" max="2" width="18.5" style="6" customWidth="1"/>
    <col min="3" max="3" width="18.83203125" style="6" customWidth="1"/>
    <col min="4" max="4" width="17.1640625" style="6" customWidth="1"/>
    <col min="5" max="5" width="17.83203125" style="6" bestFit="1" customWidth="1"/>
    <col min="6" max="6" width="19.5" style="6" bestFit="1" customWidth="1"/>
    <col min="7" max="7" width="25.1640625" style="6" customWidth="1"/>
    <col min="8" max="8" width="26.33203125" style="6" customWidth="1"/>
    <col min="9" max="9" width="16.33203125" style="6" bestFit="1" customWidth="1"/>
    <col min="10" max="11" width="19.5" style="6" bestFit="1" customWidth="1"/>
    <col min="12" max="12" width="13.5" style="111" bestFit="1" customWidth="1"/>
    <col min="13" max="16" width="14.5" style="6" customWidth="1"/>
    <col min="17" max="16384" width="9.1640625" style="6"/>
  </cols>
  <sheetData>
    <row r="1" spans="1:14" x14ac:dyDescent="0.2">
      <c r="F1" s="120" t="s">
        <v>12</v>
      </c>
      <c r="G1" s="121"/>
      <c r="H1" s="120" t="s">
        <v>19</v>
      </c>
      <c r="I1" s="121"/>
      <c r="J1" s="120" t="s">
        <v>13</v>
      </c>
      <c r="K1" s="121"/>
      <c r="L1" s="112" t="s">
        <v>15</v>
      </c>
    </row>
    <row r="2" spans="1:14" x14ac:dyDescent="0.2">
      <c r="A2" s="102" t="s">
        <v>0</v>
      </c>
      <c r="B2" s="96"/>
      <c r="C2" s="102" t="s">
        <v>2</v>
      </c>
      <c r="D2" s="104" t="s">
        <v>1</v>
      </c>
      <c r="E2"/>
      <c r="F2" s="4" t="s">
        <v>18</v>
      </c>
      <c r="G2" s="5" t="s">
        <v>16</v>
      </c>
      <c r="H2" s="4" t="s">
        <v>18</v>
      </c>
      <c r="I2" s="5" t="s">
        <v>16</v>
      </c>
      <c r="J2" s="4" t="s">
        <v>18</v>
      </c>
      <c r="K2" s="5" t="s">
        <v>16</v>
      </c>
      <c r="L2" s="113" t="s">
        <v>17</v>
      </c>
    </row>
    <row r="3" spans="1:14" x14ac:dyDescent="0.2">
      <c r="A3" s="103" t="s">
        <v>3</v>
      </c>
      <c r="B3" s="105" t="s">
        <v>4</v>
      </c>
      <c r="C3" s="103" t="s">
        <v>153</v>
      </c>
      <c r="D3" s="99">
        <v>12602241.630000001</v>
      </c>
      <c r="E3" s="119">
        <f>D3</f>
        <v>12602241.630000001</v>
      </c>
      <c r="F3" s="2">
        <f>IF($A3="40810002",$E3,IF($A3="40810602",$E3*$N$5,0))</f>
        <v>12602241.630000001</v>
      </c>
      <c r="G3" s="3"/>
      <c r="H3" s="135">
        <f>-'KOB1 Jan 2024 2025'!E9</f>
        <v>-591.08000000000004</v>
      </c>
      <c r="I3" s="3"/>
      <c r="J3" s="2">
        <f>F3+H3</f>
        <v>12601650.550000001</v>
      </c>
      <c r="K3" s="3">
        <f>G3+I3</f>
        <v>0</v>
      </c>
      <c r="L3" s="114">
        <v>1</v>
      </c>
    </row>
    <row r="4" spans="1:14" x14ac:dyDescent="0.2">
      <c r="A4" s="103" t="s">
        <v>3</v>
      </c>
      <c r="B4" s="105" t="s">
        <v>4</v>
      </c>
      <c r="C4" s="103" t="s">
        <v>154</v>
      </c>
      <c r="D4" s="99">
        <v>10481702.75</v>
      </c>
      <c r="E4" s="119">
        <f t="shared" ref="E4:E38" si="0">D4</f>
        <v>10481702.75</v>
      </c>
      <c r="F4" s="2">
        <f t="shared" ref="F4:F38" si="1">IF($A4="40810002",$E4,IF($A4="40810602",$E4*$N$5,0))</f>
        <v>10481702.75</v>
      </c>
      <c r="G4" s="3"/>
      <c r="H4" s="2">
        <f t="shared" ref="H4:H37" si="2">IF(L4=1,-F4,0)</f>
        <v>0</v>
      </c>
      <c r="I4" s="3"/>
      <c r="J4" s="2">
        <f t="shared" ref="J4:J38" si="3">F4+H4</f>
        <v>10481702.75</v>
      </c>
      <c r="K4" s="3">
        <f t="shared" ref="K4:K38" si="4">G4+I4</f>
        <v>0</v>
      </c>
      <c r="L4" s="114"/>
      <c r="M4" s="1" t="s">
        <v>20</v>
      </c>
      <c r="N4" s="1"/>
    </row>
    <row r="5" spans="1:14" x14ac:dyDescent="0.2">
      <c r="A5" s="103" t="s">
        <v>3</v>
      </c>
      <c r="B5" s="105" t="s">
        <v>4</v>
      </c>
      <c r="C5" s="103" t="s">
        <v>155</v>
      </c>
      <c r="D5" s="99">
        <v>10322513.800000001</v>
      </c>
      <c r="E5" s="119">
        <f t="shared" si="0"/>
        <v>10322513.800000001</v>
      </c>
      <c r="F5" s="2">
        <f t="shared" si="1"/>
        <v>10322513.800000001</v>
      </c>
      <c r="G5" s="3"/>
      <c r="H5" s="2">
        <f t="shared" si="2"/>
        <v>0</v>
      </c>
      <c r="I5" s="3">
        <f t="shared" ref="I5:I37" si="5">IF(L5=1,-G5,0)</f>
        <v>0</v>
      </c>
      <c r="J5" s="2">
        <f t="shared" si="3"/>
        <v>10322513.800000001</v>
      </c>
      <c r="K5" s="3">
        <f t="shared" si="4"/>
        <v>0</v>
      </c>
      <c r="L5" s="114"/>
      <c r="M5" s="1" t="s">
        <v>14</v>
      </c>
      <c r="N5" s="94">
        <f>'[1]Allocators (CBR)'!$F$70</f>
        <v>0.66269999999999996</v>
      </c>
    </row>
    <row r="6" spans="1:14" x14ac:dyDescent="0.2">
      <c r="A6" s="103" t="s">
        <v>3</v>
      </c>
      <c r="B6" s="105" t="s">
        <v>4</v>
      </c>
      <c r="C6" s="103" t="s">
        <v>156</v>
      </c>
      <c r="D6" s="99">
        <v>9116901.2799999993</v>
      </c>
      <c r="E6" s="119">
        <f t="shared" si="0"/>
        <v>9116901.2799999993</v>
      </c>
      <c r="F6" s="2">
        <f t="shared" si="1"/>
        <v>9116901.2799999993</v>
      </c>
      <c r="G6" s="3"/>
      <c r="H6" s="2">
        <f t="shared" si="2"/>
        <v>0</v>
      </c>
      <c r="I6" s="3">
        <f t="shared" si="5"/>
        <v>0</v>
      </c>
      <c r="J6" s="2">
        <f t="shared" si="3"/>
        <v>9116901.2799999993</v>
      </c>
      <c r="K6" s="3">
        <f t="shared" si="4"/>
        <v>0</v>
      </c>
      <c r="L6" s="114"/>
      <c r="M6" s="1" t="s">
        <v>16</v>
      </c>
      <c r="N6" s="94">
        <f>'[1]Allocators (CBR)'!$G$70</f>
        <v>0.33729999999999999</v>
      </c>
    </row>
    <row r="7" spans="1:14" x14ac:dyDescent="0.2">
      <c r="A7" s="103" t="s">
        <v>3</v>
      </c>
      <c r="B7" s="105" t="s">
        <v>4</v>
      </c>
      <c r="C7" s="103" t="s">
        <v>157</v>
      </c>
      <c r="D7" s="99">
        <v>8593944.3499999996</v>
      </c>
      <c r="E7" s="119">
        <f t="shared" si="0"/>
        <v>8593944.3499999996</v>
      </c>
      <c r="F7" s="2">
        <f t="shared" si="1"/>
        <v>8593944.3499999996</v>
      </c>
      <c r="G7" s="3"/>
      <c r="H7" s="2">
        <f t="shared" si="2"/>
        <v>0</v>
      </c>
      <c r="I7" s="3">
        <f t="shared" si="5"/>
        <v>0</v>
      </c>
      <c r="J7" s="2">
        <f t="shared" si="3"/>
        <v>8593944.3499999996</v>
      </c>
      <c r="K7" s="3">
        <f t="shared" si="4"/>
        <v>0</v>
      </c>
      <c r="L7" s="114"/>
      <c r="N7" s="111"/>
    </row>
    <row r="8" spans="1:14" x14ac:dyDescent="0.2">
      <c r="A8" s="103" t="s">
        <v>3</v>
      </c>
      <c r="B8" s="105" t="s">
        <v>4</v>
      </c>
      <c r="C8" s="103" t="s">
        <v>158</v>
      </c>
      <c r="D8" s="99">
        <v>7851588.2699999996</v>
      </c>
      <c r="E8" s="119">
        <f t="shared" si="0"/>
        <v>7851588.2699999996</v>
      </c>
      <c r="F8" s="2">
        <f t="shared" si="1"/>
        <v>7851588.2699999996</v>
      </c>
      <c r="G8" s="3"/>
      <c r="H8" s="2">
        <f t="shared" si="2"/>
        <v>0</v>
      </c>
      <c r="I8" s="3">
        <f t="shared" si="5"/>
        <v>0</v>
      </c>
      <c r="J8" s="2">
        <f t="shared" si="3"/>
        <v>7851588.2699999996</v>
      </c>
      <c r="K8" s="3">
        <f t="shared" si="4"/>
        <v>0</v>
      </c>
      <c r="L8" s="114"/>
    </row>
    <row r="9" spans="1:14" x14ac:dyDescent="0.2">
      <c r="A9" s="103" t="s">
        <v>3</v>
      </c>
      <c r="B9" s="105" t="s">
        <v>4</v>
      </c>
      <c r="C9" s="103" t="s">
        <v>159</v>
      </c>
      <c r="D9" s="99">
        <v>9102720.2799999993</v>
      </c>
      <c r="E9" s="119">
        <f t="shared" si="0"/>
        <v>9102720.2799999993</v>
      </c>
      <c r="F9" s="2">
        <f t="shared" si="1"/>
        <v>9102720.2799999993</v>
      </c>
      <c r="G9" s="3"/>
      <c r="H9" s="2">
        <f t="shared" si="2"/>
        <v>0</v>
      </c>
      <c r="I9" s="3">
        <f t="shared" si="5"/>
        <v>0</v>
      </c>
      <c r="J9" s="2">
        <f t="shared" si="3"/>
        <v>9102720.2799999993</v>
      </c>
      <c r="K9" s="3">
        <f t="shared" si="4"/>
        <v>0</v>
      </c>
      <c r="L9" s="114"/>
    </row>
    <row r="10" spans="1:14" x14ac:dyDescent="0.2">
      <c r="A10" s="103" t="s">
        <v>3</v>
      </c>
      <c r="B10" s="105" t="s">
        <v>4</v>
      </c>
      <c r="C10" s="103" t="s">
        <v>160</v>
      </c>
      <c r="D10" s="99">
        <v>8750663.3300000001</v>
      </c>
      <c r="E10" s="119">
        <f t="shared" si="0"/>
        <v>8750663.3300000001</v>
      </c>
      <c r="F10" s="2">
        <f t="shared" si="1"/>
        <v>8750663.3300000001</v>
      </c>
      <c r="G10" s="3"/>
      <c r="H10" s="2">
        <f t="shared" si="2"/>
        <v>0</v>
      </c>
      <c r="I10" s="3">
        <f t="shared" si="5"/>
        <v>0</v>
      </c>
      <c r="J10" s="2">
        <f t="shared" si="3"/>
        <v>8750663.3300000001</v>
      </c>
      <c r="K10" s="3">
        <f t="shared" si="4"/>
        <v>0</v>
      </c>
      <c r="L10" s="114"/>
    </row>
    <row r="11" spans="1:14" x14ac:dyDescent="0.2">
      <c r="A11" s="103" t="s">
        <v>3</v>
      </c>
      <c r="B11" s="105" t="s">
        <v>4</v>
      </c>
      <c r="C11" s="103" t="s">
        <v>161</v>
      </c>
      <c r="D11" s="99">
        <v>8018076.6100000003</v>
      </c>
      <c r="E11" s="119">
        <f t="shared" si="0"/>
        <v>8018076.6100000003</v>
      </c>
      <c r="F11" s="2">
        <f t="shared" si="1"/>
        <v>8018076.6100000003</v>
      </c>
      <c r="G11" s="3"/>
      <c r="H11" s="2">
        <f t="shared" si="2"/>
        <v>0</v>
      </c>
      <c r="I11" s="3">
        <f t="shared" si="5"/>
        <v>0</v>
      </c>
      <c r="J11" s="2">
        <f t="shared" si="3"/>
        <v>8018076.6100000003</v>
      </c>
      <c r="K11" s="3">
        <f t="shared" si="4"/>
        <v>0</v>
      </c>
      <c r="L11" s="114"/>
    </row>
    <row r="12" spans="1:14" x14ac:dyDescent="0.2">
      <c r="A12" s="103" t="s">
        <v>3</v>
      </c>
      <c r="B12" s="105" t="s">
        <v>4</v>
      </c>
      <c r="C12" s="103" t="s">
        <v>162</v>
      </c>
      <c r="D12" s="99">
        <v>9618708.7899999991</v>
      </c>
      <c r="E12" s="119">
        <f t="shared" si="0"/>
        <v>9618708.7899999991</v>
      </c>
      <c r="F12" s="2">
        <f t="shared" si="1"/>
        <v>9618708.7899999991</v>
      </c>
      <c r="G12" s="3"/>
      <c r="H12" s="2">
        <f t="shared" si="2"/>
        <v>0</v>
      </c>
      <c r="I12" s="3">
        <f t="shared" si="5"/>
        <v>0</v>
      </c>
      <c r="J12" s="2">
        <f t="shared" si="3"/>
        <v>9618708.7899999991</v>
      </c>
      <c r="K12" s="3">
        <f t="shared" si="4"/>
        <v>0</v>
      </c>
      <c r="L12" s="114"/>
    </row>
    <row r="13" spans="1:14" x14ac:dyDescent="0.2">
      <c r="A13" s="103" t="s">
        <v>3</v>
      </c>
      <c r="B13" s="105" t="s">
        <v>4</v>
      </c>
      <c r="C13" s="103" t="s">
        <v>163</v>
      </c>
      <c r="D13" s="99">
        <v>10562901.060000001</v>
      </c>
      <c r="E13" s="119">
        <f t="shared" si="0"/>
        <v>10562901.060000001</v>
      </c>
      <c r="F13" s="2">
        <f t="shared" si="1"/>
        <v>10562901.060000001</v>
      </c>
      <c r="G13" s="3"/>
      <c r="H13" s="2">
        <f t="shared" si="2"/>
        <v>0</v>
      </c>
      <c r="I13" s="3">
        <f t="shared" si="5"/>
        <v>0</v>
      </c>
      <c r="J13" s="2">
        <f t="shared" si="3"/>
        <v>10562901.060000001</v>
      </c>
      <c r="K13" s="3">
        <f t="shared" si="4"/>
        <v>0</v>
      </c>
      <c r="L13" s="114"/>
    </row>
    <row r="14" spans="1:14" x14ac:dyDescent="0.2">
      <c r="A14" s="103" t="s">
        <v>3</v>
      </c>
      <c r="B14" s="105" t="s">
        <v>4</v>
      </c>
      <c r="C14" s="103" t="s">
        <v>164</v>
      </c>
      <c r="D14" s="99">
        <v>12006646.49</v>
      </c>
      <c r="E14" s="119">
        <f t="shared" si="0"/>
        <v>12006646.49</v>
      </c>
      <c r="F14" s="2">
        <f t="shared" si="1"/>
        <v>12006646.49</v>
      </c>
      <c r="G14" s="3"/>
      <c r="H14" s="2">
        <f>'KOB1 Jan 2024 2025'!E27</f>
        <v>-30039.48</v>
      </c>
      <c r="I14" s="3">
        <f t="shared" ref="I14:I29" si="6">IF(L14=1,-G14,0)</f>
        <v>0</v>
      </c>
      <c r="J14" s="2">
        <f t="shared" si="3"/>
        <v>11976607.01</v>
      </c>
      <c r="K14" s="3">
        <f t="shared" si="4"/>
        <v>0</v>
      </c>
      <c r="L14" s="114">
        <v>2</v>
      </c>
    </row>
    <row r="15" spans="1:14" x14ac:dyDescent="0.2">
      <c r="A15" s="103" t="s">
        <v>5</v>
      </c>
      <c r="B15" s="105" t="s">
        <v>4</v>
      </c>
      <c r="C15" s="103" t="s">
        <v>153</v>
      </c>
      <c r="D15" s="99">
        <v>4829262.45</v>
      </c>
      <c r="E15" s="119">
        <f t="shared" si="0"/>
        <v>4829262.45</v>
      </c>
      <c r="F15" s="2"/>
      <c r="G15" s="3">
        <f>IF($A15="40810302",$E15,IF($A15="40810602",$E15*$N$5,0))</f>
        <v>4829262.45</v>
      </c>
      <c r="H15" s="2">
        <f t="shared" ref="H15:H29" si="7">IF(L15=1,-F15,0)</f>
        <v>0</v>
      </c>
      <c r="I15" s="3">
        <f>-'KOB1 Jan 2024 2025'!E8</f>
        <v>1578124.29</v>
      </c>
      <c r="J15" s="2">
        <f t="shared" si="3"/>
        <v>0</v>
      </c>
      <c r="K15" s="3">
        <f t="shared" si="4"/>
        <v>6407386.7400000002</v>
      </c>
      <c r="L15" s="114">
        <v>1</v>
      </c>
    </row>
    <row r="16" spans="1:14" x14ac:dyDescent="0.2">
      <c r="A16" s="103" t="s">
        <v>5</v>
      </c>
      <c r="B16" s="105" t="s">
        <v>4</v>
      </c>
      <c r="C16" s="103" t="s">
        <v>154</v>
      </c>
      <c r="D16" s="99">
        <v>4996460.42</v>
      </c>
      <c r="E16" s="119">
        <f t="shared" si="0"/>
        <v>4996460.42</v>
      </c>
      <c r="F16" s="2"/>
      <c r="G16" s="3">
        <f t="shared" ref="G16:G26" si="8">IF($A16="40810302",$E16,IF($A16="40810602",$E16*$N$5,0))</f>
        <v>4996460.42</v>
      </c>
      <c r="H16" s="2">
        <f t="shared" si="7"/>
        <v>0</v>
      </c>
      <c r="I16" s="3">
        <f t="shared" si="6"/>
        <v>0</v>
      </c>
      <c r="J16" s="2">
        <f t="shared" si="3"/>
        <v>0</v>
      </c>
      <c r="K16" s="3">
        <f t="shared" si="4"/>
        <v>4996460.42</v>
      </c>
      <c r="L16" s="114"/>
    </row>
    <row r="17" spans="1:12" x14ac:dyDescent="0.2">
      <c r="A17" s="103" t="s">
        <v>5</v>
      </c>
      <c r="B17" s="105" t="s">
        <v>4</v>
      </c>
      <c r="C17" s="103" t="s">
        <v>155</v>
      </c>
      <c r="D17" s="99">
        <v>4873599.32</v>
      </c>
      <c r="E17" s="119">
        <f t="shared" si="0"/>
        <v>4873599.32</v>
      </c>
      <c r="F17" s="2"/>
      <c r="G17" s="3">
        <f t="shared" si="8"/>
        <v>4873599.32</v>
      </c>
      <c r="H17" s="2">
        <f t="shared" si="7"/>
        <v>0</v>
      </c>
      <c r="I17" s="3">
        <f t="shared" si="6"/>
        <v>0</v>
      </c>
      <c r="J17" s="2">
        <f t="shared" si="3"/>
        <v>0</v>
      </c>
      <c r="K17" s="3">
        <f t="shared" si="4"/>
        <v>4873599.32</v>
      </c>
      <c r="L17" s="114"/>
    </row>
    <row r="18" spans="1:12" x14ac:dyDescent="0.2">
      <c r="A18" s="103" t="s">
        <v>5</v>
      </c>
      <c r="B18" s="105" t="s">
        <v>4</v>
      </c>
      <c r="C18" s="103" t="s">
        <v>156</v>
      </c>
      <c r="D18" s="99">
        <v>3686063.91</v>
      </c>
      <c r="E18" s="119">
        <f t="shared" si="0"/>
        <v>3686063.91</v>
      </c>
      <c r="F18" s="2"/>
      <c r="G18" s="3">
        <f t="shared" si="8"/>
        <v>3686063.91</v>
      </c>
      <c r="H18" s="2">
        <f t="shared" si="7"/>
        <v>0</v>
      </c>
      <c r="I18" s="3">
        <f t="shared" si="6"/>
        <v>0</v>
      </c>
      <c r="J18" s="2">
        <f t="shared" si="3"/>
        <v>0</v>
      </c>
      <c r="K18" s="3">
        <f t="shared" si="4"/>
        <v>3686063.91</v>
      </c>
      <c r="L18" s="114"/>
    </row>
    <row r="19" spans="1:12" x14ac:dyDescent="0.2">
      <c r="A19" s="103" t="s">
        <v>5</v>
      </c>
      <c r="B19" s="105" t="s">
        <v>4</v>
      </c>
      <c r="C19" s="103" t="s">
        <v>157</v>
      </c>
      <c r="D19" s="99">
        <v>3055633.58</v>
      </c>
      <c r="E19" s="119">
        <f t="shared" si="0"/>
        <v>3055633.58</v>
      </c>
      <c r="F19" s="2"/>
      <c r="G19" s="3">
        <f t="shared" si="8"/>
        <v>3055633.58</v>
      </c>
      <c r="H19" s="2">
        <f t="shared" si="7"/>
        <v>0</v>
      </c>
      <c r="I19" s="3">
        <f t="shared" si="6"/>
        <v>0</v>
      </c>
      <c r="J19" s="2">
        <f t="shared" si="3"/>
        <v>0</v>
      </c>
      <c r="K19" s="3">
        <f t="shared" si="4"/>
        <v>3055633.58</v>
      </c>
      <c r="L19" s="114"/>
    </row>
    <row r="20" spans="1:12" x14ac:dyDescent="0.2">
      <c r="A20" s="103" t="s">
        <v>5</v>
      </c>
      <c r="B20" s="105" t="s">
        <v>4</v>
      </c>
      <c r="C20" s="103" t="s">
        <v>158</v>
      </c>
      <c r="D20" s="99">
        <v>2569752.6</v>
      </c>
      <c r="E20" s="119">
        <f t="shared" si="0"/>
        <v>2569752.6</v>
      </c>
      <c r="F20" s="2"/>
      <c r="G20" s="3">
        <f t="shared" si="8"/>
        <v>2569752.6</v>
      </c>
      <c r="H20" s="2">
        <f t="shared" si="7"/>
        <v>0</v>
      </c>
      <c r="I20" s="3">
        <f t="shared" si="6"/>
        <v>0</v>
      </c>
      <c r="J20" s="2">
        <f t="shared" si="3"/>
        <v>0</v>
      </c>
      <c r="K20" s="3">
        <f t="shared" si="4"/>
        <v>2569752.6</v>
      </c>
      <c r="L20" s="114"/>
    </row>
    <row r="21" spans="1:12" x14ac:dyDescent="0.2">
      <c r="A21" s="103" t="s">
        <v>5</v>
      </c>
      <c r="B21" s="105" t="s">
        <v>4</v>
      </c>
      <c r="C21" s="103" t="s">
        <v>159</v>
      </c>
      <c r="D21" s="99">
        <v>1503002.44</v>
      </c>
      <c r="E21" s="119">
        <f t="shared" si="0"/>
        <v>1503002.44</v>
      </c>
      <c r="F21" s="2"/>
      <c r="G21" s="3">
        <f t="shared" si="8"/>
        <v>1503002.44</v>
      </c>
      <c r="H21" s="2">
        <f t="shared" si="7"/>
        <v>0</v>
      </c>
      <c r="I21" s="3">
        <f t="shared" si="6"/>
        <v>0</v>
      </c>
      <c r="J21" s="2">
        <f t="shared" si="3"/>
        <v>0</v>
      </c>
      <c r="K21" s="3">
        <f t="shared" si="4"/>
        <v>1503002.44</v>
      </c>
      <c r="L21" s="114"/>
    </row>
    <row r="22" spans="1:12" x14ac:dyDescent="0.2">
      <c r="A22" s="103" t="s">
        <v>5</v>
      </c>
      <c r="B22" s="105" t="s">
        <v>4</v>
      </c>
      <c r="C22" s="103" t="s">
        <v>160</v>
      </c>
      <c r="D22" s="99">
        <v>1821120.99</v>
      </c>
      <c r="E22" s="119">
        <f t="shared" si="0"/>
        <v>1821120.99</v>
      </c>
      <c r="F22" s="2"/>
      <c r="G22" s="3">
        <f t="shared" si="8"/>
        <v>1821120.99</v>
      </c>
      <c r="H22" s="2">
        <f t="shared" si="7"/>
        <v>0</v>
      </c>
      <c r="I22" s="3">
        <f t="shared" si="6"/>
        <v>0</v>
      </c>
      <c r="J22" s="2">
        <f t="shared" si="3"/>
        <v>0</v>
      </c>
      <c r="K22" s="3">
        <f t="shared" si="4"/>
        <v>1821120.99</v>
      </c>
      <c r="L22" s="114"/>
    </row>
    <row r="23" spans="1:12" x14ac:dyDescent="0.2">
      <c r="A23" s="103" t="s">
        <v>5</v>
      </c>
      <c r="B23" s="105" t="s">
        <v>4</v>
      </c>
      <c r="C23" s="103" t="s">
        <v>161</v>
      </c>
      <c r="D23" s="99">
        <v>2210297.69</v>
      </c>
      <c r="E23" s="119">
        <f t="shared" si="0"/>
        <v>2210297.69</v>
      </c>
      <c r="F23" s="2"/>
      <c r="G23" s="3">
        <f t="shared" si="8"/>
        <v>2210297.69</v>
      </c>
      <c r="H23" s="2">
        <f t="shared" si="7"/>
        <v>0</v>
      </c>
      <c r="I23" s="3">
        <f t="shared" si="6"/>
        <v>0</v>
      </c>
      <c r="J23" s="2">
        <f t="shared" si="3"/>
        <v>0</v>
      </c>
      <c r="K23" s="3">
        <f t="shared" si="4"/>
        <v>2210297.69</v>
      </c>
      <c r="L23" s="114"/>
    </row>
    <row r="24" spans="1:12" x14ac:dyDescent="0.2">
      <c r="A24" s="103" t="s">
        <v>5</v>
      </c>
      <c r="B24" s="105" t="s">
        <v>4</v>
      </c>
      <c r="C24" s="103" t="s">
        <v>162</v>
      </c>
      <c r="D24" s="99">
        <v>3865286.73</v>
      </c>
      <c r="E24" s="119">
        <f t="shared" si="0"/>
        <v>3865286.73</v>
      </c>
      <c r="F24" s="2"/>
      <c r="G24" s="3">
        <f t="shared" si="8"/>
        <v>3865286.73</v>
      </c>
      <c r="H24" s="2">
        <f t="shared" si="7"/>
        <v>0</v>
      </c>
      <c r="I24" s="3">
        <f t="shared" si="6"/>
        <v>0</v>
      </c>
      <c r="J24" s="2">
        <f t="shared" si="3"/>
        <v>0</v>
      </c>
      <c r="K24" s="3">
        <f t="shared" si="4"/>
        <v>3865286.73</v>
      </c>
      <c r="L24" s="114"/>
    </row>
    <row r="25" spans="1:12" x14ac:dyDescent="0.2">
      <c r="A25" s="103" t="s">
        <v>5</v>
      </c>
      <c r="B25" s="105" t="s">
        <v>4</v>
      </c>
      <c r="C25" s="103" t="s">
        <v>163</v>
      </c>
      <c r="D25" s="99">
        <v>5579312.7800000003</v>
      </c>
      <c r="E25" s="119">
        <f t="shared" si="0"/>
        <v>5579312.7800000003</v>
      </c>
      <c r="F25" s="2"/>
      <c r="G25" s="3">
        <f t="shared" si="8"/>
        <v>5579312.7800000003</v>
      </c>
      <c r="H25" s="2">
        <f t="shared" si="7"/>
        <v>0</v>
      </c>
      <c r="I25" s="3">
        <f t="shared" si="6"/>
        <v>0</v>
      </c>
      <c r="J25" s="2">
        <f t="shared" si="3"/>
        <v>0</v>
      </c>
      <c r="K25" s="3">
        <f t="shared" si="4"/>
        <v>5579312.7800000003</v>
      </c>
      <c r="L25" s="114"/>
    </row>
    <row r="26" spans="1:12" x14ac:dyDescent="0.2">
      <c r="A26" s="103" t="s">
        <v>5</v>
      </c>
      <c r="B26" s="105" t="s">
        <v>4</v>
      </c>
      <c r="C26" s="103" t="s">
        <v>164</v>
      </c>
      <c r="D26" s="99">
        <v>6692932.7599999998</v>
      </c>
      <c r="E26" s="119">
        <f t="shared" si="0"/>
        <v>6692932.7599999998</v>
      </c>
      <c r="F26" s="2"/>
      <c r="G26" s="3">
        <f t="shared" si="8"/>
        <v>6692932.7599999998</v>
      </c>
      <c r="H26" s="2">
        <f t="shared" si="7"/>
        <v>0</v>
      </c>
      <c r="I26" s="3">
        <f>'KOB1 Jan 2024 2025'!E28</f>
        <v>-565.17999999999995</v>
      </c>
      <c r="J26" s="2">
        <f t="shared" si="3"/>
        <v>0</v>
      </c>
      <c r="K26" s="3">
        <f t="shared" si="4"/>
        <v>6692367.5800000001</v>
      </c>
      <c r="L26" s="114">
        <v>2</v>
      </c>
    </row>
    <row r="27" spans="1:12" x14ac:dyDescent="0.2">
      <c r="A27" s="103" t="s">
        <v>6</v>
      </c>
      <c r="B27" s="105" t="s">
        <v>7</v>
      </c>
      <c r="C27" s="103" t="s">
        <v>153</v>
      </c>
      <c r="D27" s="99">
        <v>1553394.95</v>
      </c>
      <c r="E27" s="119">
        <f t="shared" si="0"/>
        <v>1553394.95</v>
      </c>
      <c r="F27" s="2">
        <f t="shared" si="1"/>
        <v>1029434.8333649999</v>
      </c>
      <c r="G27" s="3">
        <f>IF($A27="40810002",$E27,IF($A27="40810602",$E27*$N$6,0))</f>
        <v>523960.11663499998</v>
      </c>
      <c r="H27" s="2">
        <f>-'KOB1 Jan 2024 2025'!E10*N5</f>
        <v>-926793.30596999999</v>
      </c>
      <c r="I27" s="3">
        <f>-'KOB1 Jan 2024 2025'!E10*N6</f>
        <v>-471717.79402999999</v>
      </c>
      <c r="J27" s="2">
        <f>F27+H27</f>
        <v>102641.52739499987</v>
      </c>
      <c r="K27" s="3">
        <f>G27+I27</f>
        <v>52242.322604999994</v>
      </c>
      <c r="L27" s="114">
        <v>1</v>
      </c>
    </row>
    <row r="28" spans="1:12" x14ac:dyDescent="0.2">
      <c r="A28" s="103" t="s">
        <v>6</v>
      </c>
      <c r="B28" s="105" t="s">
        <v>7</v>
      </c>
      <c r="C28" s="103" t="s">
        <v>154</v>
      </c>
      <c r="D28" s="99">
        <v>182015.24</v>
      </c>
      <c r="E28" s="119">
        <f t="shared" si="0"/>
        <v>182015.24</v>
      </c>
      <c r="F28" s="2">
        <f t="shared" si="1"/>
        <v>120621.49954799999</v>
      </c>
      <c r="G28" s="3">
        <f t="shared" ref="G28:G38" si="9">IF($A28="40810002",$E28,IF($A28="40810602",$E28*$N$6,0))</f>
        <v>61393.740451999998</v>
      </c>
      <c r="H28" s="2">
        <f t="shared" si="7"/>
        <v>0</v>
      </c>
      <c r="I28" s="3">
        <f t="shared" si="6"/>
        <v>0</v>
      </c>
      <c r="J28" s="2">
        <f>F28+H28</f>
        <v>120621.49954799999</v>
      </c>
      <c r="K28" s="3">
        <f>G28+I28</f>
        <v>61393.740451999998</v>
      </c>
      <c r="L28" s="114"/>
    </row>
    <row r="29" spans="1:12" x14ac:dyDescent="0.2">
      <c r="A29" s="103" t="s">
        <v>6</v>
      </c>
      <c r="B29" s="105" t="s">
        <v>7</v>
      </c>
      <c r="C29" s="103" t="s">
        <v>155</v>
      </c>
      <c r="D29" s="99">
        <v>-2981341.09</v>
      </c>
      <c r="E29" s="119">
        <f t="shared" si="0"/>
        <v>-2981341.09</v>
      </c>
      <c r="F29" s="2">
        <f t="shared" si="1"/>
        <v>-1975734.7403429998</v>
      </c>
      <c r="G29" s="3">
        <f t="shared" si="9"/>
        <v>-1005606.3496569999</v>
      </c>
      <c r="H29" s="2">
        <f t="shared" si="7"/>
        <v>0</v>
      </c>
      <c r="I29" s="3">
        <f t="shared" si="6"/>
        <v>0</v>
      </c>
      <c r="J29" s="2">
        <f t="shared" si="3"/>
        <v>-1975734.7403429998</v>
      </c>
      <c r="K29" s="3">
        <f t="shared" si="4"/>
        <v>-1005606.3496569999</v>
      </c>
      <c r="L29" s="114"/>
    </row>
    <row r="30" spans="1:12" x14ac:dyDescent="0.2">
      <c r="A30" s="103" t="s">
        <v>6</v>
      </c>
      <c r="B30" s="105" t="s">
        <v>7</v>
      </c>
      <c r="C30" s="103" t="s">
        <v>156</v>
      </c>
      <c r="D30" s="99">
        <v>188022.75</v>
      </c>
      <c r="E30" s="119">
        <f t="shared" si="0"/>
        <v>188022.75</v>
      </c>
      <c r="F30" s="2">
        <f t="shared" si="1"/>
        <v>124602.676425</v>
      </c>
      <c r="G30" s="3">
        <f t="shared" si="9"/>
        <v>63420.073574999995</v>
      </c>
      <c r="H30" s="2">
        <f t="shared" si="2"/>
        <v>0</v>
      </c>
      <c r="I30" s="3">
        <f t="shared" si="5"/>
        <v>0</v>
      </c>
      <c r="J30" s="2">
        <f t="shared" si="3"/>
        <v>124602.676425</v>
      </c>
      <c r="K30" s="3">
        <f t="shared" si="4"/>
        <v>63420.073574999995</v>
      </c>
      <c r="L30" s="114"/>
    </row>
    <row r="31" spans="1:12" x14ac:dyDescent="0.2">
      <c r="A31" s="103" t="s">
        <v>6</v>
      </c>
      <c r="B31" s="105" t="s">
        <v>7</v>
      </c>
      <c r="C31" s="103" t="s">
        <v>157</v>
      </c>
      <c r="D31" s="99">
        <v>269067.73</v>
      </c>
      <c r="E31" s="119">
        <f t="shared" si="0"/>
        <v>269067.73</v>
      </c>
      <c r="F31" s="2">
        <f t="shared" si="1"/>
        <v>178311.18467099997</v>
      </c>
      <c r="G31" s="3">
        <f t="shared" si="9"/>
        <v>90756.545328999986</v>
      </c>
      <c r="H31" s="2">
        <f t="shared" si="2"/>
        <v>0</v>
      </c>
      <c r="I31" s="3">
        <f t="shared" si="5"/>
        <v>0</v>
      </c>
      <c r="J31" s="2">
        <f t="shared" si="3"/>
        <v>178311.18467099997</v>
      </c>
      <c r="K31" s="3">
        <f t="shared" si="4"/>
        <v>90756.545328999986</v>
      </c>
      <c r="L31" s="114"/>
    </row>
    <row r="32" spans="1:12" x14ac:dyDescent="0.2">
      <c r="A32" s="103" t="s">
        <v>6</v>
      </c>
      <c r="B32" s="105" t="s">
        <v>7</v>
      </c>
      <c r="C32" s="103" t="s">
        <v>158</v>
      </c>
      <c r="D32" s="99">
        <v>336023.64</v>
      </c>
      <c r="E32" s="119">
        <f t="shared" si="0"/>
        <v>336023.64</v>
      </c>
      <c r="F32" s="2">
        <f t="shared" si="1"/>
        <v>222682.866228</v>
      </c>
      <c r="G32" s="3">
        <f t="shared" si="9"/>
        <v>113340.773772</v>
      </c>
      <c r="H32" s="2">
        <f t="shared" si="2"/>
        <v>0</v>
      </c>
      <c r="I32" s="3">
        <f t="shared" si="5"/>
        <v>0</v>
      </c>
      <c r="J32" s="2">
        <f t="shared" si="3"/>
        <v>222682.866228</v>
      </c>
      <c r="K32" s="3">
        <f t="shared" si="4"/>
        <v>113340.773772</v>
      </c>
      <c r="L32" s="114"/>
    </row>
    <row r="33" spans="1:12" x14ac:dyDescent="0.2">
      <c r="A33" s="103" t="s">
        <v>6</v>
      </c>
      <c r="B33" s="105" t="s">
        <v>7</v>
      </c>
      <c r="C33" s="103" t="s">
        <v>159</v>
      </c>
      <c r="D33" s="99">
        <v>297988.31</v>
      </c>
      <c r="E33" s="119">
        <f t="shared" si="0"/>
        <v>297988.31</v>
      </c>
      <c r="F33" s="2">
        <f t="shared" si="1"/>
        <v>197476.85303699999</v>
      </c>
      <c r="G33" s="3">
        <f t="shared" si="9"/>
        <v>100511.45696299999</v>
      </c>
      <c r="H33" s="2">
        <f t="shared" si="2"/>
        <v>0</v>
      </c>
      <c r="I33" s="3">
        <f t="shared" si="5"/>
        <v>0</v>
      </c>
      <c r="J33" s="2">
        <f t="shared" si="3"/>
        <v>197476.85303699999</v>
      </c>
      <c r="K33" s="3">
        <f t="shared" si="4"/>
        <v>100511.45696299999</v>
      </c>
      <c r="L33" s="114"/>
    </row>
    <row r="34" spans="1:12" x14ac:dyDescent="0.2">
      <c r="A34" s="103" t="s">
        <v>6</v>
      </c>
      <c r="B34" s="105" t="s">
        <v>7</v>
      </c>
      <c r="C34" s="103" t="s">
        <v>160</v>
      </c>
      <c r="D34" s="99">
        <v>274481.34999999998</v>
      </c>
      <c r="E34" s="119">
        <f t="shared" si="0"/>
        <v>274481.34999999998</v>
      </c>
      <c r="F34" s="2">
        <f t="shared" si="1"/>
        <v>181898.79064499997</v>
      </c>
      <c r="G34" s="3">
        <f t="shared" si="9"/>
        <v>92582.55935499999</v>
      </c>
      <c r="H34" s="2">
        <f t="shared" si="2"/>
        <v>0</v>
      </c>
      <c r="I34" s="3">
        <f t="shared" si="5"/>
        <v>0</v>
      </c>
      <c r="J34" s="2">
        <f t="shared" si="3"/>
        <v>181898.79064499997</v>
      </c>
      <c r="K34" s="3">
        <f t="shared" si="4"/>
        <v>92582.55935499999</v>
      </c>
      <c r="L34" s="114"/>
    </row>
    <row r="35" spans="1:12" x14ac:dyDescent="0.2">
      <c r="A35" s="103" t="s">
        <v>6</v>
      </c>
      <c r="B35" s="105" t="s">
        <v>7</v>
      </c>
      <c r="C35" s="103" t="s">
        <v>161</v>
      </c>
      <c r="D35" s="99">
        <v>330812.12</v>
      </c>
      <c r="E35" s="119">
        <f t="shared" si="0"/>
        <v>330812.12</v>
      </c>
      <c r="F35" s="2">
        <f t="shared" si="1"/>
        <v>219229.19192399998</v>
      </c>
      <c r="G35" s="3">
        <f t="shared" si="9"/>
        <v>111582.928076</v>
      </c>
      <c r="H35" s="2">
        <f t="shared" si="2"/>
        <v>0</v>
      </c>
      <c r="I35" s="3">
        <f t="shared" si="5"/>
        <v>0</v>
      </c>
      <c r="J35" s="2">
        <f t="shared" si="3"/>
        <v>219229.19192399998</v>
      </c>
      <c r="K35" s="3">
        <f t="shared" si="4"/>
        <v>111582.928076</v>
      </c>
      <c r="L35" s="114"/>
    </row>
    <row r="36" spans="1:12" x14ac:dyDescent="0.2">
      <c r="A36" s="103" t="s">
        <v>6</v>
      </c>
      <c r="B36" s="105" t="s">
        <v>7</v>
      </c>
      <c r="C36" s="103" t="s">
        <v>162</v>
      </c>
      <c r="D36" s="99">
        <v>344409.42</v>
      </c>
      <c r="E36" s="119">
        <f t="shared" si="0"/>
        <v>344409.42</v>
      </c>
      <c r="F36" s="2">
        <f t="shared" si="1"/>
        <v>228240.12263399997</v>
      </c>
      <c r="G36" s="3">
        <f t="shared" si="9"/>
        <v>116169.29736599998</v>
      </c>
      <c r="H36" s="2">
        <f t="shared" si="2"/>
        <v>0</v>
      </c>
      <c r="I36" s="3">
        <f t="shared" si="5"/>
        <v>0</v>
      </c>
      <c r="J36" s="2">
        <f t="shared" si="3"/>
        <v>228240.12263399997</v>
      </c>
      <c r="K36" s="3">
        <f t="shared" si="4"/>
        <v>116169.29736599998</v>
      </c>
      <c r="L36" s="114"/>
    </row>
    <row r="37" spans="1:12" x14ac:dyDescent="0.2">
      <c r="A37" s="103" t="s">
        <v>6</v>
      </c>
      <c r="B37" s="105" t="s">
        <v>7</v>
      </c>
      <c r="C37" s="103" t="s">
        <v>163</v>
      </c>
      <c r="D37" s="99">
        <v>171880.76</v>
      </c>
      <c r="E37" s="119">
        <f t="shared" si="0"/>
        <v>171880.76</v>
      </c>
      <c r="F37" s="2">
        <f t="shared" si="1"/>
        <v>113905.379652</v>
      </c>
      <c r="G37" s="3">
        <f t="shared" si="9"/>
        <v>57975.380347999999</v>
      </c>
      <c r="H37" s="2">
        <f t="shared" si="2"/>
        <v>0</v>
      </c>
      <c r="I37" s="3">
        <f t="shared" si="5"/>
        <v>0</v>
      </c>
      <c r="J37" s="2">
        <f t="shared" si="3"/>
        <v>113905.379652</v>
      </c>
      <c r="K37" s="3">
        <f t="shared" si="4"/>
        <v>57975.380347999999</v>
      </c>
      <c r="L37" s="114"/>
    </row>
    <row r="38" spans="1:12" x14ac:dyDescent="0.2">
      <c r="A38" s="103" t="s">
        <v>6</v>
      </c>
      <c r="B38" s="103" t="s">
        <v>7</v>
      </c>
      <c r="C38" s="103" t="s">
        <v>164</v>
      </c>
      <c r="D38" s="122">
        <v>297570.18</v>
      </c>
      <c r="E38" s="119">
        <f t="shared" si="0"/>
        <v>297570.18</v>
      </c>
      <c r="F38" s="2">
        <f t="shared" si="1"/>
        <v>197199.758286</v>
      </c>
      <c r="G38" s="3">
        <f t="shared" si="9"/>
        <v>100370.421714</v>
      </c>
      <c r="H38" s="2">
        <f>'KOB1 Jan 2024 2025'!$E$29*N5</f>
        <v>5105.1359579999998</v>
      </c>
      <c r="I38" s="3">
        <f>'KOB1 Jan 2024 2025'!$E$29*N6</f>
        <v>2598.4040420000001</v>
      </c>
      <c r="J38" s="2">
        <f t="shared" si="3"/>
        <v>202304.894244</v>
      </c>
      <c r="K38" s="3">
        <f t="shared" si="4"/>
        <v>102968.82575599999</v>
      </c>
      <c r="L38" s="114">
        <v>2</v>
      </c>
    </row>
    <row r="39" spans="1:12" x14ac:dyDescent="0.2">
      <c r="A39"/>
      <c r="B39"/>
      <c r="C39"/>
      <c r="D39"/>
      <c r="E39" s="119"/>
      <c r="F39" s="2"/>
      <c r="G39" s="3"/>
      <c r="H39" s="2"/>
      <c r="I39" s="3"/>
      <c r="J39" s="2"/>
      <c r="K39" s="3"/>
      <c r="L39" s="114"/>
    </row>
    <row r="40" spans="1:12" ht="12.75" thickBot="1" x14ac:dyDescent="0.25">
      <c r="A40" s="8" t="s">
        <v>22</v>
      </c>
      <c r="B40" s="8"/>
      <c r="C40" s="8"/>
      <c r="D40" s="8">
        <v>40810002</v>
      </c>
      <c r="E40" s="8"/>
      <c r="F40" s="11">
        <f>SUMIF($A$3:$A$38,D40,$F3:$F38)</f>
        <v>117028608.64</v>
      </c>
      <c r="G40" s="14">
        <f>SUMIF($A$4:$A$38,$D40,G$3:G$38)</f>
        <v>0</v>
      </c>
      <c r="H40" s="12">
        <f>SUMIF($A$3:$A$38,$D40,$H$3:$H$38)</f>
        <v>-30630.560000000001</v>
      </c>
      <c r="I40" s="12">
        <f>SUMIF($A2:$A37,$D$40,I2:I37)</f>
        <v>0</v>
      </c>
      <c r="J40" s="11">
        <f>SUMIF($A$3:$A$38,$D40,J$3:J$38)</f>
        <v>116997978.08</v>
      </c>
      <c r="K40" s="14">
        <f>SUMIF(A3:A38,D40,K3:K38)</f>
        <v>0</v>
      </c>
      <c r="L40" s="114"/>
    </row>
    <row r="41" spans="1:12" ht="12.75" thickBot="1" x14ac:dyDescent="0.25">
      <c r="A41" s="8" t="s">
        <v>23</v>
      </c>
      <c r="B41" s="8"/>
      <c r="C41" s="8"/>
      <c r="D41" s="8">
        <v>40810302</v>
      </c>
      <c r="E41" s="8"/>
      <c r="F41" s="11">
        <f>SUMIF(A3:A38,E41,F3:F38)</f>
        <v>0</v>
      </c>
      <c r="G41" s="14">
        <f>SUMIF(A3:A38,D41,G3:G38)</f>
        <v>45682725.670000002</v>
      </c>
      <c r="H41" s="12">
        <f>SUMIF($A$3:$A$38,$D41,$H$3:$H$38)</f>
        <v>0</v>
      </c>
      <c r="I41" s="12">
        <f>SUMIF($A3:$A38,$D$41,I3:I38)</f>
        <v>1577559.11</v>
      </c>
      <c r="J41" s="11">
        <f>SUMIF($A$3:$A$38,$D41,J$3:J$38)</f>
        <v>0</v>
      </c>
      <c r="K41" s="11">
        <f>SUMIF($A$3:$A$38,$D41,K$3:K$38)</f>
        <v>47260284.780000001</v>
      </c>
      <c r="L41" s="114"/>
    </row>
    <row r="42" spans="1:12" ht="12.75" thickBot="1" x14ac:dyDescent="0.25">
      <c r="A42" s="9" t="s">
        <v>24</v>
      </c>
      <c r="B42" s="9"/>
      <c r="C42" s="9"/>
      <c r="D42" s="9">
        <v>40810602</v>
      </c>
      <c r="E42" s="9"/>
      <c r="F42" s="12">
        <f>SUMIF($A3:$A38,$D$42,F3:F38)</f>
        <v>837868.41607200005</v>
      </c>
      <c r="G42" s="12">
        <f>SUMIF($A3:$A38,$D$42,G3:G38)</f>
        <v>426456.94392799999</v>
      </c>
      <c r="H42" s="12">
        <f>SUMIF($A3:$A38,$D$42,H3:H38)</f>
        <v>-921688.17001200002</v>
      </c>
      <c r="I42" s="12">
        <f>SUMIF($A3:$A38,$D$42,I3:I38)</f>
        <v>-469119.38998799998</v>
      </c>
      <c r="J42" s="11">
        <f>SUMIF($A$3:$A$38,$D42,J$3:J$38)</f>
        <v>-83819.753940000286</v>
      </c>
      <c r="K42" s="11">
        <f>SUMIF($A$3:$A$38,$D42,K$3:K$38)</f>
        <v>-42662.446060000002</v>
      </c>
      <c r="L42" s="114"/>
    </row>
    <row r="43" spans="1:12" ht="12.75" thickBot="1" x14ac:dyDescent="0.25">
      <c r="A43" s="10" t="s">
        <v>21</v>
      </c>
      <c r="B43" s="10"/>
      <c r="C43" s="10"/>
      <c r="D43" s="10"/>
      <c r="E43" s="10"/>
      <c r="F43" s="13">
        <f>SUM(F40:F42)</f>
        <v>117866477.056072</v>
      </c>
      <c r="G43" s="15">
        <f t="shared" ref="G43:K43" si="10">SUM(G40:G42)</f>
        <v>46109182.613928005</v>
      </c>
      <c r="H43" s="13">
        <f t="shared" si="10"/>
        <v>-952318.73001200007</v>
      </c>
      <c r="I43" s="15">
        <f t="shared" si="10"/>
        <v>1108439.7200120001</v>
      </c>
      <c r="J43" s="13">
        <f t="shared" si="10"/>
        <v>116914158.32606</v>
      </c>
      <c r="K43" s="15">
        <f t="shared" si="10"/>
        <v>47217622.333939999</v>
      </c>
      <c r="L43" s="114"/>
    </row>
    <row r="44" spans="1:12" ht="12.75" thickTop="1" x14ac:dyDescent="0.2">
      <c r="F44" s="7"/>
      <c r="G44" s="7"/>
      <c r="H44" s="7"/>
      <c r="I44" s="7"/>
      <c r="J44" s="7"/>
      <c r="K44" s="7"/>
      <c r="L44" s="114"/>
    </row>
    <row r="45" spans="1:12" ht="12.75" x14ac:dyDescent="0.2">
      <c r="A45" s="116" t="s">
        <v>192</v>
      </c>
      <c r="B45" s="117"/>
      <c r="C45" s="117"/>
      <c r="D45" s="117"/>
      <c r="E45" s="117"/>
      <c r="L45" s="115"/>
    </row>
    <row r="46" spans="1:12" ht="12.75" x14ac:dyDescent="0.2">
      <c r="A46" s="116" t="s">
        <v>193</v>
      </c>
      <c r="B46" s="117"/>
      <c r="C46" s="117"/>
      <c r="D46" s="117"/>
      <c r="E46" s="117"/>
    </row>
    <row r="47" spans="1:12" x14ac:dyDescent="0.2">
      <c r="A47"/>
      <c r="B47"/>
      <c r="C47"/>
      <c r="D47"/>
    </row>
    <row r="48" spans="1:12" x14ac:dyDescent="0.2">
      <c r="A48"/>
      <c r="B48"/>
      <c r="C48"/>
      <c r="D48"/>
    </row>
    <row r="49" spans="1:4" x14ac:dyDescent="0.2">
      <c r="A49"/>
      <c r="B49"/>
      <c r="C49"/>
      <c r="D49"/>
    </row>
    <row r="50" spans="1:4" x14ac:dyDescent="0.2">
      <c r="A50"/>
      <c r="B50"/>
      <c r="C50"/>
      <c r="D50"/>
    </row>
    <row r="51" spans="1:4" x14ac:dyDescent="0.2">
      <c r="A51"/>
      <c r="B51"/>
      <c r="C51"/>
      <c r="D51"/>
    </row>
    <row r="52" spans="1:4" x14ac:dyDescent="0.2">
      <c r="A52"/>
      <c r="B52"/>
      <c r="C52"/>
      <c r="D52"/>
    </row>
    <row r="53" spans="1:4" x14ac:dyDescent="0.2">
      <c r="A53"/>
      <c r="B53"/>
      <c r="C53"/>
      <c r="D53"/>
    </row>
    <row r="54" spans="1:4" x14ac:dyDescent="0.2">
      <c r="A54"/>
      <c r="B54"/>
      <c r="C54"/>
      <c r="D54"/>
    </row>
    <row r="55" spans="1:4" x14ac:dyDescent="0.2">
      <c r="A55"/>
      <c r="B55"/>
      <c r="C55"/>
      <c r="D55"/>
    </row>
    <row r="56" spans="1:4" x14ac:dyDescent="0.2">
      <c r="A56"/>
      <c r="B56"/>
      <c r="C56"/>
      <c r="D56"/>
    </row>
    <row r="57" spans="1:4" x14ac:dyDescent="0.2">
      <c r="A57"/>
      <c r="B57"/>
      <c r="C57"/>
      <c r="D57"/>
    </row>
    <row r="58" spans="1:4" x14ac:dyDescent="0.2">
      <c r="A58"/>
      <c r="B58"/>
      <c r="C58"/>
      <c r="D58"/>
    </row>
    <row r="59" spans="1:4" x14ac:dyDescent="0.2">
      <c r="A59"/>
      <c r="B59"/>
      <c r="C59"/>
      <c r="D59"/>
    </row>
    <row r="60" spans="1:4" x14ac:dyDescent="0.2">
      <c r="A60"/>
      <c r="B60"/>
      <c r="C60"/>
      <c r="D60"/>
    </row>
    <row r="61" spans="1:4" x14ac:dyDescent="0.2">
      <c r="A61"/>
      <c r="B61"/>
      <c r="C61"/>
      <c r="D61"/>
    </row>
    <row r="62" spans="1:4" x14ac:dyDescent="0.2">
      <c r="A62"/>
      <c r="B62"/>
      <c r="C62"/>
      <c r="D62"/>
    </row>
    <row r="63" spans="1:4" x14ac:dyDescent="0.2">
      <c r="A63"/>
      <c r="B63"/>
      <c r="C63"/>
      <c r="D63"/>
    </row>
    <row r="64" spans="1:4" x14ac:dyDescent="0.2">
      <c r="A64"/>
      <c r="B64"/>
      <c r="C64"/>
      <c r="D64"/>
    </row>
    <row r="65" spans="1:4" x14ac:dyDescent="0.2">
      <c r="A65"/>
      <c r="B65"/>
      <c r="C65"/>
      <c r="D65"/>
    </row>
    <row r="66" spans="1:4" x14ac:dyDescent="0.2">
      <c r="A66"/>
      <c r="B66"/>
      <c r="C66"/>
      <c r="D66"/>
    </row>
    <row r="67" spans="1:4" x14ac:dyDescent="0.2">
      <c r="A67"/>
      <c r="B67"/>
      <c r="C67"/>
      <c r="D67"/>
    </row>
    <row r="68" spans="1:4" x14ac:dyDescent="0.2">
      <c r="A68"/>
      <c r="B68"/>
      <c r="C68"/>
      <c r="D68"/>
    </row>
    <row r="69" spans="1:4" x14ac:dyDescent="0.2">
      <c r="A69"/>
      <c r="B69"/>
      <c r="C69"/>
      <c r="D69"/>
    </row>
    <row r="70" spans="1:4" x14ac:dyDescent="0.2">
      <c r="A70"/>
      <c r="B70"/>
      <c r="C70"/>
      <c r="D70"/>
    </row>
    <row r="71" spans="1:4" x14ac:dyDescent="0.2">
      <c r="A71"/>
      <c r="B71"/>
      <c r="C71"/>
      <c r="D71"/>
    </row>
    <row r="72" spans="1:4" x14ac:dyDescent="0.2">
      <c r="A72"/>
      <c r="B72"/>
      <c r="C72"/>
      <c r="D72"/>
    </row>
    <row r="73" spans="1:4" x14ac:dyDescent="0.2">
      <c r="A73"/>
      <c r="B73"/>
      <c r="C73"/>
      <c r="D73"/>
    </row>
    <row r="74" spans="1:4" x14ac:dyDescent="0.2">
      <c r="A74"/>
      <c r="B74"/>
      <c r="C74"/>
      <c r="D74"/>
    </row>
    <row r="75" spans="1:4" x14ac:dyDescent="0.2">
      <c r="A75"/>
      <c r="B75"/>
      <c r="C75"/>
      <c r="D75"/>
    </row>
    <row r="76" spans="1:4" x14ac:dyDescent="0.2">
      <c r="A76"/>
      <c r="B76"/>
      <c r="C76"/>
      <c r="D76"/>
    </row>
    <row r="77" spans="1:4" x14ac:dyDescent="0.2">
      <c r="A77"/>
      <c r="B77"/>
      <c r="C77"/>
      <c r="D77"/>
    </row>
    <row r="78" spans="1:4" x14ac:dyDescent="0.2">
      <c r="A78"/>
      <c r="B78"/>
      <c r="C78"/>
      <c r="D78"/>
    </row>
    <row r="79" spans="1:4" x14ac:dyDescent="0.2">
      <c r="A79"/>
      <c r="B79"/>
      <c r="C79"/>
      <c r="D79"/>
    </row>
    <row r="80" spans="1:4" x14ac:dyDescent="0.2">
      <c r="A80"/>
      <c r="B80"/>
      <c r="C80"/>
      <c r="D80"/>
    </row>
    <row r="81" spans="1:12" x14ac:dyDescent="0.2">
      <c r="L81" s="115"/>
    </row>
    <row r="82" spans="1:12" x14ac:dyDescent="0.2">
      <c r="L82" s="115"/>
    </row>
    <row r="83" spans="1:12" x14ac:dyDescent="0.2">
      <c r="L83" s="115"/>
    </row>
    <row r="84" spans="1:12" x14ac:dyDescent="0.2">
      <c r="L84" s="115"/>
    </row>
    <row r="86" spans="1:12" x14ac:dyDescent="0.2">
      <c r="L86" s="6"/>
    </row>
    <row r="87" spans="1:12" x14ac:dyDescent="0.2">
      <c r="L87" s="6"/>
    </row>
    <row r="88" spans="1:12" ht="12.75" x14ac:dyDescent="0.2">
      <c r="A88" s="109"/>
      <c r="B88" s="110"/>
      <c r="C88" s="110"/>
      <c r="D88" s="110"/>
      <c r="E88" s="110"/>
    </row>
    <row r="89" spans="1:12" ht="12.75" x14ac:dyDescent="0.2">
      <c r="A89" s="109"/>
      <c r="B89" s="110"/>
      <c r="C89" s="110"/>
      <c r="D89" s="110"/>
      <c r="E89" s="110"/>
    </row>
    <row r="90" spans="1:12" x14ac:dyDescent="0.2">
      <c r="A90" s="111"/>
      <c r="B90" s="111"/>
      <c r="C90" s="111"/>
      <c r="D90" s="111"/>
      <c r="E90" s="111"/>
    </row>
    <row r="91" spans="1:12" x14ac:dyDescent="0.2">
      <c r="A91" s="111"/>
      <c r="B91" s="111"/>
      <c r="C91" s="111"/>
      <c r="D91" s="111"/>
      <c r="E91" s="111"/>
    </row>
    <row r="92" spans="1:12" x14ac:dyDescent="0.2">
      <c r="A92" s="111"/>
      <c r="B92" s="111"/>
      <c r="C92" s="111"/>
      <c r="D92" s="111"/>
      <c r="E92" s="111"/>
    </row>
  </sheetData>
  <pageMargins left="0.7" right="0.7" top="0.75" bottom="0.75" header="0.3" footer="0.3"/>
  <pageSetup orientation="portrait" r:id="rId1"/>
  <customProperties>
    <customPr name="_pios_id" r:id="rId2"/>
    <customPr name="CofWorksheetType" r:id="rId3"/>
  </customPropertie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O35"/>
  <sheetViews>
    <sheetView zoomScale="90" zoomScaleNormal="90" workbookViewId="0">
      <selection activeCell="O13" sqref="O13"/>
    </sheetView>
  </sheetViews>
  <sheetFormatPr defaultColWidth="8.83203125" defaultRowHeight="12.75" x14ac:dyDescent="0.2"/>
  <cols>
    <col min="1" max="1" width="12.1640625" style="123" bestFit="1" customWidth="1"/>
    <col min="2" max="2" width="17.1640625" style="123" bestFit="1" customWidth="1"/>
    <col min="3" max="3" width="12.1640625" style="123" bestFit="1" customWidth="1"/>
    <col min="4" max="4" width="25.6640625" style="123" bestFit="1" customWidth="1"/>
    <col min="5" max="5" width="20.83203125" style="123" bestFit="1" customWidth="1"/>
    <col min="6" max="6" width="26.83203125" style="123" bestFit="1" customWidth="1"/>
    <col min="7" max="7" width="34.1640625" style="123" bestFit="1" customWidth="1"/>
    <col min="8" max="8" width="45.1640625" style="123" bestFit="1" customWidth="1"/>
    <col min="9" max="9" width="9.83203125" style="123" bestFit="1" customWidth="1"/>
    <col min="10" max="10" width="13.5" style="123" bestFit="1" customWidth="1"/>
    <col min="11" max="11" width="20.83203125" style="123" bestFit="1" customWidth="1"/>
    <col min="12" max="12" width="7.33203125" style="123" bestFit="1" customWidth="1"/>
    <col min="13" max="13" width="31.83203125" style="123" bestFit="1" customWidth="1"/>
    <col min="14" max="14" width="7.33203125" style="123" bestFit="1" customWidth="1"/>
    <col min="15" max="15" width="62.33203125" style="123" bestFit="1" customWidth="1"/>
    <col min="16" max="16" width="17.1640625" style="123" bestFit="1" customWidth="1"/>
    <col min="17" max="223" width="8.83203125" style="136"/>
    <col min="224" max="16384" width="8.83203125" style="123"/>
  </cols>
  <sheetData>
    <row r="1" spans="1:223" ht="38.25" x14ac:dyDescent="0.2">
      <c r="A1" s="129" t="s">
        <v>125</v>
      </c>
      <c r="B1" s="129" t="s">
        <v>191</v>
      </c>
      <c r="C1" s="130" t="s">
        <v>190</v>
      </c>
      <c r="D1" s="129" t="s">
        <v>194</v>
      </c>
      <c r="E1" s="129" t="s">
        <v>189</v>
      </c>
      <c r="F1" s="129" t="s">
        <v>188</v>
      </c>
      <c r="G1" s="129" t="s">
        <v>187</v>
      </c>
      <c r="H1" s="129" t="s">
        <v>126</v>
      </c>
      <c r="I1" s="129" t="s">
        <v>186</v>
      </c>
      <c r="J1" s="130" t="s">
        <v>185</v>
      </c>
      <c r="K1" s="129" t="s">
        <v>184</v>
      </c>
      <c r="L1" s="130" t="s">
        <v>183</v>
      </c>
      <c r="M1" s="129" t="s">
        <v>127</v>
      </c>
      <c r="N1" s="129" t="s">
        <v>128</v>
      </c>
      <c r="O1" s="129" t="s">
        <v>129</v>
      </c>
      <c r="P1" s="129" t="s">
        <v>182</v>
      </c>
    </row>
    <row r="2" spans="1:223" x14ac:dyDescent="0.2">
      <c r="A2" s="123" t="s">
        <v>6</v>
      </c>
      <c r="B2" s="123" t="s">
        <v>130</v>
      </c>
      <c r="C2" s="123" t="s">
        <v>148</v>
      </c>
      <c r="D2" s="123" t="s">
        <v>123</v>
      </c>
      <c r="E2" s="128">
        <v>375</v>
      </c>
      <c r="F2" s="123" t="s">
        <v>132</v>
      </c>
      <c r="G2" s="123" t="s">
        <v>149</v>
      </c>
      <c r="H2" s="123" t="s">
        <v>150</v>
      </c>
      <c r="I2" s="123" t="s">
        <v>180</v>
      </c>
      <c r="J2" s="123" t="s">
        <v>178</v>
      </c>
      <c r="K2" s="123" t="s">
        <v>143</v>
      </c>
      <c r="L2" s="123" t="s">
        <v>177</v>
      </c>
      <c r="M2" s="123" t="s">
        <v>134</v>
      </c>
      <c r="N2" s="123" t="s">
        <v>135</v>
      </c>
      <c r="O2" s="123" t="s">
        <v>136</v>
      </c>
      <c r="P2" s="127">
        <v>45300</v>
      </c>
    </row>
    <row r="3" spans="1:223" x14ac:dyDescent="0.2">
      <c r="A3" s="123" t="s">
        <v>6</v>
      </c>
      <c r="B3" s="123" t="s">
        <v>130</v>
      </c>
      <c r="C3" s="123" t="s">
        <v>148</v>
      </c>
      <c r="D3" s="123" t="s">
        <v>123</v>
      </c>
      <c r="E3" s="128">
        <v>10.09</v>
      </c>
      <c r="F3" s="123" t="s">
        <v>132</v>
      </c>
      <c r="G3" s="123" t="s">
        <v>149</v>
      </c>
      <c r="H3" s="123" t="s">
        <v>151</v>
      </c>
      <c r="I3" s="123" t="s">
        <v>180</v>
      </c>
      <c r="J3" s="123" t="s">
        <v>178</v>
      </c>
      <c r="K3" s="123" t="s">
        <v>143</v>
      </c>
      <c r="L3" s="123" t="s">
        <v>177</v>
      </c>
      <c r="M3" s="123" t="s">
        <v>134</v>
      </c>
      <c r="N3" s="123" t="s">
        <v>135</v>
      </c>
      <c r="O3" s="123" t="s">
        <v>136</v>
      </c>
      <c r="P3" s="127">
        <v>45300</v>
      </c>
    </row>
    <row r="4" spans="1:223" x14ac:dyDescent="0.2">
      <c r="A4" s="123" t="s">
        <v>3</v>
      </c>
      <c r="B4" s="123" t="s">
        <v>130</v>
      </c>
      <c r="C4" s="123" t="s">
        <v>131</v>
      </c>
      <c r="D4" s="123" t="s">
        <v>123</v>
      </c>
      <c r="E4" s="128">
        <v>-6772772.5599999996</v>
      </c>
      <c r="F4" s="123" t="s">
        <v>132</v>
      </c>
      <c r="G4" s="123" t="s">
        <v>133</v>
      </c>
      <c r="H4" s="123" t="s">
        <v>123</v>
      </c>
      <c r="I4" s="123" t="s">
        <v>180</v>
      </c>
      <c r="J4" s="123" t="s">
        <v>180</v>
      </c>
      <c r="K4" s="123" t="s">
        <v>14</v>
      </c>
      <c r="L4" s="123" t="s">
        <v>177</v>
      </c>
      <c r="M4" s="123" t="s">
        <v>134</v>
      </c>
      <c r="N4" s="123" t="s">
        <v>135</v>
      </c>
      <c r="O4" s="123" t="s">
        <v>136</v>
      </c>
      <c r="P4" s="127">
        <v>45300</v>
      </c>
    </row>
    <row r="5" spans="1:223" x14ac:dyDescent="0.2">
      <c r="A5" s="123" t="s">
        <v>5</v>
      </c>
      <c r="B5" s="123" t="s">
        <v>130</v>
      </c>
      <c r="C5" s="123" t="s">
        <v>131</v>
      </c>
      <c r="D5" s="123" t="s">
        <v>123</v>
      </c>
      <c r="E5" s="128">
        <v>-3679365.26</v>
      </c>
      <c r="F5" s="123" t="s">
        <v>132</v>
      </c>
      <c r="G5" s="123" t="s">
        <v>133</v>
      </c>
      <c r="H5" s="123" t="s">
        <v>123</v>
      </c>
      <c r="I5" s="123" t="s">
        <v>180</v>
      </c>
      <c r="J5" s="123" t="s">
        <v>179</v>
      </c>
      <c r="K5" s="123" t="s">
        <v>16</v>
      </c>
      <c r="L5" s="123" t="s">
        <v>177</v>
      </c>
      <c r="M5" s="123" t="s">
        <v>134</v>
      </c>
      <c r="N5" s="123" t="s">
        <v>135</v>
      </c>
      <c r="O5" s="123" t="s">
        <v>136</v>
      </c>
      <c r="P5" s="127">
        <v>45300</v>
      </c>
    </row>
    <row r="6" spans="1:223" x14ac:dyDescent="0.2">
      <c r="A6" s="123" t="s">
        <v>6</v>
      </c>
      <c r="B6" s="123" t="s">
        <v>130</v>
      </c>
      <c r="C6" s="123" t="s">
        <v>130</v>
      </c>
      <c r="D6" s="123" t="s">
        <v>123</v>
      </c>
      <c r="E6" s="128">
        <v>-51.35</v>
      </c>
      <c r="F6" s="123" t="s">
        <v>132</v>
      </c>
      <c r="G6" s="123" t="s">
        <v>132</v>
      </c>
      <c r="H6" s="123" t="s">
        <v>152</v>
      </c>
      <c r="I6" s="123" t="s">
        <v>180</v>
      </c>
      <c r="J6" s="123" t="s">
        <v>178</v>
      </c>
      <c r="K6" s="123" t="s">
        <v>143</v>
      </c>
      <c r="L6" s="123" t="s">
        <v>177</v>
      </c>
      <c r="M6" s="123" t="s">
        <v>134</v>
      </c>
      <c r="N6" s="123" t="s">
        <v>135</v>
      </c>
      <c r="O6" s="123" t="s">
        <v>136</v>
      </c>
      <c r="P6" s="127">
        <v>45314</v>
      </c>
    </row>
    <row r="7" spans="1:223" x14ac:dyDescent="0.2">
      <c r="A7" s="123" t="s">
        <v>6</v>
      </c>
      <c r="B7" s="123" t="s">
        <v>130</v>
      </c>
      <c r="C7" s="123" t="s">
        <v>144</v>
      </c>
      <c r="D7" s="123" t="s">
        <v>123</v>
      </c>
      <c r="E7" s="128">
        <v>51.35</v>
      </c>
      <c r="F7" s="123" t="s">
        <v>132</v>
      </c>
      <c r="G7" s="123" t="s">
        <v>145</v>
      </c>
      <c r="H7" s="123" t="s">
        <v>152</v>
      </c>
      <c r="I7" s="123" t="s">
        <v>180</v>
      </c>
      <c r="J7" s="123" t="s">
        <v>178</v>
      </c>
      <c r="K7" s="123" t="s">
        <v>143</v>
      </c>
      <c r="L7" s="123" t="s">
        <v>177</v>
      </c>
      <c r="M7" s="123" t="s">
        <v>134</v>
      </c>
      <c r="N7" s="123" t="s">
        <v>135</v>
      </c>
      <c r="O7" s="123" t="s">
        <v>136</v>
      </c>
      <c r="P7" s="127">
        <v>45314</v>
      </c>
    </row>
    <row r="8" spans="1:223" s="131" customFormat="1" x14ac:dyDescent="0.2">
      <c r="A8" s="132" t="s">
        <v>5</v>
      </c>
      <c r="B8" s="132" t="s">
        <v>130</v>
      </c>
      <c r="C8" s="132" t="s">
        <v>139</v>
      </c>
      <c r="D8" s="132" t="s">
        <v>123</v>
      </c>
      <c r="E8" s="133">
        <v>-1578124.29</v>
      </c>
      <c r="F8" s="132" t="s">
        <v>132</v>
      </c>
      <c r="G8" s="132" t="s">
        <v>140</v>
      </c>
      <c r="H8" s="132" t="s">
        <v>142</v>
      </c>
      <c r="I8" s="132" t="s">
        <v>180</v>
      </c>
      <c r="J8" s="132" t="s">
        <v>179</v>
      </c>
      <c r="K8" s="132" t="s">
        <v>16</v>
      </c>
      <c r="L8" s="132" t="s">
        <v>177</v>
      </c>
      <c r="M8" s="132" t="s">
        <v>134</v>
      </c>
      <c r="N8" s="132" t="s">
        <v>135</v>
      </c>
      <c r="O8" s="132" t="s">
        <v>136</v>
      </c>
      <c r="P8" s="134">
        <v>45315</v>
      </c>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c r="BW8" s="136"/>
      <c r="BX8" s="136"/>
      <c r="BY8" s="136"/>
      <c r="BZ8" s="136"/>
      <c r="CA8" s="136"/>
      <c r="CB8" s="136"/>
      <c r="CC8" s="136"/>
      <c r="CD8" s="136"/>
      <c r="CE8" s="136"/>
      <c r="CF8" s="136"/>
      <c r="CG8" s="136"/>
      <c r="CH8" s="136"/>
      <c r="CI8" s="136"/>
      <c r="CJ8" s="136"/>
      <c r="CK8" s="136"/>
      <c r="CL8" s="136"/>
      <c r="CM8" s="136"/>
      <c r="CN8" s="136"/>
      <c r="CO8" s="136"/>
      <c r="CP8" s="136"/>
      <c r="CQ8" s="136"/>
      <c r="CR8" s="136"/>
      <c r="CS8" s="136"/>
      <c r="CT8" s="136"/>
      <c r="CU8" s="136"/>
      <c r="CV8" s="136"/>
      <c r="CW8" s="136"/>
      <c r="CX8" s="136"/>
      <c r="CY8" s="136"/>
      <c r="CZ8" s="136"/>
      <c r="DA8" s="136"/>
      <c r="DB8" s="136"/>
      <c r="DC8" s="136"/>
      <c r="DD8" s="136"/>
      <c r="DE8" s="136"/>
      <c r="DF8" s="136"/>
      <c r="DG8" s="136"/>
      <c r="DH8" s="136"/>
      <c r="DI8" s="136"/>
      <c r="DJ8" s="136"/>
      <c r="DK8" s="136"/>
      <c r="DL8" s="136"/>
      <c r="DM8" s="136"/>
      <c r="DN8" s="136"/>
      <c r="DO8" s="136"/>
      <c r="DP8" s="136"/>
      <c r="DQ8" s="136"/>
      <c r="DR8" s="136"/>
      <c r="DS8" s="136"/>
      <c r="DT8" s="136"/>
      <c r="DU8" s="136"/>
      <c r="DV8" s="136"/>
      <c r="DW8" s="136"/>
      <c r="DX8" s="136"/>
      <c r="DY8" s="136"/>
      <c r="DZ8" s="136"/>
      <c r="EA8" s="136"/>
      <c r="EB8" s="136"/>
      <c r="EC8" s="136"/>
      <c r="ED8" s="136"/>
      <c r="EE8" s="136"/>
      <c r="EF8" s="136"/>
      <c r="EG8" s="136"/>
      <c r="EH8" s="136"/>
      <c r="EI8" s="136"/>
      <c r="EJ8" s="136"/>
      <c r="EK8" s="136"/>
      <c r="EL8" s="136"/>
      <c r="EM8" s="136"/>
      <c r="EN8" s="136"/>
      <c r="EO8" s="136"/>
      <c r="EP8" s="136"/>
      <c r="EQ8" s="136"/>
      <c r="ER8" s="136"/>
      <c r="ES8" s="136"/>
      <c r="ET8" s="136"/>
      <c r="EU8" s="136"/>
      <c r="EV8" s="136"/>
      <c r="EW8" s="136"/>
      <c r="EX8" s="136"/>
      <c r="EY8" s="136"/>
      <c r="EZ8" s="136"/>
      <c r="FA8" s="136"/>
      <c r="FB8" s="136"/>
      <c r="FC8" s="136"/>
      <c r="FD8" s="136"/>
      <c r="FE8" s="136"/>
      <c r="FF8" s="136"/>
      <c r="FG8" s="136"/>
      <c r="FH8" s="136"/>
      <c r="FI8" s="136"/>
      <c r="FJ8" s="136"/>
      <c r="FK8" s="136"/>
      <c r="FL8" s="136"/>
      <c r="FM8" s="136"/>
      <c r="FN8" s="136"/>
      <c r="FO8" s="136"/>
      <c r="FP8" s="136"/>
      <c r="FQ8" s="136"/>
      <c r="FR8" s="136"/>
      <c r="FS8" s="136"/>
      <c r="FT8" s="136"/>
      <c r="FU8" s="136"/>
      <c r="FV8" s="136"/>
      <c r="FW8" s="136"/>
      <c r="FX8" s="136"/>
      <c r="FY8" s="136"/>
      <c r="FZ8" s="136"/>
      <c r="GA8" s="136"/>
      <c r="GB8" s="136"/>
      <c r="GC8" s="136"/>
      <c r="GD8" s="136"/>
      <c r="GE8" s="136"/>
      <c r="GF8" s="136"/>
      <c r="GG8" s="136"/>
      <c r="GH8" s="136"/>
      <c r="GI8" s="136"/>
      <c r="GJ8" s="136"/>
      <c r="GK8" s="136"/>
      <c r="GL8" s="136"/>
      <c r="GM8" s="136"/>
      <c r="GN8" s="136"/>
      <c r="GO8" s="136"/>
      <c r="GP8" s="136"/>
      <c r="GQ8" s="136"/>
      <c r="GR8" s="136"/>
      <c r="GS8" s="136"/>
      <c r="GT8" s="136"/>
      <c r="GU8" s="136"/>
      <c r="GV8" s="136"/>
      <c r="GW8" s="136"/>
      <c r="GX8" s="136"/>
      <c r="GY8" s="136"/>
      <c r="GZ8" s="136"/>
      <c r="HA8" s="136"/>
      <c r="HB8" s="136"/>
      <c r="HC8" s="136"/>
      <c r="HD8" s="136"/>
      <c r="HE8" s="136"/>
      <c r="HF8" s="136"/>
      <c r="HG8" s="136"/>
      <c r="HH8" s="136"/>
      <c r="HI8" s="136"/>
      <c r="HJ8" s="136"/>
      <c r="HK8" s="136"/>
      <c r="HL8" s="136"/>
      <c r="HM8" s="136"/>
      <c r="HN8" s="136"/>
      <c r="HO8" s="136"/>
    </row>
    <row r="9" spans="1:223" s="131" customFormat="1" x14ac:dyDescent="0.2">
      <c r="A9" s="132" t="s">
        <v>3</v>
      </c>
      <c r="B9" s="132" t="s">
        <v>130</v>
      </c>
      <c r="C9" s="132" t="s">
        <v>130</v>
      </c>
      <c r="D9" s="132" t="s">
        <v>123</v>
      </c>
      <c r="E9" s="133">
        <v>591.08000000000004</v>
      </c>
      <c r="F9" s="132" t="s">
        <v>132</v>
      </c>
      <c r="G9" s="132" t="s">
        <v>132</v>
      </c>
      <c r="H9" s="132" t="s">
        <v>141</v>
      </c>
      <c r="I9" s="132" t="s">
        <v>180</v>
      </c>
      <c r="J9" s="132" t="s">
        <v>180</v>
      </c>
      <c r="K9" s="132" t="s">
        <v>14</v>
      </c>
      <c r="L9" s="132" t="s">
        <v>177</v>
      </c>
      <c r="M9" s="132" t="s">
        <v>134</v>
      </c>
      <c r="N9" s="132" t="s">
        <v>135</v>
      </c>
      <c r="O9" s="132" t="s">
        <v>136</v>
      </c>
      <c r="P9" s="134">
        <v>45315</v>
      </c>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136"/>
      <c r="BK9" s="136"/>
      <c r="BL9" s="136"/>
      <c r="BM9" s="136"/>
      <c r="BN9" s="136"/>
      <c r="BO9" s="136"/>
      <c r="BP9" s="136"/>
      <c r="BQ9" s="136"/>
      <c r="BR9" s="136"/>
      <c r="BS9" s="136"/>
      <c r="BT9" s="136"/>
      <c r="BU9" s="136"/>
      <c r="BV9" s="136"/>
      <c r="BW9" s="136"/>
      <c r="BX9" s="136"/>
      <c r="BY9" s="136"/>
      <c r="BZ9" s="136"/>
      <c r="CA9" s="136"/>
      <c r="CB9" s="136"/>
      <c r="CC9" s="136"/>
      <c r="CD9" s="136"/>
      <c r="CE9" s="136"/>
      <c r="CF9" s="136"/>
      <c r="CG9" s="136"/>
      <c r="CH9" s="136"/>
      <c r="CI9" s="136"/>
      <c r="CJ9" s="136"/>
      <c r="CK9" s="136"/>
      <c r="CL9" s="136"/>
      <c r="CM9" s="136"/>
      <c r="CN9" s="136"/>
      <c r="CO9" s="136"/>
      <c r="CP9" s="136"/>
      <c r="CQ9" s="136"/>
      <c r="CR9" s="136"/>
      <c r="CS9" s="136"/>
      <c r="CT9" s="136"/>
      <c r="CU9" s="136"/>
      <c r="CV9" s="136"/>
      <c r="CW9" s="136"/>
      <c r="CX9" s="136"/>
      <c r="CY9" s="136"/>
      <c r="CZ9" s="136"/>
      <c r="DA9" s="136"/>
      <c r="DB9" s="136"/>
      <c r="DC9" s="136"/>
      <c r="DD9" s="136"/>
      <c r="DE9" s="136"/>
      <c r="DF9" s="136"/>
      <c r="DG9" s="136"/>
      <c r="DH9" s="136"/>
      <c r="DI9" s="136"/>
      <c r="DJ9" s="136"/>
      <c r="DK9" s="136"/>
      <c r="DL9" s="136"/>
      <c r="DM9" s="136"/>
      <c r="DN9" s="136"/>
      <c r="DO9" s="136"/>
      <c r="DP9" s="136"/>
      <c r="DQ9" s="136"/>
      <c r="DR9" s="136"/>
      <c r="DS9" s="136"/>
      <c r="DT9" s="136"/>
      <c r="DU9" s="136"/>
      <c r="DV9" s="136"/>
      <c r="DW9" s="136"/>
      <c r="DX9" s="136"/>
      <c r="DY9" s="136"/>
      <c r="DZ9" s="136"/>
      <c r="EA9" s="136"/>
      <c r="EB9" s="136"/>
      <c r="EC9" s="136"/>
      <c r="ED9" s="136"/>
      <c r="EE9" s="136"/>
      <c r="EF9" s="136"/>
      <c r="EG9" s="136"/>
      <c r="EH9" s="136"/>
      <c r="EI9" s="136"/>
      <c r="EJ9" s="136"/>
      <c r="EK9" s="136"/>
      <c r="EL9" s="136"/>
      <c r="EM9" s="136"/>
      <c r="EN9" s="136"/>
      <c r="EO9" s="136"/>
      <c r="EP9" s="136"/>
      <c r="EQ9" s="136"/>
      <c r="ER9" s="136"/>
      <c r="ES9" s="136"/>
      <c r="ET9" s="136"/>
      <c r="EU9" s="136"/>
      <c r="EV9" s="136"/>
      <c r="EW9" s="136"/>
      <c r="EX9" s="136"/>
      <c r="EY9" s="136"/>
      <c r="EZ9" s="136"/>
      <c r="FA9" s="136"/>
      <c r="FB9" s="136"/>
      <c r="FC9" s="136"/>
      <c r="FD9" s="136"/>
      <c r="FE9" s="136"/>
      <c r="FF9" s="136"/>
      <c r="FG9" s="136"/>
      <c r="FH9" s="136"/>
      <c r="FI9" s="136"/>
      <c r="FJ9" s="136"/>
      <c r="FK9" s="136"/>
      <c r="FL9" s="136"/>
      <c r="FM9" s="136"/>
      <c r="FN9" s="136"/>
      <c r="FO9" s="136"/>
      <c r="FP9" s="136"/>
      <c r="FQ9" s="136"/>
      <c r="FR9" s="136"/>
      <c r="FS9" s="136"/>
      <c r="FT9" s="136"/>
      <c r="FU9" s="136"/>
      <c r="FV9" s="136"/>
      <c r="FW9" s="136"/>
      <c r="FX9" s="136"/>
      <c r="FY9" s="136"/>
      <c r="FZ9" s="136"/>
      <c r="GA9" s="136"/>
      <c r="GB9" s="136"/>
      <c r="GC9" s="136"/>
      <c r="GD9" s="136"/>
      <c r="GE9" s="136"/>
      <c r="GF9" s="136"/>
      <c r="GG9" s="136"/>
      <c r="GH9" s="136"/>
      <c r="GI9" s="136"/>
      <c r="GJ9" s="136"/>
      <c r="GK9" s="136"/>
      <c r="GL9" s="136"/>
      <c r="GM9" s="136"/>
      <c r="GN9" s="136"/>
      <c r="GO9" s="136"/>
      <c r="GP9" s="136"/>
      <c r="GQ9" s="136"/>
      <c r="GR9" s="136"/>
      <c r="GS9" s="136"/>
      <c r="GT9" s="136"/>
      <c r="GU9" s="136"/>
      <c r="GV9" s="136"/>
      <c r="GW9" s="136"/>
      <c r="GX9" s="136"/>
      <c r="GY9" s="136"/>
      <c r="GZ9" s="136"/>
      <c r="HA9" s="136"/>
      <c r="HB9" s="136"/>
      <c r="HC9" s="136"/>
      <c r="HD9" s="136"/>
      <c r="HE9" s="136"/>
      <c r="HF9" s="136"/>
      <c r="HG9" s="136"/>
      <c r="HH9" s="136"/>
      <c r="HI9" s="136"/>
      <c r="HJ9" s="136"/>
      <c r="HK9" s="136"/>
      <c r="HL9" s="136"/>
      <c r="HM9" s="136"/>
      <c r="HN9" s="136"/>
      <c r="HO9" s="136"/>
    </row>
    <row r="10" spans="1:223" s="131" customFormat="1" x14ac:dyDescent="0.2">
      <c r="A10" s="132" t="s">
        <v>6</v>
      </c>
      <c r="B10" s="132" t="s">
        <v>130</v>
      </c>
      <c r="C10" s="132" t="s">
        <v>130</v>
      </c>
      <c r="D10" s="132" t="s">
        <v>123</v>
      </c>
      <c r="E10" s="133">
        <v>1398511.1</v>
      </c>
      <c r="F10" s="132" t="s">
        <v>132</v>
      </c>
      <c r="G10" s="132" t="s">
        <v>132</v>
      </c>
      <c r="H10" s="132" t="s">
        <v>146</v>
      </c>
      <c r="I10" s="132" t="s">
        <v>180</v>
      </c>
      <c r="J10" s="132" t="s">
        <v>178</v>
      </c>
      <c r="K10" s="132" t="s">
        <v>143</v>
      </c>
      <c r="L10" s="132" t="s">
        <v>177</v>
      </c>
      <c r="M10" s="132" t="s">
        <v>134</v>
      </c>
      <c r="N10" s="132" t="s">
        <v>135</v>
      </c>
      <c r="O10" s="132" t="s">
        <v>136</v>
      </c>
      <c r="P10" s="134">
        <v>45315</v>
      </c>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36"/>
      <c r="BU10" s="136"/>
      <c r="BV10" s="136"/>
      <c r="BW10" s="136"/>
      <c r="BX10" s="136"/>
      <c r="BY10" s="136"/>
      <c r="BZ10" s="136"/>
      <c r="CA10" s="136"/>
      <c r="CB10" s="136"/>
      <c r="CC10" s="136"/>
      <c r="CD10" s="136"/>
      <c r="CE10" s="136"/>
      <c r="CF10" s="136"/>
      <c r="CG10" s="136"/>
      <c r="CH10" s="136"/>
      <c r="CI10" s="136"/>
      <c r="CJ10" s="136"/>
      <c r="CK10" s="136"/>
      <c r="CL10" s="136"/>
      <c r="CM10" s="136"/>
      <c r="CN10" s="136"/>
      <c r="CO10" s="136"/>
      <c r="CP10" s="136"/>
      <c r="CQ10" s="136"/>
      <c r="CR10" s="136"/>
      <c r="CS10" s="136"/>
      <c r="CT10" s="136"/>
      <c r="CU10" s="136"/>
      <c r="CV10" s="136"/>
      <c r="CW10" s="136"/>
      <c r="CX10" s="136"/>
      <c r="CY10" s="136"/>
      <c r="CZ10" s="136"/>
      <c r="DA10" s="136"/>
      <c r="DB10" s="136"/>
      <c r="DC10" s="136"/>
      <c r="DD10" s="136"/>
      <c r="DE10" s="136"/>
      <c r="DF10" s="136"/>
      <c r="DG10" s="136"/>
      <c r="DH10" s="136"/>
      <c r="DI10" s="136"/>
      <c r="DJ10" s="136"/>
      <c r="DK10" s="136"/>
      <c r="DL10" s="136"/>
      <c r="DM10" s="136"/>
      <c r="DN10" s="136"/>
      <c r="DO10" s="136"/>
      <c r="DP10" s="136"/>
      <c r="DQ10" s="136"/>
      <c r="DR10" s="136"/>
      <c r="DS10" s="136"/>
      <c r="DT10" s="136"/>
      <c r="DU10" s="136"/>
      <c r="DV10" s="136"/>
      <c r="DW10" s="136"/>
      <c r="DX10" s="136"/>
      <c r="DY10" s="136"/>
      <c r="DZ10" s="136"/>
      <c r="EA10" s="136"/>
      <c r="EB10" s="136"/>
      <c r="EC10" s="136"/>
      <c r="ED10" s="136"/>
      <c r="EE10" s="136"/>
      <c r="EF10" s="136"/>
      <c r="EG10" s="136"/>
      <c r="EH10" s="136"/>
      <c r="EI10" s="136"/>
      <c r="EJ10" s="136"/>
      <c r="EK10" s="136"/>
      <c r="EL10" s="136"/>
      <c r="EM10" s="136"/>
      <c r="EN10" s="136"/>
      <c r="EO10" s="136"/>
      <c r="EP10" s="136"/>
      <c r="EQ10" s="136"/>
      <c r="ER10" s="136"/>
      <c r="ES10" s="136"/>
      <c r="ET10" s="136"/>
      <c r="EU10" s="136"/>
      <c r="EV10" s="136"/>
      <c r="EW10" s="136"/>
      <c r="EX10" s="136"/>
      <c r="EY10" s="136"/>
      <c r="EZ10" s="136"/>
      <c r="FA10" s="136"/>
      <c r="FB10" s="136"/>
      <c r="FC10" s="136"/>
      <c r="FD10" s="136"/>
      <c r="FE10" s="136"/>
      <c r="FF10" s="136"/>
      <c r="FG10" s="136"/>
      <c r="FH10" s="136"/>
      <c r="FI10" s="136"/>
      <c r="FJ10" s="136"/>
      <c r="FK10" s="136"/>
      <c r="FL10" s="136"/>
      <c r="FM10" s="136"/>
      <c r="FN10" s="136"/>
      <c r="FO10" s="136"/>
      <c r="FP10" s="136"/>
      <c r="FQ10" s="136"/>
      <c r="FR10" s="136"/>
      <c r="FS10" s="136"/>
      <c r="FT10" s="136"/>
      <c r="FU10" s="136"/>
      <c r="FV10" s="136"/>
      <c r="FW10" s="136"/>
      <c r="FX10" s="136"/>
      <c r="FY10" s="136"/>
      <c r="FZ10" s="136"/>
      <c r="GA10" s="136"/>
      <c r="GB10" s="136"/>
      <c r="GC10" s="136"/>
      <c r="GD10" s="136"/>
      <c r="GE10" s="136"/>
      <c r="GF10" s="136"/>
      <c r="GG10" s="136"/>
      <c r="GH10" s="136"/>
      <c r="GI10" s="136"/>
      <c r="GJ10" s="136"/>
      <c r="GK10" s="136"/>
      <c r="GL10" s="136"/>
      <c r="GM10" s="136"/>
      <c r="GN10" s="136"/>
      <c r="GO10" s="136"/>
      <c r="GP10" s="136"/>
      <c r="GQ10" s="136"/>
      <c r="GR10" s="136"/>
      <c r="GS10" s="136"/>
      <c r="GT10" s="136"/>
      <c r="GU10" s="136"/>
      <c r="GV10" s="136"/>
      <c r="GW10" s="136"/>
      <c r="GX10" s="136"/>
      <c r="GY10" s="136"/>
      <c r="GZ10" s="136"/>
      <c r="HA10" s="136"/>
      <c r="HB10" s="136"/>
      <c r="HC10" s="136"/>
      <c r="HD10" s="136"/>
      <c r="HE10" s="136"/>
      <c r="HF10" s="136"/>
      <c r="HG10" s="136"/>
      <c r="HH10" s="136"/>
      <c r="HI10" s="136"/>
      <c r="HJ10" s="136"/>
      <c r="HK10" s="136"/>
      <c r="HL10" s="136"/>
      <c r="HM10" s="136"/>
      <c r="HN10" s="136"/>
      <c r="HO10" s="136"/>
    </row>
    <row r="11" spans="1:223" x14ac:dyDescent="0.2">
      <c r="A11" s="123" t="s">
        <v>6</v>
      </c>
      <c r="B11" s="123" t="s">
        <v>147</v>
      </c>
      <c r="C11" s="123" t="s">
        <v>148</v>
      </c>
      <c r="D11" s="123" t="s">
        <v>123</v>
      </c>
      <c r="E11" s="128">
        <v>50</v>
      </c>
      <c r="F11" s="123" t="s">
        <v>181</v>
      </c>
      <c r="G11" s="123" t="s">
        <v>149</v>
      </c>
      <c r="H11" s="123" t="s">
        <v>150</v>
      </c>
      <c r="I11" s="123" t="s">
        <v>180</v>
      </c>
      <c r="J11" s="123" t="s">
        <v>178</v>
      </c>
      <c r="K11" s="123" t="s">
        <v>143</v>
      </c>
      <c r="L11" s="123" t="s">
        <v>177</v>
      </c>
      <c r="M11" s="123" t="s">
        <v>134</v>
      </c>
      <c r="N11" s="123" t="s">
        <v>135</v>
      </c>
      <c r="O11" s="123" t="s">
        <v>136</v>
      </c>
      <c r="P11" s="127">
        <v>45317</v>
      </c>
    </row>
    <row r="12" spans="1:223" x14ac:dyDescent="0.2">
      <c r="A12" s="123" t="s">
        <v>6</v>
      </c>
      <c r="B12" s="123" t="s">
        <v>147</v>
      </c>
      <c r="C12" s="123" t="s">
        <v>148</v>
      </c>
      <c r="D12" s="123" t="s">
        <v>123</v>
      </c>
      <c r="E12" s="128">
        <v>1.35</v>
      </c>
      <c r="F12" s="123" t="s">
        <v>181</v>
      </c>
      <c r="G12" s="123" t="s">
        <v>149</v>
      </c>
      <c r="H12" s="123" t="s">
        <v>151</v>
      </c>
      <c r="I12" s="123" t="s">
        <v>180</v>
      </c>
      <c r="J12" s="123" t="s">
        <v>178</v>
      </c>
      <c r="K12" s="123" t="s">
        <v>143</v>
      </c>
      <c r="L12" s="123" t="s">
        <v>177</v>
      </c>
      <c r="M12" s="123" t="s">
        <v>134</v>
      </c>
      <c r="N12" s="123" t="s">
        <v>135</v>
      </c>
      <c r="O12" s="123" t="s">
        <v>136</v>
      </c>
      <c r="P12" s="127">
        <v>45317</v>
      </c>
    </row>
    <row r="13" spans="1:223" x14ac:dyDescent="0.2">
      <c r="A13" s="123" t="s">
        <v>3</v>
      </c>
      <c r="B13" s="123" t="s">
        <v>130</v>
      </c>
      <c r="C13" s="123" t="s">
        <v>131</v>
      </c>
      <c r="D13" s="123" t="s">
        <v>123</v>
      </c>
      <c r="E13" s="128">
        <v>7854670.8499999996</v>
      </c>
      <c r="F13" s="123" t="s">
        <v>132</v>
      </c>
      <c r="G13" s="123" t="s">
        <v>133</v>
      </c>
      <c r="H13" s="123" t="s">
        <v>123</v>
      </c>
      <c r="I13" s="123" t="s">
        <v>180</v>
      </c>
      <c r="J13" s="123" t="s">
        <v>180</v>
      </c>
      <c r="K13" s="123" t="s">
        <v>14</v>
      </c>
      <c r="L13" s="123" t="s">
        <v>177</v>
      </c>
      <c r="M13" s="123" t="s">
        <v>134</v>
      </c>
      <c r="N13" s="123" t="s">
        <v>135</v>
      </c>
      <c r="O13" s="123" t="s">
        <v>136</v>
      </c>
      <c r="P13" s="127">
        <v>45322</v>
      </c>
    </row>
    <row r="14" spans="1:223" x14ac:dyDescent="0.2">
      <c r="A14" s="123" t="s">
        <v>5</v>
      </c>
      <c r="B14" s="123" t="s">
        <v>130</v>
      </c>
      <c r="C14" s="123" t="s">
        <v>131</v>
      </c>
      <c r="D14" s="123" t="s">
        <v>123</v>
      </c>
      <c r="E14" s="128">
        <v>4070192.04</v>
      </c>
      <c r="F14" s="123" t="s">
        <v>132</v>
      </c>
      <c r="G14" s="123" t="s">
        <v>133</v>
      </c>
      <c r="H14" s="123" t="s">
        <v>123</v>
      </c>
      <c r="I14" s="123" t="s">
        <v>180</v>
      </c>
      <c r="J14" s="123" t="s">
        <v>179</v>
      </c>
      <c r="K14" s="123" t="s">
        <v>16</v>
      </c>
      <c r="L14" s="123" t="s">
        <v>177</v>
      </c>
      <c r="M14" s="123" t="s">
        <v>134</v>
      </c>
      <c r="N14" s="123" t="s">
        <v>135</v>
      </c>
      <c r="O14" s="123" t="s">
        <v>136</v>
      </c>
      <c r="P14" s="127">
        <v>45322</v>
      </c>
    </row>
    <row r="15" spans="1:223" x14ac:dyDescent="0.2">
      <c r="A15" s="123" t="s">
        <v>3</v>
      </c>
      <c r="B15" s="123" t="s">
        <v>130</v>
      </c>
      <c r="C15" s="123" t="s">
        <v>137</v>
      </c>
      <c r="D15" s="123" t="s">
        <v>123</v>
      </c>
      <c r="E15" s="128">
        <v>11519752.26</v>
      </c>
      <c r="F15" s="123" t="s">
        <v>132</v>
      </c>
      <c r="G15" s="123" t="s">
        <v>138</v>
      </c>
      <c r="H15" s="123" t="s">
        <v>123</v>
      </c>
      <c r="I15" s="123" t="s">
        <v>180</v>
      </c>
      <c r="J15" s="123" t="s">
        <v>180</v>
      </c>
      <c r="K15" s="123" t="s">
        <v>14</v>
      </c>
      <c r="L15" s="123" t="s">
        <v>177</v>
      </c>
      <c r="M15" s="123" t="s">
        <v>134</v>
      </c>
      <c r="N15" s="123" t="s">
        <v>135</v>
      </c>
      <c r="O15" s="123" t="s">
        <v>136</v>
      </c>
      <c r="P15" s="127">
        <v>45322</v>
      </c>
    </row>
    <row r="16" spans="1:223" x14ac:dyDescent="0.2">
      <c r="A16" s="123" t="s">
        <v>5</v>
      </c>
      <c r="B16" s="123" t="s">
        <v>130</v>
      </c>
      <c r="C16" s="123" t="s">
        <v>137</v>
      </c>
      <c r="D16" s="123" t="s">
        <v>123</v>
      </c>
      <c r="E16" s="128">
        <v>6016559.96</v>
      </c>
      <c r="F16" s="123" t="s">
        <v>132</v>
      </c>
      <c r="G16" s="123" t="s">
        <v>138</v>
      </c>
      <c r="H16" s="123" t="s">
        <v>123</v>
      </c>
      <c r="I16" s="123" t="s">
        <v>180</v>
      </c>
      <c r="J16" s="123" t="s">
        <v>179</v>
      </c>
      <c r="K16" s="123" t="s">
        <v>16</v>
      </c>
      <c r="L16" s="123" t="s">
        <v>177</v>
      </c>
      <c r="M16" s="123" t="s">
        <v>134</v>
      </c>
      <c r="N16" s="123" t="s">
        <v>135</v>
      </c>
      <c r="O16" s="123" t="s">
        <v>136</v>
      </c>
      <c r="P16" s="127">
        <v>45322</v>
      </c>
    </row>
    <row r="17" spans="1:16" x14ac:dyDescent="0.2">
      <c r="A17" s="123" t="s">
        <v>6</v>
      </c>
      <c r="B17" s="123" t="s">
        <v>130</v>
      </c>
      <c r="C17" s="123" t="s">
        <v>137</v>
      </c>
      <c r="D17" s="123" t="s">
        <v>123</v>
      </c>
      <c r="E17" s="128">
        <v>154447.41</v>
      </c>
      <c r="F17" s="123" t="s">
        <v>132</v>
      </c>
      <c r="G17" s="123" t="s">
        <v>138</v>
      </c>
      <c r="H17" s="123" t="s">
        <v>123</v>
      </c>
      <c r="I17" s="123" t="s">
        <v>180</v>
      </c>
      <c r="J17" s="123" t="s">
        <v>178</v>
      </c>
      <c r="K17" s="123" t="s">
        <v>143</v>
      </c>
      <c r="L17" s="123" t="s">
        <v>177</v>
      </c>
      <c r="M17" s="123" t="s">
        <v>134</v>
      </c>
      <c r="N17" s="123" t="s">
        <v>135</v>
      </c>
      <c r="O17" s="123" t="s">
        <v>136</v>
      </c>
      <c r="P17" s="127">
        <v>45322</v>
      </c>
    </row>
    <row r="18" spans="1:16" x14ac:dyDescent="0.2">
      <c r="A18" s="125" t="s">
        <v>123</v>
      </c>
      <c r="B18" s="125" t="s">
        <v>123</v>
      </c>
      <c r="C18" s="125" t="s">
        <v>123</v>
      </c>
      <c r="D18" s="125" t="s">
        <v>123</v>
      </c>
      <c r="E18" s="126">
        <v>18984899.030000001</v>
      </c>
      <c r="F18" s="125" t="s">
        <v>123</v>
      </c>
      <c r="G18" s="125" t="s">
        <v>123</v>
      </c>
      <c r="H18" s="125" t="s">
        <v>123</v>
      </c>
      <c r="I18" s="125" t="s">
        <v>123</v>
      </c>
      <c r="J18" s="125" t="s">
        <v>123</v>
      </c>
      <c r="K18" s="125" t="s">
        <v>123</v>
      </c>
      <c r="L18" s="125" t="s">
        <v>123</v>
      </c>
      <c r="M18" s="125" t="s">
        <v>123</v>
      </c>
      <c r="N18" s="125" t="s">
        <v>123</v>
      </c>
      <c r="O18" s="125" t="s">
        <v>123</v>
      </c>
      <c r="P18" s="124"/>
    </row>
    <row r="24" spans="1:16" ht="38.25" x14ac:dyDescent="0.2">
      <c r="A24" s="129" t="s">
        <v>125</v>
      </c>
      <c r="B24" s="129" t="s">
        <v>191</v>
      </c>
      <c r="C24" s="130" t="s">
        <v>190</v>
      </c>
      <c r="D24" s="129" t="s">
        <v>194</v>
      </c>
      <c r="E24" s="129" t="s">
        <v>189</v>
      </c>
      <c r="F24" s="130" t="s">
        <v>188</v>
      </c>
      <c r="G24" s="129" t="s">
        <v>187</v>
      </c>
      <c r="H24" s="129" t="s">
        <v>126</v>
      </c>
      <c r="I24" s="129" t="s">
        <v>186</v>
      </c>
      <c r="J24" s="130" t="s">
        <v>185</v>
      </c>
      <c r="K24" s="129" t="s">
        <v>184</v>
      </c>
      <c r="L24" s="130" t="s">
        <v>183</v>
      </c>
      <c r="M24" s="129" t="s">
        <v>127</v>
      </c>
      <c r="N24" s="129" t="s">
        <v>128</v>
      </c>
      <c r="O24" s="129" t="s">
        <v>129</v>
      </c>
      <c r="P24" s="129" t="s">
        <v>182</v>
      </c>
    </row>
    <row r="25" spans="1:16" x14ac:dyDescent="0.2">
      <c r="A25" s="123" t="s">
        <v>3</v>
      </c>
      <c r="B25" s="123" t="s">
        <v>130</v>
      </c>
      <c r="C25" s="123" t="s">
        <v>131</v>
      </c>
      <c r="D25" s="123" t="s">
        <v>123</v>
      </c>
      <c r="E25" s="128">
        <v>-7296306.8799999999</v>
      </c>
      <c r="F25" s="123" t="s">
        <v>132</v>
      </c>
      <c r="G25" s="123" t="s">
        <v>133</v>
      </c>
      <c r="H25" s="123" t="s">
        <v>123</v>
      </c>
      <c r="I25" s="123" t="s">
        <v>180</v>
      </c>
      <c r="J25" s="123" t="s">
        <v>180</v>
      </c>
      <c r="K25" s="123" t="s">
        <v>14</v>
      </c>
      <c r="L25" s="123" t="s">
        <v>177</v>
      </c>
      <c r="M25" s="123" t="s">
        <v>134</v>
      </c>
      <c r="N25" s="123" t="s">
        <v>135</v>
      </c>
      <c r="O25" s="123" t="s">
        <v>136</v>
      </c>
      <c r="P25" s="127">
        <v>45666</v>
      </c>
    </row>
    <row r="26" spans="1:16" x14ac:dyDescent="0.2">
      <c r="A26" s="123" t="s">
        <v>5</v>
      </c>
      <c r="B26" s="123" t="s">
        <v>130</v>
      </c>
      <c r="C26" s="123" t="s">
        <v>131</v>
      </c>
      <c r="D26" s="123" t="s">
        <v>123</v>
      </c>
      <c r="E26" s="128">
        <v>-3718749.15</v>
      </c>
      <c r="F26" s="123" t="s">
        <v>132</v>
      </c>
      <c r="G26" s="123" t="s">
        <v>133</v>
      </c>
      <c r="H26" s="123" t="s">
        <v>123</v>
      </c>
      <c r="I26" s="123" t="s">
        <v>180</v>
      </c>
      <c r="J26" s="123" t="s">
        <v>179</v>
      </c>
      <c r="K26" s="123" t="s">
        <v>16</v>
      </c>
      <c r="L26" s="123" t="s">
        <v>177</v>
      </c>
      <c r="M26" s="123" t="s">
        <v>134</v>
      </c>
      <c r="N26" s="123" t="s">
        <v>135</v>
      </c>
      <c r="O26" s="123" t="s">
        <v>136</v>
      </c>
      <c r="P26" s="127">
        <v>45666</v>
      </c>
    </row>
    <row r="27" spans="1:16" x14ac:dyDescent="0.2">
      <c r="A27" s="132" t="s">
        <v>3</v>
      </c>
      <c r="B27" s="132" t="s">
        <v>130</v>
      </c>
      <c r="C27" s="132" t="s">
        <v>137</v>
      </c>
      <c r="D27" s="132" t="s">
        <v>123</v>
      </c>
      <c r="E27" s="133">
        <v>-30039.48</v>
      </c>
      <c r="F27" s="132" t="s">
        <v>132</v>
      </c>
      <c r="G27" s="132" t="s">
        <v>138</v>
      </c>
      <c r="H27" s="132" t="s">
        <v>123</v>
      </c>
      <c r="I27" s="132" t="s">
        <v>180</v>
      </c>
      <c r="J27" s="132" t="s">
        <v>180</v>
      </c>
      <c r="K27" s="132" t="s">
        <v>14</v>
      </c>
      <c r="L27" s="132" t="s">
        <v>177</v>
      </c>
      <c r="M27" s="132" t="s">
        <v>134</v>
      </c>
      <c r="N27" s="132" t="s">
        <v>135</v>
      </c>
      <c r="O27" s="132" t="s">
        <v>136</v>
      </c>
      <c r="P27" s="134">
        <v>45687</v>
      </c>
    </row>
    <row r="28" spans="1:16" x14ac:dyDescent="0.2">
      <c r="A28" s="132" t="s">
        <v>5</v>
      </c>
      <c r="B28" s="132" t="s">
        <v>130</v>
      </c>
      <c r="C28" s="132" t="s">
        <v>137</v>
      </c>
      <c r="D28" s="132" t="s">
        <v>123</v>
      </c>
      <c r="E28" s="133">
        <v>-565.17999999999995</v>
      </c>
      <c r="F28" s="132" t="s">
        <v>132</v>
      </c>
      <c r="G28" s="132" t="s">
        <v>138</v>
      </c>
      <c r="H28" s="132" t="s">
        <v>123</v>
      </c>
      <c r="I28" s="132" t="s">
        <v>180</v>
      </c>
      <c r="J28" s="132" t="s">
        <v>179</v>
      </c>
      <c r="K28" s="132" t="s">
        <v>16</v>
      </c>
      <c r="L28" s="132" t="s">
        <v>177</v>
      </c>
      <c r="M28" s="132" t="s">
        <v>134</v>
      </c>
      <c r="N28" s="132" t="s">
        <v>135</v>
      </c>
      <c r="O28" s="132" t="s">
        <v>136</v>
      </c>
      <c r="P28" s="134">
        <v>45687</v>
      </c>
    </row>
    <row r="29" spans="1:16" x14ac:dyDescent="0.2">
      <c r="A29" s="132" t="s">
        <v>6</v>
      </c>
      <c r="B29" s="132" t="s">
        <v>130</v>
      </c>
      <c r="C29" s="132" t="s">
        <v>130</v>
      </c>
      <c r="D29" s="132" t="s">
        <v>123</v>
      </c>
      <c r="E29" s="133">
        <v>7703.54</v>
      </c>
      <c r="F29" s="132" t="s">
        <v>132</v>
      </c>
      <c r="G29" s="132" t="s">
        <v>132</v>
      </c>
      <c r="H29" s="132" t="s">
        <v>123</v>
      </c>
      <c r="I29" s="132" t="s">
        <v>180</v>
      </c>
      <c r="J29" s="132" t="s">
        <v>178</v>
      </c>
      <c r="K29" s="132" t="s">
        <v>143</v>
      </c>
      <c r="L29" s="132" t="s">
        <v>177</v>
      </c>
      <c r="M29" s="132" t="s">
        <v>134</v>
      </c>
      <c r="N29" s="132" t="s">
        <v>135</v>
      </c>
      <c r="O29" s="132" t="s">
        <v>136</v>
      </c>
      <c r="P29" s="134">
        <v>45687</v>
      </c>
    </row>
    <row r="30" spans="1:16" x14ac:dyDescent="0.2">
      <c r="A30" s="123" t="s">
        <v>3</v>
      </c>
      <c r="B30" s="123" t="s">
        <v>130</v>
      </c>
      <c r="C30" s="123" t="s">
        <v>131</v>
      </c>
      <c r="D30" s="123" t="s">
        <v>123</v>
      </c>
      <c r="E30" s="128">
        <v>8124373.8700000001</v>
      </c>
      <c r="F30" s="123" t="s">
        <v>132</v>
      </c>
      <c r="G30" s="123" t="s">
        <v>133</v>
      </c>
      <c r="H30" s="123" t="s">
        <v>123</v>
      </c>
      <c r="I30" s="123" t="s">
        <v>180</v>
      </c>
      <c r="J30" s="123" t="s">
        <v>180</v>
      </c>
      <c r="K30" s="123" t="s">
        <v>14</v>
      </c>
      <c r="L30" s="123" t="s">
        <v>177</v>
      </c>
      <c r="M30" s="123" t="s">
        <v>134</v>
      </c>
      <c r="N30" s="123" t="s">
        <v>135</v>
      </c>
      <c r="O30" s="123" t="s">
        <v>136</v>
      </c>
      <c r="P30" s="127">
        <v>45688</v>
      </c>
    </row>
    <row r="31" spans="1:16" x14ac:dyDescent="0.2">
      <c r="A31" s="123" t="s">
        <v>5</v>
      </c>
      <c r="B31" s="123" t="s">
        <v>130</v>
      </c>
      <c r="C31" s="123" t="s">
        <v>131</v>
      </c>
      <c r="D31" s="123" t="s">
        <v>123</v>
      </c>
      <c r="E31" s="128">
        <v>4419917.83</v>
      </c>
      <c r="F31" s="123" t="s">
        <v>132</v>
      </c>
      <c r="G31" s="123" t="s">
        <v>133</v>
      </c>
      <c r="H31" s="123" t="s">
        <v>123</v>
      </c>
      <c r="I31" s="123" t="s">
        <v>180</v>
      </c>
      <c r="J31" s="123" t="s">
        <v>179</v>
      </c>
      <c r="K31" s="123" t="s">
        <v>16</v>
      </c>
      <c r="L31" s="123" t="s">
        <v>177</v>
      </c>
      <c r="M31" s="123" t="s">
        <v>134</v>
      </c>
      <c r="N31" s="123" t="s">
        <v>135</v>
      </c>
      <c r="O31" s="123" t="s">
        <v>136</v>
      </c>
      <c r="P31" s="127">
        <v>45688</v>
      </c>
    </row>
    <row r="32" spans="1:16" x14ac:dyDescent="0.2">
      <c r="A32" s="123" t="s">
        <v>3</v>
      </c>
      <c r="B32" s="123" t="s">
        <v>130</v>
      </c>
      <c r="C32" s="123" t="s">
        <v>137</v>
      </c>
      <c r="D32" s="123" t="s">
        <v>123</v>
      </c>
      <c r="E32" s="128">
        <v>11980002.720000001</v>
      </c>
      <c r="F32" s="123" t="s">
        <v>132</v>
      </c>
      <c r="G32" s="123" t="s">
        <v>138</v>
      </c>
      <c r="H32" s="123" t="s">
        <v>123</v>
      </c>
      <c r="I32" s="123" t="s">
        <v>180</v>
      </c>
      <c r="J32" s="123" t="s">
        <v>180</v>
      </c>
      <c r="K32" s="123" t="s">
        <v>14</v>
      </c>
      <c r="L32" s="123" t="s">
        <v>177</v>
      </c>
      <c r="M32" s="123" t="s">
        <v>134</v>
      </c>
      <c r="N32" s="123" t="s">
        <v>135</v>
      </c>
      <c r="O32" s="123" t="s">
        <v>136</v>
      </c>
      <c r="P32" s="127">
        <v>45688</v>
      </c>
    </row>
    <row r="33" spans="1:16" x14ac:dyDescent="0.2">
      <c r="A33" s="123" t="s">
        <v>5</v>
      </c>
      <c r="B33" s="123" t="s">
        <v>130</v>
      </c>
      <c r="C33" s="123" t="s">
        <v>137</v>
      </c>
      <c r="D33" s="123" t="s">
        <v>123</v>
      </c>
      <c r="E33" s="128">
        <v>6837019.2599999998</v>
      </c>
      <c r="F33" s="123" t="s">
        <v>132</v>
      </c>
      <c r="G33" s="123" t="s">
        <v>138</v>
      </c>
      <c r="H33" s="123" t="s">
        <v>123</v>
      </c>
      <c r="I33" s="123" t="s">
        <v>180</v>
      </c>
      <c r="J33" s="123" t="s">
        <v>179</v>
      </c>
      <c r="K33" s="123" t="s">
        <v>16</v>
      </c>
      <c r="L33" s="123" t="s">
        <v>177</v>
      </c>
      <c r="M33" s="123" t="s">
        <v>134</v>
      </c>
      <c r="N33" s="123" t="s">
        <v>135</v>
      </c>
      <c r="O33" s="123" t="s">
        <v>136</v>
      </c>
      <c r="P33" s="127">
        <v>45688</v>
      </c>
    </row>
    <row r="34" spans="1:16" x14ac:dyDescent="0.2">
      <c r="A34" s="123" t="s">
        <v>6</v>
      </c>
      <c r="B34" s="123" t="s">
        <v>130</v>
      </c>
      <c r="C34" s="123" t="s">
        <v>137</v>
      </c>
      <c r="D34" s="123" t="s">
        <v>123</v>
      </c>
      <c r="E34" s="128">
        <v>174892.24</v>
      </c>
      <c r="F34" s="123" t="s">
        <v>132</v>
      </c>
      <c r="G34" s="123" t="s">
        <v>138</v>
      </c>
      <c r="H34" s="123" t="s">
        <v>123</v>
      </c>
      <c r="I34" s="123" t="s">
        <v>180</v>
      </c>
      <c r="J34" s="123" t="s">
        <v>178</v>
      </c>
      <c r="K34" s="123" t="s">
        <v>143</v>
      </c>
      <c r="L34" s="123" t="s">
        <v>177</v>
      </c>
      <c r="M34" s="123" t="s">
        <v>134</v>
      </c>
      <c r="N34" s="123" t="s">
        <v>135</v>
      </c>
      <c r="O34" s="123" t="s">
        <v>136</v>
      </c>
      <c r="P34" s="127">
        <v>45688</v>
      </c>
    </row>
    <row r="35" spans="1:16" x14ac:dyDescent="0.2">
      <c r="A35" s="125" t="s">
        <v>123</v>
      </c>
      <c r="B35" s="125" t="s">
        <v>123</v>
      </c>
      <c r="C35" s="125" t="s">
        <v>123</v>
      </c>
      <c r="D35" s="125" t="s">
        <v>123</v>
      </c>
      <c r="E35" s="126">
        <v>20498248.77</v>
      </c>
      <c r="F35" s="125" t="s">
        <v>123</v>
      </c>
      <c r="G35" s="125" t="s">
        <v>123</v>
      </c>
      <c r="H35" s="125" t="s">
        <v>123</v>
      </c>
      <c r="I35" s="125" t="s">
        <v>123</v>
      </c>
      <c r="J35" s="125" t="s">
        <v>123</v>
      </c>
      <c r="K35" s="125" t="s">
        <v>123</v>
      </c>
      <c r="L35" s="125" t="s">
        <v>123</v>
      </c>
      <c r="M35" s="125" t="s">
        <v>123</v>
      </c>
      <c r="N35" s="125" t="s">
        <v>123</v>
      </c>
      <c r="O35" s="125" t="s">
        <v>123</v>
      </c>
      <c r="P35" s="124"/>
    </row>
  </sheetData>
  <pageMargins left="0.75" right="0.75" top="1" bottom="1" header="0.5" footer="0.5"/>
  <headerFooter alignWithMargins="0"/>
  <customProperties>
    <customPr name="_pios_id" r:id="rId1"/>
  </customPropertie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workbookViewId="0">
      <selection activeCell="D17" sqref="D17"/>
    </sheetView>
  </sheetViews>
  <sheetFormatPr defaultRowHeight="12" x14ac:dyDescent="0.2"/>
  <cols>
    <col min="1" max="1" width="14.6640625" bestFit="1" customWidth="1"/>
    <col min="2" max="2" width="32.83203125" bestFit="1" customWidth="1"/>
    <col min="3" max="3" width="18.83203125" bestFit="1" customWidth="1"/>
    <col min="4" max="4" width="16.6640625" bestFit="1" customWidth="1"/>
  </cols>
  <sheetData>
    <row r="1" spans="1:4" x14ac:dyDescent="0.2">
      <c r="A1" s="102" t="s">
        <v>123</v>
      </c>
      <c r="B1" s="102" t="s">
        <v>123</v>
      </c>
      <c r="C1" s="102" t="s">
        <v>123</v>
      </c>
      <c r="D1" s="103" t="s">
        <v>121</v>
      </c>
    </row>
    <row r="2" spans="1:4" x14ac:dyDescent="0.2">
      <c r="A2" s="102" t="s">
        <v>0</v>
      </c>
      <c r="B2" s="96"/>
      <c r="C2" s="102" t="s">
        <v>2</v>
      </c>
      <c r="D2" s="104" t="s">
        <v>1</v>
      </c>
    </row>
    <row r="3" spans="1:4" x14ac:dyDescent="0.2">
      <c r="A3" s="103" t="s">
        <v>8</v>
      </c>
      <c r="B3" s="105" t="s">
        <v>9</v>
      </c>
      <c r="C3" s="103" t="s">
        <v>165</v>
      </c>
      <c r="D3" s="99">
        <v>1390984.18</v>
      </c>
    </row>
    <row r="4" spans="1:4" x14ac:dyDescent="0.2">
      <c r="A4" s="97"/>
      <c r="B4" s="95"/>
      <c r="C4" s="103" t="s">
        <v>166</v>
      </c>
      <c r="D4" s="99">
        <v>1148339.06</v>
      </c>
    </row>
    <row r="5" spans="1:4" x14ac:dyDescent="0.2">
      <c r="A5" s="97"/>
      <c r="B5" s="95"/>
      <c r="C5" s="103" t="s">
        <v>167</v>
      </c>
      <c r="D5" s="99">
        <v>1084500.93</v>
      </c>
    </row>
    <row r="6" spans="1:4" x14ac:dyDescent="0.2">
      <c r="A6" s="97"/>
      <c r="B6" s="95"/>
      <c r="C6" s="103" t="s">
        <v>168</v>
      </c>
      <c r="D6" s="99">
        <v>572643.44999999995</v>
      </c>
    </row>
    <row r="7" spans="1:4" x14ac:dyDescent="0.2">
      <c r="A7" s="97"/>
      <c r="B7" s="95"/>
      <c r="C7" s="103" t="s">
        <v>169</v>
      </c>
      <c r="D7" s="99">
        <v>1172079.81</v>
      </c>
    </row>
    <row r="8" spans="1:4" x14ac:dyDescent="0.2">
      <c r="A8" s="97"/>
      <c r="B8" s="95"/>
      <c r="C8" s="103" t="s">
        <v>170</v>
      </c>
      <c r="D8" s="99">
        <v>1989995.8</v>
      </c>
    </row>
    <row r="9" spans="1:4" x14ac:dyDescent="0.2">
      <c r="A9" s="97"/>
      <c r="B9" s="95"/>
      <c r="C9" s="103" t="s">
        <v>171</v>
      </c>
      <c r="D9" s="99">
        <v>1240252.67</v>
      </c>
    </row>
    <row r="10" spans="1:4" x14ac:dyDescent="0.2">
      <c r="A10" s="97"/>
      <c r="B10" s="95"/>
      <c r="C10" s="103" t="s">
        <v>172</v>
      </c>
      <c r="D10" s="99">
        <v>1136737.3799999999</v>
      </c>
    </row>
    <row r="11" spans="1:4" x14ac:dyDescent="0.2">
      <c r="A11" s="97"/>
      <c r="B11" s="95"/>
      <c r="C11" s="103" t="s">
        <v>173</v>
      </c>
      <c r="D11" s="99">
        <v>1082690.05</v>
      </c>
    </row>
    <row r="12" spans="1:4" x14ac:dyDescent="0.2">
      <c r="A12" s="97"/>
      <c r="B12" s="95"/>
      <c r="C12" s="103" t="s">
        <v>174</v>
      </c>
      <c r="D12" s="99">
        <v>1276018.51</v>
      </c>
    </row>
    <row r="13" spans="1:4" x14ac:dyDescent="0.2">
      <c r="A13" s="97"/>
      <c r="B13" s="95"/>
      <c r="C13" s="103" t="s">
        <v>175</v>
      </c>
      <c r="D13" s="99">
        <v>1461261.98</v>
      </c>
    </row>
    <row r="14" spans="1:4" x14ac:dyDescent="0.2">
      <c r="A14" s="97"/>
      <c r="B14" s="95"/>
      <c r="C14" s="103" t="s">
        <v>176</v>
      </c>
      <c r="D14" s="99">
        <v>1628476.32</v>
      </c>
    </row>
    <row r="15" spans="1:4" x14ac:dyDescent="0.2">
      <c r="A15" s="97"/>
      <c r="B15" s="95"/>
      <c r="C15" s="107" t="s">
        <v>25</v>
      </c>
      <c r="D15" s="106">
        <v>15183980.140000001</v>
      </c>
    </row>
    <row r="16" spans="1:4" x14ac:dyDescent="0.2">
      <c r="A16" s="103" t="s">
        <v>10</v>
      </c>
      <c r="B16" s="105" t="s">
        <v>11</v>
      </c>
      <c r="C16" s="103" t="s">
        <v>165</v>
      </c>
      <c r="D16" s="99">
        <v>847044.66</v>
      </c>
    </row>
    <row r="17" spans="1:4" x14ac:dyDescent="0.2">
      <c r="A17" s="97"/>
      <c r="B17" s="95"/>
      <c r="C17" s="103" t="s">
        <v>166</v>
      </c>
      <c r="D17" s="99">
        <v>669880.04</v>
      </c>
    </row>
    <row r="18" spans="1:4" x14ac:dyDescent="0.2">
      <c r="A18" s="97"/>
      <c r="B18" s="95"/>
      <c r="C18" s="103" t="s">
        <v>167</v>
      </c>
      <c r="D18" s="99">
        <v>651689.71</v>
      </c>
    </row>
    <row r="19" spans="1:4" x14ac:dyDescent="0.2">
      <c r="A19" s="97"/>
      <c r="B19" s="95"/>
      <c r="C19" s="103" t="s">
        <v>168</v>
      </c>
      <c r="D19" s="99">
        <v>969755.69</v>
      </c>
    </row>
    <row r="20" spans="1:4" x14ac:dyDescent="0.2">
      <c r="A20" s="97"/>
      <c r="B20" s="95"/>
      <c r="C20" s="103" t="s">
        <v>169</v>
      </c>
      <c r="D20" s="99">
        <v>484446.75</v>
      </c>
    </row>
    <row r="21" spans="1:4" x14ac:dyDescent="0.2">
      <c r="A21" s="97"/>
      <c r="B21" s="95"/>
      <c r="C21" s="103" t="s">
        <v>170</v>
      </c>
      <c r="D21" s="99">
        <v>918552.39</v>
      </c>
    </row>
    <row r="22" spans="1:4" x14ac:dyDescent="0.2">
      <c r="A22" s="97"/>
      <c r="B22" s="95"/>
      <c r="C22" s="103" t="s">
        <v>171</v>
      </c>
      <c r="D22" s="99">
        <v>286964.78999999998</v>
      </c>
    </row>
    <row r="23" spans="1:4" x14ac:dyDescent="0.2">
      <c r="A23" s="97"/>
      <c r="B23" s="95"/>
      <c r="C23" s="103" t="s">
        <v>172</v>
      </c>
      <c r="D23" s="99">
        <v>299299.87</v>
      </c>
    </row>
    <row r="24" spans="1:4" x14ac:dyDescent="0.2">
      <c r="A24" s="97"/>
      <c r="B24" s="95"/>
      <c r="C24" s="103" t="s">
        <v>173</v>
      </c>
      <c r="D24" s="99">
        <v>330537.95</v>
      </c>
    </row>
    <row r="25" spans="1:4" x14ac:dyDescent="0.2">
      <c r="A25" s="97"/>
      <c r="B25" s="95"/>
      <c r="C25" s="103" t="s">
        <v>174</v>
      </c>
      <c r="D25" s="99">
        <v>531235.43000000005</v>
      </c>
    </row>
    <row r="26" spans="1:4" x14ac:dyDescent="0.2">
      <c r="A26" s="97"/>
      <c r="B26" s="95"/>
      <c r="C26" s="103" t="s">
        <v>175</v>
      </c>
      <c r="D26" s="99">
        <v>824122.4</v>
      </c>
    </row>
    <row r="27" spans="1:4" x14ac:dyDescent="0.2">
      <c r="A27" s="97"/>
      <c r="B27" s="95"/>
      <c r="C27" s="103" t="s">
        <v>176</v>
      </c>
      <c r="D27" s="99">
        <v>947205.25</v>
      </c>
    </row>
    <row r="28" spans="1:4" x14ac:dyDescent="0.2">
      <c r="A28" s="97"/>
      <c r="B28" s="95"/>
      <c r="C28" s="107" t="s">
        <v>25</v>
      </c>
      <c r="D28" s="106">
        <v>7760734.9299999997</v>
      </c>
    </row>
    <row r="29" spans="1:4" x14ac:dyDescent="0.2">
      <c r="A29" s="108" t="s">
        <v>26</v>
      </c>
      <c r="B29" s="98"/>
      <c r="C29" s="101"/>
      <c r="D29" s="100">
        <v>22944715.07</v>
      </c>
    </row>
  </sheetData>
  <pageMargins left="0.7" right="0.7" top="0.75" bottom="0.75" header="0.3" footer="0.3"/>
  <customProperties>
    <customPr name="_pios_id" r:id="rId1"/>
    <customPr name="CofWorksheetType"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9"/>
  <sheetViews>
    <sheetView topLeftCell="A25" zoomScaleNormal="100" workbookViewId="0">
      <selection activeCell="E47" sqref="E47"/>
    </sheetView>
  </sheetViews>
  <sheetFormatPr defaultColWidth="11.5" defaultRowHeight="15" x14ac:dyDescent="0.25"/>
  <cols>
    <col min="1" max="1" width="11.6640625" style="79" customWidth="1"/>
    <col min="2" max="2" width="151.5" style="55" customWidth="1"/>
    <col min="3" max="3" width="4.6640625" style="55" bestFit="1" customWidth="1"/>
    <col min="4" max="4" width="22.6640625" style="55" bestFit="1" customWidth="1"/>
    <col min="5" max="5" width="20.5" style="55" bestFit="1" customWidth="1"/>
    <col min="6" max="6" width="25.5" style="55" bestFit="1" customWidth="1"/>
    <col min="7" max="16384" width="11.5" style="55"/>
  </cols>
  <sheetData>
    <row r="1" spans="1:6" x14ac:dyDescent="0.25">
      <c r="A1" s="67" t="s">
        <v>44</v>
      </c>
      <c r="B1" s="67"/>
      <c r="C1" s="67"/>
      <c r="D1" s="67"/>
      <c r="E1" s="67"/>
      <c r="F1" s="67"/>
    </row>
    <row r="2" spans="1:6" x14ac:dyDescent="0.25">
      <c r="A2" s="67" t="s">
        <v>45</v>
      </c>
      <c r="B2" s="67"/>
      <c r="C2" s="67"/>
      <c r="D2" s="67"/>
      <c r="E2" s="67"/>
      <c r="F2" s="67"/>
    </row>
    <row r="3" spans="1:6" x14ac:dyDescent="0.25">
      <c r="A3" s="67" t="s">
        <v>46</v>
      </c>
      <c r="B3" s="68"/>
      <c r="C3" s="68"/>
      <c r="D3" s="68"/>
      <c r="E3" s="68"/>
      <c r="F3" s="68"/>
    </row>
    <row r="5" spans="1:6" x14ac:dyDescent="0.25">
      <c r="A5" s="69" t="s">
        <v>47</v>
      </c>
    </row>
    <row r="6" spans="1:6" x14ac:dyDescent="0.25">
      <c r="A6" s="70" t="s">
        <v>48</v>
      </c>
    </row>
    <row r="7" spans="1:6" x14ac:dyDescent="0.25">
      <c r="A7" s="70" t="s">
        <v>49</v>
      </c>
    </row>
    <row r="8" spans="1:6" x14ac:dyDescent="0.25">
      <c r="A8" s="70" t="s">
        <v>50</v>
      </c>
    </row>
    <row r="9" spans="1:6" x14ac:dyDescent="0.25">
      <c r="A9" s="70" t="s">
        <v>51</v>
      </c>
    </row>
    <row r="10" spans="1:6" x14ac:dyDescent="0.25">
      <c r="A10" s="70"/>
    </row>
    <row r="11" spans="1:6" x14ac:dyDescent="0.25">
      <c r="A11" s="71" t="s">
        <v>52</v>
      </c>
    </row>
    <row r="12" spans="1:6" x14ac:dyDescent="0.25">
      <c r="A12" s="71" t="s">
        <v>53</v>
      </c>
      <c r="B12" s="55" t="s">
        <v>54</v>
      </c>
      <c r="C12" s="72" t="s">
        <v>53</v>
      </c>
      <c r="D12" s="73">
        <f>'[1]Allocated (CBR)'!$B$9</f>
        <v>3002846860.5500002</v>
      </c>
    </row>
    <row r="13" spans="1:6" x14ac:dyDescent="0.25">
      <c r="A13" s="71" t="s">
        <v>55</v>
      </c>
      <c r="B13" s="55" t="s">
        <v>56</v>
      </c>
      <c r="C13" s="74" t="s">
        <v>57</v>
      </c>
      <c r="D13" s="55" t="s">
        <v>55</v>
      </c>
    </row>
    <row r="14" spans="1:6" x14ac:dyDescent="0.25">
      <c r="A14" s="71" t="s">
        <v>58</v>
      </c>
      <c r="B14" s="55" t="s">
        <v>59</v>
      </c>
      <c r="C14" s="74"/>
      <c r="D14" s="55" t="s">
        <v>58</v>
      </c>
    </row>
    <row r="15" spans="1:6" x14ac:dyDescent="0.25">
      <c r="A15" s="71" t="s">
        <v>60</v>
      </c>
      <c r="B15" s="55" t="s">
        <v>61</v>
      </c>
      <c r="C15" s="55" t="s">
        <v>60</v>
      </c>
      <c r="D15" s="73"/>
    </row>
    <row r="16" spans="1:6" x14ac:dyDescent="0.25">
      <c r="A16" s="71" t="s">
        <v>62</v>
      </c>
      <c r="B16" s="55" t="s">
        <v>63</v>
      </c>
      <c r="C16" s="55" t="s">
        <v>62</v>
      </c>
      <c r="D16" s="73"/>
    </row>
    <row r="17" spans="1:7" ht="15.75" thickBot="1" x14ac:dyDescent="0.3">
      <c r="A17" s="71">
        <v>1</v>
      </c>
      <c r="B17" s="75" t="s">
        <v>64</v>
      </c>
      <c r="D17" s="55" t="s">
        <v>65</v>
      </c>
      <c r="E17" s="55">
        <v>1</v>
      </c>
      <c r="F17" s="76">
        <f>+D12</f>
        <v>3002846860.5500002</v>
      </c>
    </row>
    <row r="18" spans="1:7" ht="16.5" thickTop="1" thickBot="1" x14ac:dyDescent="0.3">
      <c r="A18" s="71">
        <v>2</v>
      </c>
      <c r="B18" s="55" t="s">
        <v>66</v>
      </c>
      <c r="E18" s="55">
        <v>2</v>
      </c>
      <c r="F18" s="76">
        <f>+E48</f>
        <v>24934223.599999994</v>
      </c>
      <c r="G18" s="55" t="s">
        <v>67</v>
      </c>
    </row>
    <row r="19" spans="1:7" ht="15.75" thickTop="1" x14ac:dyDescent="0.25">
      <c r="A19" s="71">
        <v>3</v>
      </c>
      <c r="B19" s="55" t="s">
        <v>68</v>
      </c>
      <c r="E19" s="55">
        <v>3</v>
      </c>
      <c r="F19" s="77">
        <f>SUM(F17:F18)</f>
        <v>3027781084.1500001</v>
      </c>
    </row>
    <row r="20" spans="1:7" x14ac:dyDescent="0.25">
      <c r="A20" s="71">
        <v>4</v>
      </c>
      <c r="B20" s="55" t="s">
        <v>69</v>
      </c>
      <c r="E20" s="55">
        <v>4</v>
      </c>
      <c r="F20" s="78"/>
    </row>
    <row r="21" spans="1:7" x14ac:dyDescent="0.25">
      <c r="A21" s="71" t="s">
        <v>70</v>
      </c>
      <c r="B21" s="55" t="s">
        <v>71</v>
      </c>
      <c r="E21" s="79" t="s">
        <v>72</v>
      </c>
      <c r="F21" s="80">
        <f>IF(AND(F19&gt;=1,F19&lt;20000),"ZERO", 0)</f>
        <v>0</v>
      </c>
    </row>
    <row r="22" spans="1:7" x14ac:dyDescent="0.25">
      <c r="A22" s="71" t="s">
        <v>73</v>
      </c>
      <c r="B22" s="55" t="s">
        <v>74</v>
      </c>
      <c r="C22" s="55" t="s">
        <v>75</v>
      </c>
      <c r="D22" s="81">
        <f>IF(AND(20000&lt;=F19,F19&lt;=50000),F19, 0)</f>
        <v>0</v>
      </c>
      <c r="E22" s="78" t="s">
        <v>76</v>
      </c>
      <c r="F22" s="82">
        <f>IF(D22&gt;1, (D22*0.001), 0)</f>
        <v>0</v>
      </c>
    </row>
    <row r="23" spans="1:7" x14ac:dyDescent="0.25">
      <c r="A23" s="71"/>
      <c r="B23" s="55" t="s">
        <v>77</v>
      </c>
    </row>
    <row r="24" spans="1:7" x14ac:dyDescent="0.25">
      <c r="A24" s="71" t="s">
        <v>78</v>
      </c>
      <c r="B24" s="55" t="s">
        <v>79</v>
      </c>
      <c r="C24" s="55" t="s">
        <v>80</v>
      </c>
      <c r="D24" s="82">
        <f>IF(F19&gt;50000, F19, 0)</f>
        <v>3027781084.1500001</v>
      </c>
    </row>
    <row r="25" spans="1:7" x14ac:dyDescent="0.25">
      <c r="A25" s="71" t="s">
        <v>81</v>
      </c>
      <c r="B25" s="55" t="s">
        <v>82</v>
      </c>
      <c r="C25" s="55" t="s">
        <v>83</v>
      </c>
      <c r="D25" s="82">
        <f>IF(D24&gt;1, 50000, 0)</f>
        <v>50000</v>
      </c>
      <c r="E25" s="78" t="s">
        <v>76</v>
      </c>
      <c r="F25" s="82">
        <f t="shared" ref="F25" si="0">IF(D25&gt;1, (D25*0.001), 0)</f>
        <v>50</v>
      </c>
    </row>
    <row r="26" spans="1:7" x14ac:dyDescent="0.25">
      <c r="A26" s="71" t="s">
        <v>84</v>
      </c>
      <c r="B26" s="55" t="s">
        <v>85</v>
      </c>
      <c r="C26" s="55" t="s">
        <v>86</v>
      </c>
      <c r="D26" s="82">
        <f>+D24-D25</f>
        <v>3027731084.1500001</v>
      </c>
      <c r="E26" s="78" t="s">
        <v>197</v>
      </c>
      <c r="F26" s="82">
        <f>IF(D26&gt;1, (D26*0.004), 0)</f>
        <v>12110924.3366</v>
      </c>
    </row>
    <row r="27" spans="1:7" x14ac:dyDescent="0.25">
      <c r="A27" s="71">
        <v>5</v>
      </c>
      <c r="B27" s="55" t="s">
        <v>87</v>
      </c>
      <c r="E27" s="55">
        <v>5</v>
      </c>
      <c r="F27" s="82">
        <f>SUM(F25:F26)</f>
        <v>12110974.3366</v>
      </c>
    </row>
    <row r="28" spans="1:7" x14ac:dyDescent="0.25">
      <c r="A28" s="71"/>
      <c r="E28" s="83" t="s">
        <v>88</v>
      </c>
      <c r="F28" s="84" t="s">
        <v>89</v>
      </c>
    </row>
    <row r="29" spans="1:7" x14ac:dyDescent="0.25">
      <c r="A29" s="71"/>
      <c r="B29" s="75" t="s">
        <v>90</v>
      </c>
    </row>
    <row r="30" spans="1:7" x14ac:dyDescent="0.25">
      <c r="A30" s="71">
        <v>6</v>
      </c>
      <c r="B30" s="55" t="s">
        <v>91</v>
      </c>
      <c r="E30" s="55">
        <v>6</v>
      </c>
      <c r="F30" s="78"/>
    </row>
    <row r="31" spans="1:7" x14ac:dyDescent="0.25">
      <c r="A31" s="71" t="s">
        <v>92</v>
      </c>
      <c r="B31" s="55" t="s">
        <v>93</v>
      </c>
      <c r="C31" s="55" t="s">
        <v>94</v>
      </c>
      <c r="D31" s="85">
        <v>0</v>
      </c>
      <c r="E31" s="78" t="s">
        <v>95</v>
      </c>
      <c r="F31" s="82">
        <f>IF(D31&gt;0, (D31*0.02), 0)</f>
        <v>0</v>
      </c>
    </row>
    <row r="32" spans="1:7" x14ac:dyDescent="0.25">
      <c r="A32" s="71">
        <v>7</v>
      </c>
      <c r="B32" s="55" t="s">
        <v>96</v>
      </c>
      <c r="E32" s="55">
        <v>7</v>
      </c>
      <c r="F32" s="78"/>
    </row>
    <row r="33" spans="1:6" x14ac:dyDescent="0.25">
      <c r="A33" s="71" t="s">
        <v>97</v>
      </c>
      <c r="B33" s="55" t="s">
        <v>98</v>
      </c>
      <c r="E33" s="79" t="s">
        <v>97</v>
      </c>
      <c r="F33" s="86"/>
    </row>
    <row r="34" spans="1:6" x14ac:dyDescent="0.25">
      <c r="A34" s="71" t="s">
        <v>99</v>
      </c>
      <c r="B34" s="55" t="s">
        <v>100</v>
      </c>
      <c r="E34" s="79" t="s">
        <v>99</v>
      </c>
      <c r="F34" s="82">
        <f>F27*F33*0.01</f>
        <v>0</v>
      </c>
    </row>
    <row r="35" spans="1:6" x14ac:dyDescent="0.25">
      <c r="A35" s="71">
        <v>8</v>
      </c>
      <c r="B35" s="55" t="s">
        <v>101</v>
      </c>
      <c r="E35" s="55">
        <v>8</v>
      </c>
      <c r="F35" s="82">
        <f>SUM(F34,F31)</f>
        <v>0</v>
      </c>
    </row>
    <row r="36" spans="1:6" x14ac:dyDescent="0.25">
      <c r="A36" s="71"/>
      <c r="E36" s="55" t="s">
        <v>88</v>
      </c>
      <c r="F36" s="84" t="s">
        <v>102</v>
      </c>
    </row>
    <row r="37" spans="1:6" x14ac:dyDescent="0.25">
      <c r="A37" s="71"/>
    </row>
    <row r="38" spans="1:6" x14ac:dyDescent="0.25">
      <c r="A38" s="71">
        <v>9</v>
      </c>
      <c r="B38" s="55" t="s">
        <v>103</v>
      </c>
      <c r="E38" s="55">
        <v>9</v>
      </c>
      <c r="F38" s="82">
        <f>IF((F21="ZERO"),"ZERO",SUM(F22,F27,F35))</f>
        <v>12110974.3366</v>
      </c>
    </row>
    <row r="39" spans="1:6" x14ac:dyDescent="0.25">
      <c r="A39" s="71"/>
    </row>
    <row r="40" spans="1:6" ht="30" x14ac:dyDescent="0.25">
      <c r="A40" s="71" t="s">
        <v>104</v>
      </c>
      <c r="B40" s="88" t="s">
        <v>105</v>
      </c>
    </row>
    <row r="41" spans="1:6" ht="30" x14ac:dyDescent="0.25">
      <c r="A41" s="71" t="s">
        <v>106</v>
      </c>
      <c r="B41" s="88" t="s">
        <v>107</v>
      </c>
    </row>
    <row r="43" spans="1:6" x14ac:dyDescent="0.25">
      <c r="B43" s="89" t="s">
        <v>108</v>
      </c>
      <c r="C43" s="87"/>
      <c r="D43" s="87"/>
      <c r="E43" s="87"/>
      <c r="F43" s="87"/>
    </row>
    <row r="44" spans="1:6" x14ac:dyDescent="0.25">
      <c r="B44" s="90" t="s">
        <v>109</v>
      </c>
      <c r="E44" s="91">
        <f>'[1]Unallocated Detail (CBR)'!$B$29</f>
        <v>-2261.94</v>
      </c>
    </row>
    <row r="45" spans="1:6" x14ac:dyDescent="0.25">
      <c r="B45" s="90" t="s">
        <v>110</v>
      </c>
      <c r="E45" s="91">
        <f>'[1]Unallocated Detail (CBR)'!$B$30</f>
        <v>18751716.120000001</v>
      </c>
    </row>
    <row r="46" spans="1:6" x14ac:dyDescent="0.25">
      <c r="B46" s="90" t="s">
        <v>111</v>
      </c>
      <c r="E46" s="91">
        <f>'[1]Unallocated Detail (CBR)'!$B$31</f>
        <v>18853928.699999999</v>
      </c>
    </row>
    <row r="47" spans="1:6" x14ac:dyDescent="0.25">
      <c r="B47" s="118" t="s">
        <v>124</v>
      </c>
      <c r="E47" s="91">
        <f>'[1]Unallocated Detail (CBR)'!$B$32</f>
        <v>-12669159.279999999</v>
      </c>
    </row>
    <row r="48" spans="1:6" ht="15.75" thickBot="1" x14ac:dyDescent="0.3">
      <c r="B48" s="55" t="s">
        <v>122</v>
      </c>
      <c r="E48" s="92">
        <f>SUM(E44:E47)</f>
        <v>24934223.599999994</v>
      </c>
      <c r="F48" s="93"/>
    </row>
    <row r="49" spans="6:6" ht="15.75" thickTop="1" x14ac:dyDescent="0.25">
      <c r="F49" s="93"/>
    </row>
  </sheetData>
  <dataValidations count="1">
    <dataValidation showInputMessage="1" errorTitle="test" error="test" sqref="F17"/>
  </dataValidations>
  <pageMargins left="0.7" right="0.7" top="0.75" bottom="0.75" header="0.3" footer="0.3"/>
  <pageSetup scale="57" orientation="landscape"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8"/>
  <sheetViews>
    <sheetView zoomScaleNormal="100" workbookViewId="0">
      <selection activeCell="F26" sqref="F26"/>
    </sheetView>
  </sheetViews>
  <sheetFormatPr defaultColWidth="11.5" defaultRowHeight="15" x14ac:dyDescent="0.25"/>
  <cols>
    <col min="1" max="1" width="11.6640625" style="79" customWidth="1"/>
    <col min="2" max="2" width="151.5" style="55" customWidth="1"/>
    <col min="3" max="3" width="4.6640625" style="55" bestFit="1" customWidth="1"/>
    <col min="4" max="4" width="22.6640625" style="55" bestFit="1" customWidth="1"/>
    <col min="5" max="5" width="20.5" style="55" bestFit="1" customWidth="1"/>
    <col min="6" max="6" width="25.5" style="55" bestFit="1" customWidth="1"/>
    <col min="7" max="16384" width="11.5" style="55"/>
  </cols>
  <sheetData>
    <row r="1" spans="1:6" x14ac:dyDescent="0.25">
      <c r="A1" s="67" t="s">
        <v>44</v>
      </c>
      <c r="B1" s="67"/>
      <c r="C1" s="67"/>
      <c r="D1" s="67"/>
      <c r="E1" s="67"/>
      <c r="F1" s="67"/>
    </row>
    <row r="2" spans="1:6" x14ac:dyDescent="0.25">
      <c r="A2" s="67" t="s">
        <v>112</v>
      </c>
      <c r="B2" s="67"/>
      <c r="C2" s="67"/>
      <c r="D2" s="67"/>
      <c r="E2" s="67"/>
      <c r="F2" s="67"/>
    </row>
    <row r="3" spans="1:6" x14ac:dyDescent="0.25">
      <c r="A3" s="67" t="s">
        <v>46</v>
      </c>
      <c r="B3" s="68"/>
      <c r="C3" s="68"/>
      <c r="D3" s="68"/>
      <c r="E3" s="68"/>
      <c r="F3" s="68"/>
    </row>
    <row r="5" spans="1:6" x14ac:dyDescent="0.25">
      <c r="A5" s="69" t="s">
        <v>113</v>
      </c>
    </row>
    <row r="6" spans="1:6" x14ac:dyDescent="0.25">
      <c r="A6" s="70" t="s">
        <v>114</v>
      </c>
    </row>
    <row r="7" spans="1:6" x14ac:dyDescent="0.25">
      <c r="A7" s="70" t="s">
        <v>115</v>
      </c>
    </row>
    <row r="8" spans="1:6" x14ac:dyDescent="0.25">
      <c r="A8" s="70" t="s">
        <v>50</v>
      </c>
    </row>
    <row r="9" spans="1:6" x14ac:dyDescent="0.25">
      <c r="A9" s="70" t="s">
        <v>116</v>
      </c>
    </row>
    <row r="10" spans="1:6" x14ac:dyDescent="0.25">
      <c r="A10" s="70"/>
    </row>
    <row r="11" spans="1:6" x14ac:dyDescent="0.25">
      <c r="A11" s="71" t="s">
        <v>52</v>
      </c>
    </row>
    <row r="12" spans="1:6" x14ac:dyDescent="0.25">
      <c r="A12" s="71" t="s">
        <v>53</v>
      </c>
      <c r="B12" s="55" t="s">
        <v>117</v>
      </c>
      <c r="C12" s="72" t="s">
        <v>53</v>
      </c>
      <c r="D12" s="73">
        <f>'[1]Allocated (CBR)'!$C$9</f>
        <v>1253115807.6500001</v>
      </c>
    </row>
    <row r="13" spans="1:6" x14ac:dyDescent="0.25">
      <c r="A13" s="71" t="s">
        <v>55</v>
      </c>
      <c r="B13" s="55" t="s">
        <v>56</v>
      </c>
      <c r="C13" s="74" t="s">
        <v>57</v>
      </c>
      <c r="D13" s="55" t="s">
        <v>55</v>
      </c>
    </row>
    <row r="14" spans="1:6" x14ac:dyDescent="0.25">
      <c r="A14" s="71" t="s">
        <v>58</v>
      </c>
      <c r="B14" s="55" t="s">
        <v>59</v>
      </c>
      <c r="C14" s="74"/>
      <c r="D14" s="55" t="s">
        <v>58</v>
      </c>
    </row>
    <row r="15" spans="1:6" x14ac:dyDescent="0.25">
      <c r="A15" s="71" t="s">
        <v>60</v>
      </c>
      <c r="B15" s="55" t="s">
        <v>61</v>
      </c>
      <c r="C15" s="55" t="s">
        <v>60</v>
      </c>
      <c r="D15" s="73"/>
    </row>
    <row r="16" spans="1:6" x14ac:dyDescent="0.25">
      <c r="A16" s="71" t="s">
        <v>62</v>
      </c>
      <c r="B16" s="55" t="s">
        <v>63</v>
      </c>
      <c r="C16" s="55" t="s">
        <v>62</v>
      </c>
      <c r="D16" s="73"/>
    </row>
    <row r="17" spans="1:6" ht="15.75" thickBot="1" x14ac:dyDescent="0.3">
      <c r="A17" s="71">
        <v>1</v>
      </c>
      <c r="B17" s="75" t="s">
        <v>64</v>
      </c>
      <c r="D17" s="55" t="s">
        <v>65</v>
      </c>
      <c r="E17" s="55">
        <v>1</v>
      </c>
      <c r="F17" s="76">
        <f>+D12</f>
        <v>1253115807.6500001</v>
      </c>
    </row>
    <row r="18" spans="1:6" ht="16.5" thickTop="1" thickBot="1" x14ac:dyDescent="0.3">
      <c r="A18" s="71">
        <v>2</v>
      </c>
      <c r="B18" s="55" t="s">
        <v>118</v>
      </c>
      <c r="E18" s="55">
        <v>2</v>
      </c>
      <c r="F18" s="76"/>
    </row>
    <row r="19" spans="1:6" ht="15.75" thickTop="1" x14ac:dyDescent="0.25">
      <c r="A19" s="71">
        <v>3</v>
      </c>
      <c r="B19" s="55" t="s">
        <v>68</v>
      </c>
      <c r="E19" s="55">
        <v>3</v>
      </c>
      <c r="F19" s="77">
        <f>SUM(F17:F18)</f>
        <v>1253115807.6500001</v>
      </c>
    </row>
    <row r="20" spans="1:6" x14ac:dyDescent="0.25">
      <c r="A20" s="71">
        <v>4</v>
      </c>
      <c r="B20" s="55" t="s">
        <v>69</v>
      </c>
      <c r="E20" s="55">
        <v>4</v>
      </c>
      <c r="F20" s="78"/>
    </row>
    <row r="21" spans="1:6" x14ac:dyDescent="0.25">
      <c r="A21" s="71" t="s">
        <v>70</v>
      </c>
      <c r="B21" s="55" t="s">
        <v>71</v>
      </c>
      <c r="E21" s="79" t="s">
        <v>72</v>
      </c>
      <c r="F21" s="80">
        <f>IF(AND(F19&gt;=1,F19&lt;20000),"ZERO", 0)</f>
        <v>0</v>
      </c>
    </row>
    <row r="22" spans="1:6" x14ac:dyDescent="0.25">
      <c r="A22" s="71" t="s">
        <v>73</v>
      </c>
      <c r="B22" s="55" t="s">
        <v>74</v>
      </c>
      <c r="C22" s="55" t="s">
        <v>75</v>
      </c>
      <c r="D22" s="81">
        <f>IF(AND(20000&lt;=F19,F19&lt;=50000),F19, 0)</f>
        <v>0</v>
      </c>
      <c r="E22" s="78" t="s">
        <v>76</v>
      </c>
      <c r="F22" s="82">
        <f>IF(D22&gt;1, (D22*0.001), 0)</f>
        <v>0</v>
      </c>
    </row>
    <row r="23" spans="1:6" x14ac:dyDescent="0.25">
      <c r="A23" s="71"/>
      <c r="B23" s="55" t="s">
        <v>77</v>
      </c>
    </row>
    <row r="24" spans="1:6" x14ac:dyDescent="0.25">
      <c r="A24" s="71" t="s">
        <v>78</v>
      </c>
      <c r="B24" s="55" t="s">
        <v>79</v>
      </c>
      <c r="C24" s="55" t="s">
        <v>80</v>
      </c>
      <c r="D24" s="82">
        <f>IF(F19&gt;50000, F19, 0)</f>
        <v>1253115807.6500001</v>
      </c>
    </row>
    <row r="25" spans="1:6" x14ac:dyDescent="0.25">
      <c r="A25" s="71" t="s">
        <v>81</v>
      </c>
      <c r="B25" s="55" t="s">
        <v>82</v>
      </c>
      <c r="C25" s="55" t="s">
        <v>83</v>
      </c>
      <c r="D25" s="82">
        <f>IF(D24&gt;1, 50000, 0)</f>
        <v>50000</v>
      </c>
      <c r="E25" s="78" t="s">
        <v>76</v>
      </c>
      <c r="F25" s="82">
        <f t="shared" ref="F25" si="0">IF(D25&gt;1, (D25*0.001), 0)</f>
        <v>50</v>
      </c>
    </row>
    <row r="26" spans="1:6" x14ac:dyDescent="0.25">
      <c r="A26" s="71" t="s">
        <v>84</v>
      </c>
      <c r="B26" s="55" t="s">
        <v>85</v>
      </c>
      <c r="C26" s="55" t="s">
        <v>86</v>
      </c>
      <c r="D26" s="82">
        <f>+D24-D25</f>
        <v>1253065807.6500001</v>
      </c>
      <c r="E26" s="78" t="s">
        <v>197</v>
      </c>
      <c r="F26" s="82">
        <f>IF(D26&gt;1, (D26*0.004), 0)</f>
        <v>5012263.2306000004</v>
      </c>
    </row>
    <row r="27" spans="1:6" x14ac:dyDescent="0.25">
      <c r="A27" s="71">
        <v>5</v>
      </c>
      <c r="B27" s="55" t="s">
        <v>87</v>
      </c>
      <c r="E27" s="55">
        <v>5</v>
      </c>
      <c r="F27" s="82">
        <f>SUM(F25:F26)</f>
        <v>5012313.2306000004</v>
      </c>
    </row>
    <row r="28" spans="1:6" x14ac:dyDescent="0.25">
      <c r="A28" s="71"/>
      <c r="E28" s="83" t="s">
        <v>88</v>
      </c>
      <c r="F28" s="84" t="s">
        <v>89</v>
      </c>
    </row>
    <row r="29" spans="1:6" x14ac:dyDescent="0.25">
      <c r="A29" s="71"/>
      <c r="B29" s="75" t="s">
        <v>90</v>
      </c>
    </row>
    <row r="30" spans="1:6" x14ac:dyDescent="0.25">
      <c r="A30" s="71">
        <v>6</v>
      </c>
      <c r="B30" s="55" t="s">
        <v>91</v>
      </c>
      <c r="E30" s="55">
        <v>6</v>
      </c>
      <c r="F30" s="78"/>
    </row>
    <row r="31" spans="1:6" x14ac:dyDescent="0.25">
      <c r="A31" s="71" t="s">
        <v>92</v>
      </c>
      <c r="B31" s="55" t="s">
        <v>93</v>
      </c>
      <c r="C31" s="55" t="s">
        <v>94</v>
      </c>
      <c r="D31" s="85">
        <v>0</v>
      </c>
      <c r="E31" s="78" t="s">
        <v>95</v>
      </c>
      <c r="F31" s="82">
        <f>IF(D31&gt;0, (D31*0.02), 0)</f>
        <v>0</v>
      </c>
    </row>
    <row r="32" spans="1:6" x14ac:dyDescent="0.25">
      <c r="A32" s="71">
        <v>7</v>
      </c>
      <c r="B32" s="55" t="s">
        <v>96</v>
      </c>
      <c r="E32" s="55">
        <v>7</v>
      </c>
      <c r="F32" s="78"/>
    </row>
    <row r="33" spans="1:8" x14ac:dyDescent="0.25">
      <c r="A33" s="71" t="s">
        <v>97</v>
      </c>
      <c r="B33" s="55" t="s">
        <v>98</v>
      </c>
      <c r="E33" s="79" t="s">
        <v>97</v>
      </c>
      <c r="F33" s="86"/>
    </row>
    <row r="34" spans="1:8" x14ac:dyDescent="0.25">
      <c r="A34" s="71" t="s">
        <v>99</v>
      </c>
      <c r="B34" s="55" t="s">
        <v>100</v>
      </c>
      <c r="E34" s="79" t="s">
        <v>99</v>
      </c>
      <c r="F34" s="82">
        <f>F27*F33*0.01</f>
        <v>0</v>
      </c>
    </row>
    <row r="35" spans="1:8" x14ac:dyDescent="0.25">
      <c r="A35" s="71">
        <v>8</v>
      </c>
      <c r="B35" s="55" t="s">
        <v>101</v>
      </c>
      <c r="E35" s="55">
        <v>8</v>
      </c>
      <c r="F35" s="82">
        <f>SUM(F34,F31)</f>
        <v>0</v>
      </c>
    </row>
    <row r="36" spans="1:8" x14ac:dyDescent="0.25">
      <c r="A36" s="71"/>
      <c r="E36" s="55" t="s">
        <v>88</v>
      </c>
      <c r="F36" s="84" t="s">
        <v>102</v>
      </c>
    </row>
    <row r="37" spans="1:8" x14ac:dyDescent="0.25">
      <c r="A37" s="71"/>
    </row>
    <row r="38" spans="1:8" x14ac:dyDescent="0.25">
      <c r="A38" s="71">
        <v>9</v>
      </c>
      <c r="B38" s="55" t="s">
        <v>119</v>
      </c>
      <c r="E38" s="55">
        <v>9</v>
      </c>
      <c r="F38" s="82">
        <f>IF((F21="ZERO"),"ZERO",SUM(F22,F27,F35))</f>
        <v>5012313.2306000004</v>
      </c>
    </row>
    <row r="39" spans="1:8" x14ac:dyDescent="0.25">
      <c r="A39" s="71"/>
    </row>
    <row r="40" spans="1:8" ht="105" x14ac:dyDescent="0.25">
      <c r="A40" s="71" t="s">
        <v>104</v>
      </c>
      <c r="B40" s="88" t="s">
        <v>120</v>
      </c>
    </row>
    <row r="41" spans="1:8" ht="30" x14ac:dyDescent="0.25">
      <c r="A41" s="71" t="s">
        <v>106</v>
      </c>
      <c r="B41" s="88" t="s">
        <v>107</v>
      </c>
    </row>
    <row r="43" spans="1:8" x14ac:dyDescent="0.25">
      <c r="G43" s="87"/>
      <c r="H43" s="87"/>
    </row>
    <row r="44" spans="1:8" x14ac:dyDescent="0.25">
      <c r="G44" s="87"/>
      <c r="H44" s="87"/>
    </row>
    <row r="45" spans="1:8" x14ac:dyDescent="0.25">
      <c r="G45" s="87"/>
      <c r="H45" s="87"/>
    </row>
    <row r="46" spans="1:8" x14ac:dyDescent="0.25">
      <c r="G46" s="87"/>
      <c r="H46" s="87"/>
    </row>
    <row r="47" spans="1:8" x14ac:dyDescent="0.25">
      <c r="G47" s="87"/>
      <c r="H47" s="87"/>
    </row>
    <row r="48" spans="1:8" x14ac:dyDescent="0.25">
      <c r="B48" s="87"/>
      <c r="C48" s="87"/>
      <c r="D48" s="87"/>
      <c r="E48" s="87"/>
      <c r="F48" s="87"/>
      <c r="G48" s="87"/>
      <c r="H48" s="87"/>
    </row>
  </sheetData>
  <dataValidations count="1">
    <dataValidation showInputMessage="1" errorTitle="test" error="test" sqref="F17"/>
  </dataValidations>
  <pageMargins left="0.7" right="0.7" top="0.75" bottom="0.75" header="0.3" footer="0.3"/>
  <pageSetup scale="66" orientation="landscape" r:id="rId1"/>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BFC112CBC298CC4D8D30AFC02D6F87A6" ma:contentTypeVersion="19" ma:contentTypeDescription="" ma:contentTypeScope="" ma:versionID="1e799e0b47f3798d776541c2d1600760">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Application xmlns="http://www.sap.com/cof/excel/application">
  <Version>2</Version>
  <Revision>2.8.1300.98253</Revision>
</Application>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150</IndustryCode>
    <CaseStatus xmlns="dc463f71-b30c-4ab2-9473-d307f9d35888">Pending</CaseStatus>
    <OpenedDate xmlns="dc463f71-b30c-4ab2-9473-d307f9d35888">2025-03-31T07:00:00+00:00</OpenedDate>
    <SignificantOrder xmlns="dc463f71-b30c-4ab2-9473-d307f9d35888">false</SignificantOrder>
    <Date1 xmlns="dc463f71-b30c-4ab2-9473-d307f9d35888">2025-03-31T07:00:00+00:00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250210</DocketNumber>
    <DelegatedOrder xmlns="dc463f71-b30c-4ab2-9473-d307f9d35888">false</DelegatedOrder>
  </documentManagement>
</p:properties>
</file>

<file path=customXml/item5.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5CCA8A28-6F10-450F-ACD5-60FC6A8070E6}">
  <ds:schemaRefs>
    <ds:schemaRef ds:uri="http://schemas.microsoft.com/sharepoint/v3/contenttype/forms"/>
  </ds:schemaRefs>
</ds:datastoreItem>
</file>

<file path=customXml/itemProps2.xml><?xml version="1.0" encoding="utf-8"?>
<ds:datastoreItem xmlns:ds="http://schemas.openxmlformats.org/officeDocument/2006/customXml" ds:itemID="{BDA3A338-0C1F-4557-9D15-FEF30003672D}"/>
</file>

<file path=customXml/itemProps3.xml><?xml version="1.0" encoding="utf-8"?>
<ds:datastoreItem xmlns:ds="http://schemas.openxmlformats.org/officeDocument/2006/customXml" ds:itemID="{5F5B7698-46AD-4F04-8286-FD9F7DAC0739}">
  <ds:schemaRefs>
    <ds:schemaRef ds:uri="http://www.sap.com/cof/excel/application"/>
  </ds:schemaRefs>
</ds:datastoreItem>
</file>

<file path=customXml/itemProps4.xml><?xml version="1.0" encoding="utf-8"?>
<ds:datastoreItem xmlns:ds="http://schemas.openxmlformats.org/officeDocument/2006/customXml" ds:itemID="{0F2E7EA1-D745-49AC-B880-22D7EF6B7C2E}">
  <ds:schemaRefs>
    <ds:schemaRef ds:uri="http://purl.org/dc/terms/"/>
    <ds:schemaRef ds:uri="de065aa4-f2d3-4b71-9a52-fb3bdbebd902"/>
    <ds:schemaRef ds:uri="http://purl.org/dc/dcmitype/"/>
    <ds:schemaRef ds:uri="http://schemas.microsoft.com/office/infopath/2007/PartnerControls"/>
    <ds:schemaRef ds:uri="43ab7092-acc3-4760-a4d9-d7840369d916"/>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purl.org/dc/elements/1.1/"/>
  </ds:schemaRefs>
</ds:datastoreItem>
</file>

<file path=customXml/itemProps5.xml><?xml version="1.0" encoding="utf-8"?>
<ds:datastoreItem xmlns:ds="http://schemas.openxmlformats.org/officeDocument/2006/customXml" ds:itemID="{339AB908-EB0E-449D-BED2-D43B1AF622D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Lead E</vt:lpstr>
      <vt:lpstr>Lead G</vt:lpstr>
      <vt:lpstr>Excise Tax </vt:lpstr>
      <vt:lpstr>KOB1 Jan 2024 2025</vt:lpstr>
      <vt:lpstr>Filing Fees TY</vt:lpstr>
      <vt:lpstr>E Filing Fee Restated</vt:lpstr>
      <vt:lpstr>G Filing Fee Restated</vt:lpstr>
      <vt:lpstr>SAPCrosstab2</vt:lpstr>
      <vt:lpstr>SAPCrosstab3</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Peterson, Pete</dc:creator>
  <cp:lastModifiedBy>Kellogg, Anh</cp:lastModifiedBy>
  <dcterms:created xsi:type="dcterms:W3CDTF">2020-01-30T21:49:52Z</dcterms:created>
  <dcterms:modified xsi:type="dcterms:W3CDTF">2025-03-28T16:22:52Z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y fmtid="{D5CDD505-2E9C-101B-9397-08002B2CF9AE}" pid="3" name="ContentTypeId">
    <vt:lpwstr>0x0101006E56B4D1795A2E4DB2F0B01679ED314A00BFC112CBC298CC4D8D30AFC02D6F87A6</vt:lpwstr>
  </property>
  <property fmtid="{D5CDD505-2E9C-101B-9397-08002B2CF9AE}" pid="4" name="_docset_NoMedatataSyncRequired">
    <vt:lpwstr>False</vt:lpwstr>
  </property>
</Properties>
</file>