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Txhous10fps03rf\orport01fps01\PUBLIC\Evan Burmester\WUTC\Ellensburg\"/>
    </mc:Choice>
  </mc:AlternateContent>
  <xr:revisionPtr revIDLastSave="0" documentId="13_ncr:1_{193C93CF-7FE8-4FAC-9AA2-4D8BCA423675}" xr6:coauthVersionLast="47" xr6:coauthVersionMax="47" xr10:uidLastSave="{00000000-0000-0000-0000-000000000000}"/>
  <bookViews>
    <workbookView xWindow="38280" yWindow="-8805" windowWidth="21840" windowHeight="38040" activeTab="1" xr2:uid="{00000000-000D-0000-FFFF-FFFF00000000}"/>
  </bookViews>
  <sheets>
    <sheet name="References" sheetId="4" r:id="rId1"/>
    <sheet name="Calc. per Staff format" sheetId="7" r:id="rId2"/>
  </sheets>
  <definedNames>
    <definedName name="_xlnm.Print_Area" localSheetId="1">'Calc. per Staff format'!$A$2:$Q$81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" i="7" l="1"/>
  <c r="F4" i="7"/>
  <c r="G4" i="7"/>
  <c r="H4" i="7"/>
  <c r="O4" i="7"/>
  <c r="G11" i="7"/>
  <c r="G58" i="7"/>
  <c r="G57" i="7"/>
  <c r="F57" i="7"/>
  <c r="F58" i="7"/>
  <c r="O58" i="7" s="1"/>
  <c r="H57" i="7" l="1"/>
  <c r="H58" i="7"/>
  <c r="O57" i="7"/>
  <c r="G48" i="4"/>
  <c r="B58" i="4" l="1"/>
  <c r="G59" i="7" l="1"/>
  <c r="G53" i="7"/>
  <c r="G49" i="7"/>
  <c r="G50" i="7" s="1"/>
  <c r="G51" i="7" s="1"/>
  <c r="G52" i="7" s="1"/>
  <c r="G44" i="7"/>
  <c r="G37" i="7"/>
  <c r="G38" i="7" s="1"/>
  <c r="G32" i="7"/>
  <c r="G33" i="7" s="1"/>
  <c r="G29" i="7"/>
  <c r="G26" i="7"/>
  <c r="G27" i="7" s="1"/>
  <c r="F25" i="7"/>
  <c r="F26" i="7"/>
  <c r="F27" i="7"/>
  <c r="F29" i="7"/>
  <c r="F32" i="7"/>
  <c r="F37" i="7"/>
  <c r="F44" i="7"/>
  <c r="F53" i="7"/>
  <c r="F59" i="7"/>
  <c r="E30" i="7"/>
  <c r="E33" i="7" s="1"/>
  <c r="E38" i="7" s="1"/>
  <c r="E45" i="7" s="1"/>
  <c r="E54" i="7" s="1"/>
  <c r="F54" i="7" s="1"/>
  <c r="E22" i="7"/>
  <c r="E23" i="7" s="1"/>
  <c r="F21" i="7"/>
  <c r="O19" i="7"/>
  <c r="F19" i="7"/>
  <c r="O6" i="7"/>
  <c r="O7" i="7"/>
  <c r="O8" i="7"/>
  <c r="O9" i="7"/>
  <c r="O10" i="7"/>
  <c r="O12" i="7"/>
  <c r="O14" i="7"/>
  <c r="O16" i="7"/>
  <c r="O5" i="7"/>
  <c r="O3" i="7"/>
  <c r="O53" i="7" l="1"/>
  <c r="O37" i="7"/>
  <c r="O21" i="7"/>
  <c r="O29" i="7"/>
  <c r="O44" i="7"/>
  <c r="O59" i="7"/>
  <c r="O32" i="7"/>
  <c r="H25" i="7"/>
  <c r="O25" i="7"/>
  <c r="H59" i="7"/>
  <c r="H44" i="7"/>
  <c r="H29" i="7"/>
  <c r="H53" i="7"/>
  <c r="O54" i="7"/>
  <c r="H37" i="7"/>
  <c r="G30" i="7"/>
  <c r="G31" i="7" s="1"/>
  <c r="G54" i="7"/>
  <c r="G55" i="7" s="1"/>
  <c r="G56" i="7" s="1"/>
  <c r="H27" i="7"/>
  <c r="G28" i="7"/>
  <c r="G34" i="7"/>
  <c r="G39" i="7"/>
  <c r="G40" i="7" s="1"/>
  <c r="G41" i="7" s="1"/>
  <c r="G42" i="7" s="1"/>
  <c r="G43" i="7" s="1"/>
  <c r="H32" i="7"/>
  <c r="G45" i="7"/>
  <c r="H26" i="7"/>
  <c r="O27" i="7"/>
  <c r="O26" i="7"/>
  <c r="E24" i="7"/>
  <c r="E28" i="7" s="1"/>
  <c r="E31" i="7" s="1"/>
  <c r="E34" i="7" s="1"/>
  <c r="F34" i="7" s="1"/>
  <c r="F23" i="7"/>
  <c r="F38" i="7"/>
  <c r="F30" i="7"/>
  <c r="F45" i="7"/>
  <c r="F33" i="7"/>
  <c r="F22" i="7"/>
  <c r="D77" i="7"/>
  <c r="O38" i="7" l="1"/>
  <c r="O33" i="7"/>
  <c r="O45" i="7"/>
  <c r="O30" i="7"/>
  <c r="F24" i="7"/>
  <c r="D68" i="7"/>
  <c r="D81" i="7"/>
  <c r="F31" i="7"/>
  <c r="F28" i="7"/>
  <c r="H38" i="7"/>
  <c r="H33" i="7"/>
  <c r="E36" i="7"/>
  <c r="F36" i="7" s="1"/>
  <c r="E35" i="7"/>
  <c r="H54" i="7"/>
  <c r="H30" i="7"/>
  <c r="H45" i="7"/>
  <c r="G46" i="7"/>
  <c r="G47" i="7" s="1"/>
  <c r="G48" i="7" s="1"/>
  <c r="G35" i="7"/>
  <c r="G36" i="7" s="1"/>
  <c r="H34" i="7"/>
  <c r="O34" i="7"/>
  <c r="O28" i="7" l="1"/>
  <c r="O31" i="7"/>
  <c r="O36" i="7"/>
  <c r="H31" i="7"/>
  <c r="H28" i="7"/>
  <c r="E39" i="7"/>
  <c r="F35" i="7"/>
  <c r="H36" i="7"/>
  <c r="O35" i="7" l="1"/>
  <c r="H35" i="7"/>
  <c r="E40" i="7"/>
  <c r="F39" i="7"/>
  <c r="O39" i="7" l="1"/>
  <c r="H39" i="7"/>
  <c r="E41" i="7"/>
  <c r="F40" i="7"/>
  <c r="H40" i="7" l="1"/>
  <c r="O40" i="7"/>
  <c r="E42" i="7"/>
  <c r="F41" i="7"/>
  <c r="G22" i="7"/>
  <c r="G21" i="7"/>
  <c r="G24" i="7"/>
  <c r="G23" i="7"/>
  <c r="G17" i="7"/>
  <c r="G18" i="7" s="1"/>
  <c r="G16" i="7"/>
  <c r="G15" i="7"/>
  <c r="G14" i="7"/>
  <c r="G13" i="7"/>
  <c r="G12" i="7"/>
  <c r="G9" i="7"/>
  <c r="G10" i="7"/>
  <c r="G8" i="7"/>
  <c r="G7" i="7"/>
  <c r="G19" i="7" s="1"/>
  <c r="H19" i="7" s="1"/>
  <c r="G6" i="7"/>
  <c r="G5" i="7"/>
  <c r="G3" i="7"/>
  <c r="H41" i="7" l="1"/>
  <c r="O41" i="7"/>
  <c r="E43" i="7"/>
  <c r="F42" i="7"/>
  <c r="H21" i="7"/>
  <c r="H22" i="7"/>
  <c r="D60" i="7"/>
  <c r="D69" i="7"/>
  <c r="H42" i="7" l="1"/>
  <c r="O42" i="7"/>
  <c r="E46" i="7"/>
  <c r="F43" i="7"/>
  <c r="D20" i="7"/>
  <c r="D61" i="7" s="1"/>
  <c r="E47" i="7" l="1"/>
  <c r="F46" i="7"/>
  <c r="O43" i="7"/>
  <c r="H43" i="7"/>
  <c r="H23" i="7"/>
  <c r="O23" i="7"/>
  <c r="H24" i="7"/>
  <c r="O24" i="7"/>
  <c r="O46" i="7" l="1"/>
  <c r="H46" i="7"/>
  <c r="E48" i="7"/>
  <c r="E49" i="7"/>
  <c r="F47" i="7"/>
  <c r="O22" i="7"/>
  <c r="B54" i="4"/>
  <c r="E50" i="7" l="1"/>
  <c r="F48" i="7"/>
  <c r="H47" i="7"/>
  <c r="O47" i="7"/>
  <c r="F49" i="7"/>
  <c r="E51" i="7"/>
  <c r="F51" i="7" l="1"/>
  <c r="E52" i="7"/>
  <c r="O48" i="7"/>
  <c r="H48" i="7"/>
  <c r="H49" i="7"/>
  <c r="O49" i="7"/>
  <c r="F50" i="7"/>
  <c r="E56" i="7"/>
  <c r="F56" i="7" s="1"/>
  <c r="B3" i="4"/>
  <c r="B4" i="4"/>
  <c r="B5" i="4"/>
  <c r="B6" i="4"/>
  <c r="E55" i="7" l="1"/>
  <c r="F55" i="7" s="1"/>
  <c r="F52" i="7"/>
  <c r="O56" i="7"/>
  <c r="H56" i="7"/>
  <c r="O51" i="7"/>
  <c r="H51" i="7"/>
  <c r="O50" i="7"/>
  <c r="H50" i="7"/>
  <c r="E13" i="7"/>
  <c r="E17" i="7"/>
  <c r="E15" i="7"/>
  <c r="D5" i="4"/>
  <c r="C4" i="4"/>
  <c r="E4" i="4"/>
  <c r="G4" i="4"/>
  <c r="F5" i="4"/>
  <c r="C5" i="4"/>
  <c r="D4" i="4"/>
  <c r="F4" i="4"/>
  <c r="H4" i="4"/>
  <c r="C6" i="4"/>
  <c r="H6" i="4"/>
  <c r="E5" i="4"/>
  <c r="G5" i="4"/>
  <c r="H5" i="4"/>
  <c r="C3" i="4"/>
  <c r="D3" i="4"/>
  <c r="E3" i="4"/>
  <c r="F3" i="4"/>
  <c r="G3" i="4"/>
  <c r="H3" i="4"/>
  <c r="H52" i="7" l="1"/>
  <c r="O52" i="7"/>
  <c r="F60" i="7"/>
  <c r="O55" i="7"/>
  <c r="H55" i="7"/>
  <c r="G6" i="4"/>
  <c r="F6" i="4"/>
  <c r="E6" i="4"/>
  <c r="D6" i="4"/>
  <c r="O60" i="7" l="1"/>
  <c r="B49" i="4"/>
  <c r="C48" i="4"/>
  <c r="C47" i="4"/>
  <c r="B9" i="4"/>
  <c r="B8" i="4"/>
  <c r="B7" i="4"/>
  <c r="B52" i="4" l="1"/>
  <c r="B59" i="4"/>
  <c r="G50" i="4"/>
  <c r="G52" i="4" s="1"/>
  <c r="E7" i="7"/>
  <c r="F7" i="7" s="1"/>
  <c r="H7" i="7" s="1"/>
  <c r="E12" i="7"/>
  <c r="F12" i="7" s="1"/>
  <c r="H12" i="7" s="1"/>
  <c r="E16" i="7"/>
  <c r="E18" i="7" s="1"/>
  <c r="F18" i="7" s="1"/>
  <c r="H18" i="7" s="1"/>
  <c r="E8" i="7"/>
  <c r="E5" i="7"/>
  <c r="F5" i="7" s="1"/>
  <c r="H5" i="7" s="1"/>
  <c r="E9" i="7"/>
  <c r="E14" i="7"/>
  <c r="F14" i="7" s="1"/>
  <c r="H14" i="7" s="1"/>
  <c r="E6" i="7"/>
  <c r="E10" i="7"/>
  <c r="E3" i="7"/>
  <c r="F3" i="7" s="1"/>
  <c r="H3" i="7" s="1"/>
  <c r="F13" i="7"/>
  <c r="H13" i="7" s="1"/>
  <c r="F15" i="7"/>
  <c r="H15" i="7" s="1"/>
  <c r="F17" i="7"/>
  <c r="H17" i="7" s="1"/>
  <c r="H8" i="4"/>
  <c r="G8" i="4"/>
  <c r="F8" i="4"/>
  <c r="E8" i="4"/>
  <c r="D8" i="4"/>
  <c r="C8" i="4"/>
  <c r="H7" i="4"/>
  <c r="C7" i="4"/>
  <c r="G7" i="4"/>
  <c r="F7" i="4"/>
  <c r="E7" i="4"/>
  <c r="D7" i="4"/>
  <c r="H9" i="4"/>
  <c r="G9" i="4"/>
  <c r="F9" i="4"/>
  <c r="E9" i="4"/>
  <c r="D9" i="4"/>
  <c r="C9" i="4"/>
  <c r="C49" i="4"/>
  <c r="F10" i="7" l="1"/>
  <c r="H10" i="7" s="1"/>
  <c r="E11" i="7"/>
  <c r="F11" i="7" s="1"/>
  <c r="H11" i="7" s="1"/>
  <c r="F16" i="7"/>
  <c r="H16" i="7" s="1"/>
  <c r="F8" i="7"/>
  <c r="H8" i="7" s="1"/>
  <c r="F9" i="7"/>
  <c r="H9" i="7" s="1"/>
  <c r="F6" i="7"/>
  <c r="H6" i="7" s="1"/>
  <c r="B53" i="4"/>
  <c r="B55" i="4" s="1"/>
  <c r="B61" i="4" s="1"/>
  <c r="F20" i="7" l="1"/>
  <c r="H20" i="7"/>
  <c r="F61" i="7" l="1"/>
  <c r="D70" i="7"/>
  <c r="H60" i="7"/>
  <c r="H61" i="7" s="1"/>
  <c r="D71" i="7" s="1"/>
  <c r="I11" i="7" l="1"/>
  <c r="J11" i="7" s="1"/>
  <c r="K11" i="7" s="1"/>
  <c r="M11" i="7" s="1"/>
  <c r="N11" i="7" s="1"/>
  <c r="P11" i="7" s="1"/>
  <c r="Q11" i="7" s="1"/>
  <c r="I4" i="7"/>
  <c r="J4" i="7" s="1"/>
  <c r="K4" i="7" s="1"/>
  <c r="M4" i="7" s="1"/>
  <c r="N4" i="7" s="1"/>
  <c r="I58" i="7"/>
  <c r="J58" i="7" s="1"/>
  <c r="K58" i="7" s="1"/>
  <c r="M58" i="7" s="1"/>
  <c r="N58" i="7" s="1"/>
  <c r="I57" i="7"/>
  <c r="J57" i="7" s="1"/>
  <c r="K57" i="7" s="1"/>
  <c r="M57" i="7" s="1"/>
  <c r="N57" i="7" s="1"/>
  <c r="I28" i="7"/>
  <c r="J28" i="7" s="1"/>
  <c r="K28" i="7" s="1"/>
  <c r="M28" i="7" s="1"/>
  <c r="N28" i="7" s="1"/>
  <c r="I32" i="7"/>
  <c r="J32" i="7" s="1"/>
  <c r="K32" i="7" s="1"/>
  <c r="M32" i="7" s="1"/>
  <c r="N32" i="7" s="1"/>
  <c r="I36" i="7"/>
  <c r="J36" i="7" s="1"/>
  <c r="K36" i="7" s="1"/>
  <c r="M36" i="7" s="1"/>
  <c r="N36" i="7" s="1"/>
  <c r="I40" i="7"/>
  <c r="J40" i="7" s="1"/>
  <c r="K40" i="7" s="1"/>
  <c r="M40" i="7" s="1"/>
  <c r="N40" i="7" s="1"/>
  <c r="I48" i="7"/>
  <c r="J48" i="7" s="1"/>
  <c r="K48" i="7" s="1"/>
  <c r="M48" i="7" s="1"/>
  <c r="N48" i="7" s="1"/>
  <c r="I56" i="7"/>
  <c r="J56" i="7" s="1"/>
  <c r="K56" i="7" s="1"/>
  <c r="M56" i="7" s="1"/>
  <c r="N56" i="7" s="1"/>
  <c r="I29" i="7"/>
  <c r="J29" i="7" s="1"/>
  <c r="K29" i="7" s="1"/>
  <c r="M29" i="7" s="1"/>
  <c r="N29" i="7" s="1"/>
  <c r="I33" i="7"/>
  <c r="J33" i="7" s="1"/>
  <c r="K33" i="7" s="1"/>
  <c r="M33" i="7" s="1"/>
  <c r="N33" i="7" s="1"/>
  <c r="I49" i="7"/>
  <c r="J49" i="7" s="1"/>
  <c r="K49" i="7" s="1"/>
  <c r="M49" i="7" s="1"/>
  <c r="N49" i="7" s="1"/>
  <c r="I26" i="7"/>
  <c r="J26" i="7" s="1"/>
  <c r="K26" i="7" s="1"/>
  <c r="M26" i="7" s="1"/>
  <c r="N26" i="7" s="1"/>
  <c r="I27" i="7"/>
  <c r="J27" i="7" s="1"/>
  <c r="K27" i="7" s="1"/>
  <c r="M27" i="7" s="1"/>
  <c r="N27" i="7" s="1"/>
  <c r="I31" i="7"/>
  <c r="J31" i="7" s="1"/>
  <c r="K31" i="7" s="1"/>
  <c r="M31" i="7" s="1"/>
  <c r="N31" i="7" s="1"/>
  <c r="I35" i="7"/>
  <c r="J35" i="7" s="1"/>
  <c r="K35" i="7" s="1"/>
  <c r="M35" i="7" s="1"/>
  <c r="N35" i="7" s="1"/>
  <c r="I39" i="7"/>
  <c r="J39" i="7" s="1"/>
  <c r="K39" i="7" s="1"/>
  <c r="M39" i="7" s="1"/>
  <c r="N39" i="7" s="1"/>
  <c r="I43" i="7"/>
  <c r="J43" i="7" s="1"/>
  <c r="K43" i="7" s="1"/>
  <c r="M43" i="7" s="1"/>
  <c r="N43" i="7" s="1"/>
  <c r="I47" i="7"/>
  <c r="J47" i="7" s="1"/>
  <c r="K47" i="7" s="1"/>
  <c r="M47" i="7" s="1"/>
  <c r="N47" i="7" s="1"/>
  <c r="I51" i="7"/>
  <c r="J51" i="7" s="1"/>
  <c r="K51" i="7" s="1"/>
  <c r="M51" i="7" s="1"/>
  <c r="N51" i="7" s="1"/>
  <c r="I55" i="7"/>
  <c r="J55" i="7" s="1"/>
  <c r="K55" i="7" s="1"/>
  <c r="M55" i="7" s="1"/>
  <c r="N55" i="7" s="1"/>
  <c r="I44" i="7"/>
  <c r="J44" i="7" s="1"/>
  <c r="K44" i="7" s="1"/>
  <c r="M44" i="7" s="1"/>
  <c r="N44" i="7" s="1"/>
  <c r="I52" i="7"/>
  <c r="J52" i="7" s="1"/>
  <c r="K52" i="7" s="1"/>
  <c r="M52" i="7" s="1"/>
  <c r="N52" i="7" s="1"/>
  <c r="I25" i="7"/>
  <c r="J25" i="7" s="1"/>
  <c r="K25" i="7" s="1"/>
  <c r="M25" i="7" s="1"/>
  <c r="N25" i="7" s="1"/>
  <c r="I37" i="7"/>
  <c r="J37" i="7" s="1"/>
  <c r="K37" i="7" s="1"/>
  <c r="M37" i="7" s="1"/>
  <c r="N37" i="7" s="1"/>
  <c r="I41" i="7"/>
  <c r="J41" i="7" s="1"/>
  <c r="K41" i="7" s="1"/>
  <c r="M41" i="7" s="1"/>
  <c r="N41" i="7" s="1"/>
  <c r="I45" i="7"/>
  <c r="J45" i="7" s="1"/>
  <c r="K45" i="7" s="1"/>
  <c r="M45" i="7" s="1"/>
  <c r="N45" i="7" s="1"/>
  <c r="I53" i="7"/>
  <c r="J53" i="7" s="1"/>
  <c r="K53" i="7" s="1"/>
  <c r="M53" i="7" s="1"/>
  <c r="N53" i="7" s="1"/>
  <c r="T53" i="7" s="1"/>
  <c r="I59" i="7"/>
  <c r="J59" i="7" s="1"/>
  <c r="K59" i="7" s="1"/>
  <c r="M59" i="7" s="1"/>
  <c r="I30" i="7"/>
  <c r="J30" i="7" s="1"/>
  <c r="K30" i="7" s="1"/>
  <c r="M30" i="7" s="1"/>
  <c r="N30" i="7" s="1"/>
  <c r="I46" i="7"/>
  <c r="J46" i="7" s="1"/>
  <c r="K46" i="7" s="1"/>
  <c r="M46" i="7" s="1"/>
  <c r="N46" i="7" s="1"/>
  <c r="I42" i="7"/>
  <c r="J42" i="7" s="1"/>
  <c r="K42" i="7" s="1"/>
  <c r="M42" i="7" s="1"/>
  <c r="N42" i="7" s="1"/>
  <c r="I38" i="7"/>
  <c r="J38" i="7" s="1"/>
  <c r="K38" i="7" s="1"/>
  <c r="M38" i="7" s="1"/>
  <c r="N38" i="7" s="1"/>
  <c r="I54" i="7"/>
  <c r="J54" i="7" s="1"/>
  <c r="K54" i="7" s="1"/>
  <c r="M54" i="7" s="1"/>
  <c r="N54" i="7" s="1"/>
  <c r="I34" i="7"/>
  <c r="J34" i="7" s="1"/>
  <c r="K34" i="7" s="1"/>
  <c r="M34" i="7" s="1"/>
  <c r="N34" i="7" s="1"/>
  <c r="I50" i="7"/>
  <c r="J50" i="7" s="1"/>
  <c r="K50" i="7" s="1"/>
  <c r="M50" i="7" s="1"/>
  <c r="N50" i="7" s="1"/>
  <c r="I18" i="7"/>
  <c r="J18" i="7" s="1"/>
  <c r="K18" i="7" s="1"/>
  <c r="M18" i="7" s="1"/>
  <c r="I19" i="7"/>
  <c r="J19" i="7" s="1"/>
  <c r="I3" i="7"/>
  <c r="R11" i="7" l="1"/>
  <c r="R30" i="7"/>
  <c r="V30" i="7" s="1"/>
  <c r="T30" i="7"/>
  <c r="R44" i="7"/>
  <c r="V44" i="7" s="1"/>
  <c r="T44" i="7"/>
  <c r="R27" i="7"/>
  <c r="V27" i="7" s="1"/>
  <c r="T27" i="7"/>
  <c r="R36" i="7"/>
  <c r="V36" i="7" s="1"/>
  <c r="T36" i="7"/>
  <c r="R37" i="7"/>
  <c r="V37" i="7" s="1"/>
  <c r="T37" i="7"/>
  <c r="R26" i="7"/>
  <c r="V26" i="7" s="1"/>
  <c r="T26" i="7"/>
  <c r="R32" i="7"/>
  <c r="V32" i="7" s="1"/>
  <c r="T32" i="7"/>
  <c r="R50" i="7"/>
  <c r="V50" i="7" s="1"/>
  <c r="T50" i="7"/>
  <c r="R42" i="7"/>
  <c r="V42" i="7" s="1"/>
  <c r="T42" i="7"/>
  <c r="R25" i="7"/>
  <c r="V25" i="7" s="1"/>
  <c r="T25" i="7"/>
  <c r="R51" i="7"/>
  <c r="V51" i="7" s="1"/>
  <c r="T51" i="7"/>
  <c r="R35" i="7"/>
  <c r="V35" i="7" s="1"/>
  <c r="T35" i="7"/>
  <c r="R49" i="7"/>
  <c r="V49" i="7" s="1"/>
  <c r="T49" i="7"/>
  <c r="R48" i="7"/>
  <c r="V48" i="7" s="1"/>
  <c r="T48" i="7"/>
  <c r="R28" i="7"/>
  <c r="V28" i="7" s="1"/>
  <c r="T28" i="7"/>
  <c r="R54" i="7"/>
  <c r="V54" i="7" s="1"/>
  <c r="T54" i="7"/>
  <c r="R41" i="7"/>
  <c r="V41" i="7" s="1"/>
  <c r="T41" i="7"/>
  <c r="R43" i="7"/>
  <c r="V43" i="7" s="1"/>
  <c r="T43" i="7"/>
  <c r="R29" i="7"/>
  <c r="V29" i="7" s="1"/>
  <c r="T29" i="7"/>
  <c r="R58" i="7"/>
  <c r="T58" i="7"/>
  <c r="R38" i="7"/>
  <c r="V38" i="7" s="1"/>
  <c r="T38" i="7"/>
  <c r="R55" i="7"/>
  <c r="V55" i="7" s="1"/>
  <c r="T55" i="7"/>
  <c r="R39" i="7"/>
  <c r="V39" i="7" s="1"/>
  <c r="T39" i="7"/>
  <c r="R56" i="7"/>
  <c r="V56" i="7" s="1"/>
  <c r="T56" i="7"/>
  <c r="R34" i="7"/>
  <c r="V34" i="7" s="1"/>
  <c r="T34" i="7"/>
  <c r="R46" i="7"/>
  <c r="V46" i="7" s="1"/>
  <c r="T46" i="7"/>
  <c r="R45" i="7"/>
  <c r="V45" i="7" s="1"/>
  <c r="T45" i="7"/>
  <c r="R52" i="7"/>
  <c r="V52" i="7" s="1"/>
  <c r="T52" i="7"/>
  <c r="R47" i="7"/>
  <c r="V47" i="7" s="1"/>
  <c r="T47" i="7"/>
  <c r="R31" i="7"/>
  <c r="V31" i="7" s="1"/>
  <c r="T31" i="7"/>
  <c r="R33" i="7"/>
  <c r="V33" i="7" s="1"/>
  <c r="T33" i="7"/>
  <c r="R40" i="7"/>
  <c r="V40" i="7" s="1"/>
  <c r="T40" i="7"/>
  <c r="R57" i="7"/>
  <c r="T57" i="7"/>
  <c r="P4" i="7"/>
  <c r="Q4" i="7" s="1"/>
  <c r="R4" i="7"/>
  <c r="R53" i="7"/>
  <c r="V53" i="7" s="1"/>
  <c r="P53" i="7"/>
  <c r="Q53" i="7" s="1"/>
  <c r="P38" i="7"/>
  <c r="Q38" i="7" s="1"/>
  <c r="P37" i="7"/>
  <c r="Q37" i="7" s="1"/>
  <c r="P26" i="7"/>
  <c r="Q26" i="7" s="1"/>
  <c r="P50" i="7"/>
  <c r="Q50" i="7" s="1"/>
  <c r="P42" i="7"/>
  <c r="Q42" i="7" s="1"/>
  <c r="P25" i="7"/>
  <c r="Q25" i="7" s="1"/>
  <c r="P51" i="7"/>
  <c r="Q51" i="7" s="1"/>
  <c r="P35" i="7"/>
  <c r="Q35" i="7" s="1"/>
  <c r="P49" i="7"/>
  <c r="Q49" i="7" s="1"/>
  <c r="P48" i="7"/>
  <c r="Q48" i="7" s="1"/>
  <c r="P28" i="7"/>
  <c r="Q28" i="7" s="1"/>
  <c r="P39" i="7"/>
  <c r="Q39" i="7" s="1"/>
  <c r="P32" i="7"/>
  <c r="Q32" i="7" s="1"/>
  <c r="P34" i="7"/>
  <c r="Q34" i="7" s="1"/>
  <c r="P46" i="7"/>
  <c r="Q46" i="7" s="1"/>
  <c r="P45" i="7"/>
  <c r="Q45" i="7" s="1"/>
  <c r="P52" i="7"/>
  <c r="Q52" i="7" s="1"/>
  <c r="P47" i="7"/>
  <c r="Q47" i="7" s="1"/>
  <c r="P31" i="7"/>
  <c r="Q31" i="7" s="1"/>
  <c r="P33" i="7"/>
  <c r="Q33" i="7" s="1"/>
  <c r="P40" i="7"/>
  <c r="Q40" i="7" s="1"/>
  <c r="P57" i="7"/>
  <c r="Q57" i="7" s="1"/>
  <c r="P55" i="7"/>
  <c r="Q55" i="7" s="1"/>
  <c r="P56" i="7"/>
  <c r="Q56" i="7" s="1"/>
  <c r="P54" i="7"/>
  <c r="Q54" i="7" s="1"/>
  <c r="P30" i="7"/>
  <c r="Q30" i="7" s="1"/>
  <c r="P41" i="7"/>
  <c r="Q41" i="7" s="1"/>
  <c r="P44" i="7"/>
  <c r="Q44" i="7" s="1"/>
  <c r="P43" i="7"/>
  <c r="Q43" i="7" s="1"/>
  <c r="P27" i="7"/>
  <c r="Q27" i="7" s="1"/>
  <c r="P29" i="7"/>
  <c r="Q29" i="7" s="1"/>
  <c r="P36" i="7"/>
  <c r="Q36" i="7" s="1"/>
  <c r="P58" i="7"/>
  <c r="Q58" i="7" s="1"/>
  <c r="N59" i="7"/>
  <c r="R59" i="7" s="1"/>
  <c r="K19" i="7"/>
  <c r="M19" i="7" s="1"/>
  <c r="N19" i="7" s="1"/>
  <c r="R19" i="7" s="1"/>
  <c r="J3" i="7"/>
  <c r="K3" i="7" s="1"/>
  <c r="I5" i="7"/>
  <c r="J5" i="7" s="1"/>
  <c r="K5" i="7" s="1"/>
  <c r="I24" i="7"/>
  <c r="J24" i="7" s="1"/>
  <c r="K24" i="7" s="1"/>
  <c r="M24" i="7" s="1"/>
  <c r="N24" i="7" s="1"/>
  <c r="I7" i="7"/>
  <c r="J7" i="7" s="1"/>
  <c r="K7" i="7" s="1"/>
  <c r="M7" i="7" s="1"/>
  <c r="I15" i="7"/>
  <c r="J15" i="7" s="1"/>
  <c r="K15" i="7" s="1"/>
  <c r="M15" i="7" s="1"/>
  <c r="I6" i="7"/>
  <c r="J6" i="7" s="1"/>
  <c r="K6" i="7" s="1"/>
  <c r="M6" i="7" s="1"/>
  <c r="N6" i="7" s="1"/>
  <c r="R6" i="7" s="1"/>
  <c r="T6" i="7" s="1"/>
  <c r="I10" i="7"/>
  <c r="J10" i="7" s="1"/>
  <c r="K10" i="7" s="1"/>
  <c r="M10" i="7" s="1"/>
  <c r="N10" i="7" s="1"/>
  <c r="R10" i="7" s="1"/>
  <c r="I14" i="7"/>
  <c r="J14" i="7" s="1"/>
  <c r="K14" i="7" s="1"/>
  <c r="M14" i="7" s="1"/>
  <c r="N14" i="7" s="1"/>
  <c r="I17" i="7"/>
  <c r="J17" i="7" s="1"/>
  <c r="K17" i="7" s="1"/>
  <c r="M17" i="7" s="1"/>
  <c r="I21" i="7"/>
  <c r="J21" i="7" s="1"/>
  <c r="I23" i="7"/>
  <c r="J23" i="7" s="1"/>
  <c r="K23" i="7" s="1"/>
  <c r="M23" i="7" s="1"/>
  <c r="N23" i="7" s="1"/>
  <c r="I9" i="7"/>
  <c r="J9" i="7" s="1"/>
  <c r="K9" i="7" s="1"/>
  <c r="M9" i="7" s="1"/>
  <c r="N9" i="7" s="1"/>
  <c r="R9" i="7" s="1"/>
  <c r="I13" i="7"/>
  <c r="J13" i="7" s="1"/>
  <c r="K13" i="7" s="1"/>
  <c r="M13" i="7" s="1"/>
  <c r="I8" i="7"/>
  <c r="J8" i="7" s="1"/>
  <c r="K8" i="7" s="1"/>
  <c r="M8" i="7" s="1"/>
  <c r="N8" i="7" s="1"/>
  <c r="R8" i="7" s="1"/>
  <c r="I12" i="7"/>
  <c r="J12" i="7" s="1"/>
  <c r="K12" i="7" s="1"/>
  <c r="M12" i="7" s="1"/>
  <c r="N12" i="7" s="1"/>
  <c r="I16" i="7"/>
  <c r="J16" i="7" s="1"/>
  <c r="K16" i="7" s="1"/>
  <c r="M16" i="7" s="1"/>
  <c r="N16" i="7" s="1"/>
  <c r="I22" i="7"/>
  <c r="J22" i="7" s="1"/>
  <c r="K22" i="7" s="1"/>
  <c r="M22" i="7" s="1"/>
  <c r="N22" i="7" s="1"/>
  <c r="R22" i="7" s="1"/>
  <c r="R16" i="7" l="1"/>
  <c r="T17" i="7" s="1"/>
  <c r="N17" i="7" s="1"/>
  <c r="N18" i="7" s="1"/>
  <c r="R14" i="7"/>
  <c r="T15" i="7" s="1"/>
  <c r="N15" i="7" s="1"/>
  <c r="R12" i="7"/>
  <c r="T13" i="7" s="1"/>
  <c r="N13" i="7" s="1"/>
  <c r="P13" i="7" s="1"/>
  <c r="R23" i="7"/>
  <c r="T23" i="7"/>
  <c r="R24" i="7"/>
  <c r="T24" i="7"/>
  <c r="P9" i="7"/>
  <c r="Q9" i="7" s="1"/>
  <c r="P19" i="7"/>
  <c r="Q19" i="7" s="1"/>
  <c r="P12" i="7"/>
  <c r="Q12" i="7" s="1"/>
  <c r="P23" i="7"/>
  <c r="Q23" i="7" s="1"/>
  <c r="P10" i="7"/>
  <c r="Q10" i="7" s="1"/>
  <c r="P24" i="7"/>
  <c r="Q24" i="7" s="1"/>
  <c r="P16" i="7"/>
  <c r="Q16" i="7" s="1"/>
  <c r="P6" i="7"/>
  <c r="Q6" i="7" s="1"/>
  <c r="V6" i="7"/>
  <c r="P14" i="7"/>
  <c r="Q14" i="7" s="1"/>
  <c r="P8" i="7"/>
  <c r="Q8" i="7" s="1"/>
  <c r="P22" i="7"/>
  <c r="Q22" i="7" s="1"/>
  <c r="P59" i="7"/>
  <c r="Q59" i="7" s="1"/>
  <c r="N7" i="7"/>
  <c r="R7" i="7" s="1"/>
  <c r="K21" i="7"/>
  <c r="J60" i="7"/>
  <c r="M3" i="7"/>
  <c r="N3" i="7" s="1"/>
  <c r="R3" i="7" s="1"/>
  <c r="K20" i="7"/>
  <c r="J20" i="7"/>
  <c r="I20" i="7"/>
  <c r="M5" i="7"/>
  <c r="N5" i="7" s="1"/>
  <c r="R5" i="7" s="1"/>
  <c r="I60" i="7"/>
  <c r="P17" i="7" l="1"/>
  <c r="P18" i="7"/>
  <c r="P5" i="7"/>
  <c r="Q5" i="7" s="1"/>
  <c r="P7" i="7"/>
  <c r="Q7" i="7" s="1"/>
  <c r="P3" i="7"/>
  <c r="Q3" i="7" s="1"/>
  <c r="J61" i="7"/>
  <c r="V13" i="7"/>
  <c r="V17" i="7"/>
  <c r="M21" i="7"/>
  <c r="N21" i="7" s="1"/>
  <c r="R21" i="7" s="1"/>
  <c r="V21" i="7" s="1"/>
  <c r="K60" i="7"/>
  <c r="I61" i="7"/>
  <c r="P21" i="7" l="1"/>
  <c r="K61" i="7"/>
  <c r="Q21" i="7" l="1"/>
  <c r="Q60" i="7" s="1"/>
  <c r="P60" i="7"/>
  <c r="R60" i="7" l="1"/>
  <c r="P15" i="7"/>
  <c r="P20" i="7" s="1"/>
  <c r="P61" i="7" s="1"/>
  <c r="V15" i="7"/>
  <c r="R18" i="7"/>
  <c r="O17" i="7"/>
  <c r="Q17" i="7" s="1"/>
  <c r="R17" i="7"/>
  <c r="O18" i="7"/>
  <c r="Q18" i="7" s="1"/>
  <c r="R15" i="7"/>
  <c r="O15" i="7"/>
  <c r="R13" i="7"/>
  <c r="O13" i="7"/>
  <c r="Q13" i="7" s="1"/>
  <c r="Q15" i="7" l="1"/>
  <c r="Q20" i="7" s="1"/>
  <c r="O20" i="7"/>
  <c r="O61" i="7" s="1"/>
  <c r="Q61" i="7" l="1"/>
  <c r="R61" i="7" s="1"/>
  <c r="R20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 LaRue</author>
  </authors>
  <commentList>
    <comment ref="G2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Ann LaRue:</t>
        </r>
        <r>
          <rPr>
            <sz val="9"/>
            <color indexed="81"/>
            <rFont val="Tahoma"/>
            <family val="2"/>
          </rPr>
          <t xml:space="preserve">
Not on meeks
</t>
        </r>
      </text>
    </comment>
  </commentList>
</comments>
</file>

<file path=xl/sharedStrings.xml><?xml version="1.0" encoding="utf-8"?>
<sst xmlns="http://schemas.openxmlformats.org/spreadsheetml/2006/main" count="177" uniqueCount="160">
  <si>
    <t>Monthly Frequency</t>
  </si>
  <si>
    <t>Annual PU's</t>
  </si>
  <si>
    <t>Gross Up</t>
  </si>
  <si>
    <t>Totals</t>
  </si>
  <si>
    <t>Total Pick Ups</t>
  </si>
  <si>
    <t>Per Ton</t>
  </si>
  <si>
    <t>Per Pound</t>
  </si>
  <si>
    <t xml:space="preserve">Current Rate </t>
  </si>
  <si>
    <t>New Rate per ton</t>
  </si>
  <si>
    <t>Increase</t>
  </si>
  <si>
    <t>Meeks Weights</t>
  </si>
  <si>
    <t>Adjustment factor</t>
  </si>
  <si>
    <t>Residential</t>
  </si>
  <si>
    <t>Commercial</t>
  </si>
  <si>
    <t>Tariff Page</t>
  </si>
  <si>
    <t>Total</t>
  </si>
  <si>
    <t>Scheduled Service</t>
  </si>
  <si>
    <t>Monthly Factor</t>
  </si>
  <si>
    <t>Lbs. per ton</t>
  </si>
  <si>
    <t>Yds. Per ton</t>
  </si>
  <si>
    <t>Weekly Pickup (WG)</t>
  </si>
  <si>
    <t>Monthly (MG)</t>
  </si>
  <si>
    <t>Every Other Week (EOWG)</t>
  </si>
  <si>
    <t>Tons Collected</t>
  </si>
  <si>
    <t>Gross Up Factors</t>
  </si>
  <si>
    <t>B&amp;O tax</t>
  </si>
  <si>
    <t>WUTC fees</t>
  </si>
  <si>
    <t>Factor</t>
  </si>
  <si>
    <t>Extras</t>
  </si>
  <si>
    <t>Total Tonnage</t>
  </si>
  <si>
    <t>Total Pounds</t>
  </si>
  <si>
    <t>Calculated Annual Pounds</t>
  </si>
  <si>
    <t>Adjusted Annual Pounds</t>
  </si>
  <si>
    <t>Company Proposed Revenue</t>
  </si>
  <si>
    <t>Company Current Tariff</t>
  </si>
  <si>
    <t>Company Current Revenue</t>
  </si>
  <si>
    <t>Monthly Customers</t>
  </si>
  <si>
    <t>Company Increased Revenue</t>
  </si>
  <si>
    <t>1 unit</t>
  </si>
  <si>
    <t>2 units</t>
  </si>
  <si>
    <t>3 units</t>
  </si>
  <si>
    <t>n/a</t>
  </si>
  <si>
    <t>4 units</t>
  </si>
  <si>
    <t>5 units</t>
  </si>
  <si>
    <t>6 units</t>
  </si>
  <si>
    <t>Bad Debts</t>
  </si>
  <si>
    <t>Res'l</t>
  </si>
  <si>
    <t>7 unit</t>
  </si>
  <si>
    <t>5 Times per Week</t>
  </si>
  <si>
    <t>3 Times per Week</t>
  </si>
  <si>
    <t>2 Times per Week</t>
  </si>
  <si>
    <t>Pickups:</t>
  </si>
  <si>
    <t>1 can</t>
  </si>
  <si>
    <t>2 cans</t>
  </si>
  <si>
    <t>3 cans</t>
  </si>
  <si>
    <t>4 cans</t>
  </si>
  <si>
    <t>5 cans</t>
  </si>
  <si>
    <t>6 cans</t>
  </si>
  <si>
    <t>Supercan 60</t>
  </si>
  <si>
    <t>Supercan 90</t>
  </si>
  <si>
    <t>Once a month</t>
  </si>
  <si>
    <t>Com'l</t>
  </si>
  <si>
    <t>Cans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</si>
  <si>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</si>
  <si>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</si>
  <si>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</si>
  <si>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</si>
  <si>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</si>
  <si>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</si>
  <si>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</si>
  <si>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3 yd packer/compactor</t>
  </si>
  <si>
    <t>2 yd packer/compactor</t>
  </si>
  <si>
    <t>4 yd packer/compactor</t>
  </si>
  <si>
    <t>5 yd packer/compactor</t>
  </si>
  <si>
    <t>6 yd packer/compactor</t>
  </si>
  <si>
    <t>Yards</t>
  </si>
  <si>
    <t>Pounds per Pickup</t>
  </si>
  <si>
    <t>20 gal minican</t>
  </si>
  <si>
    <t>*</t>
  </si>
  <si>
    <t>Adjustment Factor Calculation</t>
  </si>
  <si>
    <t>4 Times per Week</t>
  </si>
  <si>
    <t>1 yd packer/compactor</t>
  </si>
  <si>
    <t>1.5 yd packer/compactor</t>
  </si>
  <si>
    <t>8 yd packer/compactor</t>
  </si>
  <si>
    <t>* not on meeks - calculated by staff</t>
  </si>
  <si>
    <t>Jefferson County</t>
  </si>
  <si>
    <t>Transfer Station</t>
  </si>
  <si>
    <t>Comments</t>
  </si>
  <si>
    <t>Not on Meeks</t>
  </si>
  <si>
    <t>Differ from Company</t>
  </si>
  <si>
    <t>35 gallon Can</t>
  </si>
  <si>
    <t>Calculated Annual PUs based on freq</t>
  </si>
  <si>
    <t>na - multiple pickups not on tariff</t>
  </si>
  <si>
    <t>32 GAL CAN MSW 1X MO</t>
  </si>
  <si>
    <t>1-20 GAL MINI CAN MSW</t>
  </si>
  <si>
    <t>20 GAL CART MSW</t>
  </si>
  <si>
    <t>1-32 GAL CAN MSW</t>
  </si>
  <si>
    <t>2-32 GAL CANS MSW</t>
  </si>
  <si>
    <t>3-32 GAL CANS MSW</t>
  </si>
  <si>
    <t>4-32 GAL CANS MSW</t>
  </si>
  <si>
    <t>1-35 GAL CART MSW</t>
  </si>
  <si>
    <t>2-35 GAL CARTS MSW</t>
  </si>
  <si>
    <t>1-64 GAL CART MSW</t>
  </si>
  <si>
    <t>2-64 GAL CARTS MSW</t>
  </si>
  <si>
    <t>1-96 GAL CART MSW</t>
  </si>
  <si>
    <t>2-96 GAL CARTS MSW</t>
  </si>
  <si>
    <t>1-1.25 YD 1X PER WEEK</t>
  </si>
  <si>
    <t>2-1.25 YD 1X PER WEEK</t>
  </si>
  <si>
    <t>1-1.5 YD 1X PER WEEK</t>
  </si>
  <si>
    <t>1-2 YD 1X PER WEEK</t>
  </si>
  <si>
    <t>2-2 YD 1X PER WEEK</t>
  </si>
  <si>
    <t>1-2 YD 2X PER WEEK</t>
  </si>
  <si>
    <t>1-3 YD 1X PER WEEK</t>
  </si>
  <si>
    <t>2-3 YD 1X PER WEEK</t>
  </si>
  <si>
    <t>3-3 YD 1X PER WEEK</t>
  </si>
  <si>
    <t>5-3 YD 1X PER WEEK</t>
  </si>
  <si>
    <t>1-4 YD 1X PER WEEK</t>
  </si>
  <si>
    <t>2-4 YD 1X PER WEEK</t>
  </si>
  <si>
    <t>1-6 YD 1X PER WEEK</t>
  </si>
  <si>
    <t>2-6 YD 1X PER WEEK</t>
  </si>
  <si>
    <t>3-6 YD 1X PER WEEK</t>
  </si>
  <si>
    <t>1-8 YD 1X PER WEEK</t>
  </si>
  <si>
    <t>1-8 YD 2X PER WEEK</t>
  </si>
  <si>
    <t>Extra Yardage</t>
  </si>
  <si>
    <t>Total Ellensburg Tonnage per TG-143115:</t>
  </si>
  <si>
    <t>3-96 GAL CARTS MSW</t>
  </si>
  <si>
    <t>extras</t>
  </si>
  <si>
    <t>1-1.25 YD 1X PER MO</t>
  </si>
  <si>
    <t>1-1.25 YD 1X PER EOW</t>
  </si>
  <si>
    <t>1-1.5 YD 1X PER MO</t>
  </si>
  <si>
    <t>1-1.5 YD 1X PER EOW</t>
  </si>
  <si>
    <t>1-2 YD 1X PER MO</t>
  </si>
  <si>
    <t>1-2 YD 1X PER EOW</t>
  </si>
  <si>
    <t>1-3 YD 1X PER MO</t>
  </si>
  <si>
    <t>1-3 YD 1X PER EOW</t>
  </si>
  <si>
    <t>6-3 YD 1X PER WEEK</t>
  </si>
  <si>
    <t>1-4 YD 1X PER MO</t>
  </si>
  <si>
    <t>1-4 YD 1X PER EOW</t>
  </si>
  <si>
    <t>2-4 YD 2X PER WEEK</t>
  </si>
  <si>
    <t>1-6 YD 2X PER WEEK</t>
  </si>
  <si>
    <t>1-8 YD 1X PER MO</t>
  </si>
  <si>
    <t>1-8 YD 1X PER EOW</t>
  </si>
  <si>
    <t>Roll Off</t>
  </si>
  <si>
    <t>Roll Off Disposal Pass Through:</t>
  </si>
  <si>
    <t>Increase (decrease) per ton</t>
  </si>
  <si>
    <t>Grossed Up Increase (decrease) per ton</t>
  </si>
  <si>
    <t>Disposal Fee Revenue Increase (decrease)</t>
  </si>
  <si>
    <t>Disposal Tariff Rate Increase</t>
  </si>
  <si>
    <t>Company Proposed Tariff</t>
  </si>
  <si>
    <t>4 yd compactor</t>
  </si>
  <si>
    <t>6 yd compactor</t>
  </si>
  <si>
    <t>5-32 GAL CANS MSW</t>
  </si>
  <si>
    <t>Add'l Carts</t>
  </si>
  <si>
    <t>Current</t>
  </si>
  <si>
    <t>Proposed</t>
  </si>
  <si>
    <t>35 GAL Cart MSW 1X MO</t>
  </si>
  <si>
    <t>Special PU</t>
  </si>
  <si>
    <t>Note: Commercial Rates not reflected on the worksheet will be increased by 2.0%</t>
  </si>
  <si>
    <t>Temp PU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</si>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</sst>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* #,##0_);_(* \(#,##0\);_(* &quot;-&quot;??_);_(@_)"/>
    <numFmt numFmtId="167" formatCode="_(* #,##0.000000_);_(* \(#,##0.000000\);_(* &quot;-&quot;??_);_(@_)"/>
    <numFmt numFmtId="168" formatCode="0.0000%"/>
    <numFmt numFmtId="169" formatCode="_(&quot;$&quot;* #,##0.000000_);_(&quot;$&quot;* \(#,##0.000000\);_(&quot;$&quot;* &quot;-&quot;??_);_(@_)"/>
    <numFmt numFmtId="170" formatCode="0.000000"/>
    <numFmt numFmtId="171" formatCode="0.0%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0"/>
      <color indexed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51"/>
      <name val="Calibri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i/>
      <sz val="10"/>
      <color indexed="10"/>
      <name val="Arial"/>
      <family val="2"/>
    </font>
    <font>
      <b/>
      <sz val="18"/>
      <color indexed="61"/>
      <name val="Cambria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</font>
    <font>
      <b/>
      <sz val="11"/>
      <color indexed="52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 MT"/>
    </font>
    <font>
      <b/>
      <u/>
      <sz val="11"/>
      <name val="Arial"/>
      <family val="2"/>
    </font>
    <font>
      <sz val="11"/>
      <color theme="3" tint="0.3999755851924192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 val="singleAccounting"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48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3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30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7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9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5" fillId="0" borderId="0" applyNumberFormat="0" applyFont="0" applyFill="0" applyBorder="0">
      <alignment horizontal="left" indent="4"/>
      <protection locked="0"/>
    </xf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7" fillId="0" borderId="2">
      <alignment horizontal="center"/>
    </xf>
    <xf numFmtId="3" fontId="6" fillId="0" borderId="0" applyFont="0" applyFill="0" applyBorder="0" applyAlignment="0" applyProtection="0"/>
    <xf numFmtId="0" fontId="6" fillId="2" borderId="0" applyNumberFormat="0" applyFont="0" applyBorder="0" applyAlignment="0" applyProtection="0"/>
    <xf numFmtId="166" fontId="4" fillId="3" borderId="0" applyFont="0" applyFill="0" applyBorder="0" applyAlignment="0" applyProtection="0">
      <alignment wrapText="1"/>
    </xf>
    <xf numFmtId="0" fontId="13" fillId="0" borderId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8" borderId="0" applyNumberFormat="0" applyBorder="0" applyAlignment="0" applyProtection="0"/>
    <xf numFmtId="0" fontId="14" fillId="16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1" borderId="0" applyNumberFormat="0" applyBorder="0" applyAlignment="0" applyProtection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8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9" borderId="0" applyNumberFormat="0" applyBorder="0" applyAlignment="0" applyProtection="0"/>
    <xf numFmtId="0" fontId="14" fillId="15" borderId="0" applyNumberFormat="0" applyBorder="0" applyAlignment="0" applyProtection="0"/>
    <xf numFmtId="0" fontId="14" fillId="2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41" fontId="2" fillId="0" borderId="0"/>
    <xf numFmtId="41" fontId="2" fillId="0" borderId="0"/>
    <xf numFmtId="41" fontId="2" fillId="0" borderId="0"/>
    <xf numFmtId="41" fontId="2" fillId="0" borderId="0"/>
    <xf numFmtId="0" fontId="15" fillId="22" borderId="0" applyNumberFormat="0" applyBorder="0" applyAlignment="0" applyProtection="0"/>
    <xf numFmtId="0" fontId="15" fillId="13" borderId="0" applyNumberFormat="0" applyBorder="0" applyAlignment="0" applyProtection="0"/>
    <xf numFmtId="3" fontId="2" fillId="0" borderId="0"/>
    <xf numFmtId="3" fontId="2" fillId="0" borderId="0"/>
    <xf numFmtId="3" fontId="2" fillId="0" borderId="0"/>
    <xf numFmtId="3" fontId="2" fillId="0" borderId="0"/>
    <xf numFmtId="0" fontId="16" fillId="23" borderId="4" applyNumberFormat="0" applyAlignment="0" applyProtection="0"/>
    <xf numFmtId="0" fontId="32" fillId="23" borderId="4" applyNumberFormat="0" applyAlignment="0" applyProtection="0"/>
    <xf numFmtId="0" fontId="17" fillId="24" borderId="5" applyNumberFormat="0" applyAlignment="0" applyProtection="0"/>
    <xf numFmtId="0" fontId="17" fillId="25" borderId="6" applyNumberFormat="0" applyAlignment="0" applyProtection="0"/>
    <xf numFmtId="0" fontId="2" fillId="26" borderId="0">
      <alignment horizontal="center"/>
    </xf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8" fillId="0" borderId="0"/>
    <xf numFmtId="0" fontId="33" fillId="0" borderId="0"/>
    <xf numFmtId="0" fontId="33" fillId="0" borderId="0"/>
    <xf numFmtId="0" fontId="34" fillId="27" borderId="1" applyAlignment="0">
      <alignment horizontal="right"/>
      <protection locked="0"/>
    </xf>
    <xf numFmtId="44" fontId="1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5" fillId="28" borderId="0">
      <alignment horizontal="right"/>
      <protection locked="0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2" fontId="35" fillId="28" borderId="0">
      <alignment horizontal="right"/>
      <protection locked="0"/>
    </xf>
    <xf numFmtId="0" fontId="21" fillId="10" borderId="0" applyNumberFormat="0" applyBorder="0" applyAlignment="0" applyProtection="0"/>
    <xf numFmtId="0" fontId="21" fillId="29" borderId="0" applyNumberFormat="0" applyBorder="0" applyAlignment="0" applyProtection="0"/>
    <xf numFmtId="0" fontId="22" fillId="0" borderId="7" applyNumberFormat="0" applyFill="0" applyAlignment="0" applyProtection="0"/>
    <xf numFmtId="0" fontId="36" fillId="0" borderId="8" applyNumberFormat="0" applyFill="0" applyAlignment="0" applyProtection="0"/>
    <xf numFmtId="0" fontId="23" fillId="0" borderId="9" applyNumberFormat="0" applyFill="0" applyAlignment="0" applyProtection="0"/>
    <xf numFmtId="0" fontId="37" fillId="0" borderId="10" applyNumberFormat="0" applyFill="0" applyAlignment="0" applyProtection="0"/>
    <xf numFmtId="0" fontId="24" fillId="0" borderId="11" applyNumberFormat="0" applyFill="0" applyAlignment="0" applyProtection="0"/>
    <xf numFmtId="0" fontId="38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25" fillId="12" borderId="4" applyNumberFormat="0" applyAlignment="0" applyProtection="0"/>
    <xf numFmtId="0" fontId="41" fillId="12" borderId="4" applyNumberFormat="0" applyAlignment="0" applyProtection="0"/>
    <xf numFmtId="3" fontId="10" fillId="30" borderId="0">
      <protection locked="0"/>
    </xf>
    <xf numFmtId="4" fontId="10" fillId="30" borderId="0">
      <protection locked="0"/>
    </xf>
    <xf numFmtId="0" fontId="26" fillId="0" borderId="13" applyNumberFormat="0" applyFill="0" applyAlignment="0" applyProtection="0"/>
    <xf numFmtId="0" fontId="42" fillId="0" borderId="14" applyNumberFormat="0" applyFill="0" applyAlignment="0" applyProtection="0"/>
    <xf numFmtId="0" fontId="27" fillId="12" borderId="0" applyNumberFormat="0" applyBorder="0" applyAlignment="0" applyProtection="0"/>
    <xf numFmtId="0" fontId="43" fillId="12" borderId="0" applyNumberFormat="0" applyBorder="0" applyAlignment="0" applyProtection="0"/>
    <xf numFmtId="43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1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" fillId="0" borderId="0"/>
    <xf numFmtId="0" fontId="28" fillId="9" borderId="15" applyNumberFormat="0" applyFont="0" applyAlignment="0" applyProtection="0"/>
    <xf numFmtId="0" fontId="18" fillId="9" borderId="15" applyNumberFormat="0" applyFont="0" applyAlignment="0" applyProtection="0"/>
    <xf numFmtId="171" fontId="44" fillId="0" borderId="0" applyNumberFormat="0"/>
    <xf numFmtId="0" fontId="29" fillId="23" borderId="16" applyNumberFormat="0" applyAlignment="0" applyProtection="0"/>
    <xf numFmtId="0" fontId="24" fillId="23" borderId="17" applyNumberFormat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 applyNumberFormat="0" applyBorder="0" applyAlignment="0"/>
    <xf numFmtId="0" fontId="3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18" applyNumberFormat="0" applyFill="0" applyAlignment="0" applyProtection="0"/>
    <xf numFmtId="0" fontId="31" fillId="0" borderId="19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8" fillId="11" borderId="0" applyNumberFormat="0" applyBorder="0" applyAlignment="0" applyProtection="0"/>
    <xf numFmtId="0" fontId="8" fillId="32" borderId="0" applyNumberFormat="0" applyBorder="0" applyAlignment="0" applyProtection="0"/>
    <xf numFmtId="0" fontId="8" fillId="11" borderId="0" applyNumberFormat="0" applyBorder="0" applyAlignment="0" applyProtection="0"/>
    <xf numFmtId="0" fontId="8" fillId="22" borderId="0" applyNumberFormat="0" applyBorder="0" applyAlignment="0" applyProtection="0"/>
    <xf numFmtId="0" fontId="8" fillId="6" borderId="0" applyNumberFormat="0" applyBorder="0" applyAlignment="0" applyProtection="0"/>
    <xf numFmtId="0" fontId="8" fillId="22" borderId="0" applyNumberFormat="0" applyBorder="0" applyAlignment="0" applyProtection="0"/>
    <xf numFmtId="0" fontId="8" fillId="16" borderId="0" applyNumberFormat="0" applyBorder="0" applyAlignment="0" applyProtection="0"/>
    <xf numFmtId="0" fontId="14" fillId="2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15" borderId="0" applyNumberFormat="0" applyBorder="0" applyAlignment="0" applyProtection="0"/>
    <xf numFmtId="0" fontId="48" fillId="23" borderId="4" applyNumberFormat="0" applyAlignment="0" applyProtection="0"/>
    <xf numFmtId="0" fontId="48" fillId="11" borderId="4" applyNumberFormat="0" applyAlignment="0" applyProtection="0"/>
    <xf numFmtId="43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8" fillId="0" borderId="0" applyFont="0" applyFill="0" applyBorder="0" applyAlignment="0" applyProtection="0"/>
    <xf numFmtId="14" fontId="2" fillId="0" borderId="0"/>
    <xf numFmtId="1" fontId="2" fillId="0" borderId="0">
      <alignment horizontal="center"/>
    </xf>
    <xf numFmtId="0" fontId="22" fillId="0" borderId="20" applyNumberFormat="0" applyFill="0" applyAlignment="0" applyProtection="0"/>
    <xf numFmtId="0" fontId="50" fillId="0" borderId="21" applyNumberFormat="0" applyFill="0" applyAlignment="0" applyProtection="0"/>
    <xf numFmtId="0" fontId="23" fillId="0" borderId="10" applyNumberFormat="0" applyFill="0" applyAlignment="0" applyProtection="0"/>
    <xf numFmtId="0" fontId="51" fillId="0" borderId="10" applyNumberFormat="0" applyFill="0" applyAlignment="0" applyProtection="0"/>
    <xf numFmtId="0" fontId="24" fillId="0" borderId="22" applyNumberFormat="0" applyFill="0" applyAlignment="0" applyProtection="0"/>
    <xf numFmtId="0" fontId="52" fillId="0" borderId="23" applyNumberFormat="0" applyFill="0" applyAlignment="0" applyProtection="0"/>
    <xf numFmtId="0" fontId="53" fillId="0" borderId="24" applyNumberFormat="0" applyFill="0" applyAlignment="0" applyProtection="0"/>
    <xf numFmtId="0" fontId="54" fillId="12" borderId="0" applyNumberFormat="0" applyBorder="0" applyAlignment="0" applyProtection="0"/>
    <xf numFmtId="0" fontId="8" fillId="0" borderId="0"/>
    <xf numFmtId="0" fontId="1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9" borderId="15" applyNumberFormat="0" applyFont="0" applyAlignment="0" applyProtection="0"/>
    <xf numFmtId="0" fontId="49" fillId="9" borderId="15" applyNumberFormat="0" applyFont="0" applyAlignment="0" applyProtection="0"/>
    <xf numFmtId="9" fontId="4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37" fontId="56" fillId="0" borderId="0"/>
    <xf numFmtId="0" fontId="31" fillId="0" borderId="25" applyNumberFormat="0" applyFill="0" applyAlignment="0" applyProtection="0"/>
    <xf numFmtId="0" fontId="31" fillId="0" borderId="26" applyNumberFormat="0" applyFill="0" applyAlignment="0" applyProtection="0"/>
    <xf numFmtId="0" fontId="58" fillId="0" borderId="0"/>
    <xf numFmtId="43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5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60">
    <xf numFmtId="0" fontId="0" fillId="0" borderId="0" xfId="0"/>
    <xf numFmtId="43" fontId="0" fillId="0" borderId="0" xfId="1" applyFont="1"/>
    <xf numFmtId="0" fontId="3" fillId="0" borderId="0" xfId="0" applyFont="1"/>
    <xf numFmtId="0" fontId="0" fillId="0" borderId="0" xfId="0" applyFont="1"/>
    <xf numFmtId="165" fontId="0" fillId="4" borderId="0" xfId="2" applyNumberFormat="1" applyFont="1" applyFill="1"/>
    <xf numFmtId="44" fontId="0" fillId="4" borderId="0" xfId="2" applyFont="1" applyFill="1"/>
    <xf numFmtId="44" fontId="0" fillId="4" borderId="1" xfId="2" applyFont="1" applyFill="1" applyBorder="1"/>
    <xf numFmtId="165" fontId="0" fillId="4" borderId="1" xfId="2" applyNumberFormat="1" applyFont="1" applyFill="1" applyBorder="1"/>
    <xf numFmtId="167" fontId="0" fillId="0" borderId="0" xfId="1" applyNumberFormat="1" applyFont="1"/>
    <xf numFmtId="167" fontId="0" fillId="0" borderId="0" xfId="1" applyNumberFormat="1" applyFont="1" applyBorder="1"/>
    <xf numFmtId="167" fontId="0" fillId="0" borderId="1" xfId="1" applyNumberFormat="1" applyFont="1" applyBorder="1"/>
    <xf numFmtId="169" fontId="0" fillId="4" borderId="0" xfId="2" applyNumberFormat="1" applyFont="1" applyFill="1"/>
    <xf numFmtId="166" fontId="0" fillId="0" borderId="0" xfId="1" applyNumberFormat="1" applyFont="1"/>
    <xf numFmtId="166" fontId="0" fillId="0" borderId="1" xfId="1" applyNumberFormat="1" applyFont="1" applyBorder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3" fontId="0" fillId="0" borderId="0" xfId="0" applyNumberFormat="1" applyFont="1" applyBorder="1" applyAlignment="1">
      <alignment horizontal="center"/>
    </xf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0" fontId="0" fillId="4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168" fontId="0" fillId="0" borderId="0" xfId="0" applyNumberFormat="1" applyFont="1"/>
    <xf numFmtId="44" fontId="0" fillId="0" borderId="0" xfId="0" applyNumberFormat="1" applyFont="1"/>
    <xf numFmtId="170" fontId="0" fillId="0" borderId="0" xfId="0" applyNumberFormat="1" applyFont="1"/>
    <xf numFmtId="0" fontId="0" fillId="5" borderId="1" xfId="0" applyFont="1" applyFill="1" applyBorder="1" applyAlignment="1">
      <alignment horizontal="center"/>
    </xf>
    <xf numFmtId="0" fontId="0" fillId="5" borderId="1" xfId="0" applyFont="1" applyFill="1" applyBorder="1"/>
    <xf numFmtId="0" fontId="3" fillId="5" borderId="1" xfId="0" applyFont="1" applyFill="1" applyBorder="1"/>
    <xf numFmtId="0" fontId="0" fillId="0" borderId="0" xfId="0" applyFont="1"/>
    <xf numFmtId="43" fontId="0" fillId="0" borderId="0" xfId="0" applyNumberFormat="1" applyFont="1"/>
    <xf numFmtId="0" fontId="3" fillId="0" borderId="0" xfId="0" applyFont="1"/>
    <xf numFmtId="166" fontId="0" fillId="0" borderId="0" xfId="1" applyNumberFormat="1" applyFont="1"/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43" fontId="0" fillId="0" borderId="0" xfId="1" applyFont="1" applyAlignment="1">
      <alignment horizontal="center"/>
    </xf>
    <xf numFmtId="164" fontId="0" fillId="0" borderId="0" xfId="2" applyNumberFormat="1" applyFont="1" applyBorder="1"/>
    <xf numFmtId="10" fontId="0" fillId="0" borderId="0" xfId="3" applyNumberFormat="1" applyFont="1" applyBorder="1"/>
    <xf numFmtId="43" fontId="0" fillId="0" borderId="0" xfId="1" applyFont="1" applyBorder="1"/>
    <xf numFmtId="165" fontId="0" fillId="0" borderId="0" xfId="2" applyNumberFormat="1" applyFont="1" applyBorder="1"/>
    <xf numFmtId="44" fontId="0" fillId="0" borderId="0" xfId="2" applyFont="1" applyBorder="1" applyAlignment="1">
      <alignment horizontal="right"/>
    </xf>
    <xf numFmtId="10" fontId="0" fillId="0" borderId="0" xfId="3" applyNumberFormat="1" applyFont="1" applyBorder="1" applyAlignment="1">
      <alignment horizontal="right"/>
    </xf>
    <xf numFmtId="166" fontId="0" fillId="0" borderId="0" xfId="1" applyNumberFormat="1" applyFont="1" applyBorder="1" applyAlignment="1">
      <alignment horizontal="right"/>
    </xf>
    <xf numFmtId="166" fontId="0" fillId="0" borderId="0" xfId="1" applyNumberFormat="1" applyFont="1"/>
    <xf numFmtId="0" fontId="3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right" wrapText="1"/>
    </xf>
    <xf numFmtId="43" fontId="0" fillId="0" borderId="0" xfId="0" applyNumberFormat="1" applyFont="1" applyBorder="1"/>
    <xf numFmtId="0" fontId="0" fillId="0" borderId="0" xfId="0" applyFont="1" applyBorder="1" applyAlignment="1">
      <alignment horizontal="left"/>
    </xf>
    <xf numFmtId="44" fontId="0" fillId="0" borderId="0" xfId="0" applyNumberFormat="1" applyFont="1" applyBorder="1"/>
    <xf numFmtId="0" fontId="11" fillId="0" borderId="0" xfId="4" applyFont="1" applyFill="1" applyBorder="1" applyAlignment="1">
      <alignment horizontal="left"/>
    </xf>
    <xf numFmtId="166" fontId="11" fillId="0" borderId="0" xfId="1" applyNumberFormat="1" applyFont="1" applyFill="1" applyBorder="1" applyAlignment="1">
      <alignment horizontal="left"/>
    </xf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166" fontId="0" fillId="0" borderId="0" xfId="1" applyNumberFormat="1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/>
    </xf>
    <xf numFmtId="0" fontId="3" fillId="5" borderId="1" xfId="0" applyFont="1" applyFill="1" applyBorder="1"/>
    <xf numFmtId="0" fontId="0" fillId="5" borderId="1" xfId="0" applyFont="1" applyFill="1" applyBorder="1" applyAlignment="1">
      <alignment vertical="center" textRotation="90"/>
    </xf>
    <xf numFmtId="0" fontId="0" fillId="0" borderId="3" xfId="0" applyFont="1" applyFill="1" applyBorder="1" applyAlignment="1">
      <alignment horizontal="center" vertical="center"/>
    </xf>
    <xf numFmtId="0" fontId="12" fillId="5" borderId="1" xfId="4" applyFont="1" applyFill="1" applyBorder="1" applyAlignment="1">
      <alignment horizontal="left"/>
    </xf>
    <xf numFmtId="3" fontId="3" fillId="5" borderId="1" xfId="0" applyNumberFormat="1" applyFont="1" applyFill="1" applyBorder="1" applyAlignment="1">
      <alignment horizontal="right"/>
    </xf>
    <xf numFmtId="43" fontId="0" fillId="5" borderId="1" xfId="1" applyFont="1" applyFill="1" applyBorder="1"/>
    <xf numFmtId="166" fontId="3" fillId="5" borderId="1" xfId="0" applyNumberFormat="1" applyFont="1" applyFill="1" applyBorder="1"/>
    <xf numFmtId="43" fontId="0" fillId="5" borderId="1" xfId="0" applyNumberFormat="1" applyFont="1" applyFill="1" applyBorder="1"/>
    <xf numFmtId="166" fontId="3" fillId="5" borderId="1" xfId="1" applyNumberFormat="1" applyFont="1" applyFill="1" applyBorder="1"/>
    <xf numFmtId="166" fontId="3" fillId="0" borderId="1" xfId="1" applyNumberFormat="1" applyFont="1" applyBorder="1" applyAlignment="1">
      <alignment horizontal="center"/>
    </xf>
    <xf numFmtId="166" fontId="0" fillId="0" borderId="0" xfId="1" applyNumberFormat="1" applyFont="1" applyBorder="1"/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0" fontId="0" fillId="0" borderId="0" xfId="0" applyFont="1" applyFill="1" applyBorder="1"/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vertical="center" textRotation="90"/>
    </xf>
    <xf numFmtId="0" fontId="12" fillId="0" borderId="0" xfId="4" applyFont="1" applyFill="1" applyBorder="1" applyAlignment="1">
      <alignment horizontal="left"/>
    </xf>
    <xf numFmtId="166" fontId="3" fillId="0" borderId="0" xfId="1" applyNumberFormat="1" applyFont="1" applyBorder="1" applyAlignment="1">
      <alignment horizontal="right"/>
    </xf>
    <xf numFmtId="0" fontId="9" fillId="0" borderId="0" xfId="274" applyFont="1" applyBorder="1" applyAlignment="1">
      <alignment horizontal="left"/>
    </xf>
    <xf numFmtId="166" fontId="0" fillId="4" borderId="0" xfId="1" applyNumberFormat="1" applyFont="1" applyFill="1" applyBorder="1" applyAlignment="1">
      <alignment horizontal="right"/>
    </xf>
    <xf numFmtId="44" fontId="0" fillId="0" borderId="0" xfId="2" applyFont="1" applyFill="1" applyBorder="1"/>
    <xf numFmtId="166" fontId="0" fillId="0" borderId="0" xfId="1" applyNumberFormat="1" applyFont="1" applyFill="1" applyBorder="1"/>
    <xf numFmtId="43" fontId="0" fillId="0" borderId="0" xfId="1" applyNumberFormat="1" applyFont="1" applyFill="1" applyBorder="1"/>
    <xf numFmtId="43" fontId="0" fillId="0" borderId="3" xfId="1" applyNumberFormat="1" applyFont="1" applyFill="1" applyBorder="1"/>
    <xf numFmtId="44" fontId="3" fillId="5" borderId="1" xfId="2" applyFont="1" applyFill="1" applyBorder="1"/>
    <xf numFmtId="44" fontId="0" fillId="5" borderId="1" xfId="2" applyFont="1" applyFill="1" applyBorder="1"/>
    <xf numFmtId="44" fontId="3" fillId="0" borderId="0" xfId="2" applyFont="1" applyBorder="1" applyAlignment="1">
      <alignment horizontal="right"/>
    </xf>
    <xf numFmtId="166" fontId="0" fillId="0" borderId="1" xfId="1" applyNumberFormat="1" applyFont="1" applyFill="1" applyBorder="1"/>
    <xf numFmtId="0" fontId="3" fillId="5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3" fontId="3" fillId="5" borderId="1" xfId="0" applyNumberFormat="1" applyFont="1" applyFill="1" applyBorder="1"/>
    <xf numFmtId="0" fontId="0" fillId="0" borderId="0" xfId="0" applyFont="1" applyFill="1" applyBorder="1" applyAlignment="1"/>
    <xf numFmtId="0" fontId="0" fillId="4" borderId="0" xfId="0" applyFont="1" applyFill="1" applyBorder="1" applyAlignment="1">
      <alignment horizontal="left"/>
    </xf>
    <xf numFmtId="0" fontId="9" fillId="0" borderId="0" xfId="4" applyFont="1" applyFill="1" applyBorder="1" applyAlignment="1">
      <alignment horizontal="left"/>
    </xf>
    <xf numFmtId="0" fontId="0" fillId="31" borderId="0" xfId="0" applyFont="1" applyFill="1" applyBorder="1" applyAlignment="1">
      <alignment horizontal="left"/>
    </xf>
    <xf numFmtId="44" fontId="0" fillId="0" borderId="0" xfId="2" applyFont="1" applyBorder="1"/>
    <xf numFmtId="43" fontId="3" fillId="0" borderId="0" xfId="1" applyNumberFormat="1" applyFont="1" applyBorder="1" applyAlignment="1">
      <alignment horizontal="right"/>
    </xf>
    <xf numFmtId="43" fontId="0" fillId="0" borderId="1" xfId="1" applyNumberFormat="1" applyFont="1" applyFill="1" applyBorder="1"/>
    <xf numFmtId="3" fontId="1" fillId="0" borderId="0" xfId="0" applyNumberFormat="1" applyFont="1" applyBorder="1"/>
    <xf numFmtId="0" fontId="0" fillId="0" borderId="1" xfId="0" applyFont="1" applyFill="1" applyBorder="1" applyAlignment="1">
      <alignment horizontal="center" vertical="center"/>
    </xf>
    <xf numFmtId="166" fontId="11" fillId="0" borderId="0" xfId="1" applyNumberFormat="1" applyFont="1" applyFill="1" applyBorder="1"/>
    <xf numFmtId="166" fontId="11" fillId="0" borderId="1" xfId="1" applyNumberFormat="1" applyFont="1" applyFill="1" applyBorder="1"/>
    <xf numFmtId="0" fontId="57" fillId="0" borderId="0" xfId="1" applyNumberFormat="1" applyFont="1" applyBorder="1" applyAlignment="1">
      <alignment horizontal="left"/>
    </xf>
    <xf numFmtId="0" fontId="0" fillId="0" borderId="0" xfId="1" applyNumberFormat="1" applyFont="1" applyBorder="1"/>
    <xf numFmtId="0" fontId="58" fillId="0" borderId="0" xfId="370"/>
    <xf numFmtId="166" fontId="2" fillId="0" borderId="0" xfId="374" applyNumberFormat="1" applyFont="1"/>
    <xf numFmtId="166" fontId="58" fillId="0" borderId="0" xfId="374" applyNumberFormat="1"/>
    <xf numFmtId="0" fontId="0" fillId="0" borderId="1" xfId="0" applyFont="1" applyFill="1" applyBorder="1" applyAlignment="1">
      <alignment vertical="center" textRotation="90"/>
    </xf>
    <xf numFmtId="0" fontId="11" fillId="0" borderId="1" xfId="299" applyFont="1" applyFill="1" applyBorder="1"/>
    <xf numFmtId="43" fontId="2" fillId="0" borderId="0" xfId="103" applyFont="1"/>
    <xf numFmtId="43" fontId="2" fillId="0" borderId="0" xfId="375" applyNumberFormat="1"/>
    <xf numFmtId="44" fontId="2" fillId="0" borderId="0" xfId="10" applyFont="1"/>
    <xf numFmtId="43" fontId="2" fillId="0" borderId="0" xfId="103" applyFont="1"/>
    <xf numFmtId="43" fontId="2" fillId="0" borderId="0" xfId="103" applyFont="1" applyFill="1"/>
    <xf numFmtId="0" fontId="2" fillId="0" borderId="0" xfId="382"/>
    <xf numFmtId="0" fontId="2" fillId="0" borderId="0" xfId="382" applyFont="1"/>
    <xf numFmtId="43" fontId="2" fillId="0" borderId="0" xfId="103" applyFont="1"/>
    <xf numFmtId="43" fontId="9" fillId="0" borderId="0" xfId="1" applyNumberFormat="1" applyFont="1" applyFill="1" applyBorder="1"/>
    <xf numFmtId="43" fontId="2" fillId="4" borderId="0" xfId="103" applyFont="1" applyFill="1"/>
    <xf numFmtId="166" fontId="2" fillId="0" borderId="0" xfId="1" applyNumberFormat="1" applyFont="1"/>
    <xf numFmtId="166" fontId="61" fillId="0" borderId="0" xfId="1" applyNumberFormat="1" applyFont="1" applyBorder="1"/>
    <xf numFmtId="166" fontId="62" fillId="0" borderId="0" xfId="0" applyNumberFormat="1" applyFont="1" applyBorder="1"/>
    <xf numFmtId="0" fontId="2" fillId="0" borderId="0" xfId="370" applyFont="1"/>
    <xf numFmtId="43" fontId="11" fillId="0" borderId="0" xfId="1" applyFont="1" applyFill="1" applyBorder="1"/>
    <xf numFmtId="164" fontId="0" fillId="0" borderId="0" xfId="2" applyNumberFormat="1" applyFont="1" applyFill="1" applyBorder="1"/>
    <xf numFmtId="164" fontId="3" fillId="5" borderId="1" xfId="2" applyNumberFormat="1" applyFont="1" applyFill="1" applyBorder="1"/>
    <xf numFmtId="164" fontId="3" fillId="0" borderId="0" xfId="2" applyNumberFormat="1" applyFont="1" applyBorder="1" applyAlignment="1">
      <alignment horizontal="right"/>
    </xf>
    <xf numFmtId="164" fontId="3" fillId="5" borderId="0" xfId="2" applyNumberFormat="1" applyFont="1" applyFill="1" applyBorder="1" applyAlignment="1">
      <alignment horizontal="center" wrapText="1"/>
    </xf>
    <xf numFmtId="3" fontId="1" fillId="0" borderId="0" xfId="0" applyNumberFormat="1" applyFont="1" applyFill="1" applyBorder="1"/>
    <xf numFmtId="3" fontId="1" fillId="0" borderId="1" xfId="0" applyNumberFormat="1" applyFont="1" applyFill="1" applyBorder="1"/>
    <xf numFmtId="43" fontId="11" fillId="0" borderId="1" xfId="1" applyFont="1" applyFill="1" applyBorder="1"/>
    <xf numFmtId="171" fontId="0" fillId="0" borderId="0" xfId="3" applyNumberFormat="1" applyFont="1" applyFill="1" applyBorder="1"/>
    <xf numFmtId="171" fontId="3" fillId="5" borderId="1" xfId="3" applyNumberFormat="1" applyFont="1" applyFill="1" applyBorder="1"/>
    <xf numFmtId="0" fontId="63" fillId="0" borderId="0" xfId="0" applyFont="1" applyFill="1" applyBorder="1"/>
    <xf numFmtId="166" fontId="62" fillId="0" borderId="0" xfId="0" applyNumberFormat="1" applyFont="1" applyBorder="1" applyAlignment="1">
      <alignment horizontal="right"/>
    </xf>
    <xf numFmtId="0" fontId="63" fillId="0" borderId="0" xfId="0" applyFont="1"/>
    <xf numFmtId="166" fontId="61" fillId="0" borderId="0" xfId="1" applyNumberFormat="1" applyFont="1"/>
    <xf numFmtId="164" fontId="64" fillId="0" borderId="0" xfId="0" applyNumberFormat="1" applyFont="1"/>
    <xf numFmtId="164" fontId="62" fillId="0" borderId="0" xfId="0" applyNumberFormat="1" applyFont="1"/>
    <xf numFmtId="171" fontId="3" fillId="0" borderId="0" xfId="3" applyNumberFormat="1" applyFont="1" applyBorder="1"/>
    <xf numFmtId="44" fontId="0" fillId="0" borderId="0" xfId="0" applyNumberFormat="1" applyFont="1" applyFill="1" applyBorder="1"/>
    <xf numFmtId="44" fontId="0" fillId="0" borderId="0" xfId="2" applyNumberFormat="1" applyFont="1" applyFill="1" applyBorder="1"/>
    <xf numFmtId="0" fontId="3" fillId="5" borderId="0" xfId="0" applyFont="1" applyFill="1" applyAlignment="1">
      <alignment horizontal="center" wrapText="1"/>
    </xf>
    <xf numFmtId="0" fontId="0" fillId="0" borderId="0" xfId="0" applyAlignment="1">
      <alignment vertical="top" wrapText="1"/>
    </xf>
    <xf numFmtId="164" fontId="3" fillId="0" borderId="0" xfId="2" applyNumberFormat="1" applyFont="1" applyBorder="1" applyAlignment="1">
      <alignment horizontal="center"/>
    </xf>
    <xf numFmtId="0" fontId="63" fillId="0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wrapText="1"/>
    </xf>
    <xf numFmtId="166" fontId="3" fillId="5" borderId="0" xfId="1" applyNumberFormat="1" applyFont="1" applyFill="1" applyBorder="1" applyAlignment="1">
      <alignment horizontal="center" wrapText="1"/>
    </xf>
    <xf numFmtId="164" fontId="3" fillId="5" borderId="0" xfId="2" applyNumberFormat="1" applyFont="1" applyFill="1" applyBorder="1" applyAlignment="1">
      <alignment wrapText="1"/>
    </xf>
    <xf numFmtId="44" fontId="2" fillId="0" borderId="0" xfId="10" applyFont="1" applyBorder="1"/>
    <xf numFmtId="44" fontId="63" fillId="0" borderId="0" xfId="2" applyFont="1" applyFill="1" applyBorder="1" applyAlignment="1">
      <alignment horizontal="center"/>
    </xf>
    <xf numFmtId="44" fontId="0" fillId="0" borderId="0" xfId="2" applyFont="1" applyAlignment="1">
      <alignment vertical="top" wrapText="1"/>
    </xf>
    <xf numFmtId="44" fontId="64" fillId="0" borderId="0" xfId="2" applyFont="1" applyFill="1" applyBorder="1" applyAlignment="1">
      <alignment horizontal="center"/>
    </xf>
    <xf numFmtId="0" fontId="0" fillId="5" borderId="0" xfId="0" applyFont="1" applyFill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5" borderId="0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 textRotation="90"/>
    </xf>
    <xf numFmtId="0" fontId="0" fillId="0" borderId="0" xfId="0" applyFont="1" applyFill="1" applyBorder="1" applyAlignment="1">
      <alignment horizontal="center" vertical="center" textRotation="90"/>
    </xf>
    <xf numFmtId="43" fontId="0" fillId="0" borderId="0" xfId="1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63" fillId="0" borderId="0" xfId="0" applyFont="1" applyBorder="1" applyAlignment="1">
      <alignment horizontal="center"/>
    </xf>
  </cellXfs>
  <cellStyles count="390">
    <cellStyle name="20% - Accent1 2" xfId="40" xr:uid="{00000000-0005-0000-0000-000000000000}"/>
    <cellStyle name="20% - Accent1 2 2" xfId="300" xr:uid="{00000000-0005-0000-0000-000001000000}"/>
    <cellStyle name="20% - Accent1 3" xfId="39" xr:uid="{00000000-0005-0000-0000-000002000000}"/>
    <cellStyle name="20% - Accent1 3 2" xfId="301" xr:uid="{00000000-0005-0000-0000-000003000000}"/>
    <cellStyle name="20% - Accent2 2" xfId="42" xr:uid="{00000000-0005-0000-0000-000004000000}"/>
    <cellStyle name="20% - Accent2 3" xfId="41" xr:uid="{00000000-0005-0000-0000-000005000000}"/>
    <cellStyle name="20% - Accent3 2" xfId="44" xr:uid="{00000000-0005-0000-0000-000006000000}"/>
    <cellStyle name="20% - Accent3 3" xfId="43" xr:uid="{00000000-0005-0000-0000-000007000000}"/>
    <cellStyle name="20% - Accent4 2" xfId="46" xr:uid="{00000000-0005-0000-0000-000008000000}"/>
    <cellStyle name="20% - Accent4 2 2" xfId="302" xr:uid="{00000000-0005-0000-0000-000009000000}"/>
    <cellStyle name="20% - Accent4 3" xfId="45" xr:uid="{00000000-0005-0000-0000-00000A000000}"/>
    <cellStyle name="20% - Accent4 3 2" xfId="303" xr:uid="{00000000-0005-0000-0000-00000B000000}"/>
    <cellStyle name="20% - Accent5 2" xfId="48" xr:uid="{00000000-0005-0000-0000-00000C000000}"/>
    <cellStyle name="20% - Accent5 3" xfId="47" xr:uid="{00000000-0005-0000-0000-00000D000000}"/>
    <cellStyle name="20% - Accent6 2" xfId="50" xr:uid="{00000000-0005-0000-0000-00000E000000}"/>
    <cellStyle name="20% - Accent6 3" xfId="49" xr:uid="{00000000-0005-0000-0000-00000F000000}"/>
    <cellStyle name="40% - Accent1 2" xfId="52" xr:uid="{00000000-0005-0000-0000-000010000000}"/>
    <cellStyle name="40% - Accent1 3" xfId="51" xr:uid="{00000000-0005-0000-0000-000011000000}"/>
    <cellStyle name="40% - Accent1 3 2" xfId="304" xr:uid="{00000000-0005-0000-0000-000012000000}"/>
    <cellStyle name="40% - Accent2 2" xfId="54" xr:uid="{00000000-0005-0000-0000-000013000000}"/>
    <cellStyle name="40% - Accent2 3" xfId="53" xr:uid="{00000000-0005-0000-0000-000014000000}"/>
    <cellStyle name="40% - Accent3 2" xfId="56" xr:uid="{00000000-0005-0000-0000-000015000000}"/>
    <cellStyle name="40% - Accent3 3" xfId="55" xr:uid="{00000000-0005-0000-0000-000016000000}"/>
    <cellStyle name="40% - Accent4 2" xfId="58" xr:uid="{00000000-0005-0000-0000-000017000000}"/>
    <cellStyle name="40% - Accent4 3" xfId="57" xr:uid="{00000000-0005-0000-0000-000018000000}"/>
    <cellStyle name="40% - Accent4 3 2" xfId="305" xr:uid="{00000000-0005-0000-0000-000019000000}"/>
    <cellStyle name="40% - Accent5 2" xfId="60" xr:uid="{00000000-0005-0000-0000-00001A000000}"/>
    <cellStyle name="40% - Accent5 3" xfId="59" xr:uid="{00000000-0005-0000-0000-00001B000000}"/>
    <cellStyle name="40% - Accent6 2" xfId="62" xr:uid="{00000000-0005-0000-0000-00001C000000}"/>
    <cellStyle name="40% - Accent6 3" xfId="61" xr:uid="{00000000-0005-0000-0000-00001D000000}"/>
    <cellStyle name="40% - Accent6 3 2" xfId="306" xr:uid="{00000000-0005-0000-0000-00001E000000}"/>
    <cellStyle name="60% - Accent1 2" xfId="64" xr:uid="{00000000-0005-0000-0000-00001F000000}"/>
    <cellStyle name="60% - Accent1 2 2" xfId="307" xr:uid="{00000000-0005-0000-0000-000020000000}"/>
    <cellStyle name="60% - Accent1 3" xfId="63" xr:uid="{00000000-0005-0000-0000-000021000000}"/>
    <cellStyle name="60% - Accent1 3 2" xfId="308" xr:uid="{00000000-0005-0000-0000-000022000000}"/>
    <cellStyle name="60% - Accent2 2" xfId="66" xr:uid="{00000000-0005-0000-0000-000023000000}"/>
    <cellStyle name="60% - Accent2 3" xfId="65" xr:uid="{00000000-0005-0000-0000-000024000000}"/>
    <cellStyle name="60% - Accent3 2" xfId="68" xr:uid="{00000000-0005-0000-0000-000025000000}"/>
    <cellStyle name="60% - Accent3 3" xfId="67" xr:uid="{00000000-0005-0000-0000-000026000000}"/>
    <cellStyle name="60% - Accent3 3 2" xfId="309" xr:uid="{00000000-0005-0000-0000-000027000000}"/>
    <cellStyle name="60% - Accent4 2" xfId="70" xr:uid="{00000000-0005-0000-0000-000028000000}"/>
    <cellStyle name="60% - Accent4 3" xfId="69" xr:uid="{00000000-0005-0000-0000-000029000000}"/>
    <cellStyle name="60% - Accent4 3 2" xfId="310" xr:uid="{00000000-0005-0000-0000-00002A000000}"/>
    <cellStyle name="60% - Accent5 2" xfId="72" xr:uid="{00000000-0005-0000-0000-00002B000000}"/>
    <cellStyle name="60% - Accent5 2 2" xfId="311" xr:uid="{00000000-0005-0000-0000-00002C000000}"/>
    <cellStyle name="60% - Accent5 3" xfId="71" xr:uid="{00000000-0005-0000-0000-00002D000000}"/>
    <cellStyle name="60% - Accent6 2" xfId="74" xr:uid="{00000000-0005-0000-0000-00002E000000}"/>
    <cellStyle name="60% - Accent6 3" xfId="73" xr:uid="{00000000-0005-0000-0000-00002F000000}"/>
    <cellStyle name="Accent1 2" xfId="76" xr:uid="{00000000-0005-0000-0000-000030000000}"/>
    <cellStyle name="Accent1 2 2" xfId="312" xr:uid="{00000000-0005-0000-0000-000031000000}"/>
    <cellStyle name="Accent1 3" xfId="75" xr:uid="{00000000-0005-0000-0000-000032000000}"/>
    <cellStyle name="Accent1 3 2" xfId="313" xr:uid="{00000000-0005-0000-0000-000033000000}"/>
    <cellStyle name="Accent2 2" xfId="78" xr:uid="{00000000-0005-0000-0000-000034000000}"/>
    <cellStyle name="Accent2 3" xfId="77" xr:uid="{00000000-0005-0000-0000-000035000000}"/>
    <cellStyle name="Accent3 2" xfId="80" xr:uid="{00000000-0005-0000-0000-000036000000}"/>
    <cellStyle name="Accent3 2 2" xfId="314" xr:uid="{00000000-0005-0000-0000-000037000000}"/>
    <cellStyle name="Accent3 3" xfId="79" xr:uid="{00000000-0005-0000-0000-000038000000}"/>
    <cellStyle name="Accent4 2" xfId="82" xr:uid="{00000000-0005-0000-0000-000039000000}"/>
    <cellStyle name="Accent4 3" xfId="81" xr:uid="{00000000-0005-0000-0000-00003A000000}"/>
    <cellStyle name="Accent5 2" xfId="84" xr:uid="{00000000-0005-0000-0000-00003B000000}"/>
    <cellStyle name="Accent5 3" xfId="83" xr:uid="{00000000-0005-0000-0000-00003C000000}"/>
    <cellStyle name="Accent6 2" xfId="86" xr:uid="{00000000-0005-0000-0000-00003D000000}"/>
    <cellStyle name="Accent6 2 2" xfId="315" xr:uid="{00000000-0005-0000-0000-00003E000000}"/>
    <cellStyle name="Accent6 3" xfId="85" xr:uid="{00000000-0005-0000-0000-00003F000000}"/>
    <cellStyle name="Accounting" xfId="87" xr:uid="{00000000-0005-0000-0000-000040000000}"/>
    <cellStyle name="Accounting 2" xfId="88" xr:uid="{00000000-0005-0000-0000-000041000000}"/>
    <cellStyle name="Accounting 3" xfId="89" xr:uid="{00000000-0005-0000-0000-000042000000}"/>
    <cellStyle name="Accounting_2011-11" xfId="90" xr:uid="{00000000-0005-0000-0000-000043000000}"/>
    <cellStyle name="Bad 2" xfId="92" xr:uid="{00000000-0005-0000-0000-000044000000}"/>
    <cellStyle name="Bad 3" xfId="91" xr:uid="{00000000-0005-0000-0000-000045000000}"/>
    <cellStyle name="Budget" xfId="93" xr:uid="{00000000-0005-0000-0000-000046000000}"/>
    <cellStyle name="Budget 2" xfId="94" xr:uid="{00000000-0005-0000-0000-000047000000}"/>
    <cellStyle name="Budget 3" xfId="95" xr:uid="{00000000-0005-0000-0000-000048000000}"/>
    <cellStyle name="Budget_2011-11" xfId="96" xr:uid="{00000000-0005-0000-0000-000049000000}"/>
    <cellStyle name="Calculation 2" xfId="98" xr:uid="{00000000-0005-0000-0000-00004A000000}"/>
    <cellStyle name="Calculation 2 2" xfId="316" xr:uid="{00000000-0005-0000-0000-00004B000000}"/>
    <cellStyle name="Calculation 3" xfId="97" xr:uid="{00000000-0005-0000-0000-00004C000000}"/>
    <cellStyle name="Calculation 3 2" xfId="317" xr:uid="{00000000-0005-0000-0000-00004D000000}"/>
    <cellStyle name="Check Cell 2" xfId="100" xr:uid="{00000000-0005-0000-0000-00004E000000}"/>
    <cellStyle name="Check Cell 3" xfId="99" xr:uid="{00000000-0005-0000-0000-00004F000000}"/>
    <cellStyle name="combo" xfId="101" xr:uid="{00000000-0005-0000-0000-000050000000}"/>
    <cellStyle name="Comma" xfId="1" builtinId="3"/>
    <cellStyle name="Comma 10" xfId="103" xr:uid="{00000000-0005-0000-0000-000052000000}"/>
    <cellStyle name="Comma 11" xfId="104" xr:uid="{00000000-0005-0000-0000-000053000000}"/>
    <cellStyle name="Comma 12" xfId="102" xr:uid="{00000000-0005-0000-0000-000054000000}"/>
    <cellStyle name="Comma 12 2" xfId="277" xr:uid="{00000000-0005-0000-0000-000055000000}"/>
    <cellStyle name="Comma 12 3" xfId="282" xr:uid="{00000000-0005-0000-0000-000056000000}"/>
    <cellStyle name="Comma 13" xfId="283" xr:uid="{00000000-0005-0000-0000-000057000000}"/>
    <cellStyle name="Comma 14" xfId="284" xr:uid="{00000000-0005-0000-0000-000058000000}"/>
    <cellStyle name="Comma 15" xfId="285" xr:uid="{00000000-0005-0000-0000-000059000000}"/>
    <cellStyle name="Comma 16" xfId="286" xr:uid="{00000000-0005-0000-0000-00005A000000}"/>
    <cellStyle name="Comma 17" xfId="318" xr:uid="{00000000-0005-0000-0000-00005B000000}"/>
    <cellStyle name="Comma 18" xfId="319" xr:uid="{00000000-0005-0000-0000-00005C000000}"/>
    <cellStyle name="Comma 19" xfId="320" xr:uid="{00000000-0005-0000-0000-00005D000000}"/>
    <cellStyle name="Comma 2" xfId="5" xr:uid="{00000000-0005-0000-0000-00005E000000}"/>
    <cellStyle name="Comma 2 2" xfId="6" xr:uid="{00000000-0005-0000-0000-00005F000000}"/>
    <cellStyle name="Comma 2 2 2" xfId="321" xr:uid="{00000000-0005-0000-0000-000060000000}"/>
    <cellStyle name="Comma 2 3" xfId="105" xr:uid="{00000000-0005-0000-0000-000061000000}"/>
    <cellStyle name="Comma 2 4" xfId="322" xr:uid="{00000000-0005-0000-0000-000062000000}"/>
    <cellStyle name="Comma 2 6" xfId="7" xr:uid="{00000000-0005-0000-0000-000063000000}"/>
    <cellStyle name="Comma 2 6 2" xfId="8" xr:uid="{00000000-0005-0000-0000-000064000000}"/>
    <cellStyle name="Comma 20" xfId="371" xr:uid="{00000000-0005-0000-0000-000065000000}"/>
    <cellStyle name="Comma 3" xfId="9" xr:uid="{00000000-0005-0000-0000-000066000000}"/>
    <cellStyle name="Comma 3 2" xfId="106" xr:uid="{00000000-0005-0000-0000-000067000000}"/>
    <cellStyle name="Comma 3 2 2" xfId="107" xr:uid="{00000000-0005-0000-0000-000068000000}"/>
    <cellStyle name="Comma 3 3" xfId="287" xr:uid="{00000000-0005-0000-0000-000069000000}"/>
    <cellStyle name="Comma 3 4" xfId="323" xr:uid="{00000000-0005-0000-0000-00006A000000}"/>
    <cellStyle name="Comma 4" xfId="108" xr:uid="{00000000-0005-0000-0000-00006B000000}"/>
    <cellStyle name="Comma 4 2" xfId="109" xr:uid="{00000000-0005-0000-0000-00006C000000}"/>
    <cellStyle name="Comma 4 2 2" xfId="288" xr:uid="{00000000-0005-0000-0000-00006D000000}"/>
    <cellStyle name="Comma 4 3" xfId="110" xr:uid="{00000000-0005-0000-0000-00006E000000}"/>
    <cellStyle name="Comma 4 3 2" xfId="289" xr:uid="{00000000-0005-0000-0000-00006F000000}"/>
    <cellStyle name="Comma 4 4" xfId="290" xr:uid="{00000000-0005-0000-0000-000070000000}"/>
    <cellStyle name="Comma 4 5" xfId="111" xr:uid="{00000000-0005-0000-0000-000071000000}"/>
    <cellStyle name="Comma 4 6" xfId="280" xr:uid="{00000000-0005-0000-0000-000072000000}"/>
    <cellStyle name="Comma 5" xfId="112" xr:uid="{00000000-0005-0000-0000-000073000000}"/>
    <cellStyle name="Comma 6" xfId="113" xr:uid="{00000000-0005-0000-0000-000074000000}"/>
    <cellStyle name="Comma 6 2" xfId="324" xr:uid="{00000000-0005-0000-0000-000075000000}"/>
    <cellStyle name="Comma 7" xfId="114" xr:uid="{00000000-0005-0000-0000-000076000000}"/>
    <cellStyle name="Comma 8" xfId="115" xr:uid="{00000000-0005-0000-0000-000077000000}"/>
    <cellStyle name="Comma 9" xfId="116" xr:uid="{00000000-0005-0000-0000-000078000000}"/>
    <cellStyle name="Comma(2)" xfId="117" xr:uid="{00000000-0005-0000-0000-000079000000}"/>
    <cellStyle name="Comma0 - Style2" xfId="118" xr:uid="{00000000-0005-0000-0000-00007A000000}"/>
    <cellStyle name="Comma1 - Style1" xfId="119" xr:uid="{00000000-0005-0000-0000-00007B000000}"/>
    <cellStyle name="Comments" xfId="120" xr:uid="{00000000-0005-0000-0000-00007C000000}"/>
    <cellStyle name="Currency" xfId="2" builtinId="4"/>
    <cellStyle name="Currency 10" xfId="325" xr:uid="{00000000-0005-0000-0000-00007E000000}"/>
    <cellStyle name="Currency 11" xfId="372" xr:uid="{00000000-0005-0000-0000-00007F000000}"/>
    <cellStyle name="Currency 2" xfId="10" xr:uid="{00000000-0005-0000-0000-000080000000}"/>
    <cellStyle name="Currency 2 2" xfId="11" xr:uid="{00000000-0005-0000-0000-000081000000}"/>
    <cellStyle name="Currency 2 2 2" xfId="123" xr:uid="{00000000-0005-0000-0000-000082000000}"/>
    <cellStyle name="Currency 2 3" xfId="122" xr:uid="{00000000-0005-0000-0000-000083000000}"/>
    <cellStyle name="Currency 2 3 2" xfId="326" xr:uid="{00000000-0005-0000-0000-000084000000}"/>
    <cellStyle name="Currency 2 6" xfId="12" xr:uid="{00000000-0005-0000-0000-000085000000}"/>
    <cellStyle name="Currency 2 6 2" xfId="13" xr:uid="{00000000-0005-0000-0000-000086000000}"/>
    <cellStyle name="Currency 3" xfId="14" xr:uid="{00000000-0005-0000-0000-000087000000}"/>
    <cellStyle name="Currency 3 2" xfId="125" xr:uid="{00000000-0005-0000-0000-000088000000}"/>
    <cellStyle name="Currency 3 3" xfId="124" xr:uid="{00000000-0005-0000-0000-000089000000}"/>
    <cellStyle name="Currency 3 4" xfId="291" xr:uid="{00000000-0005-0000-0000-00008A000000}"/>
    <cellStyle name="Currency 4" xfId="15" xr:uid="{00000000-0005-0000-0000-00008B000000}"/>
    <cellStyle name="Currency 4 2" xfId="16" xr:uid="{00000000-0005-0000-0000-00008C000000}"/>
    <cellStyle name="Currency 5" xfId="121" xr:uid="{00000000-0005-0000-0000-00008D000000}"/>
    <cellStyle name="Currency 5 2" xfId="276" xr:uid="{00000000-0005-0000-0000-00008E000000}"/>
    <cellStyle name="Currency 5 3" xfId="292" xr:uid="{00000000-0005-0000-0000-00008F000000}"/>
    <cellStyle name="Currency 6" xfId="293" xr:uid="{00000000-0005-0000-0000-000090000000}"/>
    <cellStyle name="Currency 7" xfId="294" xr:uid="{00000000-0005-0000-0000-000091000000}"/>
    <cellStyle name="Currency 8" xfId="327" xr:uid="{00000000-0005-0000-0000-000092000000}"/>
    <cellStyle name="Currency 9" xfId="328" xr:uid="{00000000-0005-0000-0000-000093000000}"/>
    <cellStyle name="Data Enter" xfId="126" xr:uid="{00000000-0005-0000-0000-000094000000}"/>
    <cellStyle name="date" xfId="329" xr:uid="{00000000-0005-0000-0000-000095000000}"/>
    <cellStyle name="Explanatory Text 2" xfId="128" xr:uid="{00000000-0005-0000-0000-000096000000}"/>
    <cellStyle name="Explanatory Text 3" xfId="127" xr:uid="{00000000-0005-0000-0000-000097000000}"/>
    <cellStyle name="FactSheet" xfId="129" xr:uid="{00000000-0005-0000-0000-000098000000}"/>
    <cellStyle name="fish" xfId="330" xr:uid="{00000000-0005-0000-0000-000099000000}"/>
    <cellStyle name="Good 2" xfId="131" xr:uid="{00000000-0005-0000-0000-00009A000000}"/>
    <cellStyle name="Good 3" xfId="130" xr:uid="{00000000-0005-0000-0000-00009B000000}"/>
    <cellStyle name="Heading 1 2" xfId="133" xr:uid="{00000000-0005-0000-0000-00009C000000}"/>
    <cellStyle name="Heading 1 2 2" xfId="331" xr:uid="{00000000-0005-0000-0000-00009D000000}"/>
    <cellStyle name="Heading 1 3" xfId="132" xr:uid="{00000000-0005-0000-0000-00009E000000}"/>
    <cellStyle name="Heading 1 3 2" xfId="332" xr:uid="{00000000-0005-0000-0000-00009F000000}"/>
    <cellStyle name="Heading 2 2" xfId="135" xr:uid="{00000000-0005-0000-0000-0000A0000000}"/>
    <cellStyle name="Heading 2 2 2" xfId="333" xr:uid="{00000000-0005-0000-0000-0000A1000000}"/>
    <cellStyle name="Heading 2 3" xfId="134" xr:uid="{00000000-0005-0000-0000-0000A2000000}"/>
    <cellStyle name="Heading 2 3 2" xfId="334" xr:uid="{00000000-0005-0000-0000-0000A3000000}"/>
    <cellStyle name="Heading 3 2" xfId="137" xr:uid="{00000000-0005-0000-0000-0000A4000000}"/>
    <cellStyle name="Heading 3 2 2" xfId="335" xr:uid="{00000000-0005-0000-0000-0000A5000000}"/>
    <cellStyle name="Heading 3 3" xfId="136" xr:uid="{00000000-0005-0000-0000-0000A6000000}"/>
    <cellStyle name="Heading 3 3 2" xfId="336" xr:uid="{00000000-0005-0000-0000-0000A7000000}"/>
    <cellStyle name="Heading 4 2" xfId="139" xr:uid="{00000000-0005-0000-0000-0000A8000000}"/>
    <cellStyle name="Heading 4 3" xfId="138" xr:uid="{00000000-0005-0000-0000-0000A9000000}"/>
    <cellStyle name="Hyperlink 2" xfId="140" xr:uid="{00000000-0005-0000-0000-0000AA000000}"/>
    <cellStyle name="Hyperlink 3" xfId="141" xr:uid="{00000000-0005-0000-0000-0000AB000000}"/>
    <cellStyle name="Hyperlink 3 2" xfId="295" xr:uid="{00000000-0005-0000-0000-0000AC000000}"/>
    <cellStyle name="Input 2" xfId="143" xr:uid="{00000000-0005-0000-0000-0000AD000000}"/>
    <cellStyle name="Input 3" xfId="142" xr:uid="{00000000-0005-0000-0000-0000AE000000}"/>
    <cellStyle name="input(0)" xfId="144" xr:uid="{00000000-0005-0000-0000-0000AF000000}"/>
    <cellStyle name="Input(2)" xfId="145" xr:uid="{00000000-0005-0000-0000-0000B0000000}"/>
    <cellStyle name="Linked Cell 2" xfId="147" xr:uid="{00000000-0005-0000-0000-0000B1000000}"/>
    <cellStyle name="Linked Cell 2 2" xfId="337" xr:uid="{00000000-0005-0000-0000-0000B2000000}"/>
    <cellStyle name="Linked Cell 3" xfId="146" xr:uid="{00000000-0005-0000-0000-0000B3000000}"/>
    <cellStyle name="Neutral 2" xfId="149" xr:uid="{00000000-0005-0000-0000-0000B4000000}"/>
    <cellStyle name="Neutral 2 2" xfId="338" xr:uid="{00000000-0005-0000-0000-0000B5000000}"/>
    <cellStyle name="Neutral 3" xfId="148" xr:uid="{00000000-0005-0000-0000-0000B6000000}"/>
    <cellStyle name="New_normal" xfId="150" xr:uid="{00000000-0005-0000-0000-0000B7000000}"/>
    <cellStyle name="Normal" xfId="0" builtinId="0"/>
    <cellStyle name="Normal - Style1" xfId="151" xr:uid="{00000000-0005-0000-0000-0000B9000000}"/>
    <cellStyle name="Normal - Style2" xfId="152" xr:uid="{00000000-0005-0000-0000-0000BA000000}"/>
    <cellStyle name="Normal - Style3" xfId="153" xr:uid="{00000000-0005-0000-0000-0000BB000000}"/>
    <cellStyle name="Normal - Style4" xfId="154" xr:uid="{00000000-0005-0000-0000-0000BC000000}"/>
    <cellStyle name="Normal - Style5" xfId="155" xr:uid="{00000000-0005-0000-0000-0000BD000000}"/>
    <cellStyle name="Normal 10" xfId="156" xr:uid="{00000000-0005-0000-0000-0000BE000000}"/>
    <cellStyle name="Normal 10 2" xfId="17" xr:uid="{00000000-0005-0000-0000-0000BF000000}"/>
    <cellStyle name="Normal 10 2 2" xfId="340" xr:uid="{00000000-0005-0000-0000-0000C0000000}"/>
    <cellStyle name="Normal 10 2 3" xfId="339" xr:uid="{00000000-0005-0000-0000-0000C1000000}"/>
    <cellStyle name="Normal 10_2112 DF Schedule" xfId="341" xr:uid="{00000000-0005-0000-0000-0000C2000000}"/>
    <cellStyle name="Normal 100" xfId="381" xr:uid="{00000000-0005-0000-0000-0000C3000000}"/>
    <cellStyle name="Normal 101" xfId="383" xr:uid="{00000000-0005-0000-0000-0000C4000000}"/>
    <cellStyle name="Normal 102" xfId="384" xr:uid="{00000000-0005-0000-0000-0000C5000000}"/>
    <cellStyle name="Normal 103" xfId="385" xr:uid="{00000000-0005-0000-0000-0000C6000000}"/>
    <cellStyle name="Normal 104" xfId="386" xr:uid="{00000000-0005-0000-0000-0000C7000000}"/>
    <cellStyle name="Normal 105" xfId="382" xr:uid="{00000000-0005-0000-0000-0000C8000000}"/>
    <cellStyle name="Normal 106" xfId="387" xr:uid="{00000000-0005-0000-0000-0000C9000000}"/>
    <cellStyle name="Normal 107" xfId="388" xr:uid="{00000000-0005-0000-0000-0000CA000000}"/>
    <cellStyle name="Normal 108" xfId="389" xr:uid="{00000000-0005-0000-0000-0000CB000000}"/>
    <cellStyle name="Normal 11" xfId="157" xr:uid="{00000000-0005-0000-0000-0000CC000000}"/>
    <cellStyle name="Normal 12" xfId="158" xr:uid="{00000000-0005-0000-0000-0000CD000000}"/>
    <cellStyle name="Normal 12 2" xfId="342" xr:uid="{00000000-0005-0000-0000-0000CE000000}"/>
    <cellStyle name="Normal 13" xfId="159" xr:uid="{00000000-0005-0000-0000-0000CF000000}"/>
    <cellStyle name="Normal 13 2" xfId="343" xr:uid="{00000000-0005-0000-0000-0000D0000000}"/>
    <cellStyle name="Normal 14" xfId="160" xr:uid="{00000000-0005-0000-0000-0000D1000000}"/>
    <cellStyle name="Normal 14 2" xfId="344" xr:uid="{00000000-0005-0000-0000-0000D2000000}"/>
    <cellStyle name="Normal 15" xfId="161" xr:uid="{00000000-0005-0000-0000-0000D3000000}"/>
    <cellStyle name="Normal 15 2" xfId="345" xr:uid="{00000000-0005-0000-0000-0000D4000000}"/>
    <cellStyle name="Normal 16" xfId="162" xr:uid="{00000000-0005-0000-0000-0000D5000000}"/>
    <cellStyle name="Normal 16 2" xfId="346" xr:uid="{00000000-0005-0000-0000-0000D6000000}"/>
    <cellStyle name="Normal 17" xfId="163" xr:uid="{00000000-0005-0000-0000-0000D7000000}"/>
    <cellStyle name="Normal 17 2" xfId="347" xr:uid="{00000000-0005-0000-0000-0000D8000000}"/>
    <cellStyle name="Normal 18" xfId="164" xr:uid="{00000000-0005-0000-0000-0000D9000000}"/>
    <cellStyle name="Normal 18 2" xfId="348" xr:uid="{00000000-0005-0000-0000-0000DA000000}"/>
    <cellStyle name="Normal 19" xfId="165" xr:uid="{00000000-0005-0000-0000-0000DB000000}"/>
    <cellStyle name="Normal 19 2" xfId="349" xr:uid="{00000000-0005-0000-0000-0000DC000000}"/>
    <cellStyle name="Normal 2" xfId="18" xr:uid="{00000000-0005-0000-0000-0000DD000000}"/>
    <cellStyle name="Normal 2 2" xfId="19" xr:uid="{00000000-0005-0000-0000-0000DE000000}"/>
    <cellStyle name="Normal 2 2 2" xfId="167" xr:uid="{00000000-0005-0000-0000-0000DF000000}"/>
    <cellStyle name="Normal 2 2 3" xfId="166" xr:uid="{00000000-0005-0000-0000-0000E0000000}"/>
    <cellStyle name="Normal 2 2_Actual_Fuel" xfId="168" xr:uid="{00000000-0005-0000-0000-0000E1000000}"/>
    <cellStyle name="Normal 2 3" xfId="169" xr:uid="{00000000-0005-0000-0000-0000E2000000}"/>
    <cellStyle name="Normal 2 3 2" xfId="170" xr:uid="{00000000-0005-0000-0000-0000E3000000}"/>
    <cellStyle name="Normal 2 3 3" xfId="296" xr:uid="{00000000-0005-0000-0000-0000E4000000}"/>
    <cellStyle name="Normal 2 4" xfId="297" xr:uid="{00000000-0005-0000-0000-0000E5000000}"/>
    <cellStyle name="Normal 2 5" xfId="298" xr:uid="{00000000-0005-0000-0000-0000E6000000}"/>
    <cellStyle name="Normal 2_2012-10" xfId="171" xr:uid="{00000000-0005-0000-0000-0000E7000000}"/>
    <cellStyle name="Normal 20" xfId="172" xr:uid="{00000000-0005-0000-0000-0000E8000000}"/>
    <cellStyle name="Normal 21" xfId="173" xr:uid="{00000000-0005-0000-0000-0000E9000000}"/>
    <cellStyle name="Normal 22" xfId="174" xr:uid="{00000000-0005-0000-0000-0000EA000000}"/>
    <cellStyle name="Normal 23" xfId="175" xr:uid="{00000000-0005-0000-0000-0000EB000000}"/>
    <cellStyle name="Normal 24" xfId="176" xr:uid="{00000000-0005-0000-0000-0000EC000000}"/>
    <cellStyle name="Normal 25" xfId="177" xr:uid="{00000000-0005-0000-0000-0000ED000000}"/>
    <cellStyle name="Normal 26" xfId="178" xr:uid="{00000000-0005-0000-0000-0000EE000000}"/>
    <cellStyle name="Normal 27" xfId="179" xr:uid="{00000000-0005-0000-0000-0000EF000000}"/>
    <cellStyle name="Normal 28" xfId="180" xr:uid="{00000000-0005-0000-0000-0000F0000000}"/>
    <cellStyle name="Normal 29" xfId="181" xr:uid="{00000000-0005-0000-0000-0000F1000000}"/>
    <cellStyle name="Normal 3" xfId="20" xr:uid="{00000000-0005-0000-0000-0000F2000000}"/>
    <cellStyle name="Normal 3 2" xfId="183" xr:uid="{00000000-0005-0000-0000-0000F3000000}"/>
    <cellStyle name="Normal 3 3" xfId="182" xr:uid="{00000000-0005-0000-0000-0000F4000000}"/>
    <cellStyle name="Normal 3 4" xfId="281" xr:uid="{00000000-0005-0000-0000-0000F5000000}"/>
    <cellStyle name="Normal 3_2012 PR" xfId="184" xr:uid="{00000000-0005-0000-0000-0000F6000000}"/>
    <cellStyle name="Normal 30" xfId="185" xr:uid="{00000000-0005-0000-0000-0000F7000000}"/>
    <cellStyle name="Normal 31" xfId="186" xr:uid="{00000000-0005-0000-0000-0000F8000000}"/>
    <cellStyle name="Normal 32" xfId="187" xr:uid="{00000000-0005-0000-0000-0000F9000000}"/>
    <cellStyle name="Normal 33" xfId="188" xr:uid="{00000000-0005-0000-0000-0000FA000000}"/>
    <cellStyle name="Normal 34" xfId="189" xr:uid="{00000000-0005-0000-0000-0000FB000000}"/>
    <cellStyle name="Normal 35" xfId="190" xr:uid="{00000000-0005-0000-0000-0000FC000000}"/>
    <cellStyle name="Normal 36" xfId="191" xr:uid="{00000000-0005-0000-0000-0000FD000000}"/>
    <cellStyle name="Normal 37" xfId="192" xr:uid="{00000000-0005-0000-0000-0000FE000000}"/>
    <cellStyle name="Normal 38" xfId="193" xr:uid="{00000000-0005-0000-0000-0000FF000000}"/>
    <cellStyle name="Normal 39" xfId="194" xr:uid="{00000000-0005-0000-0000-000000010000}"/>
    <cellStyle name="Normal 4" xfId="21" xr:uid="{00000000-0005-0000-0000-000001010000}"/>
    <cellStyle name="Normal 4 2" xfId="195" xr:uid="{00000000-0005-0000-0000-000002010000}"/>
    <cellStyle name="Normal 40" xfId="196" xr:uid="{00000000-0005-0000-0000-000003010000}"/>
    <cellStyle name="Normal 41" xfId="197" xr:uid="{00000000-0005-0000-0000-000004010000}"/>
    <cellStyle name="Normal 42" xfId="198" xr:uid="{00000000-0005-0000-0000-000005010000}"/>
    <cellStyle name="Normal 43" xfId="199" xr:uid="{00000000-0005-0000-0000-000006010000}"/>
    <cellStyle name="Normal 44" xfId="200" xr:uid="{00000000-0005-0000-0000-000007010000}"/>
    <cellStyle name="Normal 45" xfId="201" xr:uid="{00000000-0005-0000-0000-000008010000}"/>
    <cellStyle name="Normal 46" xfId="202" xr:uid="{00000000-0005-0000-0000-000009010000}"/>
    <cellStyle name="Normal 47" xfId="203" xr:uid="{00000000-0005-0000-0000-00000A010000}"/>
    <cellStyle name="Normal 48" xfId="204" xr:uid="{00000000-0005-0000-0000-00000B010000}"/>
    <cellStyle name="Normal 49" xfId="205" xr:uid="{00000000-0005-0000-0000-00000C010000}"/>
    <cellStyle name="Normal 5" xfId="22" xr:uid="{00000000-0005-0000-0000-00000D010000}"/>
    <cellStyle name="Normal 5 2" xfId="206" xr:uid="{00000000-0005-0000-0000-00000E010000}"/>
    <cellStyle name="Normal 5_2112 DF Schedule" xfId="350" xr:uid="{00000000-0005-0000-0000-00000F010000}"/>
    <cellStyle name="Normal 50" xfId="207" xr:uid="{00000000-0005-0000-0000-000010010000}"/>
    <cellStyle name="Normal 51" xfId="208" xr:uid="{00000000-0005-0000-0000-000011010000}"/>
    <cellStyle name="Normal 52" xfId="209" xr:uid="{00000000-0005-0000-0000-000012010000}"/>
    <cellStyle name="Normal 53" xfId="210" xr:uid="{00000000-0005-0000-0000-000013010000}"/>
    <cellStyle name="Normal 54" xfId="211" xr:uid="{00000000-0005-0000-0000-000014010000}"/>
    <cellStyle name="Normal 55" xfId="212" xr:uid="{00000000-0005-0000-0000-000015010000}"/>
    <cellStyle name="Normal 56" xfId="213" xr:uid="{00000000-0005-0000-0000-000016010000}"/>
    <cellStyle name="Normal 57" xfId="214" xr:uid="{00000000-0005-0000-0000-000017010000}"/>
    <cellStyle name="Normal 58" xfId="215" xr:uid="{00000000-0005-0000-0000-000018010000}"/>
    <cellStyle name="Normal 59" xfId="216" xr:uid="{00000000-0005-0000-0000-000019010000}"/>
    <cellStyle name="Normal 6" xfId="23" xr:uid="{00000000-0005-0000-0000-00001A010000}"/>
    <cellStyle name="Normal 6 2" xfId="217" xr:uid="{00000000-0005-0000-0000-00001B010000}"/>
    <cellStyle name="Normal 60" xfId="218" xr:uid="{00000000-0005-0000-0000-00001C010000}"/>
    <cellStyle name="Normal 61" xfId="219" xr:uid="{00000000-0005-0000-0000-00001D010000}"/>
    <cellStyle name="Normal 62" xfId="220" xr:uid="{00000000-0005-0000-0000-00001E010000}"/>
    <cellStyle name="Normal 63" xfId="221" xr:uid="{00000000-0005-0000-0000-00001F010000}"/>
    <cellStyle name="Normal 64" xfId="222" xr:uid="{00000000-0005-0000-0000-000020010000}"/>
    <cellStyle name="Normal 65" xfId="223" xr:uid="{00000000-0005-0000-0000-000021010000}"/>
    <cellStyle name="Normal 66" xfId="224" xr:uid="{00000000-0005-0000-0000-000022010000}"/>
    <cellStyle name="Normal 67" xfId="225" xr:uid="{00000000-0005-0000-0000-000023010000}"/>
    <cellStyle name="Normal 68" xfId="226" xr:uid="{00000000-0005-0000-0000-000024010000}"/>
    <cellStyle name="Normal 69" xfId="227" xr:uid="{00000000-0005-0000-0000-000025010000}"/>
    <cellStyle name="Normal 7" xfId="228" xr:uid="{00000000-0005-0000-0000-000026010000}"/>
    <cellStyle name="Normal 70" xfId="229" xr:uid="{00000000-0005-0000-0000-000027010000}"/>
    <cellStyle name="Normal 71" xfId="230" xr:uid="{00000000-0005-0000-0000-000028010000}"/>
    <cellStyle name="Normal 72" xfId="231" xr:uid="{00000000-0005-0000-0000-000029010000}"/>
    <cellStyle name="Normal 73" xfId="232" xr:uid="{00000000-0005-0000-0000-00002A010000}"/>
    <cellStyle name="Normal 74" xfId="233" xr:uid="{00000000-0005-0000-0000-00002B010000}"/>
    <cellStyle name="Normal 75" xfId="234" xr:uid="{00000000-0005-0000-0000-00002C010000}"/>
    <cellStyle name="Normal 76" xfId="235" xr:uid="{00000000-0005-0000-0000-00002D010000}"/>
    <cellStyle name="Normal 77" xfId="236" xr:uid="{00000000-0005-0000-0000-00002E010000}"/>
    <cellStyle name="Normal 78" xfId="237" xr:uid="{00000000-0005-0000-0000-00002F010000}"/>
    <cellStyle name="Normal 79" xfId="238" xr:uid="{00000000-0005-0000-0000-000030010000}"/>
    <cellStyle name="Normal 8" xfId="239" xr:uid="{00000000-0005-0000-0000-000031010000}"/>
    <cellStyle name="Normal 80" xfId="240" xr:uid="{00000000-0005-0000-0000-000032010000}"/>
    <cellStyle name="Normal 81" xfId="241" xr:uid="{00000000-0005-0000-0000-000033010000}"/>
    <cellStyle name="Normal 82" xfId="242" xr:uid="{00000000-0005-0000-0000-000034010000}"/>
    <cellStyle name="Normal 83" xfId="243" xr:uid="{00000000-0005-0000-0000-000035010000}"/>
    <cellStyle name="Normal 84" xfId="38" xr:uid="{00000000-0005-0000-0000-000036010000}"/>
    <cellStyle name="Normal 84 2" xfId="278" xr:uid="{00000000-0005-0000-0000-000037010000}"/>
    <cellStyle name="Normal 84 3" xfId="351" xr:uid="{00000000-0005-0000-0000-000038010000}"/>
    <cellStyle name="Normal 85" xfId="252" xr:uid="{00000000-0005-0000-0000-000039010000}"/>
    <cellStyle name="Normal 86" xfId="270" xr:uid="{00000000-0005-0000-0000-00003A010000}"/>
    <cellStyle name="Normal 87" xfId="271" xr:uid="{00000000-0005-0000-0000-00003B010000}"/>
    <cellStyle name="Normal 88" xfId="272" xr:uid="{00000000-0005-0000-0000-00003C010000}"/>
    <cellStyle name="Normal 89" xfId="273" xr:uid="{00000000-0005-0000-0000-00003D010000}"/>
    <cellStyle name="Normal 9" xfId="244" xr:uid="{00000000-0005-0000-0000-00003E010000}"/>
    <cellStyle name="Normal 90" xfId="274" xr:uid="{00000000-0005-0000-0000-00003F010000}"/>
    <cellStyle name="Normal 91" xfId="279" xr:uid="{00000000-0005-0000-0000-000040010000}"/>
    <cellStyle name="Normal 92" xfId="370" xr:uid="{00000000-0005-0000-0000-000041010000}"/>
    <cellStyle name="Normal 93" xfId="374" xr:uid="{00000000-0005-0000-0000-000042010000}"/>
    <cellStyle name="Normal 94" xfId="375" xr:uid="{00000000-0005-0000-0000-000043010000}"/>
    <cellStyle name="Normal 95" xfId="376" xr:uid="{00000000-0005-0000-0000-000044010000}"/>
    <cellStyle name="Normal 96" xfId="377" xr:uid="{00000000-0005-0000-0000-000045010000}"/>
    <cellStyle name="Normal 97" xfId="378" xr:uid="{00000000-0005-0000-0000-000046010000}"/>
    <cellStyle name="Normal 98" xfId="379" xr:uid="{00000000-0005-0000-0000-000047010000}"/>
    <cellStyle name="Normal 99" xfId="380" xr:uid="{00000000-0005-0000-0000-000048010000}"/>
    <cellStyle name="Normal_Murrey's Jan-Dec 2012" xfId="299" xr:uid="{00000000-0005-0000-0000-000049010000}"/>
    <cellStyle name="Normal_Price out" xfId="4" xr:uid="{00000000-0005-0000-0000-00004A010000}"/>
    <cellStyle name="Note 2" xfId="246" xr:uid="{00000000-0005-0000-0000-00004B010000}"/>
    <cellStyle name="Note 2 2" xfId="352" xr:uid="{00000000-0005-0000-0000-00004C010000}"/>
    <cellStyle name="Note 3" xfId="245" xr:uid="{00000000-0005-0000-0000-00004D010000}"/>
    <cellStyle name="Note 3 2" xfId="353" xr:uid="{00000000-0005-0000-0000-00004E010000}"/>
    <cellStyle name="Notes" xfId="247" xr:uid="{00000000-0005-0000-0000-00004F010000}"/>
    <cellStyle name="Output 2" xfId="249" xr:uid="{00000000-0005-0000-0000-000050010000}"/>
    <cellStyle name="Output 3" xfId="248" xr:uid="{00000000-0005-0000-0000-000051010000}"/>
    <cellStyle name="Percent" xfId="3" builtinId="5"/>
    <cellStyle name="Percent 2" xfId="24" xr:uid="{00000000-0005-0000-0000-000053010000}"/>
    <cellStyle name="Percent 2 2" xfId="25" xr:uid="{00000000-0005-0000-0000-000054010000}"/>
    <cellStyle name="Percent 2 2 2" xfId="251" xr:uid="{00000000-0005-0000-0000-000055010000}"/>
    <cellStyle name="Percent 2 3" xfId="354" xr:uid="{00000000-0005-0000-0000-000056010000}"/>
    <cellStyle name="Percent 2 6" xfId="26" xr:uid="{00000000-0005-0000-0000-000057010000}"/>
    <cellStyle name="Percent 3" xfId="27" xr:uid="{00000000-0005-0000-0000-000058010000}"/>
    <cellStyle name="Percent 3 2" xfId="28" xr:uid="{00000000-0005-0000-0000-000059010000}"/>
    <cellStyle name="Percent 4" xfId="29" xr:uid="{00000000-0005-0000-0000-00005A010000}"/>
    <cellStyle name="Percent 4 2" xfId="356" xr:uid="{00000000-0005-0000-0000-00005B010000}"/>
    <cellStyle name="Percent 4 3" xfId="355" xr:uid="{00000000-0005-0000-0000-00005C010000}"/>
    <cellStyle name="Percent 5" xfId="253" xr:uid="{00000000-0005-0000-0000-00005D010000}"/>
    <cellStyle name="Percent 6" xfId="254" xr:uid="{00000000-0005-0000-0000-00005E010000}"/>
    <cellStyle name="Percent 7" xfId="250" xr:uid="{00000000-0005-0000-0000-00005F010000}"/>
    <cellStyle name="Percent 7 2" xfId="275" xr:uid="{00000000-0005-0000-0000-000060010000}"/>
    <cellStyle name="Percent 7 3" xfId="357" xr:uid="{00000000-0005-0000-0000-000061010000}"/>
    <cellStyle name="Percent 8" xfId="358" xr:uid="{00000000-0005-0000-0000-000062010000}"/>
    <cellStyle name="Percent 9" xfId="373" xr:uid="{00000000-0005-0000-0000-000063010000}"/>
    <cellStyle name="Percent(1)" xfId="255" xr:uid="{00000000-0005-0000-0000-000064010000}"/>
    <cellStyle name="Percent(2)" xfId="256" xr:uid="{00000000-0005-0000-0000-000065010000}"/>
    <cellStyle name="PRM" xfId="257" xr:uid="{00000000-0005-0000-0000-000066010000}"/>
    <cellStyle name="PRM 2" xfId="258" xr:uid="{00000000-0005-0000-0000-000067010000}"/>
    <cellStyle name="PRM 3" xfId="259" xr:uid="{00000000-0005-0000-0000-000068010000}"/>
    <cellStyle name="PRM_2011-11" xfId="260" xr:uid="{00000000-0005-0000-0000-000069010000}"/>
    <cellStyle name="PS_Comma" xfId="30" xr:uid="{00000000-0005-0000-0000-00006A010000}"/>
    <cellStyle name="PSChar" xfId="31" xr:uid="{00000000-0005-0000-0000-00006B010000}"/>
    <cellStyle name="PSDate" xfId="32" xr:uid="{00000000-0005-0000-0000-00006C010000}"/>
    <cellStyle name="PSDec" xfId="33" xr:uid="{00000000-0005-0000-0000-00006D010000}"/>
    <cellStyle name="PSHeading" xfId="34" xr:uid="{00000000-0005-0000-0000-00006E010000}"/>
    <cellStyle name="PSInt" xfId="35" xr:uid="{00000000-0005-0000-0000-00006F010000}"/>
    <cellStyle name="PSSpacer" xfId="36" xr:uid="{00000000-0005-0000-0000-000070010000}"/>
    <cellStyle name="STYL0 - Style1" xfId="359" xr:uid="{00000000-0005-0000-0000-000071010000}"/>
    <cellStyle name="STYL1 - Style2" xfId="360" xr:uid="{00000000-0005-0000-0000-000072010000}"/>
    <cellStyle name="STYL2 - Style3" xfId="361" xr:uid="{00000000-0005-0000-0000-000073010000}"/>
    <cellStyle name="STYL3 - Style4" xfId="362" xr:uid="{00000000-0005-0000-0000-000074010000}"/>
    <cellStyle name="STYL4 - Style5" xfId="363" xr:uid="{00000000-0005-0000-0000-000075010000}"/>
    <cellStyle name="STYL5 - Style6" xfId="364" xr:uid="{00000000-0005-0000-0000-000076010000}"/>
    <cellStyle name="STYL6 - Style7" xfId="365" xr:uid="{00000000-0005-0000-0000-000077010000}"/>
    <cellStyle name="STYL7 - Style8" xfId="366" xr:uid="{00000000-0005-0000-0000-000078010000}"/>
    <cellStyle name="Style 1" xfId="261" xr:uid="{00000000-0005-0000-0000-000079010000}"/>
    <cellStyle name="Style 1 2" xfId="262" xr:uid="{00000000-0005-0000-0000-00007A010000}"/>
    <cellStyle name="STYLE1" xfId="263" xr:uid="{00000000-0005-0000-0000-00007B010000}"/>
    <cellStyle name="sub heading" xfId="367" xr:uid="{00000000-0005-0000-0000-00007C010000}"/>
    <cellStyle name="Title 2" xfId="265" xr:uid="{00000000-0005-0000-0000-00007D010000}"/>
    <cellStyle name="Title 3" xfId="264" xr:uid="{00000000-0005-0000-0000-00007E010000}"/>
    <cellStyle name="Total 2" xfId="267" xr:uid="{00000000-0005-0000-0000-00007F010000}"/>
    <cellStyle name="Total 2 2" xfId="368" xr:uid="{00000000-0005-0000-0000-000080010000}"/>
    <cellStyle name="Total 3" xfId="266" xr:uid="{00000000-0005-0000-0000-000081010000}"/>
    <cellStyle name="Total 3 2" xfId="369" xr:uid="{00000000-0005-0000-0000-000082010000}"/>
    <cellStyle name="Warning Text 2" xfId="269" xr:uid="{00000000-0005-0000-0000-000083010000}"/>
    <cellStyle name="Warning Text 3" xfId="268" xr:uid="{00000000-0005-0000-0000-000084010000}"/>
    <cellStyle name="WM_STANDARD" xfId="37" xr:uid="{00000000-0005-0000-0000-000085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1"/>
  <sheetViews>
    <sheetView workbookViewId="0">
      <selection activeCell="B49" sqref="B49"/>
    </sheetView>
  </sheetViews>
  <sheetFormatPr defaultColWidth="9.1796875" defaultRowHeight="14.5"/>
  <cols>
    <col min="1" max="1" width="39.54296875" style="3" customWidth="1"/>
    <col min="2" max="2" width="19" style="3" bestFit="1" customWidth="1"/>
    <col min="3" max="3" width="16" style="3" bestFit="1" customWidth="1"/>
    <col min="4" max="4" width="10.54296875" style="3" bestFit="1" customWidth="1"/>
    <col min="5" max="5" width="7" style="3" bestFit="1" customWidth="1"/>
    <col min="6" max="6" width="11.453125" style="3" bestFit="1" customWidth="1"/>
    <col min="7" max="7" width="10" style="3" bestFit="1" customWidth="1"/>
    <col min="8" max="8" width="8" style="3" bestFit="1" customWidth="1"/>
    <col min="9" max="9" width="15.81640625" style="3" bestFit="1" customWidth="1"/>
    <col min="10" max="10" width="12" style="3" bestFit="1" customWidth="1"/>
    <col min="11" max="16384" width="9.1796875" style="3"/>
  </cols>
  <sheetData>
    <row r="1" spans="1:8">
      <c r="A1" s="151" t="s">
        <v>17</v>
      </c>
      <c r="B1" s="151"/>
      <c r="C1" s="151"/>
      <c r="D1" s="151"/>
      <c r="E1" s="151"/>
      <c r="F1" s="151"/>
      <c r="G1" s="151"/>
      <c r="H1" s="151"/>
    </row>
    <row r="2" spans="1:8">
      <c r="A2" s="3" t="s">
        <v>51</v>
      </c>
      <c r="B2" s="16" t="s">
        <v>38</v>
      </c>
      <c r="C2" s="16" t="s">
        <v>39</v>
      </c>
      <c r="D2" s="16" t="s">
        <v>40</v>
      </c>
      <c r="E2" s="17" t="s">
        <v>42</v>
      </c>
      <c r="F2" s="17" t="s">
        <v>43</v>
      </c>
      <c r="G2" s="17" t="s">
        <v>44</v>
      </c>
      <c r="H2" s="16" t="s">
        <v>47</v>
      </c>
    </row>
    <row r="3" spans="1:8">
      <c r="A3" s="3" t="s">
        <v>48</v>
      </c>
      <c r="B3" s="1">
        <f>52*5/12</f>
        <v>21.666666666666668</v>
      </c>
      <c r="C3" s="18">
        <f>$B$3*2</f>
        <v>43.333333333333336</v>
      </c>
      <c r="D3" s="18">
        <f>$B$3*3</f>
        <v>65</v>
      </c>
      <c r="E3" s="18">
        <f>$B$3*4</f>
        <v>86.666666666666671</v>
      </c>
      <c r="F3" s="18">
        <f>$B$3*5</f>
        <v>108.33333333333334</v>
      </c>
      <c r="G3" s="18">
        <f>$B$3*6</f>
        <v>130</v>
      </c>
      <c r="H3" s="18">
        <f>$B$3*7</f>
        <v>151.66666666666669</v>
      </c>
    </row>
    <row r="4" spans="1:8">
      <c r="A4" s="3" t="s">
        <v>80</v>
      </c>
      <c r="B4" s="1">
        <f>52*4/12</f>
        <v>17.333333333333332</v>
      </c>
      <c r="C4" s="18">
        <f>$B$4*2</f>
        <v>34.666666666666664</v>
      </c>
      <c r="D4" s="18">
        <f>$B$4*3</f>
        <v>52</v>
      </c>
      <c r="E4" s="18">
        <f>$B$4*4</f>
        <v>69.333333333333329</v>
      </c>
      <c r="F4" s="18">
        <f>$B$4*5</f>
        <v>86.666666666666657</v>
      </c>
      <c r="G4" s="18">
        <f>$B$4*6</f>
        <v>104</v>
      </c>
      <c r="H4" s="18">
        <f>$B$4*7</f>
        <v>121.33333333333333</v>
      </c>
    </row>
    <row r="5" spans="1:8">
      <c r="A5" s="3" t="s">
        <v>49</v>
      </c>
      <c r="B5" s="1">
        <f>52*3/12</f>
        <v>13</v>
      </c>
      <c r="C5" s="18">
        <f>$B$5*2</f>
        <v>26</v>
      </c>
      <c r="D5" s="18">
        <f>$B$5*3</f>
        <v>39</v>
      </c>
      <c r="E5" s="18">
        <f>$B$5*4</f>
        <v>52</v>
      </c>
      <c r="F5" s="18">
        <f>$B$5*5</f>
        <v>65</v>
      </c>
      <c r="G5" s="18">
        <f>$B$5*6</f>
        <v>78</v>
      </c>
      <c r="H5" s="18">
        <f>$B$5*7</f>
        <v>91</v>
      </c>
    </row>
    <row r="6" spans="1:8">
      <c r="A6" s="3" t="s">
        <v>50</v>
      </c>
      <c r="B6" s="1">
        <f>52*2/12</f>
        <v>8.6666666666666661</v>
      </c>
      <c r="C6" s="19">
        <f>$B$6*2</f>
        <v>17.333333333333332</v>
      </c>
      <c r="D6" s="19">
        <f>$B$6*3</f>
        <v>26</v>
      </c>
      <c r="E6" s="19">
        <f>$B$6*4</f>
        <v>34.666666666666664</v>
      </c>
      <c r="F6" s="19">
        <f>$B$6*5</f>
        <v>43.333333333333329</v>
      </c>
      <c r="G6" s="19">
        <f>$B$6*6</f>
        <v>52</v>
      </c>
      <c r="H6" s="19">
        <f>$B$6*7</f>
        <v>60.666666666666664</v>
      </c>
    </row>
    <row r="7" spans="1:8">
      <c r="A7" s="3" t="s">
        <v>20</v>
      </c>
      <c r="B7" s="1">
        <f>52/12</f>
        <v>4.333333333333333</v>
      </c>
      <c r="C7" s="19">
        <f>$B$7*2</f>
        <v>8.6666666666666661</v>
      </c>
      <c r="D7" s="19">
        <f>$B$7*3</f>
        <v>13</v>
      </c>
      <c r="E7" s="19">
        <f>$B$7*4</f>
        <v>17.333333333333332</v>
      </c>
      <c r="F7" s="19">
        <f>$B$7*5</f>
        <v>21.666666666666664</v>
      </c>
      <c r="G7" s="19">
        <f>$B$7*6</f>
        <v>26</v>
      </c>
      <c r="H7" s="19">
        <f>$B$7*7</f>
        <v>30.333333333333332</v>
      </c>
    </row>
    <row r="8" spans="1:8">
      <c r="A8" s="3" t="s">
        <v>22</v>
      </c>
      <c r="B8" s="1">
        <f>26/12</f>
        <v>2.1666666666666665</v>
      </c>
      <c r="C8" s="19">
        <f>$B$8*2</f>
        <v>4.333333333333333</v>
      </c>
      <c r="D8" s="19">
        <f>$B$8*3</f>
        <v>6.5</v>
      </c>
      <c r="E8" s="19">
        <f>$B$8*4</f>
        <v>8.6666666666666661</v>
      </c>
      <c r="F8" s="19">
        <f>$B$8*5</f>
        <v>10.833333333333332</v>
      </c>
      <c r="G8" s="19">
        <f>$B$8*6</f>
        <v>13</v>
      </c>
      <c r="H8" s="19">
        <f>$B$8*7</f>
        <v>15.166666666666666</v>
      </c>
    </row>
    <row r="9" spans="1:8">
      <c r="A9" s="3" t="s">
        <v>21</v>
      </c>
      <c r="B9" s="1">
        <f>12/12</f>
        <v>1</v>
      </c>
      <c r="C9" s="19">
        <f>$B$9*2</f>
        <v>2</v>
      </c>
      <c r="D9" s="19">
        <f>$B$9*3</f>
        <v>3</v>
      </c>
      <c r="E9" s="19">
        <f>$B$9*4</f>
        <v>4</v>
      </c>
      <c r="F9" s="19">
        <f>$B$9*5</f>
        <v>5</v>
      </c>
      <c r="G9" s="19">
        <f>$B$9*6</f>
        <v>6</v>
      </c>
      <c r="H9" s="19">
        <f>$B$9*7</f>
        <v>7</v>
      </c>
    </row>
    <row r="10" spans="1:8">
      <c r="B10" s="1"/>
      <c r="C10" s="19"/>
      <c r="D10" s="19"/>
      <c r="E10" s="19"/>
      <c r="F10" s="19"/>
      <c r="G10" s="19"/>
      <c r="H10" s="19"/>
    </row>
    <row r="11" spans="1:8">
      <c r="A11" s="151" t="s">
        <v>10</v>
      </c>
      <c r="B11" s="151"/>
      <c r="C11" s="33"/>
      <c r="D11" s="19"/>
      <c r="E11" s="19"/>
      <c r="F11" s="19"/>
      <c r="G11" s="19"/>
      <c r="H11" s="19"/>
    </row>
    <row r="12" spans="1:8">
      <c r="A12" s="31" t="s">
        <v>46</v>
      </c>
      <c r="B12" s="35" t="s">
        <v>76</v>
      </c>
      <c r="C12" s="33"/>
      <c r="D12" s="19"/>
      <c r="E12" s="19"/>
      <c r="F12" s="19"/>
      <c r="G12" s="19"/>
      <c r="H12" s="19"/>
    </row>
    <row r="13" spans="1:8">
      <c r="A13" s="34" t="s">
        <v>77</v>
      </c>
      <c r="B13" s="32">
        <v>20</v>
      </c>
      <c r="C13" s="33"/>
      <c r="D13" s="19"/>
      <c r="E13" s="19"/>
      <c r="F13" s="19"/>
      <c r="G13" s="19"/>
      <c r="H13" s="19"/>
    </row>
    <row r="14" spans="1:8">
      <c r="A14" s="34" t="s">
        <v>52</v>
      </c>
      <c r="B14" s="32">
        <v>34</v>
      </c>
      <c r="C14" s="33"/>
      <c r="D14" s="19"/>
      <c r="E14" s="19"/>
      <c r="F14" s="19"/>
      <c r="G14" s="19"/>
      <c r="H14" s="19"/>
    </row>
    <row r="15" spans="1:8">
      <c r="A15" s="34" t="s">
        <v>53</v>
      </c>
      <c r="B15" s="32">
        <v>51</v>
      </c>
      <c r="C15" s="33"/>
      <c r="D15" s="19"/>
      <c r="E15" s="19"/>
      <c r="F15" s="19"/>
      <c r="G15" s="19"/>
      <c r="H15" s="19"/>
    </row>
    <row r="16" spans="1:8">
      <c r="A16" s="34" t="s">
        <v>54</v>
      </c>
      <c r="B16" s="32">
        <v>77</v>
      </c>
      <c r="C16" s="33"/>
      <c r="D16" s="19"/>
      <c r="E16" s="19"/>
      <c r="F16" s="3" t="s">
        <v>18</v>
      </c>
      <c r="G16" s="12">
        <v>2000</v>
      </c>
      <c r="H16" s="19"/>
    </row>
    <row r="17" spans="1:8">
      <c r="A17" s="34" t="s">
        <v>55</v>
      </c>
      <c r="B17" s="32">
        <v>97</v>
      </c>
      <c r="C17" s="33"/>
      <c r="D17" s="19"/>
      <c r="E17" s="19"/>
      <c r="F17" s="3" t="s">
        <v>19</v>
      </c>
      <c r="G17" s="21" t="s">
        <v>41</v>
      </c>
      <c r="H17" s="19"/>
    </row>
    <row r="18" spans="1:8">
      <c r="A18" s="34" t="s">
        <v>56</v>
      </c>
      <c r="B18" s="32">
        <v>117</v>
      </c>
      <c r="C18" s="33"/>
      <c r="D18" s="19"/>
      <c r="E18" s="19"/>
      <c r="H18" s="19"/>
    </row>
    <row r="19" spans="1:8">
      <c r="A19" s="34" t="s">
        <v>57</v>
      </c>
      <c r="B19" s="32">
        <v>157</v>
      </c>
      <c r="C19" s="33"/>
      <c r="D19" s="19"/>
      <c r="E19" s="19"/>
      <c r="F19" s="14"/>
      <c r="G19" s="15"/>
      <c r="H19" s="19"/>
    </row>
    <row r="20" spans="1:8" s="29" customFormat="1">
      <c r="A20" s="53" t="s">
        <v>90</v>
      </c>
      <c r="B20" s="43">
        <v>37</v>
      </c>
      <c r="C20" s="52" t="s">
        <v>78</v>
      </c>
      <c r="D20" s="33"/>
      <c r="E20" s="33"/>
      <c r="F20" s="14"/>
      <c r="G20" s="15"/>
      <c r="H20" s="33"/>
    </row>
    <row r="21" spans="1:8">
      <c r="A21" s="34" t="s">
        <v>58</v>
      </c>
      <c r="B21" s="32">
        <v>47</v>
      </c>
      <c r="C21" s="33"/>
      <c r="D21" s="19"/>
      <c r="E21" s="19"/>
      <c r="F21" s="19"/>
      <c r="G21" s="19"/>
      <c r="H21" s="19"/>
    </row>
    <row r="22" spans="1:8">
      <c r="A22" s="34" t="s">
        <v>59</v>
      </c>
      <c r="B22" s="32">
        <v>68</v>
      </c>
      <c r="C22" s="33"/>
      <c r="D22" s="19"/>
      <c r="E22" s="19"/>
      <c r="F22" s="19"/>
      <c r="G22" s="19"/>
      <c r="H22" s="19"/>
    </row>
    <row r="23" spans="1:8">
      <c r="A23" s="34" t="s">
        <v>60</v>
      </c>
      <c r="B23" s="32">
        <v>34</v>
      </c>
      <c r="C23" s="33"/>
      <c r="D23" s="19"/>
      <c r="E23" s="19"/>
      <c r="F23" s="19"/>
      <c r="G23" s="19"/>
      <c r="H23" s="19"/>
    </row>
    <row r="24" spans="1:8">
      <c r="A24" s="34" t="s">
        <v>28</v>
      </c>
      <c r="B24" s="32">
        <v>34</v>
      </c>
      <c r="C24" s="33"/>
      <c r="D24" s="19"/>
      <c r="E24" s="19"/>
      <c r="F24" s="19"/>
      <c r="G24" s="19"/>
      <c r="H24" s="19"/>
    </row>
    <row r="25" spans="1:8">
      <c r="A25" s="31" t="s">
        <v>61</v>
      </c>
      <c r="B25" s="32"/>
      <c r="C25" s="33"/>
      <c r="D25" s="19"/>
      <c r="E25" s="19"/>
      <c r="F25" s="19"/>
      <c r="G25" s="19"/>
      <c r="H25" s="19"/>
    </row>
    <row r="26" spans="1:8">
      <c r="A26" s="34" t="s">
        <v>62</v>
      </c>
      <c r="B26" s="32">
        <v>29</v>
      </c>
      <c r="C26" s="33"/>
      <c r="D26" s="19"/>
      <c r="E26" s="19"/>
      <c r="F26" s="19"/>
      <c r="G26" s="19"/>
      <c r="H26" s="19"/>
    </row>
    <row r="27" spans="1:8">
      <c r="A27" s="34" t="s">
        <v>63</v>
      </c>
      <c r="B27" s="32">
        <v>175</v>
      </c>
      <c r="C27" s="33"/>
      <c r="D27" s="19"/>
      <c r="E27" s="19"/>
      <c r="F27" s="19"/>
      <c r="G27" s="19"/>
      <c r="H27" s="19"/>
    </row>
    <row r="28" spans="1:8">
      <c r="A28" s="34" t="s">
        <v>64</v>
      </c>
      <c r="B28" s="32">
        <v>250</v>
      </c>
      <c r="C28" s="33"/>
      <c r="D28" s="19"/>
      <c r="E28" s="19"/>
      <c r="F28" s="19"/>
      <c r="G28" s="19"/>
      <c r="H28" s="19"/>
    </row>
    <row r="29" spans="1:8">
      <c r="A29" s="34" t="s">
        <v>65</v>
      </c>
      <c r="B29" s="32">
        <v>324</v>
      </c>
      <c r="C29" s="33"/>
      <c r="D29" s="19"/>
      <c r="E29" s="19"/>
      <c r="F29" s="19"/>
      <c r="G29" s="19"/>
      <c r="H29" s="19"/>
    </row>
    <row r="30" spans="1:8">
      <c r="A30" s="34" t="s">
        <v>66</v>
      </c>
      <c r="B30" s="32">
        <v>473</v>
      </c>
      <c r="C30" s="33"/>
      <c r="D30" s="19"/>
      <c r="E30" s="19"/>
      <c r="F30" s="19"/>
      <c r="G30" s="19"/>
      <c r="H30" s="19"/>
    </row>
    <row r="31" spans="1:8">
      <c r="A31" s="34" t="s">
        <v>67</v>
      </c>
      <c r="B31" s="32">
        <v>613</v>
      </c>
      <c r="C31" s="33"/>
      <c r="D31" s="19"/>
      <c r="E31" s="19"/>
      <c r="F31" s="19"/>
      <c r="G31" s="19"/>
      <c r="H31" s="19"/>
    </row>
    <row r="32" spans="1:8">
      <c r="A32" s="34" t="s">
        <v>68</v>
      </c>
      <c r="B32" s="32">
        <v>840</v>
      </c>
      <c r="C32" s="33"/>
      <c r="D32" s="19"/>
      <c r="E32" s="19"/>
      <c r="F32" s="19"/>
      <c r="G32" s="19"/>
      <c r="H32" s="19"/>
    </row>
    <row r="33" spans="1:8">
      <c r="A33" s="34" t="s">
        <v>69</v>
      </c>
      <c r="B33" s="32">
        <v>980</v>
      </c>
      <c r="C33" s="33"/>
      <c r="D33" s="19"/>
      <c r="E33" s="19"/>
      <c r="F33" s="19"/>
      <c r="G33" s="19"/>
      <c r="H33" s="19"/>
    </row>
    <row r="34" spans="1:8">
      <c r="A34" s="34" t="s">
        <v>81</v>
      </c>
      <c r="B34" s="32">
        <v>482</v>
      </c>
      <c r="C34" s="33" t="s">
        <v>78</v>
      </c>
      <c r="D34" s="19"/>
      <c r="E34" s="19"/>
      <c r="F34" s="19"/>
      <c r="G34" s="19"/>
      <c r="H34" s="19"/>
    </row>
    <row r="35" spans="1:8">
      <c r="A35" s="34" t="s">
        <v>82</v>
      </c>
      <c r="B35" s="32">
        <v>689</v>
      </c>
      <c r="C35" s="33" t="s">
        <v>78</v>
      </c>
      <c r="D35" s="19"/>
      <c r="E35" s="19"/>
      <c r="F35" s="19"/>
      <c r="G35" s="19"/>
      <c r="H35" s="19"/>
    </row>
    <row r="36" spans="1:8" s="29" customFormat="1">
      <c r="A36" s="34" t="s">
        <v>71</v>
      </c>
      <c r="B36" s="32">
        <v>892</v>
      </c>
      <c r="C36" s="33" t="s">
        <v>78</v>
      </c>
      <c r="D36" s="30"/>
      <c r="E36" s="30"/>
      <c r="F36" s="30"/>
      <c r="G36" s="30"/>
      <c r="H36" s="30"/>
    </row>
    <row r="37" spans="1:8" s="29" customFormat="1">
      <c r="A37" s="34" t="s">
        <v>70</v>
      </c>
      <c r="B37" s="32">
        <v>1301</v>
      </c>
      <c r="C37" s="33"/>
      <c r="D37" s="30"/>
      <c r="E37" s="30"/>
      <c r="F37" s="30"/>
      <c r="G37" s="30"/>
      <c r="H37" s="30"/>
    </row>
    <row r="38" spans="1:8" s="29" customFormat="1">
      <c r="A38" s="34" t="s">
        <v>72</v>
      </c>
      <c r="B38" s="32">
        <v>1686</v>
      </c>
      <c r="C38" s="33"/>
      <c r="D38" s="30"/>
      <c r="E38" s="30"/>
      <c r="F38" s="30"/>
      <c r="G38" s="30"/>
      <c r="H38" s="30"/>
    </row>
    <row r="39" spans="1:8" s="29" customFormat="1">
      <c r="A39" s="34" t="s">
        <v>73</v>
      </c>
      <c r="B39" s="32">
        <v>2046</v>
      </c>
      <c r="C39" s="33"/>
      <c r="D39" s="30"/>
      <c r="E39" s="30"/>
      <c r="F39" s="30"/>
      <c r="G39" s="30"/>
      <c r="H39" s="30"/>
    </row>
    <row r="40" spans="1:8" s="29" customFormat="1">
      <c r="A40" s="34" t="s">
        <v>74</v>
      </c>
      <c r="B40" s="32">
        <v>2310</v>
      </c>
      <c r="C40" s="33"/>
      <c r="D40" s="30"/>
      <c r="E40" s="30"/>
      <c r="F40" s="30"/>
      <c r="G40" s="30"/>
      <c r="H40" s="30"/>
    </row>
    <row r="41" spans="1:8" s="29" customFormat="1">
      <c r="A41" s="34" t="s">
        <v>83</v>
      </c>
      <c r="B41" s="32">
        <v>2800</v>
      </c>
      <c r="C41" s="33" t="s">
        <v>78</v>
      </c>
      <c r="D41" s="30"/>
      <c r="E41" s="30"/>
      <c r="F41" s="30"/>
      <c r="G41" s="30"/>
      <c r="H41" s="30"/>
    </row>
    <row r="42" spans="1:8" s="29" customFormat="1">
      <c r="A42" s="34" t="s">
        <v>75</v>
      </c>
      <c r="B42" s="32">
        <v>125</v>
      </c>
      <c r="C42" s="33"/>
      <c r="D42" s="30"/>
      <c r="E42" s="30"/>
      <c r="F42" s="30"/>
      <c r="G42" s="30"/>
      <c r="H42" s="30"/>
    </row>
    <row r="43" spans="1:8">
      <c r="B43" s="153" t="s">
        <v>84</v>
      </c>
      <c r="C43" s="153"/>
    </row>
    <row r="46" spans="1:8">
      <c r="A46" s="28" t="s">
        <v>85</v>
      </c>
      <c r="B46" s="26" t="s">
        <v>5</v>
      </c>
      <c r="C46" s="26" t="s">
        <v>6</v>
      </c>
      <c r="F46" s="152" t="s">
        <v>24</v>
      </c>
      <c r="G46" s="152"/>
    </row>
    <row r="47" spans="1:8">
      <c r="A47" s="22" t="s">
        <v>7</v>
      </c>
      <c r="B47" s="6">
        <v>143</v>
      </c>
      <c r="C47" s="4">
        <f>B47/2000</f>
        <v>7.1499999999999994E-2</v>
      </c>
      <c r="F47" s="3" t="s">
        <v>25</v>
      </c>
      <c r="G47" s="8">
        <v>1.7500000000000002E-2</v>
      </c>
    </row>
    <row r="48" spans="1:8">
      <c r="A48" s="22" t="s">
        <v>8</v>
      </c>
      <c r="B48" s="6">
        <v>158</v>
      </c>
      <c r="C48" s="7">
        <f>B48/2000</f>
        <v>7.9000000000000001E-2</v>
      </c>
      <c r="F48" s="3" t="s">
        <v>26</v>
      </c>
      <c r="G48" s="9">
        <f>0.0051</f>
        <v>5.1000000000000004E-3</v>
      </c>
    </row>
    <row r="49" spans="1:7">
      <c r="A49" s="20" t="s">
        <v>9</v>
      </c>
      <c r="B49" s="5">
        <f>B48-B47</f>
        <v>15</v>
      </c>
      <c r="C49" s="11">
        <f>C48-C47</f>
        <v>7.5000000000000067E-3</v>
      </c>
      <c r="F49" s="3" t="s">
        <v>45</v>
      </c>
      <c r="G49" s="10">
        <v>6.1000000000000004E-3</v>
      </c>
    </row>
    <row r="50" spans="1:7">
      <c r="F50" s="3" t="s">
        <v>15</v>
      </c>
      <c r="G50" s="23">
        <f>SUM(G47:G49)</f>
        <v>2.8700000000000003E-2</v>
      </c>
    </row>
    <row r="51" spans="1:7">
      <c r="B51" s="27" t="s">
        <v>86</v>
      </c>
    </row>
    <row r="52" spans="1:7">
      <c r="A52" s="3" t="s">
        <v>144</v>
      </c>
      <c r="B52" s="24">
        <f>B49</f>
        <v>15</v>
      </c>
      <c r="F52" s="3" t="s">
        <v>27</v>
      </c>
      <c r="G52" s="25">
        <f>1-G50</f>
        <v>0.97130000000000005</v>
      </c>
    </row>
    <row r="53" spans="1:7">
      <c r="A53" s="3" t="s">
        <v>145</v>
      </c>
      <c r="B53" s="24">
        <f>B52/$G$52</f>
        <v>15.443220426232882</v>
      </c>
    </row>
    <row r="54" spans="1:7">
      <c r="A54" s="3" t="s">
        <v>23</v>
      </c>
      <c r="B54" s="13">
        <f>'Calc. per Staff format'!D68</f>
        <v>5699</v>
      </c>
    </row>
    <row r="55" spans="1:7" ht="16">
      <c r="A55" s="2" t="s">
        <v>146</v>
      </c>
      <c r="B55" s="135">
        <f>B53*B54</f>
        <v>88010.9132091012</v>
      </c>
    </row>
    <row r="57" spans="1:7">
      <c r="A57" s="133" t="s">
        <v>143</v>
      </c>
    </row>
    <row r="58" spans="1:7" ht="16">
      <c r="A58" s="29" t="s">
        <v>23</v>
      </c>
      <c r="B58" s="134">
        <f>+'Calc. per Staff format'!D79</f>
        <v>2561</v>
      </c>
    </row>
    <row r="59" spans="1:7" ht="16">
      <c r="A59" s="31" t="s">
        <v>146</v>
      </c>
      <c r="B59" s="135">
        <f>+B58*B49</f>
        <v>38415</v>
      </c>
    </row>
    <row r="61" spans="1:7" ht="16">
      <c r="B61" s="136">
        <f>+B59+B55</f>
        <v>126425.9132091012</v>
      </c>
    </row>
  </sheetData>
  <mergeCells count="4">
    <mergeCell ref="A1:H1"/>
    <mergeCell ref="F46:G46"/>
    <mergeCell ref="A11:B11"/>
    <mergeCell ref="B43:C43"/>
  </mergeCells>
  <pageMargins left="0.28000000000000003" right="0.52" top="0.75" bottom="0.75" header="0.3" footer="0.3"/>
  <pageSetup scale="72" orientation="portrait" r:id="rId1"/>
  <headerFooter>
    <oddHeader>&amp;C&amp;"-,Bold"&amp;12Murrey's Disposal Co, Inc&amp;"-,Regular"
Disposal Fee Reference</oddHeader>
    <oddFooter>&amp;L&amp;8&amp;F - &amp;A&amp;C&amp;D&amp;R&amp;P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Y83"/>
  <sheetViews>
    <sheetView tabSelected="1" zoomScale="80" zoomScaleNormal="80" workbookViewId="0">
      <pane xSplit="3" ySplit="2" topLeftCell="J3" activePane="bottomRight" state="frozen"/>
      <selection pane="topRight" activeCell="D1" sqref="D1"/>
      <selection pane="bottomLeft" activeCell="A6" sqref="A6"/>
      <selection pane="bottomRight" activeCell="O105" sqref="O105"/>
    </sheetView>
  </sheetViews>
  <sheetFormatPr defaultColWidth="8.81640625" defaultRowHeight="14.5"/>
  <cols>
    <col min="1" max="1" width="4.54296875" style="68" customWidth="1"/>
    <col min="2" max="2" width="10.81640625" style="71" bestFit="1" customWidth="1"/>
    <col min="3" max="3" width="35.54296875" style="68" bestFit="1" customWidth="1"/>
    <col min="4" max="4" width="18.7265625" style="69" bestFit="1" customWidth="1"/>
    <col min="5" max="5" width="10.26953125" style="68" bestFit="1" customWidth="1"/>
    <col min="6" max="6" width="12.26953125" style="68" bestFit="1" customWidth="1"/>
    <col min="7" max="7" width="15.1796875" style="68" customWidth="1"/>
    <col min="8" max="8" width="16.81640625" style="68" customWidth="1"/>
    <col min="9" max="9" width="16.26953125" style="67" customWidth="1"/>
    <col min="10" max="10" width="9.54296875" style="36" bestFit="1" customWidth="1"/>
    <col min="11" max="11" width="9.81640625" style="36" bestFit="1" customWidth="1"/>
    <col min="12" max="12" width="16.54296875" style="68" customWidth="1"/>
    <col min="13" max="13" width="10.7265625" style="68" customWidth="1"/>
    <col min="14" max="14" width="15.1796875" style="68" bestFit="1" customWidth="1"/>
    <col min="15" max="15" width="17.1796875" style="36" bestFit="1" customWidth="1"/>
    <col min="16" max="16" width="18.453125" style="68" customWidth="1"/>
    <col min="17" max="17" width="19.26953125" style="36" bestFit="1" customWidth="1"/>
    <col min="18" max="18" width="10.26953125" style="68" customWidth="1"/>
    <col min="19" max="19" width="4.7265625" style="68" customWidth="1"/>
    <col min="20" max="20" width="15.54296875" style="68" customWidth="1"/>
    <col min="21" max="21" width="9.7265625" style="68" customWidth="1"/>
    <col min="22" max="22" width="10.7265625" style="93" bestFit="1" customWidth="1"/>
    <col min="23" max="24" width="8.81640625" style="68"/>
    <col min="25" max="25" width="9.54296875" style="68" bestFit="1" customWidth="1"/>
    <col min="26" max="16384" width="8.81640625" style="68"/>
  </cols>
  <sheetData>
    <row r="2" spans="1:22" ht="43.5">
      <c r="A2" s="57"/>
      <c r="B2" s="85" t="s">
        <v>14</v>
      </c>
      <c r="C2" s="86" t="s">
        <v>16</v>
      </c>
      <c r="D2" s="85" t="s">
        <v>36</v>
      </c>
      <c r="E2" s="85" t="s">
        <v>0</v>
      </c>
      <c r="F2" s="57" t="s">
        <v>1</v>
      </c>
      <c r="G2" s="85" t="s">
        <v>10</v>
      </c>
      <c r="H2" s="144" t="s">
        <v>31</v>
      </c>
      <c r="I2" s="145" t="s">
        <v>32</v>
      </c>
      <c r="J2" s="146" t="s">
        <v>9</v>
      </c>
      <c r="K2" s="125" t="s">
        <v>2</v>
      </c>
      <c r="L2" s="144" t="s">
        <v>34</v>
      </c>
      <c r="M2" s="140" t="s">
        <v>147</v>
      </c>
      <c r="N2" s="140" t="s">
        <v>148</v>
      </c>
      <c r="O2" s="125" t="s">
        <v>35</v>
      </c>
      <c r="P2" s="144" t="s">
        <v>33</v>
      </c>
      <c r="Q2" s="125" t="s">
        <v>37</v>
      </c>
      <c r="T2" s="159" t="s">
        <v>152</v>
      </c>
      <c r="U2" s="159"/>
      <c r="V2" s="159"/>
    </row>
    <row r="3" spans="1:22" s="70" customFormat="1">
      <c r="A3" s="155" t="s">
        <v>12</v>
      </c>
      <c r="B3" s="59">
        <v>21</v>
      </c>
      <c r="C3" s="102" t="s">
        <v>93</v>
      </c>
      <c r="D3" s="104">
        <v>19</v>
      </c>
      <c r="E3" s="80">
        <f>References!B9</f>
        <v>1</v>
      </c>
      <c r="F3" s="78">
        <f>D3*E3*12</f>
        <v>228</v>
      </c>
      <c r="G3" s="107">
        <f>References!B14</f>
        <v>34</v>
      </c>
      <c r="H3" s="78">
        <f>F3*G3</f>
        <v>7752</v>
      </c>
      <c r="I3" s="54">
        <f t="shared" ref="I3:I19" si="0">$D$71*H3</f>
        <v>7054.1109017451072</v>
      </c>
      <c r="J3" s="122">
        <f>(References!$C$49*I3)</f>
        <v>52.905831763088351</v>
      </c>
      <c r="K3" s="122">
        <f>J3/References!$G$52</f>
        <v>54.469094783371098</v>
      </c>
      <c r="L3" s="147">
        <v>7.58</v>
      </c>
      <c r="M3" s="77">
        <f>K3/F3</f>
        <v>0.23889953852355744</v>
      </c>
      <c r="N3" s="139">
        <f t="shared" ref="N3:N19" si="1">ROUND(M3+L3,2)</f>
        <v>7.82</v>
      </c>
      <c r="O3" s="122">
        <f t="shared" ref="O3:O19" si="2">+D3*L3*12</f>
        <v>1728.2400000000002</v>
      </c>
      <c r="P3" s="122">
        <f>+N3*D3*12</f>
        <v>1782.96</v>
      </c>
      <c r="Q3" s="122">
        <f>P3-O3</f>
        <v>54.7199999999998</v>
      </c>
      <c r="R3" s="129">
        <f>+N3/L3-1</f>
        <v>3.1662269129287601E-2</v>
      </c>
      <c r="T3" s="143" t="s">
        <v>154</v>
      </c>
      <c r="U3" s="143" t="s">
        <v>153</v>
      </c>
      <c r="V3" s="148"/>
    </row>
    <row r="4" spans="1:22" s="70" customFormat="1">
      <c r="A4" s="156"/>
      <c r="B4" s="55">
        <v>21</v>
      </c>
      <c r="C4" s="120" t="s">
        <v>155</v>
      </c>
      <c r="D4" s="104">
        <v>1</v>
      </c>
      <c r="E4" s="79">
        <v>1</v>
      </c>
      <c r="F4" s="78">
        <f>D4*E4*12</f>
        <v>12</v>
      </c>
      <c r="G4" s="114">
        <f>References!B15</f>
        <v>51</v>
      </c>
      <c r="H4" s="78">
        <f>F4*G4</f>
        <v>612</v>
      </c>
      <c r="I4" s="54">
        <f t="shared" si="0"/>
        <v>556.90349224303475</v>
      </c>
      <c r="J4" s="122">
        <f>(References!$C$49*I4)</f>
        <v>4.1767761918227642</v>
      </c>
      <c r="K4" s="122">
        <f>J4/References!$G$52</f>
        <v>4.3001916934240336</v>
      </c>
      <c r="L4" s="109">
        <v>8.93</v>
      </c>
      <c r="M4" s="77">
        <f>K4/F4</f>
        <v>0.35834930778533614</v>
      </c>
      <c r="N4" s="139">
        <f t="shared" ref="N4" si="3">ROUND(M4+L4,2)</f>
        <v>9.2899999999999991</v>
      </c>
      <c r="O4" s="122">
        <f t="shared" ref="O4" si="4">+D4*L4*12</f>
        <v>107.16</v>
      </c>
      <c r="P4" s="122">
        <f>+N4*D4*12</f>
        <v>111.47999999999999</v>
      </c>
      <c r="Q4" s="122">
        <f>P4-O4</f>
        <v>4.3199999999999932</v>
      </c>
      <c r="R4" s="129">
        <f>+N4/L4-1</f>
        <v>4.031354983202684E-2</v>
      </c>
      <c r="T4" s="143"/>
      <c r="U4" s="143"/>
      <c r="V4" s="148"/>
    </row>
    <row r="5" spans="1:22" s="70" customFormat="1">
      <c r="A5" s="156"/>
      <c r="B5" s="55">
        <v>21</v>
      </c>
      <c r="C5" s="102" t="s">
        <v>94</v>
      </c>
      <c r="D5" s="104">
        <v>17</v>
      </c>
      <c r="E5" s="79">
        <f>References!B7</f>
        <v>4.333333333333333</v>
      </c>
      <c r="F5" s="78">
        <f>D5*E5*12</f>
        <v>883.99999999999989</v>
      </c>
      <c r="G5" s="108">
        <f>References!B13</f>
        <v>20</v>
      </c>
      <c r="H5" s="78">
        <f>F5*G5</f>
        <v>17679.999999999996</v>
      </c>
      <c r="I5" s="54">
        <f t="shared" si="0"/>
        <v>16088.323109243223</v>
      </c>
      <c r="J5" s="122">
        <f>(References!$C$49*I5)</f>
        <v>120.66242331932428</v>
      </c>
      <c r="K5" s="122">
        <f>J5/References!$G$52</f>
        <v>124.22776003224983</v>
      </c>
      <c r="L5" s="109">
        <v>13.25</v>
      </c>
      <c r="M5" s="77">
        <f>K5/F5*E5</f>
        <v>0.60895960800122473</v>
      </c>
      <c r="N5" s="139">
        <f t="shared" si="1"/>
        <v>13.86</v>
      </c>
      <c r="O5" s="122">
        <f t="shared" si="2"/>
        <v>2703</v>
      </c>
      <c r="P5" s="122">
        <f t="shared" ref="P5:P19" si="5">+N5*D5*12</f>
        <v>2827.44</v>
      </c>
      <c r="Q5" s="122">
        <f>P5-O5</f>
        <v>124.44000000000005</v>
      </c>
      <c r="R5" s="129">
        <f t="shared" ref="R5:R59" si="6">+N5/L5-1</f>
        <v>4.603773584905646E-2</v>
      </c>
      <c r="V5" s="77"/>
    </row>
    <row r="6" spans="1:22" s="70" customFormat="1">
      <c r="A6" s="156"/>
      <c r="B6" s="55">
        <v>21</v>
      </c>
      <c r="C6" s="102" t="s">
        <v>95</v>
      </c>
      <c r="D6" s="104">
        <v>55</v>
      </c>
      <c r="E6" s="79">
        <f>References!B7</f>
        <v>4.333333333333333</v>
      </c>
      <c r="F6" s="78">
        <f t="shared" ref="F6:F19" si="7">D6*E6*12</f>
        <v>2860</v>
      </c>
      <c r="G6" s="108">
        <f>References!B13</f>
        <v>20</v>
      </c>
      <c r="H6" s="78">
        <f>F6*G6</f>
        <v>57200</v>
      </c>
      <c r="I6" s="54">
        <f t="shared" si="0"/>
        <v>52050.45711813985</v>
      </c>
      <c r="J6" s="122">
        <f>(References!$C$49*I6)</f>
        <v>390.37842838604922</v>
      </c>
      <c r="K6" s="122">
        <f>J6/References!$G$52</f>
        <v>401.91334128080842</v>
      </c>
      <c r="L6" s="109">
        <v>14.5</v>
      </c>
      <c r="M6" s="77">
        <f t="shared" ref="M6:M19" si="8">K6/F6*E6</f>
        <v>0.60895960800122484</v>
      </c>
      <c r="N6" s="139">
        <f t="shared" si="1"/>
        <v>15.11</v>
      </c>
      <c r="O6" s="122">
        <f t="shared" si="2"/>
        <v>9570</v>
      </c>
      <c r="P6" s="122">
        <f t="shared" si="5"/>
        <v>9972.5999999999985</v>
      </c>
      <c r="Q6" s="122">
        <f>P6-O6</f>
        <v>402.59999999999854</v>
      </c>
      <c r="R6" s="129">
        <f t="shared" si="6"/>
        <v>4.2068965517241264E-2</v>
      </c>
      <c r="T6" s="138">
        <f>ROUND(+U6*R6+U6,2)</f>
        <v>9.1</v>
      </c>
      <c r="U6" s="77">
        <v>8.73</v>
      </c>
      <c r="V6" s="77">
        <f>+T6/U6-1</f>
        <v>4.2382588774341201E-2</v>
      </c>
    </row>
    <row r="7" spans="1:22" s="70" customFormat="1">
      <c r="A7" s="156"/>
      <c r="B7" s="55">
        <v>21</v>
      </c>
      <c r="C7" s="102" t="s">
        <v>96</v>
      </c>
      <c r="D7" s="104">
        <v>791</v>
      </c>
      <c r="E7" s="79">
        <f>References!B7</f>
        <v>4.333333333333333</v>
      </c>
      <c r="F7" s="78">
        <f t="shared" si="7"/>
        <v>41132</v>
      </c>
      <c r="G7" s="110">
        <f>References!B14</f>
        <v>34</v>
      </c>
      <c r="H7" s="78">
        <f t="shared" ref="H7:H19" si="9">F7*G7</f>
        <v>1398488</v>
      </c>
      <c r="I7" s="54">
        <f t="shared" si="0"/>
        <v>1272586.3579411393</v>
      </c>
      <c r="J7" s="122">
        <f>(References!$C$49*I7)</f>
        <v>9544.397684558553</v>
      </c>
      <c r="K7" s="122">
        <f>J7/References!$G$52</f>
        <v>9826.4158185509659</v>
      </c>
      <c r="L7" s="109">
        <v>16.420000000000002</v>
      </c>
      <c r="M7" s="77">
        <f>K7/F7*E7</f>
        <v>1.0352313336020822</v>
      </c>
      <c r="N7" s="139">
        <f t="shared" si="1"/>
        <v>17.46</v>
      </c>
      <c r="O7" s="122">
        <f t="shared" si="2"/>
        <v>155858.64000000001</v>
      </c>
      <c r="P7" s="122">
        <f t="shared" si="5"/>
        <v>165730.32</v>
      </c>
      <c r="Q7" s="122">
        <f t="shared" ref="Q7:Q19" si="10">P7-O7</f>
        <v>9871.679999999993</v>
      </c>
      <c r="R7" s="129">
        <f t="shared" si="6"/>
        <v>6.3337393422655319E-2</v>
      </c>
      <c r="V7" s="77"/>
    </row>
    <row r="8" spans="1:22" s="70" customFormat="1">
      <c r="A8" s="156"/>
      <c r="B8" s="55">
        <v>21</v>
      </c>
      <c r="C8" s="102" t="s">
        <v>97</v>
      </c>
      <c r="D8" s="104">
        <v>308</v>
      </c>
      <c r="E8" s="79">
        <f>References!B7</f>
        <v>4.333333333333333</v>
      </c>
      <c r="F8" s="78">
        <f t="shared" si="7"/>
        <v>16015.999999999998</v>
      </c>
      <c r="G8" s="107">
        <f>References!B15</f>
        <v>51</v>
      </c>
      <c r="H8" s="78">
        <f t="shared" si="9"/>
        <v>816815.99999999988</v>
      </c>
      <c r="I8" s="54">
        <f t="shared" si="0"/>
        <v>743280.52764703694</v>
      </c>
      <c r="J8" s="122">
        <f>(References!$C$49*I8)</f>
        <v>5574.6039573527823</v>
      </c>
      <c r="K8" s="122">
        <f>J8/References!$G$52</f>
        <v>5739.322513489943</v>
      </c>
      <c r="L8" s="109">
        <v>25.02</v>
      </c>
      <c r="M8" s="77">
        <f t="shared" si="8"/>
        <v>1.5528470004031232</v>
      </c>
      <c r="N8" s="139">
        <f t="shared" si="1"/>
        <v>26.57</v>
      </c>
      <c r="O8" s="122">
        <f t="shared" si="2"/>
        <v>92473.919999999998</v>
      </c>
      <c r="P8" s="122">
        <f t="shared" si="5"/>
        <v>98202.72</v>
      </c>
      <c r="Q8" s="122">
        <f t="shared" si="10"/>
        <v>5728.8000000000029</v>
      </c>
      <c r="R8" s="129">
        <f t="shared" si="6"/>
        <v>6.1950439648281508E-2</v>
      </c>
      <c r="V8" s="77"/>
    </row>
    <row r="9" spans="1:22" s="70" customFormat="1">
      <c r="A9" s="156"/>
      <c r="B9" s="55">
        <v>21</v>
      </c>
      <c r="C9" s="102" t="s">
        <v>98</v>
      </c>
      <c r="D9" s="104">
        <v>22</v>
      </c>
      <c r="E9" s="79">
        <f>References!B7</f>
        <v>4.333333333333333</v>
      </c>
      <c r="F9" s="78">
        <f t="shared" si="7"/>
        <v>1144</v>
      </c>
      <c r="G9" s="114">
        <f>References!B16</f>
        <v>77</v>
      </c>
      <c r="H9" s="78">
        <f t="shared" si="9"/>
        <v>88088</v>
      </c>
      <c r="I9" s="54">
        <f t="shared" si="0"/>
        <v>80157.703961935375</v>
      </c>
      <c r="J9" s="122">
        <f>(References!$C$49*I9)</f>
        <v>601.18277971451585</v>
      </c>
      <c r="K9" s="122">
        <f>J9/References!$G$52</f>
        <v>618.94654557244496</v>
      </c>
      <c r="L9" s="109">
        <v>34.47</v>
      </c>
      <c r="M9" s="77">
        <f t="shared" si="8"/>
        <v>2.3444944908047156</v>
      </c>
      <c r="N9" s="139">
        <f t="shared" si="1"/>
        <v>36.81</v>
      </c>
      <c r="O9" s="122">
        <f t="shared" si="2"/>
        <v>9100.0799999999981</v>
      </c>
      <c r="P9" s="122">
        <f t="shared" si="5"/>
        <v>9717.84</v>
      </c>
      <c r="Q9" s="122">
        <f t="shared" si="10"/>
        <v>617.76000000000204</v>
      </c>
      <c r="R9" s="129">
        <f t="shared" si="6"/>
        <v>6.7885117493472702E-2</v>
      </c>
      <c r="V9" s="77"/>
    </row>
    <row r="10" spans="1:22" s="70" customFormat="1">
      <c r="A10" s="156"/>
      <c r="B10" s="55">
        <v>21</v>
      </c>
      <c r="C10" s="102" t="s">
        <v>99</v>
      </c>
      <c r="D10" s="104">
        <v>8</v>
      </c>
      <c r="E10" s="79">
        <f>References!$B$7</f>
        <v>4.333333333333333</v>
      </c>
      <c r="F10" s="78">
        <f t="shared" si="7"/>
        <v>416</v>
      </c>
      <c r="G10" s="114">
        <f>References!B17</f>
        <v>97</v>
      </c>
      <c r="H10" s="78">
        <f t="shared" si="9"/>
        <v>40352</v>
      </c>
      <c r="I10" s="54">
        <f t="shared" si="0"/>
        <v>36719.231566978662</v>
      </c>
      <c r="J10" s="122">
        <f>(References!$C$49*I10)</f>
        <v>275.39423675234019</v>
      </c>
      <c r="K10" s="122">
        <f>J10/References!$G$52</f>
        <v>283.53159348537031</v>
      </c>
      <c r="L10" s="109">
        <v>43.34</v>
      </c>
      <c r="M10" s="77">
        <f t="shared" si="8"/>
        <v>2.9534540988059406</v>
      </c>
      <c r="N10" s="139">
        <f t="shared" si="1"/>
        <v>46.29</v>
      </c>
      <c r="O10" s="122">
        <f t="shared" si="2"/>
        <v>4160.6400000000003</v>
      </c>
      <c r="P10" s="122">
        <f t="shared" si="5"/>
        <v>4443.84</v>
      </c>
      <c r="Q10" s="122">
        <f t="shared" si="10"/>
        <v>283.19999999999982</v>
      </c>
      <c r="R10" s="129">
        <f t="shared" si="6"/>
        <v>6.8066451315182075E-2</v>
      </c>
      <c r="V10" s="77"/>
    </row>
    <row r="11" spans="1:22" s="70" customFormat="1">
      <c r="A11" s="156"/>
      <c r="B11" s="55">
        <v>21</v>
      </c>
      <c r="C11" s="120" t="s">
        <v>151</v>
      </c>
      <c r="D11" s="104">
        <v>1</v>
      </c>
      <c r="E11" s="79">
        <f>+E10</f>
        <v>4.333333333333333</v>
      </c>
      <c r="F11" s="78">
        <f t="shared" ref="F11" si="11">D11*E11*12</f>
        <v>52</v>
      </c>
      <c r="G11" s="114">
        <f>References!B18</f>
        <v>117</v>
      </c>
      <c r="H11" s="78">
        <f t="shared" ref="H11" si="12">F11*G11</f>
        <v>6084</v>
      </c>
      <c r="I11" s="54">
        <f t="shared" si="0"/>
        <v>5536.2758934748754</v>
      </c>
      <c r="J11" s="122">
        <f>(References!$C$49*I11)</f>
        <v>41.522069201061605</v>
      </c>
      <c r="K11" s="122">
        <f>J11/References!$G$52</f>
        <v>42.748964481685988</v>
      </c>
      <c r="L11" s="109">
        <v>52.17</v>
      </c>
      <c r="M11" s="77">
        <f t="shared" ref="M11" si="13">K11/F11*E11</f>
        <v>3.5624137068071651</v>
      </c>
      <c r="N11" s="139">
        <f t="shared" ref="N11" si="14">ROUND(M11+L11,2)</f>
        <v>55.73</v>
      </c>
      <c r="O11" s="122">
        <f t="shared" ref="O11" si="15">+D11*L11*12</f>
        <v>626.04</v>
      </c>
      <c r="P11" s="122">
        <f t="shared" ref="P11" si="16">+N11*D11*12</f>
        <v>668.76</v>
      </c>
      <c r="Q11" s="122">
        <f t="shared" ref="Q11" si="17">P11-O11</f>
        <v>42.720000000000027</v>
      </c>
      <c r="R11" s="129">
        <f t="shared" ref="R11" si="18">+N11/L11-1</f>
        <v>6.8238451217174534E-2</v>
      </c>
      <c r="V11" s="77"/>
    </row>
    <row r="12" spans="1:22" s="70" customFormat="1">
      <c r="A12" s="156"/>
      <c r="B12" s="55">
        <v>21</v>
      </c>
      <c r="C12" s="102" t="s">
        <v>100</v>
      </c>
      <c r="D12" s="104">
        <v>602</v>
      </c>
      <c r="E12" s="79">
        <f>References!$B$7</f>
        <v>4.333333333333333</v>
      </c>
      <c r="F12" s="78">
        <f t="shared" si="7"/>
        <v>31304</v>
      </c>
      <c r="G12" s="107">
        <f>References!B20</f>
        <v>37</v>
      </c>
      <c r="H12" s="78">
        <f t="shared" si="9"/>
        <v>1158248</v>
      </c>
      <c r="I12" s="54">
        <f t="shared" si="0"/>
        <v>1053974.4380449518</v>
      </c>
      <c r="J12" s="122">
        <f>(References!$C$49*I12)</f>
        <v>7904.8082853371452</v>
      </c>
      <c r="K12" s="122">
        <f>J12/References!$G$52</f>
        <v>8138.379785171569</v>
      </c>
      <c r="L12" s="109">
        <v>18.12</v>
      </c>
      <c r="M12" s="77">
        <f t="shared" si="8"/>
        <v>1.1265752748022657</v>
      </c>
      <c r="N12" s="139">
        <f t="shared" si="1"/>
        <v>19.25</v>
      </c>
      <c r="O12" s="122">
        <f t="shared" si="2"/>
        <v>130898.88</v>
      </c>
      <c r="P12" s="122">
        <f t="shared" si="5"/>
        <v>139062</v>
      </c>
      <c r="Q12" s="122">
        <f t="shared" si="10"/>
        <v>8163.1199999999953</v>
      </c>
      <c r="R12" s="129">
        <f t="shared" si="6"/>
        <v>6.2362030905077193E-2</v>
      </c>
      <c r="V12" s="77"/>
    </row>
    <row r="13" spans="1:22" s="70" customFormat="1">
      <c r="A13" s="156"/>
      <c r="B13" s="55">
        <v>21</v>
      </c>
      <c r="C13" s="102" t="s">
        <v>101</v>
      </c>
      <c r="D13" s="104">
        <v>2</v>
      </c>
      <c r="E13" s="115">
        <f>References!B6</f>
        <v>8.6666666666666661</v>
      </c>
      <c r="F13" s="78">
        <f>D13*E13*12</f>
        <v>208</v>
      </c>
      <c r="G13" s="107">
        <f>References!B20</f>
        <v>37</v>
      </c>
      <c r="H13" s="98">
        <f>F13*G13</f>
        <v>7696</v>
      </c>
      <c r="I13" s="54">
        <f t="shared" si="0"/>
        <v>7003.1524122588162</v>
      </c>
      <c r="J13" s="122">
        <f>(References!$C$49*I13)</f>
        <v>52.523643091941167</v>
      </c>
      <c r="K13" s="122">
        <f>J13/References!$G$52</f>
        <v>54.075613190508768</v>
      </c>
      <c r="L13" s="109">
        <v>29.856846851383903</v>
      </c>
      <c r="M13" s="77">
        <f t="shared" si="8"/>
        <v>2.2531505496045314</v>
      </c>
      <c r="N13" s="139">
        <f>+N12+T13</f>
        <v>31.243975903614459</v>
      </c>
      <c r="O13" s="122">
        <f t="shared" si="2"/>
        <v>716.56432443321364</v>
      </c>
      <c r="P13" s="122">
        <f t="shared" si="5"/>
        <v>749.85542168674704</v>
      </c>
      <c r="Q13" s="122">
        <f t="shared" si="10"/>
        <v>33.291097253533394</v>
      </c>
      <c r="R13" s="129">
        <f t="shared" si="6"/>
        <v>4.6459328379020004E-2</v>
      </c>
      <c r="T13" s="138">
        <f>+U13*R12+U13</f>
        <v>11.993975903614459</v>
      </c>
      <c r="U13" s="77">
        <v>11.289913941480208</v>
      </c>
      <c r="V13" s="77">
        <f>+T13/U13-1</f>
        <v>6.2362030905077193E-2</v>
      </c>
    </row>
    <row r="14" spans="1:22" s="70" customFormat="1">
      <c r="A14" s="156"/>
      <c r="B14" s="55">
        <v>21</v>
      </c>
      <c r="C14" s="102" t="s">
        <v>102</v>
      </c>
      <c r="D14" s="104">
        <v>759</v>
      </c>
      <c r="E14" s="79">
        <f>References!$B$7</f>
        <v>4.333333333333333</v>
      </c>
      <c r="F14" s="78">
        <f t="shared" si="7"/>
        <v>39468</v>
      </c>
      <c r="G14" s="107">
        <f>References!B21</f>
        <v>47</v>
      </c>
      <c r="H14" s="78">
        <f t="shared" si="9"/>
        <v>1854996</v>
      </c>
      <c r="I14" s="54">
        <f t="shared" si="0"/>
        <v>1687996.3243412755</v>
      </c>
      <c r="J14" s="122">
        <f>(References!$C$49*I14)</f>
        <v>12659.972432559578</v>
      </c>
      <c r="K14" s="122">
        <f>J14/References!$G$52</f>
        <v>13034.049657736618</v>
      </c>
      <c r="L14" s="109">
        <v>26.04</v>
      </c>
      <c r="M14" s="77">
        <f t="shared" si="8"/>
        <v>1.4310550788028784</v>
      </c>
      <c r="N14" s="139">
        <f t="shared" si="1"/>
        <v>27.47</v>
      </c>
      <c r="O14" s="122">
        <f t="shared" si="2"/>
        <v>237172.32</v>
      </c>
      <c r="P14" s="122">
        <f t="shared" si="5"/>
        <v>250196.76</v>
      </c>
      <c r="Q14" s="122">
        <f t="shared" si="10"/>
        <v>13024.440000000002</v>
      </c>
      <c r="R14" s="129">
        <f t="shared" si="6"/>
        <v>5.4915514592933867E-2</v>
      </c>
      <c r="U14" s="77"/>
      <c r="V14" s="77"/>
    </row>
    <row r="15" spans="1:22" s="70" customFormat="1">
      <c r="A15" s="156"/>
      <c r="B15" s="55">
        <v>21</v>
      </c>
      <c r="C15" s="102" t="s">
        <v>103</v>
      </c>
      <c r="D15" s="104">
        <v>6</v>
      </c>
      <c r="E15" s="115">
        <f>References!B6</f>
        <v>8.6666666666666661</v>
      </c>
      <c r="F15" s="78">
        <f t="shared" si="7"/>
        <v>624</v>
      </c>
      <c r="G15" s="107">
        <f>References!B21</f>
        <v>47</v>
      </c>
      <c r="H15" s="78">
        <f t="shared" si="9"/>
        <v>29328</v>
      </c>
      <c r="I15" s="54">
        <f t="shared" si="0"/>
        <v>26687.688922391706</v>
      </c>
      <c r="J15" s="122">
        <f>(References!$C$49*I15)</f>
        <v>200.15766691793797</v>
      </c>
      <c r="K15" s="122">
        <f>J15/References!$G$52</f>
        <v>206.07193134761451</v>
      </c>
      <c r="L15" s="109">
        <v>42.750339929380416</v>
      </c>
      <c r="M15" s="77">
        <f t="shared" si="8"/>
        <v>2.8621101576057568</v>
      </c>
      <c r="N15" s="139">
        <f>+N14+T15</f>
        <v>44.502273449920509</v>
      </c>
      <c r="O15" s="122">
        <f t="shared" si="2"/>
        <v>3078.0244749153903</v>
      </c>
      <c r="P15" s="122">
        <f t="shared" si="5"/>
        <v>3204.163688394277</v>
      </c>
      <c r="Q15" s="122">
        <f t="shared" si="10"/>
        <v>126.13921347888663</v>
      </c>
      <c r="R15" s="129">
        <f t="shared" si="6"/>
        <v>4.0980575205580294E-2</v>
      </c>
      <c r="T15" s="138">
        <f>+U15*R14+U15</f>
        <v>17.032273449920506</v>
      </c>
      <c r="U15" s="77">
        <v>16.145627980922097</v>
      </c>
      <c r="V15" s="77">
        <f t="shared" ref="V15:V17" si="19">+T15/U15-1</f>
        <v>5.4915514592933867E-2</v>
      </c>
    </row>
    <row r="16" spans="1:22" s="70" customFormat="1">
      <c r="A16" s="156"/>
      <c r="B16" s="55">
        <v>21</v>
      </c>
      <c r="C16" s="102" t="s">
        <v>104</v>
      </c>
      <c r="D16" s="104">
        <v>230</v>
      </c>
      <c r="E16" s="79">
        <f>References!$B$7</f>
        <v>4.333333333333333</v>
      </c>
      <c r="F16" s="78">
        <f t="shared" si="7"/>
        <v>11960</v>
      </c>
      <c r="G16" s="107">
        <f>References!B22</f>
        <v>68</v>
      </c>
      <c r="H16" s="78">
        <f t="shared" si="9"/>
        <v>813280</v>
      </c>
      <c r="I16" s="54">
        <f t="shared" si="0"/>
        <v>740062.86302518845</v>
      </c>
      <c r="J16" s="122">
        <f>(References!$C$49*I16)</f>
        <v>5550.4714726889179</v>
      </c>
      <c r="K16" s="122">
        <f>J16/References!$G$52</f>
        <v>5714.4769614834941</v>
      </c>
      <c r="L16" s="109">
        <v>35.03</v>
      </c>
      <c r="M16" s="77">
        <f t="shared" si="8"/>
        <v>2.0704626672041644</v>
      </c>
      <c r="N16" s="139">
        <f t="shared" si="1"/>
        <v>37.1</v>
      </c>
      <c r="O16" s="122">
        <f t="shared" si="2"/>
        <v>96682.8</v>
      </c>
      <c r="P16" s="122">
        <f t="shared" si="5"/>
        <v>102396</v>
      </c>
      <c r="Q16" s="122">
        <f t="shared" si="10"/>
        <v>5713.1999999999971</v>
      </c>
      <c r="R16" s="129">
        <f t="shared" si="6"/>
        <v>5.9092206679988601E-2</v>
      </c>
      <c r="U16" s="77"/>
      <c r="V16" s="77"/>
    </row>
    <row r="17" spans="1:25" s="70" customFormat="1">
      <c r="A17" s="156"/>
      <c r="B17" s="55">
        <v>21</v>
      </c>
      <c r="C17" s="102" t="s">
        <v>105</v>
      </c>
      <c r="D17" s="103">
        <v>12</v>
      </c>
      <c r="E17" s="115">
        <f>References!B6</f>
        <v>8.6666666666666661</v>
      </c>
      <c r="F17" s="78">
        <f t="shared" si="7"/>
        <v>1248</v>
      </c>
      <c r="G17" s="107">
        <f>References!B22</f>
        <v>68</v>
      </c>
      <c r="H17" s="98">
        <f t="shared" si="9"/>
        <v>84864</v>
      </c>
      <c r="I17" s="54">
        <f t="shared" si="0"/>
        <v>77223.950924367484</v>
      </c>
      <c r="J17" s="122">
        <f>(References!$C$49*I17)</f>
        <v>579.17963193275659</v>
      </c>
      <c r="K17" s="122">
        <f>J17/References!$G$52</f>
        <v>596.29324815479936</v>
      </c>
      <c r="L17" s="109">
        <v>57.618161417154269</v>
      </c>
      <c r="M17" s="77">
        <f t="shared" si="8"/>
        <v>4.1409253344083288</v>
      </c>
      <c r="N17" s="139">
        <f>+N16+T17</f>
        <v>60.155627962085312</v>
      </c>
      <c r="O17" s="122">
        <f t="shared" si="2"/>
        <v>8297.015244070215</v>
      </c>
      <c r="P17" s="122">
        <f t="shared" si="5"/>
        <v>8662.4104265402857</v>
      </c>
      <c r="Q17" s="122">
        <f t="shared" si="10"/>
        <v>365.39518247007072</v>
      </c>
      <c r="R17" s="129">
        <f t="shared" si="6"/>
        <v>4.4039352914436725E-2</v>
      </c>
      <c r="T17" s="138">
        <f>+U17*R16+U17</f>
        <v>23.05562796208531</v>
      </c>
      <c r="U17" s="77">
        <v>21.769235781990524</v>
      </c>
      <c r="V17" s="77">
        <f t="shared" si="19"/>
        <v>5.9092206679988601E-2</v>
      </c>
    </row>
    <row r="18" spans="1:25" s="70" customFormat="1">
      <c r="A18" s="72"/>
      <c r="B18" s="55">
        <v>21</v>
      </c>
      <c r="C18" s="120" t="s">
        <v>125</v>
      </c>
      <c r="D18" s="126">
        <v>4</v>
      </c>
      <c r="E18" s="79">
        <f>+E16*3</f>
        <v>13</v>
      </c>
      <c r="F18" s="78">
        <f t="shared" si="7"/>
        <v>624</v>
      </c>
      <c r="G18" s="121">
        <f>+G17</f>
        <v>68</v>
      </c>
      <c r="H18" s="98">
        <f t="shared" si="9"/>
        <v>42432</v>
      </c>
      <c r="I18" s="54">
        <f t="shared" si="0"/>
        <v>38611.975462183742</v>
      </c>
      <c r="J18" s="122">
        <f>(References!$C$49*I18)</f>
        <v>289.5898159663783</v>
      </c>
      <c r="K18" s="122">
        <f>J18/References!$G$52</f>
        <v>298.14662407739968</v>
      </c>
      <c r="L18" s="109">
        <v>80.206322834308537</v>
      </c>
      <c r="M18" s="77">
        <f t="shared" si="8"/>
        <v>6.2113880016124936</v>
      </c>
      <c r="N18" s="139">
        <f>+N17+T17</f>
        <v>83.211255924170615</v>
      </c>
      <c r="O18" s="122">
        <f t="shared" si="2"/>
        <v>3849.9034960468098</v>
      </c>
      <c r="P18" s="122">
        <f t="shared" si="5"/>
        <v>3994.1402843601895</v>
      </c>
      <c r="Q18" s="122">
        <f t="shared" si="10"/>
        <v>144.23678831337975</v>
      </c>
      <c r="R18" s="129">
        <f t="shared" si="6"/>
        <v>3.7465039957881086E-2</v>
      </c>
      <c r="V18" s="77"/>
    </row>
    <row r="19" spans="1:25" s="70" customFormat="1">
      <c r="A19" s="105"/>
      <c r="B19" s="97">
        <v>23</v>
      </c>
      <c r="C19" s="106" t="s">
        <v>126</v>
      </c>
      <c r="D19" s="127">
        <v>425</v>
      </c>
      <c r="E19" s="95">
        <v>1</v>
      </c>
      <c r="F19" s="84">
        <f t="shared" si="7"/>
        <v>5100</v>
      </c>
      <c r="G19" s="128">
        <f>+G7</f>
        <v>34</v>
      </c>
      <c r="H19" s="99">
        <f t="shared" si="9"/>
        <v>173400</v>
      </c>
      <c r="I19" s="54">
        <f t="shared" si="0"/>
        <v>157789.3228021932</v>
      </c>
      <c r="J19" s="122">
        <f>(References!$C$49*I19)</f>
        <v>1183.41992101645</v>
      </c>
      <c r="K19" s="122">
        <f>J19/References!$G$52</f>
        <v>1218.387646470143</v>
      </c>
      <c r="L19" s="109">
        <v>5.01</v>
      </c>
      <c r="M19" s="77">
        <f t="shared" si="8"/>
        <v>0.23889953852355744</v>
      </c>
      <c r="N19" s="139">
        <f t="shared" si="1"/>
        <v>5.25</v>
      </c>
      <c r="O19" s="122">
        <f t="shared" si="2"/>
        <v>25551</v>
      </c>
      <c r="P19" s="122">
        <f t="shared" si="5"/>
        <v>26775</v>
      </c>
      <c r="Q19" s="122">
        <f t="shared" si="10"/>
        <v>1224</v>
      </c>
      <c r="R19" s="129">
        <f t="shared" si="6"/>
        <v>4.7904191616766623E-2</v>
      </c>
      <c r="V19" s="77"/>
    </row>
    <row r="20" spans="1:25" s="70" customFormat="1" ht="16">
      <c r="A20" s="58"/>
      <c r="B20" s="87"/>
      <c r="C20" s="60" t="s">
        <v>15</v>
      </c>
      <c r="D20" s="61">
        <f>SUM(D3:D19)</f>
        <v>3262</v>
      </c>
      <c r="E20" s="62"/>
      <c r="F20" s="63">
        <f>SUM(F3:F19)</f>
        <v>153280</v>
      </c>
      <c r="G20" s="64"/>
      <c r="H20" s="88">
        <f>SUM(H3:H19)</f>
        <v>6597316</v>
      </c>
      <c r="I20" s="65">
        <f>SUM(I3:I19)</f>
        <v>6003379.6075667469</v>
      </c>
      <c r="J20" s="123">
        <f>SUM(J3:J19)</f>
        <v>45025.347056750645</v>
      </c>
      <c r="K20" s="123">
        <f>SUM(K3:K19)</f>
        <v>46355.75729100241</v>
      </c>
      <c r="L20" s="82"/>
      <c r="M20" s="82"/>
      <c r="N20" s="82"/>
      <c r="O20" s="123">
        <f>SUM(O3:O19)</f>
        <v>782574.22753946565</v>
      </c>
      <c r="P20" s="123">
        <f>SUM(P3:P19)</f>
        <v>828498.28982098144</v>
      </c>
      <c r="Q20" s="123">
        <f>SUM(Q3:Q19)</f>
        <v>45924.062281515857</v>
      </c>
      <c r="R20" s="130">
        <f>+Q20/O20</f>
        <v>5.868333081439215E-2</v>
      </c>
      <c r="T20" s="143" t="s">
        <v>156</v>
      </c>
      <c r="V20" s="150" t="s">
        <v>158</v>
      </c>
    </row>
    <row r="21" spans="1:25" s="70" customFormat="1" ht="15" customHeight="1">
      <c r="A21" s="155" t="s">
        <v>13</v>
      </c>
      <c r="B21" s="55">
        <v>32</v>
      </c>
      <c r="C21" s="112" t="s">
        <v>96</v>
      </c>
      <c r="D21" s="67">
        <v>13</v>
      </c>
      <c r="E21" s="79">
        <v>4.3330000000000002</v>
      </c>
      <c r="F21" s="117">
        <f>ROUND(+E21*D21*12,0)</f>
        <v>676</v>
      </c>
      <c r="G21" s="114">
        <f>References!B26</f>
        <v>29</v>
      </c>
      <c r="H21" s="78">
        <f t="shared" ref="H21:H22" si="20">F21*G21</f>
        <v>19604</v>
      </c>
      <c r="I21" s="54">
        <f t="shared" ref="I21:I56" si="21">$D$71*H21</f>
        <v>17839.111212307933</v>
      </c>
      <c r="J21" s="122">
        <f>(References!$C$49*I21)</f>
        <v>133.79333409230961</v>
      </c>
      <c r="K21" s="122">
        <f>J21/References!$G$52</f>
        <v>137.74666332987707</v>
      </c>
      <c r="L21" s="109">
        <v>4.88</v>
      </c>
      <c r="M21" s="77">
        <f>K21/F21</f>
        <v>0.20376725344656371</v>
      </c>
      <c r="N21" s="139">
        <f t="shared" ref="N21:N59" si="22">ROUND(M21+L21,2)</f>
        <v>5.08</v>
      </c>
      <c r="O21" s="122">
        <f t="shared" ref="O21:O59" si="23">F21*L21</f>
        <v>3298.88</v>
      </c>
      <c r="P21" s="122">
        <f>+F21*N21</f>
        <v>3434.08</v>
      </c>
      <c r="Q21" s="122">
        <f t="shared" ref="Q21" si="24">P21-O21</f>
        <v>135.19999999999982</v>
      </c>
      <c r="R21" s="129">
        <f t="shared" si="6"/>
        <v>4.0983606557376984E-2</v>
      </c>
      <c r="V21" s="77">
        <f>+Y21*(1+R21)</f>
        <v>17.036715789473682</v>
      </c>
      <c r="Y21" s="70">
        <v>16.365978947368419</v>
      </c>
    </row>
    <row r="22" spans="1:25" s="70" customFormat="1">
      <c r="A22" s="156"/>
      <c r="B22" s="55">
        <v>32</v>
      </c>
      <c r="C22" s="112" t="s">
        <v>97</v>
      </c>
      <c r="D22" s="67">
        <v>8</v>
      </c>
      <c r="E22" s="79">
        <f>+E21</f>
        <v>4.3330000000000002</v>
      </c>
      <c r="F22" s="117">
        <f t="shared" ref="F22:F59" si="25">ROUND(+E22*D22*12,0)</f>
        <v>416</v>
      </c>
      <c r="G22" s="114">
        <f>References!B26</f>
        <v>29</v>
      </c>
      <c r="H22" s="78">
        <f t="shared" si="20"/>
        <v>12064</v>
      </c>
      <c r="I22" s="54">
        <f t="shared" si="21"/>
        <v>10977.914592189496</v>
      </c>
      <c r="J22" s="122">
        <f>(References!$C$49*I22)</f>
        <v>82.334359441421299</v>
      </c>
      <c r="K22" s="122">
        <f>J22/References!$G$52</f>
        <v>84.767177433770513</v>
      </c>
      <c r="L22" s="109">
        <v>4.88</v>
      </c>
      <c r="M22" s="77">
        <f t="shared" ref="M22" si="26">K22/F22</f>
        <v>0.20376725344656374</v>
      </c>
      <c r="N22" s="139">
        <f t="shared" si="22"/>
        <v>5.08</v>
      </c>
      <c r="O22" s="122">
        <f t="shared" si="23"/>
        <v>2030.08</v>
      </c>
      <c r="P22" s="122">
        <f t="shared" ref="P22:P59" si="27">+F22*N22</f>
        <v>2113.2800000000002</v>
      </c>
      <c r="Q22" s="122">
        <f t="shared" ref="Q22" si="28">P22-O22</f>
        <v>83.200000000000273</v>
      </c>
      <c r="R22" s="129">
        <f t="shared" si="6"/>
        <v>4.0983606557376984E-2</v>
      </c>
      <c r="V22" s="77"/>
    </row>
    <row r="23" spans="1:25" s="70" customFormat="1">
      <c r="A23" s="156"/>
      <c r="B23" s="55">
        <v>30</v>
      </c>
      <c r="C23" s="112" t="s">
        <v>104</v>
      </c>
      <c r="D23" s="96">
        <v>11</v>
      </c>
      <c r="E23" s="79">
        <f>+E22</f>
        <v>4.3330000000000002</v>
      </c>
      <c r="F23" s="117">
        <f t="shared" si="25"/>
        <v>572</v>
      </c>
      <c r="G23" s="114">
        <f>References!B22</f>
        <v>68</v>
      </c>
      <c r="H23" s="78">
        <f t="shared" ref="H23:H24" si="29">F23*G23</f>
        <v>38896</v>
      </c>
      <c r="I23" s="54">
        <f t="shared" si="21"/>
        <v>35394.3108403351</v>
      </c>
      <c r="J23" s="122">
        <f>(References!$C$49*I23)</f>
        <v>265.45733130251347</v>
      </c>
      <c r="K23" s="122">
        <f>J23/References!$G$52</f>
        <v>273.30107207094971</v>
      </c>
      <c r="L23" s="109">
        <v>11.48</v>
      </c>
      <c r="M23" s="77">
        <f t="shared" ref="M23:M24" si="30">K23/F23</f>
        <v>0.47779907704711488</v>
      </c>
      <c r="N23" s="139">
        <f t="shared" si="22"/>
        <v>11.96</v>
      </c>
      <c r="O23" s="122">
        <f t="shared" si="23"/>
        <v>6566.56</v>
      </c>
      <c r="P23" s="122">
        <f t="shared" si="27"/>
        <v>6841.1200000000008</v>
      </c>
      <c r="Q23" s="122">
        <f t="shared" ref="Q23:Q24" si="31">P23-O23</f>
        <v>274.5600000000004</v>
      </c>
      <c r="R23" s="129">
        <f t="shared" si="6"/>
        <v>4.1811846689895571E-2</v>
      </c>
      <c r="T23" s="138">
        <f>+N23+2.6</f>
        <v>14.56</v>
      </c>
      <c r="V23" s="77"/>
    </row>
    <row r="24" spans="1:25" s="70" customFormat="1">
      <c r="A24" s="156"/>
      <c r="B24" s="55">
        <v>30</v>
      </c>
      <c r="C24" s="112" t="s">
        <v>105</v>
      </c>
      <c r="D24" s="96">
        <v>2</v>
      </c>
      <c r="E24" s="79">
        <f t="shared" ref="E24:E28" si="32">+E23</f>
        <v>4.3330000000000002</v>
      </c>
      <c r="F24" s="117">
        <f t="shared" si="25"/>
        <v>104</v>
      </c>
      <c r="G24" s="114">
        <f>References!B22</f>
        <v>68</v>
      </c>
      <c r="H24" s="78">
        <f t="shared" si="29"/>
        <v>7072</v>
      </c>
      <c r="I24" s="54">
        <f t="shared" si="21"/>
        <v>6435.3292436972906</v>
      </c>
      <c r="J24" s="122">
        <f>(References!$C$49*I24)</f>
        <v>48.264969327729723</v>
      </c>
      <c r="K24" s="122">
        <f>J24/References!$G$52</f>
        <v>49.691104012899949</v>
      </c>
      <c r="L24" s="109">
        <v>11.48</v>
      </c>
      <c r="M24" s="77">
        <f t="shared" si="30"/>
        <v>0.47779907704711488</v>
      </c>
      <c r="N24" s="139">
        <f t="shared" si="22"/>
        <v>11.96</v>
      </c>
      <c r="O24" s="122">
        <f t="shared" si="23"/>
        <v>1193.92</v>
      </c>
      <c r="P24" s="122">
        <f t="shared" si="27"/>
        <v>1243.8400000000001</v>
      </c>
      <c r="Q24" s="122">
        <f t="shared" si="31"/>
        <v>49.920000000000073</v>
      </c>
      <c r="R24" s="129">
        <f t="shared" si="6"/>
        <v>4.1811846689895571E-2</v>
      </c>
      <c r="T24" s="138">
        <f t="shared" ref="T24:T56" si="33">+N24+2.6</f>
        <v>14.56</v>
      </c>
      <c r="V24" s="77"/>
    </row>
    <row r="25" spans="1:25" s="70" customFormat="1">
      <c r="A25" s="156"/>
      <c r="B25" s="55">
        <v>30</v>
      </c>
      <c r="C25" s="112" t="s">
        <v>127</v>
      </c>
      <c r="D25" s="96">
        <v>6</v>
      </c>
      <c r="E25" s="79">
        <v>1</v>
      </c>
      <c r="F25" s="117">
        <f t="shared" si="25"/>
        <v>72</v>
      </c>
      <c r="G25" s="116">
        <v>158.55000000000001</v>
      </c>
      <c r="H25" s="78">
        <f t="shared" ref="H25:H59" si="34">F25*G25</f>
        <v>11415.6</v>
      </c>
      <c r="I25" s="54">
        <f t="shared" si="21"/>
        <v>10387.888081780373</v>
      </c>
      <c r="J25" s="122">
        <f>(References!$C$49*I25)</f>
        <v>77.909160613352867</v>
      </c>
      <c r="K25" s="122">
        <f>J25/References!$G$52</f>
        <v>80.211222704985957</v>
      </c>
      <c r="L25" s="109">
        <v>28.54</v>
      </c>
      <c r="M25" s="77">
        <f t="shared" ref="M25:M59" si="35">K25/F25</f>
        <v>1.1140447597914716</v>
      </c>
      <c r="N25" s="139">
        <f t="shared" si="22"/>
        <v>29.65</v>
      </c>
      <c r="O25" s="122">
        <f t="shared" si="23"/>
        <v>2054.88</v>
      </c>
      <c r="P25" s="122">
        <f t="shared" si="27"/>
        <v>2134.7999999999997</v>
      </c>
      <c r="Q25" s="122">
        <f t="shared" ref="Q25:Q59" si="36">P25-O25</f>
        <v>79.919999999999618</v>
      </c>
      <c r="R25" s="129">
        <f t="shared" si="6"/>
        <v>3.8892782060266251E-2</v>
      </c>
      <c r="T25" s="138">
        <f t="shared" si="33"/>
        <v>32.25</v>
      </c>
      <c r="V25" s="77">
        <f>+Y25*(1+R25)</f>
        <v>45.911737257717157</v>
      </c>
      <c r="Y25" s="77">
        <v>44.192950466618811</v>
      </c>
    </row>
    <row r="26" spans="1:25" s="70" customFormat="1">
      <c r="A26" s="156"/>
      <c r="B26" s="55">
        <v>30</v>
      </c>
      <c r="C26" s="112" t="s">
        <v>128</v>
      </c>
      <c r="D26" s="96">
        <v>6</v>
      </c>
      <c r="E26" s="79">
        <v>2.1667000000000001</v>
      </c>
      <c r="F26" s="117">
        <f t="shared" si="25"/>
        <v>156</v>
      </c>
      <c r="G26" s="111">
        <f>+G25</f>
        <v>158.55000000000001</v>
      </c>
      <c r="H26" s="78">
        <f t="shared" si="34"/>
        <v>24733.800000000003</v>
      </c>
      <c r="I26" s="54">
        <f t="shared" si="21"/>
        <v>22507.090843857477</v>
      </c>
      <c r="J26" s="122">
        <f>(References!$C$49*I26)</f>
        <v>168.80318132893123</v>
      </c>
      <c r="K26" s="122">
        <f>J26/References!$G$52</f>
        <v>173.79098252746959</v>
      </c>
      <c r="L26" s="109">
        <v>28.54</v>
      </c>
      <c r="M26" s="77">
        <f t="shared" si="35"/>
        <v>1.1140447597914718</v>
      </c>
      <c r="N26" s="139">
        <f t="shared" si="22"/>
        <v>29.65</v>
      </c>
      <c r="O26" s="122">
        <f t="shared" si="23"/>
        <v>4452.24</v>
      </c>
      <c r="P26" s="122">
        <f t="shared" si="27"/>
        <v>4625.3999999999996</v>
      </c>
      <c r="Q26" s="122">
        <f t="shared" si="36"/>
        <v>173.15999999999985</v>
      </c>
      <c r="R26" s="129">
        <f t="shared" si="6"/>
        <v>3.8892782060266251E-2</v>
      </c>
      <c r="T26" s="138">
        <f t="shared" si="33"/>
        <v>32.25</v>
      </c>
      <c r="V26" s="77">
        <f t="shared" ref="V26:V56" si="37">+Y26*(1+R26)</f>
        <v>45.911737257717157</v>
      </c>
      <c r="Y26" s="77">
        <v>44.192950466618811</v>
      </c>
    </row>
    <row r="27" spans="1:25" s="70" customFormat="1">
      <c r="A27" s="156"/>
      <c r="B27" s="55">
        <v>30</v>
      </c>
      <c r="C27" s="112" t="s">
        <v>106</v>
      </c>
      <c r="D27" s="96">
        <v>37</v>
      </c>
      <c r="E27" s="79">
        <v>4.3330000000000002</v>
      </c>
      <c r="F27" s="117">
        <f t="shared" si="25"/>
        <v>1924</v>
      </c>
      <c r="G27" s="111">
        <f>+G26</f>
        <v>158.55000000000001</v>
      </c>
      <c r="H27" s="78">
        <f t="shared" si="34"/>
        <v>305050.2</v>
      </c>
      <c r="I27" s="54">
        <f t="shared" si="21"/>
        <v>277587.45374090882</v>
      </c>
      <c r="J27" s="122">
        <f>(References!$C$49*I27)</f>
        <v>2081.9059030568178</v>
      </c>
      <c r="K27" s="122">
        <f>J27/References!$G$52</f>
        <v>2143.4221178387911</v>
      </c>
      <c r="L27" s="109">
        <v>28.54</v>
      </c>
      <c r="M27" s="77">
        <f t="shared" si="35"/>
        <v>1.1140447597914716</v>
      </c>
      <c r="N27" s="139">
        <f t="shared" si="22"/>
        <v>29.65</v>
      </c>
      <c r="O27" s="122">
        <f t="shared" si="23"/>
        <v>54910.96</v>
      </c>
      <c r="P27" s="122">
        <f t="shared" si="27"/>
        <v>57046.6</v>
      </c>
      <c r="Q27" s="122">
        <f t="shared" si="36"/>
        <v>2135.6399999999994</v>
      </c>
      <c r="R27" s="129">
        <f t="shared" si="6"/>
        <v>3.8892782060266251E-2</v>
      </c>
      <c r="T27" s="138">
        <f t="shared" si="33"/>
        <v>32.25</v>
      </c>
      <c r="V27" s="77">
        <f t="shared" si="37"/>
        <v>45.911737257717157</v>
      </c>
      <c r="Y27" s="77">
        <v>44.192950466618811</v>
      </c>
    </row>
    <row r="28" spans="1:25" s="70" customFormat="1">
      <c r="A28" s="156"/>
      <c r="B28" s="55">
        <v>30</v>
      </c>
      <c r="C28" s="112" t="s">
        <v>107</v>
      </c>
      <c r="D28" s="67">
        <v>4</v>
      </c>
      <c r="E28" s="79">
        <f t="shared" si="32"/>
        <v>4.3330000000000002</v>
      </c>
      <c r="F28" s="117">
        <f t="shared" si="25"/>
        <v>208</v>
      </c>
      <c r="G28" s="111">
        <f>+G27</f>
        <v>158.55000000000001</v>
      </c>
      <c r="H28" s="78">
        <f t="shared" si="34"/>
        <v>32978.400000000001</v>
      </c>
      <c r="I28" s="54">
        <f t="shared" si="21"/>
        <v>30009.454458476634</v>
      </c>
      <c r="J28" s="122">
        <f>(References!$C$49*I28)</f>
        <v>225.07090843857495</v>
      </c>
      <c r="K28" s="122">
        <f>J28/References!$G$52</f>
        <v>231.72131003662611</v>
      </c>
      <c r="L28" s="109">
        <v>28.54</v>
      </c>
      <c r="M28" s="77">
        <f t="shared" si="35"/>
        <v>1.1140447597914718</v>
      </c>
      <c r="N28" s="139">
        <f t="shared" si="22"/>
        <v>29.65</v>
      </c>
      <c r="O28" s="122">
        <f t="shared" si="23"/>
        <v>5936.32</v>
      </c>
      <c r="P28" s="122">
        <f t="shared" si="27"/>
        <v>6167.2</v>
      </c>
      <c r="Q28" s="122">
        <f t="shared" si="36"/>
        <v>230.88000000000011</v>
      </c>
      <c r="R28" s="129">
        <f t="shared" si="6"/>
        <v>3.8892782060266251E-2</v>
      </c>
      <c r="T28" s="138">
        <f t="shared" si="33"/>
        <v>32.25</v>
      </c>
      <c r="V28" s="77">
        <f t="shared" si="37"/>
        <v>45.911737257717157</v>
      </c>
      <c r="Y28" s="77">
        <v>44.192950466618811</v>
      </c>
    </row>
    <row r="29" spans="1:25" s="70" customFormat="1">
      <c r="A29" s="156"/>
      <c r="B29" s="55">
        <v>30</v>
      </c>
      <c r="C29" s="112" t="s">
        <v>129</v>
      </c>
      <c r="D29" s="67">
        <v>4</v>
      </c>
      <c r="E29" s="79">
        <v>1</v>
      </c>
      <c r="F29" s="117">
        <f t="shared" si="25"/>
        <v>48</v>
      </c>
      <c r="G29" s="111">
        <f>+References!B28</f>
        <v>250</v>
      </c>
      <c r="H29" s="78">
        <f t="shared" si="34"/>
        <v>12000</v>
      </c>
      <c r="I29" s="54">
        <f t="shared" si="21"/>
        <v>10919.676318490878</v>
      </c>
      <c r="J29" s="122">
        <f>(References!$C$49*I29)</f>
        <v>81.897572388681652</v>
      </c>
      <c r="K29" s="122">
        <f>J29/References!$G$52</f>
        <v>84.317484184784973</v>
      </c>
      <c r="L29" s="109">
        <v>33.950000000000003</v>
      </c>
      <c r="M29" s="77">
        <f t="shared" si="35"/>
        <v>1.7566142538496869</v>
      </c>
      <c r="N29" s="139">
        <f t="shared" si="22"/>
        <v>35.71</v>
      </c>
      <c r="O29" s="122">
        <f t="shared" si="23"/>
        <v>1629.6000000000001</v>
      </c>
      <c r="P29" s="122">
        <f t="shared" si="27"/>
        <v>1714.08</v>
      </c>
      <c r="Q29" s="122">
        <f t="shared" si="36"/>
        <v>84.479999999999791</v>
      </c>
      <c r="R29" s="129">
        <f t="shared" si="6"/>
        <v>5.1840942562592085E-2</v>
      </c>
      <c r="T29" s="138">
        <f t="shared" si="33"/>
        <v>38.31</v>
      </c>
      <c r="V29" s="77">
        <f t="shared" si="37"/>
        <v>51.908238515363564</v>
      </c>
      <c r="Y29" s="77">
        <v>49.349893519926994</v>
      </c>
    </row>
    <row r="30" spans="1:25" s="70" customFormat="1">
      <c r="A30" s="156"/>
      <c r="B30" s="55">
        <v>30</v>
      </c>
      <c r="C30" s="112" t="s">
        <v>130</v>
      </c>
      <c r="D30" s="67">
        <v>10</v>
      </c>
      <c r="E30" s="79">
        <f>+E26</f>
        <v>2.1667000000000001</v>
      </c>
      <c r="F30" s="117">
        <f t="shared" si="25"/>
        <v>260</v>
      </c>
      <c r="G30" s="114">
        <f>+G29</f>
        <v>250</v>
      </c>
      <c r="H30" s="78">
        <f t="shared" si="34"/>
        <v>65000</v>
      </c>
      <c r="I30" s="54">
        <f t="shared" si="21"/>
        <v>59148.246725158926</v>
      </c>
      <c r="J30" s="122">
        <f>(References!$C$49*I30)</f>
        <v>443.61185043869233</v>
      </c>
      <c r="K30" s="122">
        <f>J30/References!$G$52</f>
        <v>456.71970600091868</v>
      </c>
      <c r="L30" s="109">
        <v>33.950000000000003</v>
      </c>
      <c r="M30" s="77">
        <f t="shared" si="35"/>
        <v>1.7566142538496872</v>
      </c>
      <c r="N30" s="139">
        <f t="shared" si="22"/>
        <v>35.71</v>
      </c>
      <c r="O30" s="122">
        <f t="shared" si="23"/>
        <v>8827</v>
      </c>
      <c r="P30" s="122">
        <f t="shared" si="27"/>
        <v>9284.6</v>
      </c>
      <c r="Q30" s="122">
        <f t="shared" si="36"/>
        <v>457.60000000000036</v>
      </c>
      <c r="R30" s="129">
        <f t="shared" si="6"/>
        <v>5.1840942562592085E-2</v>
      </c>
      <c r="T30" s="138">
        <f t="shared" si="33"/>
        <v>38.31</v>
      </c>
      <c r="V30" s="77">
        <f t="shared" si="37"/>
        <v>51.908238515363564</v>
      </c>
      <c r="Y30" s="77">
        <v>49.349893519926994</v>
      </c>
    </row>
    <row r="31" spans="1:25" s="70" customFormat="1">
      <c r="A31" s="156"/>
      <c r="B31" s="55">
        <v>30</v>
      </c>
      <c r="C31" s="112" t="s">
        <v>108</v>
      </c>
      <c r="D31" s="67">
        <v>44</v>
      </c>
      <c r="E31" s="79">
        <f>+E28</f>
        <v>4.3330000000000002</v>
      </c>
      <c r="F31" s="117">
        <f t="shared" si="25"/>
        <v>2288</v>
      </c>
      <c r="G31" s="114">
        <f>+G30</f>
        <v>250</v>
      </c>
      <c r="H31" s="78">
        <f t="shared" si="34"/>
        <v>572000</v>
      </c>
      <c r="I31" s="54">
        <f t="shared" si="21"/>
        <v>520504.57118139853</v>
      </c>
      <c r="J31" s="122">
        <f>(References!$C$49*I31)</f>
        <v>3903.7842838604925</v>
      </c>
      <c r="K31" s="122">
        <f>J31/References!$G$52</f>
        <v>4019.1334128080844</v>
      </c>
      <c r="L31" s="109">
        <v>33.950000000000003</v>
      </c>
      <c r="M31" s="77">
        <f t="shared" si="35"/>
        <v>1.7566142538496872</v>
      </c>
      <c r="N31" s="139">
        <f t="shared" si="22"/>
        <v>35.71</v>
      </c>
      <c r="O31" s="122">
        <f t="shared" si="23"/>
        <v>77677.600000000006</v>
      </c>
      <c r="P31" s="122">
        <f t="shared" si="27"/>
        <v>81704.479999999996</v>
      </c>
      <c r="Q31" s="122">
        <f t="shared" si="36"/>
        <v>4026.8799999999901</v>
      </c>
      <c r="R31" s="129">
        <f t="shared" si="6"/>
        <v>5.1840942562592085E-2</v>
      </c>
      <c r="T31" s="138">
        <f t="shared" si="33"/>
        <v>38.31</v>
      </c>
      <c r="V31" s="77">
        <f t="shared" si="37"/>
        <v>51.908238515363564</v>
      </c>
      <c r="Y31" s="77">
        <v>49.349893519926994</v>
      </c>
    </row>
    <row r="32" spans="1:25" s="70" customFormat="1">
      <c r="A32" s="156"/>
      <c r="B32" s="55">
        <v>30</v>
      </c>
      <c r="C32" s="112" t="s">
        <v>131</v>
      </c>
      <c r="D32" s="67">
        <v>3</v>
      </c>
      <c r="E32" s="79">
        <v>1</v>
      </c>
      <c r="F32" s="117">
        <f t="shared" si="25"/>
        <v>36</v>
      </c>
      <c r="G32" s="114">
        <f>+References!B29</f>
        <v>324</v>
      </c>
      <c r="H32" s="78">
        <f t="shared" si="34"/>
        <v>11664</v>
      </c>
      <c r="I32" s="54">
        <f t="shared" si="21"/>
        <v>10613.925381573134</v>
      </c>
      <c r="J32" s="122">
        <f>(References!$C$49*I32)</f>
        <v>79.604440361798567</v>
      </c>
      <c r="K32" s="122">
        <f>J32/References!$G$52</f>
        <v>81.956594627610997</v>
      </c>
      <c r="L32" s="109">
        <v>42.74</v>
      </c>
      <c r="M32" s="77">
        <f t="shared" si="35"/>
        <v>2.2765720729891945</v>
      </c>
      <c r="N32" s="139">
        <f t="shared" si="22"/>
        <v>45.02</v>
      </c>
      <c r="O32" s="122">
        <f t="shared" si="23"/>
        <v>1538.64</v>
      </c>
      <c r="P32" s="122">
        <f t="shared" si="27"/>
        <v>1620.72</v>
      </c>
      <c r="Q32" s="122">
        <f t="shared" si="36"/>
        <v>82.079999999999927</v>
      </c>
      <c r="R32" s="129">
        <f t="shared" si="6"/>
        <v>5.3345811885821215E-2</v>
      </c>
      <c r="T32" s="138">
        <f t="shared" si="33"/>
        <v>47.620000000000005</v>
      </c>
      <c r="V32" s="77">
        <f t="shared" si="37"/>
        <v>61.093904208998552</v>
      </c>
      <c r="Y32" s="77">
        <v>57.999854862119015</v>
      </c>
    </row>
    <row r="33" spans="1:25" s="70" customFormat="1">
      <c r="A33" s="156"/>
      <c r="B33" s="55">
        <v>30</v>
      </c>
      <c r="C33" s="112" t="s">
        <v>132</v>
      </c>
      <c r="D33" s="67">
        <v>5</v>
      </c>
      <c r="E33" s="79">
        <f>+E30</f>
        <v>2.1667000000000001</v>
      </c>
      <c r="F33" s="117">
        <f t="shared" si="25"/>
        <v>130</v>
      </c>
      <c r="G33" s="114">
        <f>+G32</f>
        <v>324</v>
      </c>
      <c r="H33" s="78">
        <f t="shared" si="34"/>
        <v>42120</v>
      </c>
      <c r="I33" s="54">
        <f t="shared" si="21"/>
        <v>38328.063877902983</v>
      </c>
      <c r="J33" s="122">
        <f>(References!$C$49*I33)</f>
        <v>287.46047908427261</v>
      </c>
      <c r="K33" s="122">
        <f>J33/References!$G$52</f>
        <v>295.95436948859526</v>
      </c>
      <c r="L33" s="109">
        <v>42.74</v>
      </c>
      <c r="M33" s="77">
        <f t="shared" si="35"/>
        <v>2.2765720729891945</v>
      </c>
      <c r="N33" s="139">
        <f t="shared" si="22"/>
        <v>45.02</v>
      </c>
      <c r="O33" s="122">
        <f t="shared" si="23"/>
        <v>5556.2</v>
      </c>
      <c r="P33" s="122">
        <f t="shared" si="27"/>
        <v>5852.6</v>
      </c>
      <c r="Q33" s="122">
        <f t="shared" si="36"/>
        <v>296.40000000000055</v>
      </c>
      <c r="R33" s="129">
        <f t="shared" si="6"/>
        <v>5.3345811885821215E-2</v>
      </c>
      <c r="T33" s="138">
        <f t="shared" si="33"/>
        <v>47.620000000000005</v>
      </c>
      <c r="V33" s="77">
        <f t="shared" si="37"/>
        <v>61.093904208998552</v>
      </c>
      <c r="Y33" s="77">
        <v>57.999854862119015</v>
      </c>
    </row>
    <row r="34" spans="1:25" s="70" customFormat="1">
      <c r="A34" s="156"/>
      <c r="B34" s="55">
        <v>30</v>
      </c>
      <c r="C34" s="112" t="s">
        <v>109</v>
      </c>
      <c r="D34" s="67">
        <v>24</v>
      </c>
      <c r="E34" s="79">
        <f>+E31</f>
        <v>4.3330000000000002</v>
      </c>
      <c r="F34" s="117">
        <f t="shared" si="25"/>
        <v>1248</v>
      </c>
      <c r="G34" s="114">
        <f>+G33</f>
        <v>324</v>
      </c>
      <c r="H34" s="78">
        <f t="shared" si="34"/>
        <v>404352</v>
      </c>
      <c r="I34" s="54">
        <f t="shared" si="21"/>
        <v>367949.41322786862</v>
      </c>
      <c r="J34" s="122">
        <f>(References!$C$49*I34)</f>
        <v>2759.6205992090172</v>
      </c>
      <c r="K34" s="122">
        <f>J34/References!$G$52</f>
        <v>2841.1619470905148</v>
      </c>
      <c r="L34" s="109">
        <v>42.74</v>
      </c>
      <c r="M34" s="77">
        <f t="shared" si="35"/>
        <v>2.2765720729891945</v>
      </c>
      <c r="N34" s="139">
        <f t="shared" si="22"/>
        <v>45.02</v>
      </c>
      <c r="O34" s="122">
        <f t="shared" si="23"/>
        <v>53339.520000000004</v>
      </c>
      <c r="P34" s="122">
        <f t="shared" si="27"/>
        <v>56184.960000000006</v>
      </c>
      <c r="Q34" s="122">
        <f t="shared" si="36"/>
        <v>2845.4400000000023</v>
      </c>
      <c r="R34" s="129">
        <f t="shared" si="6"/>
        <v>5.3345811885821215E-2</v>
      </c>
      <c r="T34" s="138">
        <f t="shared" si="33"/>
        <v>47.620000000000005</v>
      </c>
      <c r="V34" s="77">
        <f t="shared" si="37"/>
        <v>61.093904208998552</v>
      </c>
      <c r="Y34" s="77">
        <v>57.999854862119015</v>
      </c>
    </row>
    <row r="35" spans="1:25" s="70" customFormat="1">
      <c r="A35" s="156"/>
      <c r="B35" s="55">
        <v>30</v>
      </c>
      <c r="C35" s="112" t="s">
        <v>110</v>
      </c>
      <c r="D35" s="67">
        <v>4</v>
      </c>
      <c r="E35" s="79">
        <f>+E34</f>
        <v>4.3330000000000002</v>
      </c>
      <c r="F35" s="117">
        <f t="shared" si="25"/>
        <v>208</v>
      </c>
      <c r="G35" s="114">
        <f>+G34</f>
        <v>324</v>
      </c>
      <c r="H35" s="78">
        <f t="shared" si="34"/>
        <v>67392</v>
      </c>
      <c r="I35" s="54">
        <f t="shared" si="21"/>
        <v>61324.902204644772</v>
      </c>
      <c r="J35" s="122">
        <f>(References!$C$49*I35)</f>
        <v>459.93676653483618</v>
      </c>
      <c r="K35" s="122">
        <f>J35/References!$G$52</f>
        <v>473.52699118175246</v>
      </c>
      <c r="L35" s="109">
        <v>42.74</v>
      </c>
      <c r="M35" s="77">
        <f t="shared" si="35"/>
        <v>2.2765720729891945</v>
      </c>
      <c r="N35" s="139">
        <f t="shared" si="22"/>
        <v>45.02</v>
      </c>
      <c r="O35" s="122">
        <f t="shared" si="23"/>
        <v>8889.92</v>
      </c>
      <c r="P35" s="122">
        <f t="shared" si="27"/>
        <v>9364.16</v>
      </c>
      <c r="Q35" s="122">
        <f t="shared" si="36"/>
        <v>474.23999999999978</v>
      </c>
      <c r="R35" s="129">
        <f t="shared" si="6"/>
        <v>5.3345811885821215E-2</v>
      </c>
      <c r="T35" s="138">
        <f t="shared" si="33"/>
        <v>47.620000000000005</v>
      </c>
      <c r="V35" s="77">
        <f t="shared" si="37"/>
        <v>61.093904208998552</v>
      </c>
      <c r="Y35" s="77">
        <v>57.999854862119015</v>
      </c>
    </row>
    <row r="36" spans="1:25" s="70" customFormat="1">
      <c r="A36" s="156"/>
      <c r="B36" s="55">
        <v>30</v>
      </c>
      <c r="C36" s="112" t="s">
        <v>111</v>
      </c>
      <c r="D36" s="67">
        <v>1</v>
      </c>
      <c r="E36" s="79">
        <f>+E34*2</f>
        <v>8.6660000000000004</v>
      </c>
      <c r="F36" s="117">
        <f t="shared" si="25"/>
        <v>104</v>
      </c>
      <c r="G36" s="114">
        <f>+G35</f>
        <v>324</v>
      </c>
      <c r="H36" s="78">
        <f t="shared" si="34"/>
        <v>33696</v>
      </c>
      <c r="I36" s="54">
        <f t="shared" si="21"/>
        <v>30662.451102322386</v>
      </c>
      <c r="J36" s="122">
        <f>(References!$C$49*I36)</f>
        <v>229.96838326741809</v>
      </c>
      <c r="K36" s="122">
        <f>J36/References!$G$52</f>
        <v>236.76349559087623</v>
      </c>
      <c r="L36" s="109">
        <v>42.74</v>
      </c>
      <c r="M36" s="77">
        <f t="shared" si="35"/>
        <v>2.2765720729891945</v>
      </c>
      <c r="N36" s="139">
        <f t="shared" si="22"/>
        <v>45.02</v>
      </c>
      <c r="O36" s="122">
        <f t="shared" si="23"/>
        <v>4444.96</v>
      </c>
      <c r="P36" s="122">
        <f t="shared" si="27"/>
        <v>4682.08</v>
      </c>
      <c r="Q36" s="122">
        <f t="shared" si="36"/>
        <v>237.11999999999989</v>
      </c>
      <c r="R36" s="129">
        <f t="shared" si="6"/>
        <v>5.3345811885821215E-2</v>
      </c>
      <c r="T36" s="138">
        <f t="shared" si="33"/>
        <v>47.620000000000005</v>
      </c>
      <c r="V36" s="77">
        <f t="shared" si="37"/>
        <v>61.093904208998552</v>
      </c>
      <c r="Y36" s="77">
        <v>57.999854862119015</v>
      </c>
    </row>
    <row r="37" spans="1:25" s="70" customFormat="1">
      <c r="A37" s="156"/>
      <c r="B37" s="55">
        <v>30</v>
      </c>
      <c r="C37" s="112" t="s">
        <v>133</v>
      </c>
      <c r="D37" s="67">
        <v>6</v>
      </c>
      <c r="E37" s="79">
        <v>1</v>
      </c>
      <c r="F37" s="117">
        <f t="shared" si="25"/>
        <v>72</v>
      </c>
      <c r="G37" s="114">
        <f>+References!B30</f>
        <v>473</v>
      </c>
      <c r="H37" s="78">
        <f t="shared" si="34"/>
        <v>34056</v>
      </c>
      <c r="I37" s="54">
        <f t="shared" si="21"/>
        <v>30990.041391877112</v>
      </c>
      <c r="J37" s="122">
        <f>(References!$C$49*I37)</f>
        <v>232.42531043907854</v>
      </c>
      <c r="K37" s="122">
        <f>J37/References!$G$52</f>
        <v>239.29302011641977</v>
      </c>
      <c r="L37" s="109">
        <v>61.2</v>
      </c>
      <c r="M37" s="77">
        <f t="shared" si="35"/>
        <v>3.3235141682836078</v>
      </c>
      <c r="N37" s="139">
        <f t="shared" si="22"/>
        <v>64.52</v>
      </c>
      <c r="O37" s="122">
        <f t="shared" si="23"/>
        <v>4406.4000000000005</v>
      </c>
      <c r="P37" s="122">
        <f t="shared" si="27"/>
        <v>4645.4399999999996</v>
      </c>
      <c r="Q37" s="122">
        <f t="shared" si="36"/>
        <v>239.03999999999905</v>
      </c>
      <c r="R37" s="129">
        <f t="shared" si="6"/>
        <v>5.4248366013071703E-2</v>
      </c>
      <c r="T37" s="138">
        <f t="shared" si="33"/>
        <v>67.11999999999999</v>
      </c>
      <c r="V37" s="77">
        <f t="shared" si="37"/>
        <v>80.115605138607151</v>
      </c>
      <c r="Y37" s="77">
        <v>75.993103448275861</v>
      </c>
    </row>
    <row r="38" spans="1:25" s="70" customFormat="1">
      <c r="A38" s="156"/>
      <c r="B38" s="55">
        <v>30</v>
      </c>
      <c r="C38" s="112" t="s">
        <v>134</v>
      </c>
      <c r="D38" s="67">
        <v>5</v>
      </c>
      <c r="E38" s="79">
        <f>+E33</f>
        <v>2.1667000000000001</v>
      </c>
      <c r="F38" s="117">
        <f t="shared" si="25"/>
        <v>130</v>
      </c>
      <c r="G38" s="114">
        <f t="shared" ref="G38:G43" si="38">+G37</f>
        <v>473</v>
      </c>
      <c r="H38" s="78">
        <f t="shared" si="34"/>
        <v>61490</v>
      </c>
      <c r="I38" s="54">
        <f t="shared" si="21"/>
        <v>55954.241402000342</v>
      </c>
      <c r="J38" s="122">
        <f>(References!$C$49*I38)</f>
        <v>419.65681051500292</v>
      </c>
      <c r="K38" s="122">
        <f>J38/References!$G$52</f>
        <v>432.05684187686904</v>
      </c>
      <c r="L38" s="109">
        <v>61.2</v>
      </c>
      <c r="M38" s="77">
        <f t="shared" si="35"/>
        <v>3.3235141682836082</v>
      </c>
      <c r="N38" s="139">
        <f t="shared" si="22"/>
        <v>64.52</v>
      </c>
      <c r="O38" s="122">
        <f t="shared" si="23"/>
        <v>7956</v>
      </c>
      <c r="P38" s="122">
        <f t="shared" si="27"/>
        <v>8387.6</v>
      </c>
      <c r="Q38" s="122">
        <f t="shared" si="36"/>
        <v>431.60000000000036</v>
      </c>
      <c r="R38" s="129">
        <f t="shared" si="6"/>
        <v>5.4248366013071703E-2</v>
      </c>
      <c r="T38" s="138">
        <f t="shared" si="33"/>
        <v>67.11999999999999</v>
      </c>
      <c r="V38" s="77">
        <f t="shared" si="37"/>
        <v>80.115605138607151</v>
      </c>
      <c r="Y38" s="77">
        <v>75.993103448275861</v>
      </c>
    </row>
    <row r="39" spans="1:25" s="70" customFormat="1">
      <c r="A39" s="156"/>
      <c r="B39" s="55">
        <v>30</v>
      </c>
      <c r="C39" s="112" t="s">
        <v>112</v>
      </c>
      <c r="D39" s="67">
        <v>21</v>
      </c>
      <c r="E39" s="79">
        <f>+E35</f>
        <v>4.3330000000000002</v>
      </c>
      <c r="F39" s="117">
        <f t="shared" si="25"/>
        <v>1092</v>
      </c>
      <c r="G39" s="114">
        <f t="shared" si="38"/>
        <v>473</v>
      </c>
      <c r="H39" s="78">
        <f t="shared" si="34"/>
        <v>516516</v>
      </c>
      <c r="I39" s="54">
        <f t="shared" si="21"/>
        <v>470015.62777680287</v>
      </c>
      <c r="J39" s="122">
        <f>(References!$C$49*I39)</f>
        <v>3525.1172083260244</v>
      </c>
      <c r="K39" s="122">
        <f>J39/References!$G$52</f>
        <v>3629.2774717656998</v>
      </c>
      <c r="L39" s="109">
        <v>61.2</v>
      </c>
      <c r="M39" s="77">
        <f t="shared" si="35"/>
        <v>3.3235141682836078</v>
      </c>
      <c r="N39" s="139">
        <f t="shared" si="22"/>
        <v>64.52</v>
      </c>
      <c r="O39" s="122">
        <f t="shared" si="23"/>
        <v>66830.400000000009</v>
      </c>
      <c r="P39" s="122">
        <f t="shared" si="27"/>
        <v>70455.839999999997</v>
      </c>
      <c r="Q39" s="122">
        <f t="shared" si="36"/>
        <v>3625.4399999999878</v>
      </c>
      <c r="R39" s="129">
        <f t="shared" si="6"/>
        <v>5.4248366013071703E-2</v>
      </c>
      <c r="T39" s="138">
        <f t="shared" si="33"/>
        <v>67.11999999999999</v>
      </c>
      <c r="V39" s="77">
        <f t="shared" si="37"/>
        <v>80.115605138607151</v>
      </c>
      <c r="Y39" s="77">
        <v>75.993103448275861</v>
      </c>
    </row>
    <row r="40" spans="1:25" s="70" customFormat="1">
      <c r="A40" s="156"/>
      <c r="B40" s="55">
        <v>30</v>
      </c>
      <c r="C40" s="112" t="s">
        <v>113</v>
      </c>
      <c r="D40" s="67">
        <v>4</v>
      </c>
      <c r="E40" s="79">
        <f>+E39</f>
        <v>4.3330000000000002</v>
      </c>
      <c r="F40" s="117">
        <f t="shared" si="25"/>
        <v>208</v>
      </c>
      <c r="G40" s="114">
        <f t="shared" si="38"/>
        <v>473</v>
      </c>
      <c r="H40" s="78">
        <f t="shared" si="34"/>
        <v>98384</v>
      </c>
      <c r="I40" s="54">
        <f t="shared" si="21"/>
        <v>89526.78624320055</v>
      </c>
      <c r="J40" s="122">
        <f>(References!$C$49*I40)</f>
        <v>671.45089682400476</v>
      </c>
      <c r="K40" s="122">
        <f>J40/References!$G$52</f>
        <v>691.29094700299061</v>
      </c>
      <c r="L40" s="109">
        <v>61.2</v>
      </c>
      <c r="M40" s="77">
        <f t="shared" si="35"/>
        <v>3.3235141682836087</v>
      </c>
      <c r="N40" s="139">
        <f t="shared" si="22"/>
        <v>64.52</v>
      </c>
      <c r="O40" s="122">
        <f t="shared" si="23"/>
        <v>12729.6</v>
      </c>
      <c r="P40" s="122">
        <f>+F40*N40</f>
        <v>13420.16</v>
      </c>
      <c r="Q40" s="122">
        <f t="shared" si="36"/>
        <v>690.55999999999949</v>
      </c>
      <c r="R40" s="129">
        <f t="shared" si="6"/>
        <v>5.4248366013071703E-2</v>
      </c>
      <c r="T40" s="138">
        <f t="shared" si="33"/>
        <v>67.11999999999999</v>
      </c>
      <c r="V40" s="77">
        <f t="shared" si="37"/>
        <v>80.115605138607151</v>
      </c>
      <c r="Y40" s="77">
        <v>75.993103448275861</v>
      </c>
    </row>
    <row r="41" spans="1:25" s="70" customFormat="1">
      <c r="A41" s="156"/>
      <c r="B41" s="55">
        <v>30</v>
      </c>
      <c r="C41" s="113" t="s">
        <v>114</v>
      </c>
      <c r="D41" s="67">
        <v>6</v>
      </c>
      <c r="E41" s="79">
        <f>+E40</f>
        <v>4.3330000000000002</v>
      </c>
      <c r="F41" s="117">
        <f t="shared" si="25"/>
        <v>312</v>
      </c>
      <c r="G41" s="114">
        <f t="shared" si="38"/>
        <v>473</v>
      </c>
      <c r="H41" s="78">
        <f t="shared" si="34"/>
        <v>147576</v>
      </c>
      <c r="I41" s="54">
        <f t="shared" si="21"/>
        <v>134290.17936480083</v>
      </c>
      <c r="J41" s="122">
        <f>(References!$C$49*I41)</f>
        <v>1007.1763452360071</v>
      </c>
      <c r="K41" s="122">
        <f>J41/References!$G$52</f>
        <v>1036.9364205044858</v>
      </c>
      <c r="L41" s="109">
        <v>61.2</v>
      </c>
      <c r="M41" s="77">
        <f t="shared" si="35"/>
        <v>3.3235141682836082</v>
      </c>
      <c r="N41" s="139">
        <f t="shared" si="22"/>
        <v>64.52</v>
      </c>
      <c r="O41" s="122">
        <f t="shared" si="23"/>
        <v>19094.400000000001</v>
      </c>
      <c r="P41" s="122">
        <f t="shared" si="27"/>
        <v>20130.239999999998</v>
      </c>
      <c r="Q41" s="122">
        <f t="shared" si="36"/>
        <v>1035.8399999999965</v>
      </c>
      <c r="R41" s="129">
        <f t="shared" si="6"/>
        <v>5.4248366013071703E-2</v>
      </c>
      <c r="T41" s="138">
        <f t="shared" si="33"/>
        <v>67.11999999999999</v>
      </c>
      <c r="V41" s="77">
        <f t="shared" si="37"/>
        <v>80.115605138607151</v>
      </c>
      <c r="Y41" s="77">
        <v>75.993103448275861</v>
      </c>
    </row>
    <row r="42" spans="1:25" s="70" customFormat="1">
      <c r="A42" s="156"/>
      <c r="B42" s="55">
        <v>30</v>
      </c>
      <c r="C42" s="113" t="s">
        <v>115</v>
      </c>
      <c r="D42" s="67">
        <v>5</v>
      </c>
      <c r="E42" s="79">
        <f>+E41</f>
        <v>4.3330000000000002</v>
      </c>
      <c r="F42" s="117">
        <f t="shared" si="25"/>
        <v>260</v>
      </c>
      <c r="G42" s="114">
        <f t="shared" si="38"/>
        <v>473</v>
      </c>
      <c r="H42" s="78">
        <f t="shared" si="34"/>
        <v>122980</v>
      </c>
      <c r="I42" s="54">
        <f t="shared" si="21"/>
        <v>111908.48280400068</v>
      </c>
      <c r="J42" s="122">
        <f>(References!$C$49*I42)</f>
        <v>839.31362103000583</v>
      </c>
      <c r="K42" s="122">
        <f>J42/References!$G$52</f>
        <v>864.11368375373809</v>
      </c>
      <c r="L42" s="109">
        <v>61.2</v>
      </c>
      <c r="M42" s="77">
        <f t="shared" si="35"/>
        <v>3.3235141682836082</v>
      </c>
      <c r="N42" s="139">
        <f t="shared" si="22"/>
        <v>64.52</v>
      </c>
      <c r="O42" s="122">
        <f t="shared" si="23"/>
        <v>15912</v>
      </c>
      <c r="P42" s="122">
        <f t="shared" si="27"/>
        <v>16775.2</v>
      </c>
      <c r="Q42" s="122">
        <f t="shared" si="36"/>
        <v>863.20000000000073</v>
      </c>
      <c r="R42" s="129">
        <f t="shared" si="6"/>
        <v>5.4248366013071703E-2</v>
      </c>
      <c r="T42" s="138">
        <f t="shared" si="33"/>
        <v>67.11999999999999</v>
      </c>
      <c r="V42" s="77">
        <f t="shared" si="37"/>
        <v>80.115605138607151</v>
      </c>
      <c r="Y42" s="77">
        <v>75.993103448275861</v>
      </c>
    </row>
    <row r="43" spans="1:25" s="70" customFormat="1">
      <c r="A43" s="156"/>
      <c r="B43" s="55">
        <v>30</v>
      </c>
      <c r="C43" s="113" t="s">
        <v>135</v>
      </c>
      <c r="D43" s="67">
        <v>6</v>
      </c>
      <c r="E43" s="79">
        <f>+E42</f>
        <v>4.3330000000000002</v>
      </c>
      <c r="F43" s="117">
        <f t="shared" si="25"/>
        <v>312</v>
      </c>
      <c r="G43" s="114">
        <f t="shared" si="38"/>
        <v>473</v>
      </c>
      <c r="H43" s="78">
        <f t="shared" si="34"/>
        <v>147576</v>
      </c>
      <c r="I43" s="54">
        <f t="shared" si="21"/>
        <v>134290.17936480083</v>
      </c>
      <c r="J43" s="122">
        <f>(References!$C$49*I43)</f>
        <v>1007.1763452360071</v>
      </c>
      <c r="K43" s="122">
        <f>J43/References!$G$52</f>
        <v>1036.9364205044858</v>
      </c>
      <c r="L43" s="109">
        <v>61.2</v>
      </c>
      <c r="M43" s="77">
        <f t="shared" si="35"/>
        <v>3.3235141682836082</v>
      </c>
      <c r="N43" s="139">
        <f t="shared" si="22"/>
        <v>64.52</v>
      </c>
      <c r="O43" s="122">
        <f t="shared" si="23"/>
        <v>19094.400000000001</v>
      </c>
      <c r="P43" s="122">
        <f t="shared" si="27"/>
        <v>20130.239999999998</v>
      </c>
      <c r="Q43" s="122">
        <f t="shared" si="36"/>
        <v>1035.8399999999965</v>
      </c>
      <c r="R43" s="129">
        <f t="shared" si="6"/>
        <v>5.4248366013071703E-2</v>
      </c>
      <c r="T43" s="138">
        <f t="shared" si="33"/>
        <v>67.11999999999999</v>
      </c>
      <c r="V43" s="77">
        <f t="shared" si="37"/>
        <v>80.115605138607151</v>
      </c>
      <c r="Y43" s="77">
        <v>75.993103448275861</v>
      </c>
    </row>
    <row r="44" spans="1:25" s="70" customFormat="1">
      <c r="A44" s="156"/>
      <c r="B44" s="55">
        <v>30</v>
      </c>
      <c r="C44" s="112" t="s">
        <v>136</v>
      </c>
      <c r="D44" s="67">
        <v>1</v>
      </c>
      <c r="E44" s="79">
        <v>1</v>
      </c>
      <c r="F44" s="117">
        <f t="shared" si="25"/>
        <v>12</v>
      </c>
      <c r="G44" s="114">
        <f>+References!B31</f>
        <v>613</v>
      </c>
      <c r="H44" s="78">
        <f t="shared" si="34"/>
        <v>7356</v>
      </c>
      <c r="I44" s="54">
        <f t="shared" si="21"/>
        <v>6693.7615832349084</v>
      </c>
      <c r="J44" s="122">
        <f>(References!$C$49*I44)</f>
        <v>50.203211874261861</v>
      </c>
      <c r="K44" s="122">
        <f>J44/References!$G$52</f>
        <v>51.686617805273201</v>
      </c>
      <c r="L44" s="109">
        <v>77.33</v>
      </c>
      <c r="M44" s="77">
        <f t="shared" si="35"/>
        <v>4.3072181504394331</v>
      </c>
      <c r="N44" s="139">
        <f t="shared" si="22"/>
        <v>81.64</v>
      </c>
      <c r="O44" s="122">
        <f t="shared" si="23"/>
        <v>927.96</v>
      </c>
      <c r="P44" s="122">
        <f t="shared" si="27"/>
        <v>979.68000000000006</v>
      </c>
      <c r="Q44" s="122">
        <f t="shared" si="36"/>
        <v>51.720000000000027</v>
      </c>
      <c r="R44" s="129">
        <f t="shared" si="6"/>
        <v>5.5735160998318989E-2</v>
      </c>
      <c r="T44" s="138">
        <f t="shared" si="33"/>
        <v>84.24</v>
      </c>
      <c r="V44" s="77">
        <f t="shared" si="37"/>
        <v>96.702246619360039</v>
      </c>
      <c r="Y44" s="77">
        <v>91.597069219440357</v>
      </c>
    </row>
    <row r="45" spans="1:25" s="70" customFormat="1">
      <c r="A45" s="156"/>
      <c r="B45" s="55">
        <v>30</v>
      </c>
      <c r="C45" s="112" t="s">
        <v>137</v>
      </c>
      <c r="D45" s="67">
        <v>5</v>
      </c>
      <c r="E45" s="79">
        <f>+E38</f>
        <v>2.1667000000000001</v>
      </c>
      <c r="F45" s="117">
        <f t="shared" si="25"/>
        <v>130</v>
      </c>
      <c r="G45" s="114">
        <f>+G44</f>
        <v>613</v>
      </c>
      <c r="H45" s="78">
        <f t="shared" si="34"/>
        <v>79690</v>
      </c>
      <c r="I45" s="54">
        <f t="shared" si="21"/>
        <v>72515.750485044846</v>
      </c>
      <c r="J45" s="122">
        <f>(References!$C$49*I45)</f>
        <v>543.86812863783678</v>
      </c>
      <c r="K45" s="122">
        <f>J45/References!$G$52</f>
        <v>559.93835955712632</v>
      </c>
      <c r="L45" s="109">
        <v>77.33</v>
      </c>
      <c r="M45" s="77">
        <f t="shared" si="35"/>
        <v>4.3072181504394331</v>
      </c>
      <c r="N45" s="139">
        <f t="shared" si="22"/>
        <v>81.64</v>
      </c>
      <c r="O45" s="122">
        <f t="shared" si="23"/>
        <v>10052.9</v>
      </c>
      <c r="P45" s="122">
        <f t="shared" si="27"/>
        <v>10613.2</v>
      </c>
      <c r="Q45" s="122">
        <f t="shared" si="36"/>
        <v>560.30000000000109</v>
      </c>
      <c r="R45" s="129">
        <f t="shared" si="6"/>
        <v>5.5735160998318989E-2</v>
      </c>
      <c r="T45" s="138">
        <f t="shared" si="33"/>
        <v>84.24</v>
      </c>
      <c r="V45" s="77">
        <f t="shared" si="37"/>
        <v>96.702246619360039</v>
      </c>
      <c r="Y45" s="77">
        <v>91.597069219440357</v>
      </c>
    </row>
    <row r="46" spans="1:25" s="70" customFormat="1">
      <c r="A46" s="156"/>
      <c r="B46" s="55">
        <v>30</v>
      </c>
      <c r="C46" s="112" t="s">
        <v>116</v>
      </c>
      <c r="D46" s="67">
        <v>21</v>
      </c>
      <c r="E46" s="79">
        <f>+E43</f>
        <v>4.3330000000000002</v>
      </c>
      <c r="F46" s="117">
        <f t="shared" si="25"/>
        <v>1092</v>
      </c>
      <c r="G46" s="114">
        <f>+G45</f>
        <v>613</v>
      </c>
      <c r="H46" s="78">
        <f t="shared" si="34"/>
        <v>669396</v>
      </c>
      <c r="I46" s="54">
        <f t="shared" si="21"/>
        <v>609132.30407437671</v>
      </c>
      <c r="J46" s="122">
        <f>(References!$C$49*I46)</f>
        <v>4568.492280557829</v>
      </c>
      <c r="K46" s="122">
        <f>J46/References!$G$52</f>
        <v>4703.4822202798605</v>
      </c>
      <c r="L46" s="109">
        <v>77.33</v>
      </c>
      <c r="M46" s="77">
        <f t="shared" si="35"/>
        <v>4.3072181504394322</v>
      </c>
      <c r="N46" s="139">
        <f t="shared" si="22"/>
        <v>81.64</v>
      </c>
      <c r="O46" s="122">
        <f t="shared" si="23"/>
        <v>84444.36</v>
      </c>
      <c r="P46" s="122">
        <f t="shared" si="27"/>
        <v>89150.88</v>
      </c>
      <c r="Q46" s="122">
        <f t="shared" si="36"/>
        <v>4706.5200000000041</v>
      </c>
      <c r="R46" s="129">
        <f t="shared" si="6"/>
        <v>5.5735160998318989E-2</v>
      </c>
      <c r="T46" s="138">
        <f t="shared" si="33"/>
        <v>84.24</v>
      </c>
      <c r="V46" s="77">
        <f t="shared" si="37"/>
        <v>96.702246619360039</v>
      </c>
      <c r="Y46" s="77">
        <v>91.597069219440357</v>
      </c>
    </row>
    <row r="47" spans="1:25" s="70" customFormat="1">
      <c r="A47" s="156"/>
      <c r="B47" s="55">
        <v>30</v>
      </c>
      <c r="C47" s="112" t="s">
        <v>117</v>
      </c>
      <c r="D47" s="67">
        <v>4</v>
      </c>
      <c r="E47" s="79">
        <f>+E46</f>
        <v>4.3330000000000002</v>
      </c>
      <c r="F47" s="117">
        <f t="shared" si="25"/>
        <v>208</v>
      </c>
      <c r="G47" s="114">
        <f>+G46</f>
        <v>613</v>
      </c>
      <c r="H47" s="78">
        <f t="shared" si="34"/>
        <v>127504</v>
      </c>
      <c r="I47" s="54">
        <f t="shared" si="21"/>
        <v>116025.20077607174</v>
      </c>
      <c r="J47" s="122">
        <f>(References!$C$49*I47)</f>
        <v>870.1890058205388</v>
      </c>
      <c r="K47" s="122">
        <f>J47/References!$G$52</f>
        <v>895.90137529140202</v>
      </c>
      <c r="L47" s="109">
        <v>77.33</v>
      </c>
      <c r="M47" s="77">
        <f t="shared" si="35"/>
        <v>4.3072181504394331</v>
      </c>
      <c r="N47" s="139">
        <f t="shared" si="22"/>
        <v>81.64</v>
      </c>
      <c r="O47" s="122">
        <f t="shared" si="23"/>
        <v>16084.64</v>
      </c>
      <c r="P47" s="122">
        <f t="shared" si="27"/>
        <v>16981.12</v>
      </c>
      <c r="Q47" s="122">
        <f t="shared" si="36"/>
        <v>896.47999999999956</v>
      </c>
      <c r="R47" s="129">
        <f t="shared" si="6"/>
        <v>5.5735160998318989E-2</v>
      </c>
      <c r="T47" s="138">
        <f t="shared" si="33"/>
        <v>84.24</v>
      </c>
      <c r="V47" s="77">
        <f t="shared" si="37"/>
        <v>96.702246619360039</v>
      </c>
      <c r="Y47" s="77">
        <v>91.597069219440357</v>
      </c>
    </row>
    <row r="48" spans="1:25" s="70" customFormat="1">
      <c r="A48" s="156"/>
      <c r="B48" s="55">
        <v>30</v>
      </c>
      <c r="C48" s="112" t="s">
        <v>138</v>
      </c>
      <c r="D48" s="67">
        <v>4</v>
      </c>
      <c r="E48" s="79">
        <f>+E47*2</f>
        <v>8.6660000000000004</v>
      </c>
      <c r="F48" s="117">
        <f t="shared" si="25"/>
        <v>416</v>
      </c>
      <c r="G48" s="114">
        <f>+G47</f>
        <v>613</v>
      </c>
      <c r="H48" s="78">
        <f t="shared" si="34"/>
        <v>255008</v>
      </c>
      <c r="I48" s="54">
        <f t="shared" si="21"/>
        <v>232050.40155214348</v>
      </c>
      <c r="J48" s="122">
        <f>(References!$C$49*I48)</f>
        <v>1740.3780116410776</v>
      </c>
      <c r="K48" s="122">
        <f>J48/References!$G$52</f>
        <v>1791.802750582804</v>
      </c>
      <c r="L48" s="109">
        <v>77.33</v>
      </c>
      <c r="M48" s="77">
        <f t="shared" si="35"/>
        <v>4.3072181504394331</v>
      </c>
      <c r="N48" s="139">
        <f t="shared" si="22"/>
        <v>81.64</v>
      </c>
      <c r="O48" s="122">
        <f t="shared" si="23"/>
        <v>32169.279999999999</v>
      </c>
      <c r="P48" s="122">
        <f t="shared" si="27"/>
        <v>33962.239999999998</v>
      </c>
      <c r="Q48" s="122">
        <f t="shared" si="36"/>
        <v>1792.9599999999991</v>
      </c>
      <c r="R48" s="129">
        <f t="shared" si="6"/>
        <v>5.5735160998318989E-2</v>
      </c>
      <c r="T48" s="138">
        <f t="shared" si="33"/>
        <v>84.24</v>
      </c>
      <c r="V48" s="77">
        <f t="shared" si="37"/>
        <v>96.702246619360039</v>
      </c>
      <c r="Y48" s="77">
        <v>91.597069219440357</v>
      </c>
    </row>
    <row r="49" spans="1:25" s="70" customFormat="1">
      <c r="A49" s="156"/>
      <c r="B49" s="55">
        <v>30</v>
      </c>
      <c r="C49" s="112" t="s">
        <v>118</v>
      </c>
      <c r="D49" s="67">
        <v>13</v>
      </c>
      <c r="E49" s="79">
        <f>+E47</f>
        <v>4.3330000000000002</v>
      </c>
      <c r="F49" s="117">
        <f t="shared" si="25"/>
        <v>676</v>
      </c>
      <c r="G49" s="114">
        <f>+References!B32</f>
        <v>840</v>
      </c>
      <c r="H49" s="78">
        <f t="shared" si="34"/>
        <v>567840</v>
      </c>
      <c r="I49" s="54">
        <f t="shared" si="21"/>
        <v>516719.08339098835</v>
      </c>
      <c r="J49" s="122">
        <f>(References!$C$49*I49)</f>
        <v>3875.3931254324161</v>
      </c>
      <c r="K49" s="122">
        <f>J49/References!$G$52</f>
        <v>3989.9033516240256</v>
      </c>
      <c r="L49" s="109">
        <v>108.04</v>
      </c>
      <c r="M49" s="77">
        <f t="shared" si="35"/>
        <v>5.9022238929349493</v>
      </c>
      <c r="N49" s="139">
        <f t="shared" si="22"/>
        <v>113.94</v>
      </c>
      <c r="O49" s="122">
        <f t="shared" si="23"/>
        <v>73035.040000000008</v>
      </c>
      <c r="P49" s="122">
        <f>+F49*N49</f>
        <v>77023.44</v>
      </c>
      <c r="Q49" s="122">
        <f t="shared" si="36"/>
        <v>3988.3999999999942</v>
      </c>
      <c r="R49" s="129">
        <f t="shared" si="6"/>
        <v>5.4609403924472444E-2</v>
      </c>
      <c r="T49" s="138">
        <f t="shared" si="33"/>
        <v>116.53999999999999</v>
      </c>
      <c r="V49" s="77">
        <f t="shared" si="37"/>
        <v>128.37618272361618</v>
      </c>
      <c r="Y49" s="77">
        <v>121.72865351465238</v>
      </c>
    </row>
    <row r="50" spans="1:25" s="70" customFormat="1">
      <c r="A50" s="156"/>
      <c r="B50" s="55">
        <v>30</v>
      </c>
      <c r="C50" s="112" t="s">
        <v>139</v>
      </c>
      <c r="D50" s="67">
        <v>2</v>
      </c>
      <c r="E50" s="79">
        <f>+E48</f>
        <v>8.6660000000000004</v>
      </c>
      <c r="F50" s="117">
        <f t="shared" si="25"/>
        <v>208</v>
      </c>
      <c r="G50" s="114">
        <f>+G49</f>
        <v>840</v>
      </c>
      <c r="H50" s="78">
        <f t="shared" si="34"/>
        <v>174720</v>
      </c>
      <c r="I50" s="54">
        <f t="shared" si="21"/>
        <v>158990.48719722719</v>
      </c>
      <c r="J50" s="122">
        <f>(References!$C$49*I50)</f>
        <v>1192.4286539792049</v>
      </c>
      <c r="K50" s="122">
        <f>J50/References!$G$52</f>
        <v>1227.6625697304694</v>
      </c>
      <c r="L50" s="109">
        <v>108.04</v>
      </c>
      <c r="M50" s="77">
        <f t="shared" si="35"/>
        <v>5.9022238929349493</v>
      </c>
      <c r="N50" s="139">
        <f t="shared" si="22"/>
        <v>113.94</v>
      </c>
      <c r="O50" s="122">
        <f t="shared" si="23"/>
        <v>22472.32</v>
      </c>
      <c r="P50" s="122">
        <f t="shared" si="27"/>
        <v>23699.52</v>
      </c>
      <c r="Q50" s="122">
        <f t="shared" si="36"/>
        <v>1227.2000000000007</v>
      </c>
      <c r="R50" s="129">
        <f t="shared" si="6"/>
        <v>5.4609403924472444E-2</v>
      </c>
      <c r="T50" s="138">
        <f t="shared" si="33"/>
        <v>116.53999999999999</v>
      </c>
      <c r="V50" s="77">
        <f t="shared" si="37"/>
        <v>128.37618272361618</v>
      </c>
      <c r="Y50" s="77">
        <v>121.72865351465238</v>
      </c>
    </row>
    <row r="51" spans="1:25" s="70" customFormat="1">
      <c r="A51" s="156"/>
      <c r="B51" s="55">
        <v>30</v>
      </c>
      <c r="C51" s="112" t="s">
        <v>119</v>
      </c>
      <c r="D51" s="67">
        <v>14</v>
      </c>
      <c r="E51" s="79">
        <f>+E49</f>
        <v>4.3330000000000002</v>
      </c>
      <c r="F51" s="117">
        <f t="shared" si="25"/>
        <v>728</v>
      </c>
      <c r="G51" s="114">
        <f>+G50</f>
        <v>840</v>
      </c>
      <c r="H51" s="78">
        <f t="shared" si="34"/>
        <v>611520</v>
      </c>
      <c r="I51" s="54">
        <f t="shared" si="21"/>
        <v>556466.70519029512</v>
      </c>
      <c r="J51" s="122">
        <f>(References!$C$49*I51)</f>
        <v>4173.5002889272173</v>
      </c>
      <c r="K51" s="122">
        <f>J51/References!$G$52</f>
        <v>4296.8189940566426</v>
      </c>
      <c r="L51" s="109">
        <v>108.04</v>
      </c>
      <c r="M51" s="77">
        <f t="shared" si="35"/>
        <v>5.9022238929349484</v>
      </c>
      <c r="N51" s="139">
        <f t="shared" si="22"/>
        <v>113.94</v>
      </c>
      <c r="O51" s="122">
        <f t="shared" si="23"/>
        <v>78653.12000000001</v>
      </c>
      <c r="P51" s="122">
        <f t="shared" si="27"/>
        <v>82948.319999999992</v>
      </c>
      <c r="Q51" s="122">
        <f t="shared" si="36"/>
        <v>4295.1999999999825</v>
      </c>
      <c r="R51" s="129">
        <f t="shared" si="6"/>
        <v>5.4609403924472444E-2</v>
      </c>
      <c r="T51" s="138">
        <f t="shared" si="33"/>
        <v>116.53999999999999</v>
      </c>
      <c r="V51" s="77">
        <f t="shared" si="37"/>
        <v>128.37618272361618</v>
      </c>
      <c r="Y51" s="77">
        <v>121.72865351465238</v>
      </c>
    </row>
    <row r="52" spans="1:25" s="70" customFormat="1">
      <c r="A52" s="156"/>
      <c r="B52" s="55">
        <v>30</v>
      </c>
      <c r="C52" s="113" t="s">
        <v>120</v>
      </c>
      <c r="D52" s="67">
        <v>3</v>
      </c>
      <c r="E52" s="79">
        <f>+E51</f>
        <v>4.3330000000000002</v>
      </c>
      <c r="F52" s="117">
        <f t="shared" si="25"/>
        <v>156</v>
      </c>
      <c r="G52" s="114">
        <f>+G51</f>
        <v>840</v>
      </c>
      <c r="H52" s="78">
        <f t="shared" si="34"/>
        <v>131040</v>
      </c>
      <c r="I52" s="54">
        <f t="shared" si="21"/>
        <v>119242.8653979204</v>
      </c>
      <c r="J52" s="122">
        <f>(References!$C$49*I52)</f>
        <v>894.32149048440374</v>
      </c>
      <c r="K52" s="122">
        <f>J52/References!$G$52</f>
        <v>920.74692729785204</v>
      </c>
      <c r="L52" s="109">
        <v>108.04</v>
      </c>
      <c r="M52" s="77">
        <f t="shared" si="35"/>
        <v>5.9022238929349493</v>
      </c>
      <c r="N52" s="139">
        <f t="shared" si="22"/>
        <v>113.94</v>
      </c>
      <c r="O52" s="122">
        <f t="shared" si="23"/>
        <v>16854.240000000002</v>
      </c>
      <c r="P52" s="122">
        <f t="shared" si="27"/>
        <v>17774.64</v>
      </c>
      <c r="Q52" s="122">
        <f t="shared" si="36"/>
        <v>920.39999999999782</v>
      </c>
      <c r="R52" s="129">
        <f t="shared" si="6"/>
        <v>5.4609403924472444E-2</v>
      </c>
      <c r="T52" s="138">
        <f t="shared" si="33"/>
        <v>116.53999999999999</v>
      </c>
      <c r="V52" s="77">
        <f t="shared" si="37"/>
        <v>128.37618272361618</v>
      </c>
      <c r="Y52" s="77">
        <v>121.72865351465238</v>
      </c>
    </row>
    <row r="53" spans="1:25" s="70" customFormat="1">
      <c r="A53" s="156"/>
      <c r="B53" s="55">
        <v>30</v>
      </c>
      <c r="C53" s="112" t="s">
        <v>140</v>
      </c>
      <c r="D53" s="67">
        <v>2</v>
      </c>
      <c r="E53" s="79">
        <v>1</v>
      </c>
      <c r="F53" s="117">
        <f t="shared" si="25"/>
        <v>24</v>
      </c>
      <c r="G53" s="114">
        <f>+References!B33</f>
        <v>980</v>
      </c>
      <c r="H53" s="78">
        <f t="shared" si="34"/>
        <v>23520</v>
      </c>
      <c r="I53" s="54">
        <f t="shared" si="21"/>
        <v>21402.565584242122</v>
      </c>
      <c r="J53" s="122">
        <f>(References!$C$49*I53)</f>
        <v>160.51924188181604</v>
      </c>
      <c r="K53" s="122">
        <f>J53/References!$G$52</f>
        <v>165.26226900217856</v>
      </c>
      <c r="L53" s="109">
        <v>133.28</v>
      </c>
      <c r="M53" s="77">
        <f t="shared" si="35"/>
        <v>6.8859278750907729</v>
      </c>
      <c r="N53" s="139">
        <f t="shared" si="22"/>
        <v>140.16999999999999</v>
      </c>
      <c r="O53" s="122">
        <f t="shared" si="23"/>
        <v>3198.7200000000003</v>
      </c>
      <c r="P53" s="122">
        <f t="shared" si="27"/>
        <v>3364.08</v>
      </c>
      <c r="Q53" s="122">
        <f t="shared" si="36"/>
        <v>165.35999999999967</v>
      </c>
      <c r="R53" s="129">
        <f t="shared" si="6"/>
        <v>5.1695678271308498E-2</v>
      </c>
      <c r="T53" s="138">
        <f t="shared" si="33"/>
        <v>142.76999999999998</v>
      </c>
      <c r="U53" s="77"/>
      <c r="V53" s="77">
        <f t="shared" si="37"/>
        <v>154.42052615265396</v>
      </c>
      <c r="Y53" s="77">
        <v>146.83004726850055</v>
      </c>
    </row>
    <row r="54" spans="1:25" s="70" customFormat="1">
      <c r="A54" s="156"/>
      <c r="B54" s="55">
        <v>30</v>
      </c>
      <c r="C54" s="112" t="s">
        <v>141</v>
      </c>
      <c r="D54" s="67">
        <v>2</v>
      </c>
      <c r="E54" s="79">
        <f>+E45</f>
        <v>2.1667000000000001</v>
      </c>
      <c r="F54" s="117">
        <f t="shared" si="25"/>
        <v>52</v>
      </c>
      <c r="G54" s="114">
        <f>+G53</f>
        <v>980</v>
      </c>
      <c r="H54" s="78">
        <f t="shared" si="34"/>
        <v>50960</v>
      </c>
      <c r="I54" s="54">
        <f t="shared" si="21"/>
        <v>46372.225432524596</v>
      </c>
      <c r="J54" s="122">
        <f>(References!$C$49*I54)</f>
        <v>347.79169074393479</v>
      </c>
      <c r="K54" s="122">
        <f>J54/References!$G$52</f>
        <v>358.06824950472026</v>
      </c>
      <c r="L54" s="109">
        <v>133.28</v>
      </c>
      <c r="M54" s="77">
        <f t="shared" si="35"/>
        <v>6.8859278750907738</v>
      </c>
      <c r="N54" s="139">
        <f t="shared" si="22"/>
        <v>140.16999999999999</v>
      </c>
      <c r="O54" s="122">
        <f t="shared" si="23"/>
        <v>6930.56</v>
      </c>
      <c r="P54" s="122">
        <f t="shared" si="27"/>
        <v>7288.8399999999992</v>
      </c>
      <c r="Q54" s="122">
        <f t="shared" si="36"/>
        <v>358.27999999999884</v>
      </c>
      <c r="R54" s="129">
        <f t="shared" si="6"/>
        <v>5.1695678271308498E-2</v>
      </c>
      <c r="T54" s="138">
        <f t="shared" si="33"/>
        <v>142.76999999999998</v>
      </c>
      <c r="U54" s="77"/>
      <c r="V54" s="77">
        <f t="shared" si="37"/>
        <v>154.42052615265396</v>
      </c>
      <c r="Y54" s="77">
        <v>146.83004726850055</v>
      </c>
    </row>
    <row r="55" spans="1:25" s="70" customFormat="1">
      <c r="A55" s="156"/>
      <c r="B55" s="55">
        <v>30</v>
      </c>
      <c r="C55" s="112" t="s">
        <v>121</v>
      </c>
      <c r="D55" s="67">
        <v>4</v>
      </c>
      <c r="E55" s="79">
        <f>+E52</f>
        <v>4.3330000000000002</v>
      </c>
      <c r="F55" s="117">
        <f t="shared" si="25"/>
        <v>208</v>
      </c>
      <c r="G55" s="114">
        <f>+G54</f>
        <v>980</v>
      </c>
      <c r="H55" s="78">
        <f t="shared" si="34"/>
        <v>203840</v>
      </c>
      <c r="I55" s="54">
        <f t="shared" si="21"/>
        <v>185488.90173009838</v>
      </c>
      <c r="J55" s="122">
        <f>(References!$C$49*I55)</f>
        <v>1391.1667629757392</v>
      </c>
      <c r="K55" s="122">
        <f>J55/References!$G$52</f>
        <v>1432.272998018881</v>
      </c>
      <c r="L55" s="109">
        <v>133.28</v>
      </c>
      <c r="M55" s="77">
        <f t="shared" si="35"/>
        <v>6.8859278750907738</v>
      </c>
      <c r="N55" s="139">
        <f t="shared" si="22"/>
        <v>140.16999999999999</v>
      </c>
      <c r="O55" s="122">
        <f t="shared" si="23"/>
        <v>27722.240000000002</v>
      </c>
      <c r="P55" s="122">
        <f t="shared" si="27"/>
        <v>29155.359999999997</v>
      </c>
      <c r="Q55" s="122">
        <f t="shared" si="36"/>
        <v>1433.1199999999953</v>
      </c>
      <c r="R55" s="129">
        <f t="shared" si="6"/>
        <v>5.1695678271308498E-2</v>
      </c>
      <c r="T55" s="138">
        <f t="shared" si="33"/>
        <v>142.76999999999998</v>
      </c>
      <c r="V55" s="77">
        <f t="shared" si="37"/>
        <v>154.42052615265396</v>
      </c>
      <c r="Y55" s="77">
        <v>146.83004726850055</v>
      </c>
    </row>
    <row r="56" spans="1:25" s="70" customFormat="1">
      <c r="A56" s="156"/>
      <c r="B56" s="55">
        <v>30</v>
      </c>
      <c r="C56" s="112" t="s">
        <v>122</v>
      </c>
      <c r="D56" s="67">
        <v>2</v>
      </c>
      <c r="E56" s="79">
        <f>+E50</f>
        <v>8.6660000000000004</v>
      </c>
      <c r="F56" s="117">
        <f t="shared" si="25"/>
        <v>208</v>
      </c>
      <c r="G56" s="114">
        <f>+G55</f>
        <v>980</v>
      </c>
      <c r="H56" s="78">
        <f t="shared" si="34"/>
        <v>203840</v>
      </c>
      <c r="I56" s="54">
        <f t="shared" si="21"/>
        <v>185488.90173009838</v>
      </c>
      <c r="J56" s="122">
        <f>(References!$C$49*I56)</f>
        <v>1391.1667629757392</v>
      </c>
      <c r="K56" s="122">
        <f>J56/References!$G$52</f>
        <v>1432.272998018881</v>
      </c>
      <c r="L56" s="109">
        <v>133.28</v>
      </c>
      <c r="M56" s="77">
        <f t="shared" si="35"/>
        <v>6.8859278750907738</v>
      </c>
      <c r="N56" s="139">
        <f t="shared" si="22"/>
        <v>140.16999999999999</v>
      </c>
      <c r="O56" s="122">
        <f t="shared" si="23"/>
        <v>27722.240000000002</v>
      </c>
      <c r="P56" s="122">
        <f t="shared" si="27"/>
        <v>29155.359999999997</v>
      </c>
      <c r="Q56" s="122">
        <f t="shared" si="36"/>
        <v>1433.1199999999953</v>
      </c>
      <c r="R56" s="129">
        <f t="shared" si="6"/>
        <v>5.1695678271308498E-2</v>
      </c>
      <c r="T56" s="138">
        <f t="shared" si="33"/>
        <v>142.76999999999998</v>
      </c>
      <c r="V56" s="77">
        <f t="shared" si="37"/>
        <v>154.42052615265396</v>
      </c>
      <c r="Y56" s="77">
        <v>146.83004726850055</v>
      </c>
    </row>
    <row r="57" spans="1:25" s="70" customFormat="1">
      <c r="A57" s="156"/>
      <c r="B57" s="55">
        <v>33</v>
      </c>
      <c r="C57" s="112" t="s">
        <v>149</v>
      </c>
      <c r="D57" s="67">
        <v>0.1</v>
      </c>
      <c r="E57" s="79">
        <v>4.3330000000000002</v>
      </c>
      <c r="F57" s="117">
        <f t="shared" ref="F57:F58" si="39">ROUND(+E57*D57*12,0)</f>
        <v>5</v>
      </c>
      <c r="G57" s="114">
        <f>+References!B38</f>
        <v>1686</v>
      </c>
      <c r="H57" s="78">
        <f t="shared" ref="H57:H58" si="40">F57*G57</f>
        <v>8430</v>
      </c>
      <c r="I57" s="54">
        <f t="shared" ref="I57:I58" si="41">$D$71*H57</f>
        <v>7671.0726137398415</v>
      </c>
      <c r="J57" s="122">
        <f>(References!$C$49*I57)</f>
        <v>57.533044603048864</v>
      </c>
      <c r="K57" s="122">
        <f>J57/References!$G$52</f>
        <v>59.233032639811448</v>
      </c>
      <c r="L57" s="109">
        <v>170.05</v>
      </c>
      <c r="M57" s="77">
        <f t="shared" ref="M57:M58" si="42">K57/F57</f>
        <v>11.84660652796229</v>
      </c>
      <c r="N57" s="139">
        <f t="shared" ref="N57:N58" si="43">ROUND(M57+L57,2)</f>
        <v>181.9</v>
      </c>
      <c r="O57" s="122">
        <f t="shared" si="23"/>
        <v>850.25</v>
      </c>
      <c r="P57" s="122">
        <f t="shared" si="27"/>
        <v>909.5</v>
      </c>
      <c r="Q57" s="122">
        <f t="shared" ref="Q57:Q58" si="44">P57-O57</f>
        <v>59.25</v>
      </c>
      <c r="R57" s="129">
        <f t="shared" si="6"/>
        <v>6.9685386650985004E-2</v>
      </c>
      <c r="T57" s="138">
        <f>+N57+2.6</f>
        <v>184.5</v>
      </c>
      <c r="V57" s="77"/>
    </row>
    <row r="58" spans="1:25" s="70" customFormat="1">
      <c r="A58" s="156"/>
      <c r="B58" s="55">
        <v>33</v>
      </c>
      <c r="C58" s="112" t="s">
        <v>150</v>
      </c>
      <c r="D58" s="67">
        <v>0.1</v>
      </c>
      <c r="E58" s="79">
        <v>4.3330000000000002</v>
      </c>
      <c r="F58" s="117">
        <f t="shared" si="39"/>
        <v>5</v>
      </c>
      <c r="G58" s="114">
        <f>+References!B40</f>
        <v>2310</v>
      </c>
      <c r="H58" s="78">
        <f t="shared" si="40"/>
        <v>11550</v>
      </c>
      <c r="I58" s="54">
        <f t="shared" si="41"/>
        <v>10510.18845654747</v>
      </c>
      <c r="J58" s="122">
        <f>(References!$C$49*I58)</f>
        <v>78.826413424106093</v>
      </c>
      <c r="K58" s="122">
        <f>J58/References!$G$52</f>
        <v>81.155578527855539</v>
      </c>
      <c r="L58" s="109">
        <v>237.57</v>
      </c>
      <c r="M58" s="77">
        <f t="shared" si="42"/>
        <v>16.231115705571106</v>
      </c>
      <c r="N58" s="139">
        <f t="shared" si="43"/>
        <v>253.8</v>
      </c>
      <c r="O58" s="122">
        <f t="shared" si="23"/>
        <v>1187.8499999999999</v>
      </c>
      <c r="P58" s="122">
        <f t="shared" si="27"/>
        <v>1269</v>
      </c>
      <c r="Q58" s="122">
        <f t="shared" si="44"/>
        <v>81.150000000000091</v>
      </c>
      <c r="R58" s="129">
        <f t="shared" si="6"/>
        <v>6.8316706654880655E-2</v>
      </c>
      <c r="T58" s="138">
        <f>+N58+2.6</f>
        <v>256.40000000000003</v>
      </c>
      <c r="V58" s="77"/>
    </row>
    <row r="59" spans="1:25" s="70" customFormat="1">
      <c r="A59" s="156"/>
      <c r="B59" s="55">
        <v>24</v>
      </c>
      <c r="C59" s="112" t="s">
        <v>123</v>
      </c>
      <c r="D59" s="67">
        <v>9</v>
      </c>
      <c r="E59" s="79">
        <v>1</v>
      </c>
      <c r="F59" s="117">
        <f t="shared" si="25"/>
        <v>108</v>
      </c>
      <c r="G59" s="114">
        <f>+References!B42</f>
        <v>125</v>
      </c>
      <c r="H59" s="78">
        <f t="shared" si="34"/>
        <v>13500</v>
      </c>
      <c r="I59" s="54">
        <f>$D$71*H59</f>
        <v>12284.635858302237</v>
      </c>
      <c r="J59" s="122">
        <f>(References!$C$49*I59)</f>
        <v>92.13476893726687</v>
      </c>
      <c r="K59" s="122">
        <f>J59/References!$G$52</f>
        <v>94.857169707883116</v>
      </c>
      <c r="L59" s="109">
        <v>24.88</v>
      </c>
      <c r="M59" s="77">
        <f t="shared" si="35"/>
        <v>0.8783071269248437</v>
      </c>
      <c r="N59" s="139">
        <f t="shared" si="22"/>
        <v>25.76</v>
      </c>
      <c r="O59" s="122">
        <f t="shared" si="23"/>
        <v>2687.04</v>
      </c>
      <c r="P59" s="122">
        <f t="shared" si="27"/>
        <v>2782.0800000000004</v>
      </c>
      <c r="Q59" s="122">
        <f t="shared" si="36"/>
        <v>95.040000000000418</v>
      </c>
      <c r="R59" s="129">
        <f t="shared" si="6"/>
        <v>3.5369774919614239E-2</v>
      </c>
      <c r="V59" s="77"/>
    </row>
    <row r="60" spans="1:25" s="70" customFormat="1">
      <c r="A60" s="58"/>
      <c r="B60" s="56"/>
      <c r="C60" s="60" t="s">
        <v>15</v>
      </c>
      <c r="D60" s="61">
        <f>SUM(D21:D59)</f>
        <v>321.20000000000005</v>
      </c>
      <c r="E60" s="61"/>
      <c r="F60" s="61">
        <f>SUM(F21:F59)</f>
        <v>15072</v>
      </c>
      <c r="G60" s="61"/>
      <c r="H60" s="61">
        <f>SUM(H21:H59)</f>
        <v>5928330</v>
      </c>
      <c r="I60" s="65">
        <f>SUM(I21:I59)</f>
        <v>5394620.392433255</v>
      </c>
      <c r="J60" s="123">
        <f>SUM(J21:J59)</f>
        <v>40459.652943249421</v>
      </c>
      <c r="K60" s="123">
        <f>SUM(K21:K59)</f>
        <v>41655.15591809887</v>
      </c>
      <c r="L60" s="81"/>
      <c r="M60" s="81"/>
      <c r="N60" s="81"/>
      <c r="O60" s="123">
        <f>SUM(O21:O59)</f>
        <v>793363.24000000011</v>
      </c>
      <c r="P60" s="81">
        <f>SUM(P21:P59)</f>
        <v>835015.97999999986</v>
      </c>
      <c r="Q60" s="123">
        <f>SUM(Q21:Q59)</f>
        <v>41652.739999999947</v>
      </c>
      <c r="R60" s="130">
        <f>+Q60/O60</f>
        <v>5.2501474608276456E-2</v>
      </c>
      <c r="T60" s="157" t="s">
        <v>157</v>
      </c>
      <c r="U60" s="158"/>
      <c r="V60" s="158"/>
      <c r="W60" s="158"/>
    </row>
    <row r="61" spans="1:25">
      <c r="C61" s="73" t="s">
        <v>3</v>
      </c>
      <c r="D61" s="74">
        <f>D20+D60</f>
        <v>3583.2</v>
      </c>
      <c r="E61" s="74"/>
      <c r="F61" s="94">
        <f>F20+F60</f>
        <v>168352</v>
      </c>
      <c r="G61" s="74"/>
      <c r="H61" s="74">
        <f>H20+H60</f>
        <v>12525646</v>
      </c>
      <c r="I61" s="74">
        <f>I20+I60</f>
        <v>11398000.000000002</v>
      </c>
      <c r="J61" s="124">
        <f t="shared" ref="J61:K61" si="45">J20+J60</f>
        <v>85485.000000000058</v>
      </c>
      <c r="K61" s="124">
        <f t="shared" si="45"/>
        <v>88010.913209101273</v>
      </c>
      <c r="L61" s="83"/>
      <c r="M61" s="83"/>
      <c r="N61" s="83"/>
      <c r="O61" s="124">
        <f>O20+O60</f>
        <v>1575937.4675394658</v>
      </c>
      <c r="P61" s="124">
        <f>P20+P60</f>
        <v>1663514.2698209812</v>
      </c>
      <c r="Q61" s="124">
        <f>Q20+Q60</f>
        <v>87576.802281515804</v>
      </c>
      <c r="R61" s="137">
        <f>+Q61/O61</f>
        <v>5.5571241934015789E-2</v>
      </c>
      <c r="T61" s="158"/>
      <c r="U61" s="158"/>
      <c r="V61" s="158"/>
      <c r="W61" s="158"/>
    </row>
    <row r="62" spans="1:25">
      <c r="C62" s="73"/>
      <c r="D62" s="74"/>
      <c r="E62" s="74"/>
      <c r="F62" s="94"/>
      <c r="G62" s="74"/>
      <c r="H62" s="74"/>
      <c r="I62" s="74"/>
      <c r="J62" s="124"/>
      <c r="K62" s="124"/>
      <c r="L62" s="83"/>
      <c r="M62" s="83"/>
      <c r="N62" s="83"/>
      <c r="O62" s="124"/>
      <c r="P62" s="124"/>
      <c r="Q62" s="124"/>
      <c r="R62" s="137"/>
      <c r="T62" s="141"/>
      <c r="U62" s="141"/>
      <c r="V62" s="149"/>
      <c r="W62" s="141"/>
    </row>
    <row r="63" spans="1:25">
      <c r="C63" s="73"/>
      <c r="D63" s="74"/>
      <c r="E63" s="74"/>
      <c r="F63" s="94"/>
      <c r="G63" s="74"/>
      <c r="H63" s="74"/>
      <c r="I63" s="74"/>
      <c r="J63" s="124"/>
      <c r="K63" s="124"/>
      <c r="L63" s="83"/>
      <c r="M63" s="83"/>
      <c r="N63" s="83"/>
      <c r="O63" s="142"/>
      <c r="P63" s="142"/>
      <c r="Q63" s="124"/>
      <c r="R63" s="137"/>
      <c r="T63" s="141"/>
      <c r="U63" s="141"/>
      <c r="V63" s="149"/>
      <c r="W63" s="141"/>
    </row>
    <row r="64" spans="1:25">
      <c r="J64" s="122"/>
    </row>
    <row r="65" spans="1:16">
      <c r="A65" s="72"/>
      <c r="C65" s="75"/>
    </row>
    <row r="66" spans="1:16">
      <c r="A66" s="72"/>
      <c r="C66" s="154" t="s">
        <v>79</v>
      </c>
      <c r="D66" s="154"/>
      <c r="E66" s="89"/>
      <c r="F66" s="89"/>
      <c r="H66" s="92" t="s">
        <v>87</v>
      </c>
    </row>
    <row r="67" spans="1:16">
      <c r="A67" s="72"/>
      <c r="D67" s="66" t="s">
        <v>15</v>
      </c>
      <c r="E67" s="44"/>
      <c r="F67" s="44"/>
      <c r="H67" s="90" t="s">
        <v>88</v>
      </c>
      <c r="O67" s="40"/>
      <c r="P67" s="47"/>
    </row>
    <row r="68" spans="1:16">
      <c r="A68" s="72"/>
      <c r="C68" s="68" t="s">
        <v>29</v>
      </c>
      <c r="D68" s="76">
        <f>+D77</f>
        <v>5699</v>
      </c>
      <c r="G68" s="51"/>
      <c r="H68" s="91" t="s">
        <v>89</v>
      </c>
      <c r="O68" s="40"/>
      <c r="P68" s="93"/>
    </row>
    <row r="69" spans="1:16">
      <c r="A69" s="72"/>
      <c r="C69" s="68" t="s">
        <v>30</v>
      </c>
      <c r="D69" s="42">
        <f>D68*2000</f>
        <v>11398000</v>
      </c>
      <c r="E69" s="42"/>
      <c r="F69" s="42"/>
      <c r="G69" s="42"/>
      <c r="H69" s="100" t="s">
        <v>91</v>
      </c>
      <c r="O69" s="40"/>
      <c r="P69" s="93"/>
    </row>
    <row r="70" spans="1:16">
      <c r="A70" s="72"/>
      <c r="C70" s="68" t="s">
        <v>4</v>
      </c>
      <c r="D70" s="42">
        <f>F20+F60</f>
        <v>168352</v>
      </c>
      <c r="E70" s="67"/>
      <c r="F70" s="67"/>
      <c r="G70" s="67"/>
      <c r="H70" s="101" t="s">
        <v>92</v>
      </c>
      <c r="O70" s="40"/>
      <c r="P70" s="93"/>
    </row>
    <row r="71" spans="1:16">
      <c r="C71" s="48" t="s">
        <v>11</v>
      </c>
      <c r="D71" s="41">
        <f>D69/$H$61</f>
        <v>0.9099730265409065</v>
      </c>
      <c r="E71" s="41"/>
      <c r="F71" s="41"/>
      <c r="G71" s="41"/>
      <c r="H71" s="37"/>
      <c r="L71" s="46"/>
      <c r="N71" s="46"/>
      <c r="O71" s="40"/>
      <c r="P71" s="45"/>
    </row>
    <row r="72" spans="1:16">
      <c r="G72" s="50"/>
      <c r="H72" s="38"/>
      <c r="L72" s="49"/>
      <c r="N72" s="36"/>
      <c r="P72" s="37"/>
    </row>
    <row r="73" spans="1:16">
      <c r="D73" s="40"/>
      <c r="E73" s="39"/>
      <c r="G73" s="50"/>
      <c r="H73" s="38"/>
      <c r="L73" s="49"/>
      <c r="N73" s="36"/>
      <c r="P73" s="37"/>
    </row>
    <row r="74" spans="1:16">
      <c r="B74" s="131" t="s">
        <v>124</v>
      </c>
      <c r="D74" s="40"/>
      <c r="E74" s="39"/>
      <c r="G74" s="50"/>
      <c r="H74" s="38"/>
      <c r="L74" s="49"/>
      <c r="N74" s="36"/>
      <c r="P74" s="37"/>
    </row>
    <row r="75" spans="1:16">
      <c r="C75" s="68" t="s">
        <v>12</v>
      </c>
      <c r="D75" s="67">
        <v>1936</v>
      </c>
      <c r="I75" s="68"/>
    </row>
    <row r="76" spans="1:16" ht="16">
      <c r="C76" s="68" t="s">
        <v>13</v>
      </c>
      <c r="D76" s="118">
        <v>3763</v>
      </c>
      <c r="E76" s="47"/>
      <c r="I76" s="68"/>
    </row>
    <row r="77" spans="1:16" ht="16">
      <c r="D77" s="119">
        <f>SUM(D75:D76)</f>
        <v>5699</v>
      </c>
      <c r="I77" s="68"/>
    </row>
    <row r="78" spans="1:16">
      <c r="D78" s="68"/>
      <c r="I78" s="68"/>
    </row>
    <row r="79" spans="1:16" ht="16">
      <c r="C79" s="68" t="s">
        <v>142</v>
      </c>
      <c r="D79" s="118">
        <v>2561</v>
      </c>
    </row>
    <row r="81" spans="4:18" ht="16">
      <c r="D81" s="132">
        <f>+D79+D77</f>
        <v>8260</v>
      </c>
    </row>
    <row r="83" spans="4:18">
      <c r="R83" s="68" t="s">
        <v>159</v>
      </c>
    </row>
  </sheetData>
  <mergeCells count="5">
    <mergeCell ref="C66:D66"/>
    <mergeCell ref="A3:A17"/>
    <mergeCell ref="A21:A59"/>
    <mergeCell ref="T60:W61"/>
    <mergeCell ref="T2:V2"/>
  </mergeCells>
  <phoneticPr fontId="65" type="noConversion"/>
  <pageMargins left="0.2" right="0.22" top="0.63" bottom="0.34" header="0.19" footer="0.17"/>
  <pageSetup scale="48" fitToHeight="0" orientation="landscape" r:id="rId1"/>
  <headerFooter>
    <oddHeader>&amp;C&amp;"-,Bold"&amp;12Murrey's Disposal Co, Inc&amp;"-,Regular"
Disposal Fee Staff Calculations</oddHeader>
    <oddFooter>&amp;L&amp;F - &amp;A&amp;C&amp;D&amp;R&amp;P of 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2024-09-17T07:00:00+00:00</OpenedDate>
    <SignificantOrder xmlns="dc463f71-b30c-4ab2-9473-d307f9d35888">false</SignificantOrder>
    <Date1 xmlns="dc463f71-b30c-4ab2-9473-d307f9d35888">2024-09-17T07:00:00+00:00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Waste Management of Washington, Inc.  </CaseCompanyNames>
    <Nickname xmlns="http://schemas.microsoft.com/sharepoint/v3" xsi:nil="true"/>
    <DocketNumber xmlns="dc463f71-b30c-4ab2-9473-d307f9d35888">240719</DocketNumber>
    <DelegatedOrder xmlns="dc463f71-b30c-4ab2-9473-d307f9d35888">false</Delegated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B724C4FAA239F45BE6884553677265F" ma:contentTypeVersion="16" ma:contentTypeDescription="" ma:contentTypeScope="" ma:versionID="a4c97c6928a8fefb1f731eebf092698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67946F6-253B-40F3-ADF9-DBD760147FC0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33932B8-2FD4-428E-A953-06313CAD30EC}"/>
</file>

<file path=customXml/itemProps3.xml><?xml version="1.0" encoding="utf-8"?>
<ds:datastoreItem xmlns:ds="http://schemas.openxmlformats.org/officeDocument/2006/customXml" ds:itemID="{9A7CCDAC-5E1F-495F-8818-BFE4B069189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436F875-52BB-4815-865B-00AF4C5697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References</vt:lpstr>
      <vt:lpstr>Calc. per Staff format</vt:lpstr>
      <vt:lpstr>'Calc. per Staff format'!Print_Area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Young</dc:creator>
  <cp:lastModifiedBy>Burmester, Evan</cp:lastModifiedBy>
  <cp:lastPrinted>2016-06-27T17:35:33Z</cp:lastPrinted>
  <dcterms:created xsi:type="dcterms:W3CDTF">2013-10-29T22:33:54Z</dcterms:created>
  <dcterms:modified xsi:type="dcterms:W3CDTF">2024-09-16T23:41:44Z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0x0101006E56B4D1795A2E4DB2F0B01679ED314A00DB724C4FAA239F45BE6884553677265F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_docset_NoMedatataSyncRequired">
    <vt:lpwstr>False</vt:lpwstr>
  </property>
</Properties>
</file>