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_FIN\MF\Other\Regulation\Capital Structure\"/>
    </mc:Choice>
  </mc:AlternateContent>
  <xr:revisionPtr revIDLastSave="0" documentId="8_{999BC58C-6F1A-496F-AD79-BF63DC413137}" xr6:coauthVersionLast="47" xr6:coauthVersionMax="47" xr10:uidLastSave="{00000000-0000-0000-0000-000000000000}"/>
  <bookViews>
    <workbookView xWindow="-28920" yWindow="-120" windowWidth="29040" windowHeight="15840" xr2:uid="{D209D397-C908-402D-8E45-2DFF9D338B07}"/>
  </bookViews>
  <sheets>
    <sheet name="New Format" sheetId="18" r:id="rId1"/>
    <sheet name="2022 % Cap Struc-5QE Ave   " sheetId="11" r:id="rId2"/>
    <sheet name="LTD WAC -123122 detail" sheetId="12" r:id="rId3"/>
    <sheet name="LTD WAC -093022 detail" sheetId="13" r:id="rId4"/>
    <sheet name="LTD WAC -063022 detail" sheetId="14" r:id="rId5"/>
    <sheet name="LTD WAC -033122 detail" sheetId="15" r:id="rId6"/>
    <sheet name="LTD WAC -123121 detail" sheetId="16" r:id="rId7"/>
    <sheet name="Credit Agrmt Exp - 2022 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5">[1]Summary!#REF!</definedName>
    <definedName name="\C" localSheetId="4">[2]Summary!#REF!</definedName>
    <definedName name="\C" localSheetId="3">[3]Summary!#REF!</definedName>
    <definedName name="\C" localSheetId="6">[4]Summary!#REF!</definedName>
    <definedName name="\C" localSheetId="2">[5]Summary!#REF!</definedName>
    <definedName name="\C">#REF!</definedName>
    <definedName name="\F" localSheetId="1">#REF!</definedName>
    <definedName name="\F" localSheetId="5">#REF!</definedName>
    <definedName name="\F" localSheetId="4">#REF!</definedName>
    <definedName name="\F" localSheetId="3">#REF!</definedName>
    <definedName name="\F" localSheetId="6">#REF!</definedName>
    <definedName name="\F" localSheetId="2">#REF!</definedName>
    <definedName name="\F">#REF!</definedName>
    <definedName name="\P" localSheetId="1">#REF!</definedName>
    <definedName name="\P" localSheetId="5">[1]Summary!#REF!</definedName>
    <definedName name="\P" localSheetId="4">[2]Summary!#REF!</definedName>
    <definedName name="\P" localSheetId="3">[3]Summary!#REF!</definedName>
    <definedName name="\P" localSheetId="6">[4]Summary!#REF!</definedName>
    <definedName name="\P" localSheetId="2">[5]Summary!#REF!</definedName>
    <definedName name="\P">#REF!</definedName>
    <definedName name="_Fill" localSheetId="1" hidden="1">#REF!</definedName>
    <definedName name="_Fill" localSheetId="5" hidden="1">[1]Summary!#REF!</definedName>
    <definedName name="_Fill" localSheetId="4" hidden="1">[2]Summary!#REF!</definedName>
    <definedName name="_Fill" localSheetId="3" hidden="1">[3]Summary!#REF!</definedName>
    <definedName name="_Fill" localSheetId="6" hidden="1">[4]Summary!#REF!</definedName>
    <definedName name="_Fill" localSheetId="2" hidden="1">[5]Summary!#REF!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6" hidden="1">#REF!</definedName>
    <definedName name="_Sort" localSheetId="2" hidden="1">#REF!</definedName>
    <definedName name="_Sort" hidden="1">#REF!</definedName>
    <definedName name="date" localSheetId="1">#REF!</definedName>
    <definedName name="date" localSheetId="5">#REF!</definedName>
    <definedName name="date" localSheetId="4">#REF!</definedName>
    <definedName name="date" localSheetId="3">#REF!</definedName>
    <definedName name="date" localSheetId="6">#REF!</definedName>
    <definedName name="date" localSheetId="2">#REF!</definedName>
    <definedName name="date">#REF!</definedName>
    <definedName name="Forward_Rate" localSheetId="1">#REF!</definedName>
    <definedName name="Forward_Rate" localSheetId="5">[1]Summary!#REF!</definedName>
    <definedName name="Forward_Rate" localSheetId="4">[2]Summary!#REF!</definedName>
    <definedName name="Forward_Rate" localSheetId="3">[3]Summary!#REF!</definedName>
    <definedName name="Forward_Rate" localSheetId="6">[4]Summary!#REF!</definedName>
    <definedName name="Forward_Rate" localSheetId="2">[5]Summary!#REF!</definedName>
    <definedName name="Forward_Rate">#REF!</definedName>
    <definedName name="HEADING" localSheetId="1">#REF!</definedName>
    <definedName name="HEADING" localSheetId="5">#REF!</definedName>
    <definedName name="HEADING" localSheetId="4">#REF!</definedName>
    <definedName name="HEADING" localSheetId="3">#REF!</definedName>
    <definedName name="HEADING" localSheetId="6">#REF!</definedName>
    <definedName name="HEADING" localSheetId="2">#REF!</definedName>
    <definedName name="HEADING">#REF!</definedName>
    <definedName name="HEADING2" localSheetId="1">#REF!</definedName>
    <definedName name="HEADING2" localSheetId="5">#REF!</definedName>
    <definedName name="HEADING2" localSheetId="4">#REF!</definedName>
    <definedName name="HEADING2" localSheetId="3">#REF!</definedName>
    <definedName name="HEADING2" localSheetId="6">#REF!</definedName>
    <definedName name="HEADING2" localSheetId="2">#REF!</definedName>
    <definedName name="HEADING2">#REF!</definedName>
    <definedName name="PAGE1" localSheetId="1">#REF!</definedName>
    <definedName name="PAGE1" localSheetId="5">[1]Summary!#REF!</definedName>
    <definedName name="PAGE1" localSheetId="4">[2]Summary!#REF!</definedName>
    <definedName name="PAGE1" localSheetId="3">[3]Summary!#REF!</definedName>
    <definedName name="PAGE1" localSheetId="6">[4]Summary!#REF!</definedName>
    <definedName name="PAGE1" localSheetId="2">[5]Summary!#REF!</definedName>
    <definedName name="PAGE1">#REF!</definedName>
    <definedName name="PAGE10" localSheetId="1">#REF!</definedName>
    <definedName name="PAGE10">#REF!</definedName>
    <definedName name="PAGE10A" localSheetId="1">#REF!</definedName>
    <definedName name="PAGE10A" localSheetId="5">#REF!</definedName>
    <definedName name="PAGE10A" localSheetId="4">#REF!</definedName>
    <definedName name="PAGE10A" localSheetId="3">#REF!</definedName>
    <definedName name="PAGE10A" localSheetId="6">#REF!</definedName>
    <definedName name="PAGE10A" localSheetId="2">#REF!</definedName>
    <definedName name="PAGE10A">#REF!</definedName>
    <definedName name="PAGE11" localSheetId="1">#REF!</definedName>
    <definedName name="PAGE11" localSheetId="5">#REF!</definedName>
    <definedName name="PAGE11" localSheetId="4">#REF!</definedName>
    <definedName name="PAGE11" localSheetId="3">#REF!</definedName>
    <definedName name="PAGE11" localSheetId="6">#REF!</definedName>
    <definedName name="PAGE11" localSheetId="2">#REF!</definedName>
    <definedName name="PAGE11">#REF!</definedName>
    <definedName name="PAGE2" localSheetId="1">#REF!</definedName>
    <definedName name="PAGE2" localSheetId="5">'LTD WAC -033122 detail'!$A$1:$P$32</definedName>
    <definedName name="PAGE2" localSheetId="4">'LTD WAC -063022 detail'!$A$1:$P$32</definedName>
    <definedName name="PAGE2" localSheetId="3">'LTD WAC -093022 detail'!$A$1:$P$32</definedName>
    <definedName name="PAGE2" localSheetId="6">'LTD WAC -123121 detail'!$A$1:$P$32</definedName>
    <definedName name="PAGE2" localSheetId="2">'LTD WAC -123122 detail'!$A$1:$P$33</definedName>
    <definedName name="PAGE2">#REF!</definedName>
    <definedName name="PAGE3" localSheetId="1">#REF!</definedName>
    <definedName name="PAGE3" localSheetId="5">#REF!</definedName>
    <definedName name="PAGE3" localSheetId="4">#REF!</definedName>
    <definedName name="PAGE3" localSheetId="3">#REF!</definedName>
    <definedName name="PAGE3" localSheetId="6">#REF!</definedName>
    <definedName name="PAGE3" localSheetId="2">#REF!</definedName>
    <definedName name="PAGE3">#REF!</definedName>
    <definedName name="PAGE4" localSheetId="1">#REF!</definedName>
    <definedName name="PAGE4" localSheetId="5">#REF!</definedName>
    <definedName name="PAGE4" localSheetId="4">#REF!</definedName>
    <definedName name="PAGE4" localSheetId="3">#REF!</definedName>
    <definedName name="PAGE4" localSheetId="6">#REF!</definedName>
    <definedName name="PAGE4" localSheetId="2">#REF!</definedName>
    <definedName name="PAGE4">#REF!</definedName>
    <definedName name="PAGE4A" localSheetId="1">#REF!</definedName>
    <definedName name="PAGE4A" localSheetId="5">#REF!</definedName>
    <definedName name="PAGE4A" localSheetId="4">#REF!</definedName>
    <definedName name="PAGE4A" localSheetId="3">#REF!</definedName>
    <definedName name="PAGE4A" localSheetId="6">#REF!</definedName>
    <definedName name="PAGE4A" localSheetId="2">#REF!</definedName>
    <definedName name="PAGE4A">#REF!</definedName>
    <definedName name="PAGE4B" localSheetId="1">#REF!</definedName>
    <definedName name="PAGE4B" localSheetId="5">#REF!</definedName>
    <definedName name="PAGE4B" localSheetId="4">#REF!</definedName>
    <definedName name="PAGE4B" localSheetId="3">#REF!</definedName>
    <definedName name="PAGE4B" localSheetId="6">#REF!</definedName>
    <definedName name="PAGE4B" localSheetId="2">#REF!</definedName>
    <definedName name="PAGE4B">#REF!</definedName>
    <definedName name="PAGE5" localSheetId="1">#REF!</definedName>
    <definedName name="PAGE5" localSheetId="5">#REF!</definedName>
    <definedName name="PAGE5" localSheetId="4">#REF!</definedName>
    <definedName name="PAGE5" localSheetId="3">#REF!</definedName>
    <definedName name="PAGE5" localSheetId="6">#REF!</definedName>
    <definedName name="PAGE5" localSheetId="2">#REF!</definedName>
    <definedName name="PAGE5">#REF!</definedName>
    <definedName name="PAGE6" localSheetId="1">#REF!</definedName>
    <definedName name="PAGE6" localSheetId="5">#REF!</definedName>
    <definedName name="PAGE6" localSheetId="4">#REF!</definedName>
    <definedName name="PAGE6" localSheetId="3">#REF!</definedName>
    <definedName name="PAGE6" localSheetId="6">#REF!</definedName>
    <definedName name="PAGE6" localSheetId="2">#REF!</definedName>
    <definedName name="PAGE6">#REF!</definedName>
    <definedName name="PAGE7" localSheetId="1">#REF!</definedName>
    <definedName name="PAGE7" localSheetId="5">#REF!</definedName>
    <definedName name="PAGE7" localSheetId="4">#REF!</definedName>
    <definedName name="PAGE7" localSheetId="3">#REF!</definedName>
    <definedName name="PAGE7" localSheetId="6">#REF!</definedName>
    <definedName name="PAGE7" localSheetId="2">#REF!</definedName>
    <definedName name="PAGE7">#REF!</definedName>
    <definedName name="PAGE8" localSheetId="1">#REF!</definedName>
    <definedName name="PAGE8" localSheetId="5">#REF!</definedName>
    <definedName name="PAGE8" localSheetId="4">#REF!</definedName>
    <definedName name="PAGE8" localSheetId="3">#REF!</definedName>
    <definedName name="PAGE8" localSheetId="6">#REF!</definedName>
    <definedName name="PAGE8" localSheetId="2">#REF!</definedName>
    <definedName name="PAGE8">#REF!</definedName>
    <definedName name="PAGE9" localSheetId="1">#REF!</definedName>
    <definedName name="PAGE9" localSheetId="5">#REF!</definedName>
    <definedName name="PAGE9" localSheetId="4">#REF!</definedName>
    <definedName name="PAGE9" localSheetId="3">#REF!</definedName>
    <definedName name="PAGE9" localSheetId="6">#REF!</definedName>
    <definedName name="PAGE9" localSheetId="2">#REF!</definedName>
    <definedName name="PAGE9">#REF!</definedName>
    <definedName name="_xlnm.Print_Area" localSheetId="1">'2022 % Cap Struc-5QE Ave   '!$A$1:$G$36</definedName>
    <definedName name="_xlnm.Print_Area" localSheetId="7">'Credit Agrmt Exp - 2022 '!$A$1:$D$10</definedName>
    <definedName name="_xlnm.Print_Area" localSheetId="5">'LTD WAC -033122 detail'!$A$1:$P$83</definedName>
    <definedName name="_xlnm.Print_Area" localSheetId="4">'LTD WAC -063022 detail'!$A$1:$P$83</definedName>
    <definedName name="_xlnm.Print_Area" localSheetId="3">'LTD WAC -093022 detail'!$A$1:$P$78</definedName>
    <definedName name="_xlnm.Print_Area" localSheetId="6">'LTD WAC -123121 detail'!$A$1:$P$88</definedName>
    <definedName name="_xlnm.Print_Area" localSheetId="2">'LTD WAC -123122 detail'!$A$1:$P$77</definedName>
    <definedName name="_xlnm.Print_Area" localSheetId="0">'New Format'!$A$1:$G$38</definedName>
    <definedName name="_xlnm.Print_Titles" localSheetId="5">'LTD WAC -033122 detail'!$1:$10</definedName>
    <definedName name="_xlnm.Print_Titles" localSheetId="4">'LTD WAC -063022 detail'!$1:$10</definedName>
    <definedName name="_xlnm.Print_Titles" localSheetId="3">'LTD WAC -093022 detail'!$1:$10</definedName>
    <definedName name="_xlnm.Print_Titles" localSheetId="6">'LTD WAC -123121 detail'!$1:$10</definedName>
    <definedName name="_xlnm.Print_Titles" localSheetId="2">'LTD WAC -123122 detail'!$1:$10</definedName>
    <definedName name="rateswitch" localSheetId="1">#REF!</definedName>
    <definedName name="rateswitch" localSheetId="5">[1]Summary!#REF!</definedName>
    <definedName name="rateswitch" localSheetId="4">[2]Summary!#REF!</definedName>
    <definedName name="rateswitch" localSheetId="3">[3]Summary!#REF!</definedName>
    <definedName name="rateswitch" localSheetId="6">[4]Summary!#REF!</definedName>
    <definedName name="rateswitch" localSheetId="2">[5]Summary!#REF!</definedName>
    <definedName name="rateswitch">#REF!</definedName>
    <definedName name="ser_c_03_amort" localSheetId="1">#REF!</definedName>
    <definedName name="ser_c_03_amort" localSheetId="5">#REF!</definedName>
    <definedName name="ser_c_03_amort" localSheetId="4">#REF!</definedName>
    <definedName name="ser_c_03_amort" localSheetId="3">#REF!</definedName>
    <definedName name="ser_c_03_amort" localSheetId="6">#REF!</definedName>
    <definedName name="ser_c_03_amort" localSheetId="2">#REF!</definedName>
    <definedName name="ser_c_03_amort">#REF!</definedName>
    <definedName name="tblAmount">OFFSET([6]Amount_Data!$E$2,0,0,COUNTA([6]Amount_Data!$A:$A)-1-COUNTIF([6]Amount_Data!$A:$A,TODAY()),COUNTA([6]Amount_Data!$2:$2)-4)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8" l="1"/>
  <c r="D9" i="17"/>
  <c r="C12" i="18" l="1"/>
  <c r="E12" i="18" s="1"/>
  <c r="C14" i="18"/>
  <c r="A7" i="18"/>
  <c r="A8" i="18" s="1"/>
  <c r="A9" i="18" s="1"/>
  <c r="A10" i="18" s="1"/>
  <c r="A11" i="18" s="1"/>
  <c r="A12" i="18" s="1"/>
  <c r="A13" i="18" s="1"/>
  <c r="A14" i="18" s="1"/>
  <c r="A15" i="18" s="1"/>
  <c r="C16" i="18" l="1"/>
  <c r="C20" i="18"/>
  <c r="D12" i="18" l="1"/>
  <c r="F12" i="18" s="1"/>
  <c r="D14" i="18"/>
  <c r="D16" i="18"/>
  <c r="D20" i="18" s="1"/>
  <c r="G19" i="11" l="1"/>
  <c r="O84" i="16"/>
  <c r="E84" i="16"/>
  <c r="D84" i="16"/>
  <c r="O83" i="16"/>
  <c r="O85" i="16" s="1"/>
  <c r="E83" i="16"/>
  <c r="D83" i="16"/>
  <c r="E82" i="16"/>
  <c r="D82" i="16"/>
  <c r="O81" i="16"/>
  <c r="E81" i="16"/>
  <c r="D81" i="16"/>
  <c r="K75" i="16"/>
  <c r="I75" i="16"/>
  <c r="L74" i="16"/>
  <c r="L75" i="16" s="1"/>
  <c r="J74" i="16"/>
  <c r="J75" i="16" s="1"/>
  <c r="I74" i="16"/>
  <c r="B75" i="16" s="1"/>
  <c r="E74" i="16"/>
  <c r="D74" i="16"/>
  <c r="F74" i="16" s="1"/>
  <c r="F75" i="16" s="1"/>
  <c r="I72" i="16"/>
  <c r="I77" i="16" s="1"/>
  <c r="J71" i="16"/>
  <c r="I71" i="16"/>
  <c r="L71" i="16" s="1"/>
  <c r="M71" i="16" s="1"/>
  <c r="E71" i="16"/>
  <c r="D71" i="16"/>
  <c r="F71" i="16" s="1"/>
  <c r="J70" i="16"/>
  <c r="I70" i="16"/>
  <c r="L70" i="16" s="1"/>
  <c r="M70" i="16" s="1"/>
  <c r="E70" i="16"/>
  <c r="D70" i="16"/>
  <c r="F70" i="16" s="1"/>
  <c r="K69" i="16"/>
  <c r="J69" i="16"/>
  <c r="L69" i="16" s="1"/>
  <c r="M69" i="16" s="1"/>
  <c r="E69" i="16"/>
  <c r="D69" i="16"/>
  <c r="F69" i="16" s="1"/>
  <c r="K68" i="16"/>
  <c r="J68" i="16"/>
  <c r="L68" i="16" s="1"/>
  <c r="M68" i="16" s="1"/>
  <c r="E68" i="16"/>
  <c r="D68" i="16"/>
  <c r="F68" i="16" s="1"/>
  <c r="K67" i="16"/>
  <c r="J67" i="16"/>
  <c r="L67" i="16" s="1"/>
  <c r="M67" i="16" s="1"/>
  <c r="E67" i="16"/>
  <c r="D67" i="16"/>
  <c r="F67" i="16" s="1"/>
  <c r="K66" i="16"/>
  <c r="K72" i="16" s="1"/>
  <c r="K77" i="16" s="1"/>
  <c r="J66" i="16"/>
  <c r="L66" i="16" s="1"/>
  <c r="E66" i="16"/>
  <c r="D66" i="16"/>
  <c r="F66" i="16" s="1"/>
  <c r="K61" i="16"/>
  <c r="J61" i="16"/>
  <c r="I61" i="16"/>
  <c r="B61" i="16"/>
  <c r="J60" i="16"/>
  <c r="L60" i="16" s="1"/>
  <c r="F60" i="16"/>
  <c r="F61" i="16" s="1"/>
  <c r="E60" i="16"/>
  <c r="D60" i="16"/>
  <c r="J58" i="16"/>
  <c r="I58" i="16"/>
  <c r="B58" i="16"/>
  <c r="L57" i="16"/>
  <c r="M57" i="16" s="1"/>
  <c r="E57" i="16"/>
  <c r="D57" i="16"/>
  <c r="L56" i="16"/>
  <c r="M56" i="16" s="1"/>
  <c r="E56" i="16"/>
  <c r="D56" i="16"/>
  <c r="F56" i="16" s="1"/>
  <c r="M55" i="16"/>
  <c r="N55" i="16" s="1"/>
  <c r="O55" i="16" s="1"/>
  <c r="L55" i="16"/>
  <c r="F55" i="16"/>
  <c r="E55" i="16"/>
  <c r="D55" i="16"/>
  <c r="L54" i="16"/>
  <c r="M54" i="16" s="1"/>
  <c r="K54" i="16"/>
  <c r="E54" i="16"/>
  <c r="D54" i="16"/>
  <c r="N54" i="16" s="1"/>
  <c r="O54" i="16" s="1"/>
  <c r="L53" i="16"/>
  <c r="M53" i="16" s="1"/>
  <c r="F53" i="16"/>
  <c r="E53" i="16"/>
  <c r="D53" i="16"/>
  <c r="N53" i="16" s="1"/>
  <c r="O53" i="16" s="1"/>
  <c r="L52" i="16"/>
  <c r="M52" i="16" s="1"/>
  <c r="E52" i="16"/>
  <c r="F52" i="16" s="1"/>
  <c r="D52" i="16"/>
  <c r="K51" i="16"/>
  <c r="L51" i="16" s="1"/>
  <c r="M51" i="16" s="1"/>
  <c r="N51" i="16" s="1"/>
  <c r="O51" i="16" s="1"/>
  <c r="E51" i="16"/>
  <c r="D51" i="16"/>
  <c r="F51" i="16" s="1"/>
  <c r="K50" i="16"/>
  <c r="K58" i="16" s="1"/>
  <c r="F50" i="16"/>
  <c r="E50" i="16"/>
  <c r="D50" i="16"/>
  <c r="L49" i="16"/>
  <c r="E49" i="16"/>
  <c r="F49" i="16" s="1"/>
  <c r="D49" i="16"/>
  <c r="N48" i="16"/>
  <c r="O48" i="16" s="1"/>
  <c r="M48" i="16"/>
  <c r="L48" i="16"/>
  <c r="E48" i="16"/>
  <c r="D48" i="16"/>
  <c r="F48" i="16" s="1"/>
  <c r="I46" i="16"/>
  <c r="B46" i="16" s="1"/>
  <c r="M45" i="16"/>
  <c r="N45" i="16" s="1"/>
  <c r="O45" i="16" s="1"/>
  <c r="L45" i="16"/>
  <c r="J45" i="16"/>
  <c r="E45" i="16"/>
  <c r="D45" i="16"/>
  <c r="F45" i="16" s="1"/>
  <c r="J44" i="16"/>
  <c r="L44" i="16" s="1"/>
  <c r="M44" i="16" s="1"/>
  <c r="E44" i="16"/>
  <c r="F44" i="16" s="1"/>
  <c r="D44" i="16"/>
  <c r="N44" i="16" s="1"/>
  <c r="O44" i="16" s="1"/>
  <c r="J43" i="16"/>
  <c r="L43" i="16" s="1"/>
  <c r="M43" i="16" s="1"/>
  <c r="E43" i="16"/>
  <c r="F43" i="16" s="1"/>
  <c r="D43" i="16"/>
  <c r="K42" i="16"/>
  <c r="L42" i="16" s="1"/>
  <c r="M42" i="16" s="1"/>
  <c r="N42" i="16" s="1"/>
  <c r="O42" i="16" s="1"/>
  <c r="J42" i="16"/>
  <c r="E42" i="16"/>
  <c r="D42" i="16"/>
  <c r="F42" i="16" s="1"/>
  <c r="J41" i="16"/>
  <c r="L41" i="16" s="1"/>
  <c r="M41" i="16" s="1"/>
  <c r="E41" i="16"/>
  <c r="D41" i="16"/>
  <c r="F41" i="16" s="1"/>
  <c r="M40" i="16"/>
  <c r="N40" i="16" s="1"/>
  <c r="O40" i="16" s="1"/>
  <c r="L40" i="16"/>
  <c r="J40" i="16"/>
  <c r="E40" i="16"/>
  <c r="D40" i="16"/>
  <c r="F40" i="16" s="1"/>
  <c r="J39" i="16"/>
  <c r="L39" i="16" s="1"/>
  <c r="M39" i="16" s="1"/>
  <c r="E39" i="16"/>
  <c r="F39" i="16" s="1"/>
  <c r="D39" i="16"/>
  <c r="J38" i="16"/>
  <c r="J46" i="16" s="1"/>
  <c r="E38" i="16"/>
  <c r="F38" i="16" s="1"/>
  <c r="D38" i="16"/>
  <c r="J37" i="16"/>
  <c r="L37" i="16" s="1"/>
  <c r="E37" i="16"/>
  <c r="D37" i="16"/>
  <c r="F37" i="16" s="1"/>
  <c r="K35" i="16"/>
  <c r="J35" i="16"/>
  <c r="I35" i="16"/>
  <c r="B35" i="16" s="1"/>
  <c r="J34" i="16"/>
  <c r="L34" i="16" s="1"/>
  <c r="M34" i="16" s="1"/>
  <c r="N34" i="16" s="1"/>
  <c r="O34" i="16" s="1"/>
  <c r="E34" i="16"/>
  <c r="D34" i="16"/>
  <c r="F34" i="16" s="1"/>
  <c r="J33" i="16"/>
  <c r="L33" i="16" s="1"/>
  <c r="F33" i="16"/>
  <c r="E33" i="16"/>
  <c r="D33" i="16"/>
  <c r="I31" i="16"/>
  <c r="B31" i="16"/>
  <c r="J30" i="16"/>
  <c r="L30" i="16" s="1"/>
  <c r="M30" i="16" s="1"/>
  <c r="N30" i="16" s="1"/>
  <c r="O30" i="16" s="1"/>
  <c r="G30" i="16"/>
  <c r="F30" i="16"/>
  <c r="E30" i="16"/>
  <c r="D30" i="16"/>
  <c r="L29" i="16"/>
  <c r="M29" i="16" s="1"/>
  <c r="J29" i="16"/>
  <c r="F29" i="16"/>
  <c r="E29" i="16"/>
  <c r="D29" i="16"/>
  <c r="N29" i="16" s="1"/>
  <c r="O29" i="16" s="1"/>
  <c r="L28" i="16"/>
  <c r="M28" i="16" s="1"/>
  <c r="J28" i="16"/>
  <c r="E28" i="16"/>
  <c r="D28" i="16"/>
  <c r="J27" i="16"/>
  <c r="L27" i="16" s="1"/>
  <c r="M27" i="16" s="1"/>
  <c r="E27" i="16"/>
  <c r="D27" i="16"/>
  <c r="F27" i="16" s="1"/>
  <c r="M26" i="16"/>
  <c r="N26" i="16" s="1"/>
  <c r="O26" i="16" s="1"/>
  <c r="L26" i="16"/>
  <c r="J26" i="16"/>
  <c r="E26" i="16"/>
  <c r="D26" i="16"/>
  <c r="F26" i="16" s="1"/>
  <c r="J25" i="16"/>
  <c r="L25" i="16" s="1"/>
  <c r="M25" i="16" s="1"/>
  <c r="E25" i="16"/>
  <c r="F25" i="16" s="1"/>
  <c r="D25" i="16"/>
  <c r="N25" i="16" s="1"/>
  <c r="O25" i="16" s="1"/>
  <c r="J24" i="16"/>
  <c r="L24" i="16" s="1"/>
  <c r="M24" i="16" s="1"/>
  <c r="E24" i="16"/>
  <c r="F24" i="16" s="1"/>
  <c r="D24" i="16"/>
  <c r="J23" i="16"/>
  <c r="L23" i="16" s="1"/>
  <c r="M23" i="16" s="1"/>
  <c r="N23" i="16" s="1"/>
  <c r="O23" i="16" s="1"/>
  <c r="E23" i="16"/>
  <c r="D23" i="16"/>
  <c r="F23" i="16" s="1"/>
  <c r="L22" i="16"/>
  <c r="M22" i="16" s="1"/>
  <c r="N22" i="16" s="1"/>
  <c r="O22" i="16" s="1"/>
  <c r="J22" i="16"/>
  <c r="F22" i="16"/>
  <c r="E22" i="16"/>
  <c r="D22" i="16"/>
  <c r="L21" i="16"/>
  <c r="M21" i="16" s="1"/>
  <c r="J21" i="16"/>
  <c r="F21" i="16"/>
  <c r="E21" i="16"/>
  <c r="D21" i="16"/>
  <c r="N21" i="16" s="1"/>
  <c r="O21" i="16" s="1"/>
  <c r="L20" i="16"/>
  <c r="M20" i="16" s="1"/>
  <c r="J20" i="16"/>
  <c r="E20" i="16"/>
  <c r="D20" i="16"/>
  <c r="N20" i="16" s="1"/>
  <c r="O20" i="16" s="1"/>
  <c r="J19" i="16"/>
  <c r="L19" i="16" s="1"/>
  <c r="M19" i="16" s="1"/>
  <c r="G19" i="16"/>
  <c r="E19" i="16"/>
  <c r="D19" i="16"/>
  <c r="F19" i="16" s="1"/>
  <c r="M18" i="16"/>
  <c r="N18" i="16" s="1"/>
  <c r="O18" i="16" s="1"/>
  <c r="L18" i="16"/>
  <c r="J18" i="16"/>
  <c r="E18" i="16"/>
  <c r="D18" i="16"/>
  <c r="F18" i="16" s="1"/>
  <c r="J17" i="16"/>
  <c r="L17" i="16" s="1"/>
  <c r="M17" i="16" s="1"/>
  <c r="E17" i="16"/>
  <c r="F17" i="16" s="1"/>
  <c r="D17" i="16"/>
  <c r="J16" i="16"/>
  <c r="L16" i="16" s="1"/>
  <c r="M16" i="16" s="1"/>
  <c r="E16" i="16"/>
  <c r="F16" i="16" s="1"/>
  <c r="D16" i="16"/>
  <c r="J15" i="16"/>
  <c r="L15" i="16" s="1"/>
  <c r="M15" i="16" s="1"/>
  <c r="N15" i="16" s="1"/>
  <c r="O15" i="16" s="1"/>
  <c r="E15" i="16"/>
  <c r="D15" i="16"/>
  <c r="F15" i="16" s="1"/>
  <c r="K14" i="16"/>
  <c r="K31" i="16" s="1"/>
  <c r="J14" i="16"/>
  <c r="J31" i="16" s="1"/>
  <c r="J63" i="16" s="1"/>
  <c r="G14" i="16"/>
  <c r="E14" i="16"/>
  <c r="D14" i="16"/>
  <c r="F14" i="16" s="1"/>
  <c r="M13" i="16"/>
  <c r="N13" i="16" s="1"/>
  <c r="O13" i="16" s="1"/>
  <c r="L13" i="16"/>
  <c r="J13" i="16"/>
  <c r="E13" i="16"/>
  <c r="D13" i="16"/>
  <c r="F13" i="16" s="1"/>
  <c r="A13" i="16"/>
  <c r="A14" i="16" s="1"/>
  <c r="P14" i="16" s="1"/>
  <c r="P12" i="16"/>
  <c r="A12" i="16"/>
  <c r="P11" i="16"/>
  <c r="A4" i="16"/>
  <c r="G52" i="16" s="1"/>
  <c r="A2" i="16"/>
  <c r="A1" i="16"/>
  <c r="G27" i="16" l="1"/>
  <c r="G50" i="16"/>
  <c r="G56" i="16"/>
  <c r="G66" i="16"/>
  <c r="G22" i="16"/>
  <c r="G33" i="16"/>
  <c r="G41" i="16"/>
  <c r="G53" i="16"/>
  <c r="G68" i="16"/>
  <c r="G70" i="16"/>
  <c r="M37" i="16"/>
  <c r="N37" i="16" s="1"/>
  <c r="O37" i="16" s="1"/>
  <c r="J87" i="16"/>
  <c r="N28" i="16"/>
  <c r="O28" i="16" s="1"/>
  <c r="F72" i="16"/>
  <c r="F77" i="16" s="1"/>
  <c r="N39" i="16"/>
  <c r="O39" i="16" s="1"/>
  <c r="A15" i="16"/>
  <c r="N17" i="16"/>
  <c r="O17" i="16" s="1"/>
  <c r="F35" i="16"/>
  <c r="F46" i="16"/>
  <c r="N57" i="16"/>
  <c r="O57" i="16" s="1"/>
  <c r="L61" i="16"/>
  <c r="M60" i="16"/>
  <c r="N60" i="16" s="1"/>
  <c r="O60" i="16" s="1"/>
  <c r="O61" i="16" s="1"/>
  <c r="N61" i="16" s="1"/>
  <c r="M66" i="16"/>
  <c r="L72" i="16"/>
  <c r="L77" i="16" s="1"/>
  <c r="M33" i="16"/>
  <c r="N33" i="16" s="1"/>
  <c r="O33" i="16" s="1"/>
  <c r="O35" i="16" s="1"/>
  <c r="N35" i="16" s="1"/>
  <c r="L35" i="16"/>
  <c r="L38" i="16"/>
  <c r="M38" i="16" s="1"/>
  <c r="N67" i="16"/>
  <c r="O67" i="16" s="1"/>
  <c r="N69" i="16"/>
  <c r="O69" i="16" s="1"/>
  <c r="N71" i="16"/>
  <c r="O71" i="16" s="1"/>
  <c r="J72" i="16"/>
  <c r="J77" i="16" s="1"/>
  <c r="G17" i="16"/>
  <c r="F20" i="16"/>
  <c r="G25" i="16"/>
  <c r="F28" i="16"/>
  <c r="F31" i="16" s="1"/>
  <c r="F63" i="16" s="1"/>
  <c r="F87" i="16" s="1"/>
  <c r="G39" i="16"/>
  <c r="G44" i="16"/>
  <c r="K46" i="16"/>
  <c r="K63" i="16" s="1"/>
  <c r="K87" i="16" s="1"/>
  <c r="N52" i="16"/>
  <c r="O52" i="16" s="1"/>
  <c r="F54" i="16"/>
  <c r="F58" i="16" s="1"/>
  <c r="G57" i="16"/>
  <c r="F57" i="16"/>
  <c r="G60" i="16"/>
  <c r="G61" i="16" s="1"/>
  <c r="M74" i="16"/>
  <c r="N74" i="16" s="1"/>
  <c r="O74" i="16" s="1"/>
  <c r="O75" i="16" s="1"/>
  <c r="N75" i="16" s="1"/>
  <c r="P13" i="16"/>
  <c r="L14" i="16"/>
  <c r="M14" i="16" s="1"/>
  <c r="N16" i="16"/>
  <c r="O16" i="16" s="1"/>
  <c r="G20" i="16"/>
  <c r="N24" i="16"/>
  <c r="O24" i="16" s="1"/>
  <c r="G28" i="16"/>
  <c r="N38" i="16"/>
  <c r="O38" i="16" s="1"/>
  <c r="G42" i="16"/>
  <c r="N43" i="16"/>
  <c r="O43" i="16" s="1"/>
  <c r="L50" i="16"/>
  <c r="M50" i="16" s="1"/>
  <c r="N50" i="16" s="1"/>
  <c r="O50" i="16" s="1"/>
  <c r="G54" i="16"/>
  <c r="N56" i="16"/>
  <c r="O56" i="16" s="1"/>
  <c r="I63" i="16"/>
  <c r="I87" i="16" s="1"/>
  <c r="G15" i="16"/>
  <c r="N19" i="16"/>
  <c r="O19" i="16" s="1"/>
  <c r="G23" i="16"/>
  <c r="N27" i="16"/>
  <c r="O27" i="16" s="1"/>
  <c r="G34" i="16"/>
  <c r="G35" i="16" s="1"/>
  <c r="G37" i="16"/>
  <c r="N41" i="16"/>
  <c r="O41" i="16" s="1"/>
  <c r="G51" i="16"/>
  <c r="G67" i="16"/>
  <c r="G72" i="16" s="1"/>
  <c r="G77" i="16" s="1"/>
  <c r="G69" i="16"/>
  <c r="G71" i="16"/>
  <c r="N14" i="16"/>
  <c r="O14" i="16" s="1"/>
  <c r="O31" i="16" s="1"/>
  <c r="G26" i="16"/>
  <c r="G40" i="16"/>
  <c r="G45" i="16"/>
  <c r="G48" i="16"/>
  <c r="N66" i="16"/>
  <c r="O66" i="16" s="1"/>
  <c r="N68" i="16"/>
  <c r="O68" i="16" s="1"/>
  <c r="N70" i="16"/>
  <c r="O70" i="16" s="1"/>
  <c r="B72" i="16"/>
  <c r="B77" i="16" s="1"/>
  <c r="G74" i="16"/>
  <c r="G75" i="16" s="1"/>
  <c r="G13" i="16"/>
  <c r="G18" i="16"/>
  <c r="G21" i="16"/>
  <c r="G29" i="16"/>
  <c r="G55" i="16"/>
  <c r="M49" i="16"/>
  <c r="N49" i="16" s="1"/>
  <c r="O49" i="16" s="1"/>
  <c r="O58" i="16" s="1"/>
  <c r="N58" i="16" s="1"/>
  <c r="G16" i="16"/>
  <c r="G24" i="16"/>
  <c r="G38" i="16"/>
  <c r="G43" i="16"/>
  <c r="G49" i="16"/>
  <c r="N31" i="16" l="1"/>
  <c r="L31" i="16"/>
  <c r="B63" i="16"/>
  <c r="B87" i="16" s="1"/>
  <c r="A16" i="16"/>
  <c r="P15" i="16"/>
  <c r="O72" i="16"/>
  <c r="G58" i="16"/>
  <c r="L58" i="16"/>
  <c r="G31" i="16"/>
  <c r="G46" i="16"/>
  <c r="L46" i="16"/>
  <c r="O46" i="16"/>
  <c r="N46" i="16" s="1"/>
  <c r="L63" i="16" l="1"/>
  <c r="L87" i="16" s="1"/>
  <c r="N72" i="16"/>
  <c r="O77" i="16"/>
  <c r="N77" i="16" s="1"/>
  <c r="A17" i="16"/>
  <c r="P16" i="16"/>
  <c r="G63" i="16"/>
  <c r="G87" i="16" s="1"/>
  <c r="O63" i="16"/>
  <c r="N63" i="16" l="1"/>
  <c r="O87" i="16"/>
  <c r="N87" i="16" s="1"/>
  <c r="A18" i="16"/>
  <c r="P17" i="16"/>
  <c r="A19" i="16" l="1"/>
  <c r="P18" i="16"/>
  <c r="A20" i="16" l="1"/>
  <c r="P19" i="16"/>
  <c r="P20" i="16" l="1"/>
  <c r="A21" i="16"/>
  <c r="A22" i="16" l="1"/>
  <c r="P21" i="16"/>
  <c r="P22" i="16" l="1"/>
  <c r="A23" i="16"/>
  <c r="A24" i="16" l="1"/>
  <c r="P23" i="16"/>
  <c r="A25" i="16" l="1"/>
  <c r="P24" i="16"/>
  <c r="P25" i="16" l="1"/>
  <c r="A26" i="16"/>
  <c r="A27" i="16" l="1"/>
  <c r="P26" i="16"/>
  <c r="A28" i="16" l="1"/>
  <c r="P27" i="16"/>
  <c r="P28" i="16" l="1"/>
  <c r="A29" i="16"/>
  <c r="A30" i="16" l="1"/>
  <c r="P29" i="16"/>
  <c r="P30" i="16" l="1"/>
  <c r="A31" i="16"/>
  <c r="A32" i="16" l="1"/>
  <c r="P31" i="16"/>
  <c r="A33" i="16" l="1"/>
  <c r="P32" i="16"/>
  <c r="P33" i="16" l="1"/>
  <c r="A34" i="16"/>
  <c r="A35" i="16" l="1"/>
  <c r="P34" i="16"/>
  <c r="A36" i="16" l="1"/>
  <c r="P35" i="16"/>
  <c r="P36" i="16" l="1"/>
  <c r="A37" i="16"/>
  <c r="A38" i="16" l="1"/>
  <c r="P37" i="16"/>
  <c r="A39" i="16" l="1"/>
  <c r="P38" i="16"/>
  <c r="P39" i="16" l="1"/>
  <c r="A40" i="16"/>
  <c r="A41" i="16" l="1"/>
  <c r="P40" i="16"/>
  <c r="A42" i="16" l="1"/>
  <c r="P41" i="16"/>
  <c r="A43" i="16" l="1"/>
  <c r="P42" i="16"/>
  <c r="A44" i="16" l="1"/>
  <c r="P43" i="16"/>
  <c r="P44" i="16" l="1"/>
  <c r="A45" i="16"/>
  <c r="A46" i="16" l="1"/>
  <c r="P45" i="16"/>
  <c r="A47" i="16" l="1"/>
  <c r="P46" i="16"/>
  <c r="A48" i="16" l="1"/>
  <c r="P47" i="16"/>
  <c r="A49" i="16" l="1"/>
  <c r="P48" i="16"/>
  <c r="A50" i="16" l="1"/>
  <c r="P49" i="16"/>
  <c r="P50" i="16" l="1"/>
  <c r="A51" i="16"/>
  <c r="A52" i="16" l="1"/>
  <c r="P51" i="16"/>
  <c r="A53" i="16" l="1"/>
  <c r="P52" i="16"/>
  <c r="A54" i="16" l="1"/>
  <c r="P53" i="16"/>
  <c r="P54" i="16" l="1"/>
  <c r="A55" i="16"/>
  <c r="A56" i="16" l="1"/>
  <c r="P55" i="16"/>
  <c r="A57" i="16" l="1"/>
  <c r="P56" i="16"/>
  <c r="P57" i="16" l="1"/>
  <c r="A58" i="16"/>
  <c r="A59" i="16" l="1"/>
  <c r="P58" i="16"/>
  <c r="A60" i="16" l="1"/>
  <c r="P59" i="16"/>
  <c r="P60" i="16" l="1"/>
  <c r="A61" i="16"/>
  <c r="A62" i="16" l="1"/>
  <c r="P61" i="16"/>
  <c r="A63" i="16" l="1"/>
  <c r="P62" i="16"/>
  <c r="P63" i="16" l="1"/>
  <c r="A64" i="16"/>
  <c r="P64" i="16" l="1"/>
  <c r="A65" i="16"/>
  <c r="A66" i="16" l="1"/>
  <c r="P65" i="16"/>
  <c r="P66" i="16" l="1"/>
  <c r="A67" i="16"/>
  <c r="A68" i="16" l="1"/>
  <c r="P67" i="16"/>
  <c r="P68" i="16" l="1"/>
  <c r="A69" i="16"/>
  <c r="A70" i="16" l="1"/>
  <c r="P69" i="16"/>
  <c r="P70" i="16" l="1"/>
  <c r="A71" i="16"/>
  <c r="A72" i="16" l="1"/>
  <c r="P71" i="16"/>
  <c r="A73" i="16" l="1"/>
  <c r="P72" i="16"/>
  <c r="P73" i="16" l="1"/>
  <c r="A74" i="16"/>
  <c r="A75" i="16" l="1"/>
  <c r="P74" i="16"/>
  <c r="P75" i="16" l="1"/>
  <c r="A76" i="16"/>
  <c r="A77" i="16" l="1"/>
  <c r="P76" i="16"/>
  <c r="A78" i="16" l="1"/>
  <c r="P77" i="16"/>
  <c r="A79" i="16" l="1"/>
  <c r="P78" i="16"/>
  <c r="P79" i="16" l="1"/>
  <c r="A80" i="16"/>
  <c r="A81" i="16" l="1"/>
  <c r="P80" i="16"/>
  <c r="P81" i="16" l="1"/>
  <c r="A82" i="16"/>
  <c r="A83" i="16" l="1"/>
  <c r="P82" i="16"/>
  <c r="P83" i="16" l="1"/>
  <c r="A84" i="16"/>
  <c r="A85" i="16" l="1"/>
  <c r="P84" i="16"/>
  <c r="P85" i="16" l="1"/>
  <c r="A86" i="16"/>
  <c r="A87" i="16" l="1"/>
  <c r="P86" i="16"/>
  <c r="A88" i="16" l="1"/>
  <c r="P88" i="16" s="1"/>
  <c r="P87" i="16"/>
  <c r="F19" i="11" l="1"/>
  <c r="O80" i="15"/>
  <c r="O79" i="15"/>
  <c r="E79" i="15"/>
  <c r="D79" i="15"/>
  <c r="E78" i="15"/>
  <c r="D78" i="15"/>
  <c r="O77" i="15"/>
  <c r="E77" i="15"/>
  <c r="D77" i="15"/>
  <c r="K71" i="15"/>
  <c r="J71" i="15"/>
  <c r="I71" i="15"/>
  <c r="B71" i="15" s="1"/>
  <c r="J70" i="15"/>
  <c r="I70" i="15"/>
  <c r="L70" i="15" s="1"/>
  <c r="L71" i="15" s="1"/>
  <c r="G70" i="15"/>
  <c r="G71" i="15" s="1"/>
  <c r="E70" i="15"/>
  <c r="D70" i="15"/>
  <c r="F70" i="15" s="1"/>
  <c r="F71" i="15" s="1"/>
  <c r="J67" i="15"/>
  <c r="I67" i="15"/>
  <c r="L67" i="15" s="1"/>
  <c r="M67" i="15" s="1"/>
  <c r="E67" i="15"/>
  <c r="N67" i="15" s="1"/>
  <c r="O67" i="15" s="1"/>
  <c r="D67" i="15"/>
  <c r="J66" i="15"/>
  <c r="I66" i="15"/>
  <c r="E66" i="15"/>
  <c r="D66" i="15"/>
  <c r="F66" i="15" s="1"/>
  <c r="K65" i="15"/>
  <c r="J65" i="15"/>
  <c r="E65" i="15"/>
  <c r="D65" i="15"/>
  <c r="F65" i="15" s="1"/>
  <c r="K64" i="15"/>
  <c r="K68" i="15" s="1"/>
  <c r="K73" i="15" s="1"/>
  <c r="J64" i="15"/>
  <c r="E64" i="15"/>
  <c r="D64" i="15"/>
  <c r="K63" i="15"/>
  <c r="J63" i="15"/>
  <c r="L63" i="15" s="1"/>
  <c r="M63" i="15" s="1"/>
  <c r="E63" i="15"/>
  <c r="D63" i="15"/>
  <c r="K62" i="15"/>
  <c r="J62" i="15"/>
  <c r="L62" i="15" s="1"/>
  <c r="E62" i="15"/>
  <c r="D62" i="15"/>
  <c r="F62" i="15" s="1"/>
  <c r="I59" i="15"/>
  <c r="K57" i="15"/>
  <c r="J57" i="15"/>
  <c r="I57" i="15"/>
  <c r="F57" i="15"/>
  <c r="B57" i="15"/>
  <c r="J56" i="15"/>
  <c r="L56" i="15" s="1"/>
  <c r="E56" i="15"/>
  <c r="D56" i="15"/>
  <c r="F56" i="15" s="1"/>
  <c r="J54" i="15"/>
  <c r="I54" i="15"/>
  <c r="B54" i="15"/>
  <c r="N53" i="15"/>
  <c r="O53" i="15" s="1"/>
  <c r="M53" i="15"/>
  <c r="L53" i="15"/>
  <c r="F53" i="15"/>
  <c r="E53" i="15"/>
  <c r="D53" i="15"/>
  <c r="M52" i="15"/>
  <c r="L52" i="15"/>
  <c r="E52" i="15"/>
  <c r="D52" i="15"/>
  <c r="L51" i="15"/>
  <c r="M51" i="15" s="1"/>
  <c r="N51" i="15" s="1"/>
  <c r="O51" i="15" s="1"/>
  <c r="F51" i="15"/>
  <c r="E51" i="15"/>
  <c r="D51" i="15"/>
  <c r="L50" i="15"/>
  <c r="M50" i="15" s="1"/>
  <c r="K50" i="15"/>
  <c r="F50" i="15"/>
  <c r="E50" i="15"/>
  <c r="D50" i="15"/>
  <c r="L49" i="15"/>
  <c r="M49" i="15" s="1"/>
  <c r="E49" i="15"/>
  <c r="D49" i="15"/>
  <c r="M48" i="15"/>
  <c r="N48" i="15" s="1"/>
  <c r="O48" i="15" s="1"/>
  <c r="L48" i="15"/>
  <c r="E48" i="15"/>
  <c r="F48" i="15" s="1"/>
  <c r="D48" i="15"/>
  <c r="K47" i="15"/>
  <c r="L47" i="15" s="1"/>
  <c r="M47" i="15" s="1"/>
  <c r="E47" i="15"/>
  <c r="D47" i="15"/>
  <c r="K46" i="15"/>
  <c r="L46" i="15" s="1"/>
  <c r="M46" i="15" s="1"/>
  <c r="E46" i="15"/>
  <c r="D46" i="15"/>
  <c r="F46" i="15" s="1"/>
  <c r="M45" i="15"/>
  <c r="L45" i="15"/>
  <c r="F45" i="15"/>
  <c r="E45" i="15"/>
  <c r="N45" i="15" s="1"/>
  <c r="O45" i="15" s="1"/>
  <c r="D45" i="15"/>
  <c r="L44" i="15"/>
  <c r="E44" i="15"/>
  <c r="D44" i="15"/>
  <c r="I42" i="15"/>
  <c r="B42" i="15"/>
  <c r="B59" i="15" s="1"/>
  <c r="J41" i="15"/>
  <c r="L41" i="15" s="1"/>
  <c r="M41" i="15" s="1"/>
  <c r="G41" i="15"/>
  <c r="E41" i="15"/>
  <c r="D41" i="15"/>
  <c r="F41" i="15" s="1"/>
  <c r="N40" i="15"/>
  <c r="O40" i="15" s="1"/>
  <c r="M40" i="15"/>
  <c r="L40" i="15"/>
  <c r="J40" i="15"/>
  <c r="F40" i="15"/>
  <c r="E40" i="15"/>
  <c r="D40" i="15"/>
  <c r="L39" i="15"/>
  <c r="M39" i="15" s="1"/>
  <c r="J39" i="15"/>
  <c r="E39" i="15"/>
  <c r="F39" i="15" s="1"/>
  <c r="D39" i="15"/>
  <c r="K38" i="15"/>
  <c r="K42" i="15" s="1"/>
  <c r="J38" i="15"/>
  <c r="E38" i="15"/>
  <c r="D38" i="15"/>
  <c r="J37" i="15"/>
  <c r="L37" i="15" s="1"/>
  <c r="M37" i="15" s="1"/>
  <c r="E37" i="15"/>
  <c r="D37" i="15"/>
  <c r="J36" i="15"/>
  <c r="L36" i="15" s="1"/>
  <c r="M36" i="15" s="1"/>
  <c r="E36" i="15"/>
  <c r="D36" i="15"/>
  <c r="F36" i="15" s="1"/>
  <c r="J35" i="15"/>
  <c r="L35" i="15" s="1"/>
  <c r="M35" i="15" s="1"/>
  <c r="N35" i="15" s="1"/>
  <c r="O35" i="15" s="1"/>
  <c r="F35" i="15"/>
  <c r="E35" i="15"/>
  <c r="D35" i="15"/>
  <c r="L34" i="15"/>
  <c r="M34" i="15" s="1"/>
  <c r="J34" i="15"/>
  <c r="F34" i="15"/>
  <c r="E34" i="15"/>
  <c r="D34" i="15"/>
  <c r="J33" i="15"/>
  <c r="J42" i="15" s="1"/>
  <c r="E33" i="15"/>
  <c r="D33" i="15"/>
  <c r="I31" i="15"/>
  <c r="B31" i="15"/>
  <c r="L30" i="15"/>
  <c r="M30" i="15" s="1"/>
  <c r="J30" i="15"/>
  <c r="E30" i="15"/>
  <c r="D30" i="15"/>
  <c r="N29" i="15"/>
  <c r="O29" i="15" s="1"/>
  <c r="J29" i="15"/>
  <c r="L29" i="15" s="1"/>
  <c r="M29" i="15" s="1"/>
  <c r="E29" i="15"/>
  <c r="D29" i="15"/>
  <c r="F29" i="15" s="1"/>
  <c r="J28" i="15"/>
  <c r="L28" i="15" s="1"/>
  <c r="M28" i="15" s="1"/>
  <c r="N28" i="15" s="1"/>
  <c r="O28" i="15" s="1"/>
  <c r="F28" i="15"/>
  <c r="E28" i="15"/>
  <c r="D28" i="15"/>
  <c r="L27" i="15"/>
  <c r="M27" i="15" s="1"/>
  <c r="J27" i="15"/>
  <c r="F27" i="15"/>
  <c r="E27" i="15"/>
  <c r="D27" i="15"/>
  <c r="L26" i="15"/>
  <c r="M26" i="15" s="1"/>
  <c r="J26" i="15"/>
  <c r="E26" i="15"/>
  <c r="N26" i="15" s="1"/>
  <c r="O26" i="15" s="1"/>
  <c r="D26" i="15"/>
  <c r="J25" i="15"/>
  <c r="L25" i="15" s="1"/>
  <c r="M25" i="15" s="1"/>
  <c r="N25" i="15" s="1"/>
  <c r="O25" i="15" s="1"/>
  <c r="G25" i="15"/>
  <c r="E25" i="15"/>
  <c r="D25" i="15"/>
  <c r="F25" i="15" s="1"/>
  <c r="L24" i="15"/>
  <c r="M24" i="15" s="1"/>
  <c r="N24" i="15" s="1"/>
  <c r="O24" i="15" s="1"/>
  <c r="J24" i="15"/>
  <c r="F24" i="15"/>
  <c r="E24" i="15"/>
  <c r="D24" i="15"/>
  <c r="M23" i="15"/>
  <c r="L23" i="15"/>
  <c r="J23" i="15"/>
  <c r="E23" i="15"/>
  <c r="D23" i="15"/>
  <c r="L22" i="15"/>
  <c r="M22" i="15" s="1"/>
  <c r="J22" i="15"/>
  <c r="G22" i="15"/>
  <c r="E22" i="15"/>
  <c r="D22" i="15"/>
  <c r="J21" i="15"/>
  <c r="L21" i="15" s="1"/>
  <c r="M21" i="15" s="1"/>
  <c r="N21" i="15" s="1"/>
  <c r="O21" i="15" s="1"/>
  <c r="E21" i="15"/>
  <c r="D21" i="15"/>
  <c r="F21" i="15" s="1"/>
  <c r="J20" i="15"/>
  <c r="L20" i="15" s="1"/>
  <c r="M20" i="15" s="1"/>
  <c r="N20" i="15" s="1"/>
  <c r="O20" i="15" s="1"/>
  <c r="F20" i="15"/>
  <c r="E20" i="15"/>
  <c r="D20" i="15"/>
  <c r="L19" i="15"/>
  <c r="M19" i="15" s="1"/>
  <c r="J19" i="15"/>
  <c r="F19" i="15"/>
  <c r="E19" i="15"/>
  <c r="D19" i="15"/>
  <c r="L18" i="15"/>
  <c r="M18" i="15" s="1"/>
  <c r="J18" i="15"/>
  <c r="E18" i="15"/>
  <c r="N18" i="15" s="1"/>
  <c r="O18" i="15" s="1"/>
  <c r="D18" i="15"/>
  <c r="J17" i="15"/>
  <c r="L17" i="15" s="1"/>
  <c r="M17" i="15" s="1"/>
  <c r="N17" i="15" s="1"/>
  <c r="O17" i="15" s="1"/>
  <c r="E17" i="15"/>
  <c r="D17" i="15"/>
  <c r="F17" i="15" s="1"/>
  <c r="L16" i="15"/>
  <c r="M16" i="15" s="1"/>
  <c r="N16" i="15" s="1"/>
  <c r="O16" i="15" s="1"/>
  <c r="J16" i="15"/>
  <c r="F16" i="15"/>
  <c r="E16" i="15"/>
  <c r="D16" i="15"/>
  <c r="M15" i="15"/>
  <c r="L15" i="15"/>
  <c r="J15" i="15"/>
  <c r="E15" i="15"/>
  <c r="D15" i="15"/>
  <c r="K14" i="15"/>
  <c r="K31" i="15" s="1"/>
  <c r="J14" i="15"/>
  <c r="L14" i="15" s="1"/>
  <c r="M14" i="15" s="1"/>
  <c r="F14" i="15"/>
  <c r="E14" i="15"/>
  <c r="D14" i="15"/>
  <c r="L13" i="15"/>
  <c r="L31" i="15" s="1"/>
  <c r="J13" i="15"/>
  <c r="E13" i="15"/>
  <c r="D13" i="15"/>
  <c r="F13" i="15" s="1"/>
  <c r="A12" i="15"/>
  <c r="A13" i="15" s="1"/>
  <c r="P11" i="15"/>
  <c r="A4" i="15"/>
  <c r="G66" i="15" s="1"/>
  <c r="A2" i="15"/>
  <c r="A1" i="15"/>
  <c r="G49" i="15" l="1"/>
  <c r="G40" i="15"/>
  <c r="G24" i="15"/>
  <c r="G33" i="15"/>
  <c r="G29" i="15"/>
  <c r="G14" i="15"/>
  <c r="G23" i="15"/>
  <c r="G28" i="15"/>
  <c r="G51" i="15"/>
  <c r="G35" i="15"/>
  <c r="G53" i="15"/>
  <c r="G36" i="15"/>
  <c r="G30" i="15"/>
  <c r="G16" i="15"/>
  <c r="G44" i="15"/>
  <c r="G56" i="15"/>
  <c r="G57" i="15" s="1"/>
  <c r="G47" i="15"/>
  <c r="G17" i="15"/>
  <c r="G21" i="15"/>
  <c r="G15" i="15"/>
  <c r="G20" i="15"/>
  <c r="G38" i="15"/>
  <c r="G46" i="15"/>
  <c r="A14" i="15"/>
  <c r="P13" i="15"/>
  <c r="K59" i="15"/>
  <c r="K82" i="15" s="1"/>
  <c r="F52" i="15"/>
  <c r="N52" i="15"/>
  <c r="O52" i="15" s="1"/>
  <c r="M13" i="15"/>
  <c r="N13" i="15" s="1"/>
  <c r="O13" i="15" s="1"/>
  <c r="N34" i="15"/>
  <c r="O34" i="15" s="1"/>
  <c r="L38" i="15"/>
  <c r="M38" i="15" s="1"/>
  <c r="N41" i="15"/>
  <c r="O41" i="15" s="1"/>
  <c r="L57" i="15"/>
  <c r="M56" i="15"/>
  <c r="N56" i="15" s="1"/>
  <c r="O56" i="15" s="1"/>
  <c r="O57" i="15" s="1"/>
  <c r="N57" i="15" s="1"/>
  <c r="F63" i="15"/>
  <c r="L64" i="15"/>
  <c r="M64" i="15" s="1"/>
  <c r="N64" i="15" s="1"/>
  <c r="O64" i="15" s="1"/>
  <c r="F67" i="15"/>
  <c r="J68" i="15"/>
  <c r="J73" i="15" s="1"/>
  <c r="F33" i="15"/>
  <c r="N50" i="15"/>
  <c r="O50" i="15" s="1"/>
  <c r="G50" i="15"/>
  <c r="K54" i="15"/>
  <c r="M70" i="15"/>
  <c r="N70" i="15" s="1"/>
  <c r="O70" i="15" s="1"/>
  <c r="O71" i="15" s="1"/>
  <c r="N71" i="15" s="1"/>
  <c r="N44" i="15"/>
  <c r="O44" i="15" s="1"/>
  <c r="F44" i="15"/>
  <c r="F49" i="15"/>
  <c r="N49" i="15"/>
  <c r="O49" i="15" s="1"/>
  <c r="N46" i="15"/>
  <c r="O46" i="15" s="1"/>
  <c r="N15" i="15"/>
  <c r="O15" i="15" s="1"/>
  <c r="N23" i="15"/>
  <c r="O23" i="15" s="1"/>
  <c r="L33" i="15"/>
  <c r="M62" i="15"/>
  <c r="L68" i="15"/>
  <c r="L73" i="15" s="1"/>
  <c r="N63" i="15"/>
  <c r="O63" i="15" s="1"/>
  <c r="I68" i="15"/>
  <c r="L66" i="15"/>
  <c r="M66" i="15" s="1"/>
  <c r="P12" i="15"/>
  <c r="N30" i="15"/>
  <c r="O30" i="15" s="1"/>
  <c r="F30" i="15"/>
  <c r="N38" i="15"/>
  <c r="O38" i="15" s="1"/>
  <c r="N22" i="15"/>
  <c r="O22" i="15" s="1"/>
  <c r="F22" i="15"/>
  <c r="F37" i="15"/>
  <c r="N37" i="15"/>
  <c r="O37" i="15" s="1"/>
  <c r="F38" i="15"/>
  <c r="L54" i="15"/>
  <c r="M44" i="15"/>
  <c r="N47" i="15"/>
  <c r="O47" i="15" s="1"/>
  <c r="F47" i="15"/>
  <c r="N36" i="15"/>
  <c r="O36" i="15" s="1"/>
  <c r="N39" i="15"/>
  <c r="O39" i="15" s="1"/>
  <c r="N14" i="15"/>
  <c r="O14" i="15" s="1"/>
  <c r="J31" i="15"/>
  <c r="J59" i="15" s="1"/>
  <c r="J82" i="15" s="1"/>
  <c r="F15" i="15"/>
  <c r="F18" i="15"/>
  <c r="N19" i="15"/>
  <c r="O19" i="15" s="1"/>
  <c r="G19" i="15"/>
  <c r="F23" i="15"/>
  <c r="F26" i="15"/>
  <c r="N27" i="15"/>
  <c r="O27" i="15" s="1"/>
  <c r="G27" i="15"/>
  <c r="N62" i="15"/>
  <c r="O62" i="15" s="1"/>
  <c r="F64" i="15"/>
  <c r="L65" i="15"/>
  <c r="M65" i="15" s="1"/>
  <c r="N65" i="15" s="1"/>
  <c r="O65" i="15" s="1"/>
  <c r="N66" i="15"/>
  <c r="O66" i="15" s="1"/>
  <c r="G63" i="15"/>
  <c r="G65" i="15"/>
  <c r="G67" i="15"/>
  <c r="G34" i="15"/>
  <c r="G39" i="15"/>
  <c r="G45" i="15"/>
  <c r="G48" i="15"/>
  <c r="G13" i="15"/>
  <c r="G18" i="15"/>
  <c r="G26" i="15"/>
  <c r="G37" i="15"/>
  <c r="G52" i="15"/>
  <c r="G62" i="15"/>
  <c r="G64" i="15"/>
  <c r="G54" i="15" l="1"/>
  <c r="G42" i="15"/>
  <c r="I73" i="15"/>
  <c r="I82" i="15" s="1"/>
  <c r="B68" i="15"/>
  <c r="B73" i="15" s="1"/>
  <c r="B82" i="15" s="1"/>
  <c r="F68" i="15"/>
  <c r="F73" i="15" s="1"/>
  <c r="F42" i="15"/>
  <c r="F54" i="15"/>
  <c r="A15" i="15"/>
  <c r="P14" i="15"/>
  <c r="O68" i="15"/>
  <c r="F31" i="15"/>
  <c r="M33" i="15"/>
  <c r="N33" i="15" s="1"/>
  <c r="O33" i="15" s="1"/>
  <c r="O42" i="15" s="1"/>
  <c r="N42" i="15" s="1"/>
  <c r="L42" i="15"/>
  <c r="L59" i="15" s="1"/>
  <c r="L82" i="15" s="1"/>
  <c r="O54" i="15"/>
  <c r="N54" i="15" s="1"/>
  <c r="G31" i="15"/>
  <c r="G59" i="15" s="1"/>
  <c r="O31" i="15"/>
  <c r="G68" i="15"/>
  <c r="G73" i="15" s="1"/>
  <c r="A16" i="15" l="1"/>
  <c r="P15" i="15"/>
  <c r="N31" i="15"/>
  <c r="O59" i="15"/>
  <c r="N68" i="15"/>
  <c r="O73" i="15"/>
  <c r="N73" i="15" s="1"/>
  <c r="G82" i="15"/>
  <c r="F59" i="15"/>
  <c r="F82" i="15" s="1"/>
  <c r="O82" i="15" l="1"/>
  <c r="N82" i="15" s="1"/>
  <c r="N59" i="15"/>
  <c r="P16" i="15"/>
  <c r="A17" i="15"/>
  <c r="P17" i="15" l="1"/>
  <c r="A18" i="15"/>
  <c r="A19" i="15" l="1"/>
  <c r="P18" i="15"/>
  <c r="P19" i="15" l="1"/>
  <c r="A20" i="15"/>
  <c r="A21" i="15" l="1"/>
  <c r="P20" i="15"/>
  <c r="A22" i="15" l="1"/>
  <c r="P21" i="15"/>
  <c r="A23" i="15" l="1"/>
  <c r="P22" i="15"/>
  <c r="P23" i="15" l="1"/>
  <c r="A24" i="15"/>
  <c r="P24" i="15" l="1"/>
  <c r="A25" i="15"/>
  <c r="P25" i="15" l="1"/>
  <c r="A26" i="15"/>
  <c r="A27" i="15" l="1"/>
  <c r="P26" i="15"/>
  <c r="P27" i="15" l="1"/>
  <c r="A28" i="15"/>
  <c r="P28" i="15" l="1"/>
  <c r="A29" i="15"/>
  <c r="A30" i="15" l="1"/>
  <c r="P29" i="15"/>
  <c r="A31" i="15" l="1"/>
  <c r="P30" i="15"/>
  <c r="A32" i="15" l="1"/>
  <c r="P31" i="15"/>
  <c r="A33" i="15" l="1"/>
  <c r="P32" i="15"/>
  <c r="A34" i="15" l="1"/>
  <c r="P33" i="15"/>
  <c r="A35" i="15" l="1"/>
  <c r="P34" i="15"/>
  <c r="P35" i="15" l="1"/>
  <c r="A36" i="15"/>
  <c r="A37" i="15" l="1"/>
  <c r="P36" i="15"/>
  <c r="A38" i="15" l="1"/>
  <c r="P37" i="15"/>
  <c r="A39" i="15" l="1"/>
  <c r="P38" i="15"/>
  <c r="A40" i="15" l="1"/>
  <c r="P39" i="15"/>
  <c r="P40" i="15" l="1"/>
  <c r="A41" i="15"/>
  <c r="A42" i="15" l="1"/>
  <c r="P41" i="15"/>
  <c r="A43" i="15" l="1"/>
  <c r="P42" i="15"/>
  <c r="P43" i="15" l="1"/>
  <c r="A44" i="15"/>
  <c r="A45" i="15" l="1"/>
  <c r="P44" i="15"/>
  <c r="P45" i="15" l="1"/>
  <c r="A46" i="15"/>
  <c r="A47" i="15" l="1"/>
  <c r="P46" i="15"/>
  <c r="A48" i="15" l="1"/>
  <c r="P47" i="15"/>
  <c r="P48" i="15" l="1"/>
  <c r="A49" i="15"/>
  <c r="A50" i="15" l="1"/>
  <c r="P49" i="15"/>
  <c r="P50" i="15" l="1"/>
  <c r="A51" i="15"/>
  <c r="A52" i="15" l="1"/>
  <c r="P51" i="15"/>
  <c r="A53" i="15" l="1"/>
  <c r="P52" i="15"/>
  <c r="A54" i="15" l="1"/>
  <c r="P53" i="15"/>
  <c r="A55" i="15" l="1"/>
  <c r="P54" i="15"/>
  <c r="P55" i="15" l="1"/>
  <c r="A56" i="15"/>
  <c r="A57" i="15" l="1"/>
  <c r="P56" i="15"/>
  <c r="A58" i="15" l="1"/>
  <c r="P57" i="15"/>
  <c r="P58" i="15" l="1"/>
  <c r="A59" i="15"/>
  <c r="A60" i="15" l="1"/>
  <c r="P59" i="15"/>
  <c r="A61" i="15" l="1"/>
  <c r="P60" i="15"/>
  <c r="A62" i="15" l="1"/>
  <c r="P61" i="15"/>
  <c r="A63" i="15" l="1"/>
  <c r="P62" i="15"/>
  <c r="A64" i="15" l="1"/>
  <c r="P63" i="15"/>
  <c r="A65" i="15" l="1"/>
  <c r="P64" i="15"/>
  <c r="A66" i="15" l="1"/>
  <c r="P65" i="15"/>
  <c r="A67" i="15" l="1"/>
  <c r="P66" i="15"/>
  <c r="A68" i="15" l="1"/>
  <c r="P67" i="15"/>
  <c r="P68" i="15" l="1"/>
  <c r="A69" i="15"/>
  <c r="P69" i="15" l="1"/>
  <c r="A70" i="15"/>
  <c r="P70" i="15" l="1"/>
  <c r="A71" i="15"/>
  <c r="A72" i="15" l="1"/>
  <c r="P71" i="15"/>
  <c r="A73" i="15" l="1"/>
  <c r="P72" i="15"/>
  <c r="P73" i="15" l="1"/>
  <c r="A74" i="15"/>
  <c r="P74" i="15" l="1"/>
  <c r="A75" i="15"/>
  <c r="P75" i="15" l="1"/>
  <c r="A76" i="15"/>
  <c r="A77" i="15" l="1"/>
  <c r="P76" i="15"/>
  <c r="A78" i="15" l="1"/>
  <c r="P77" i="15"/>
  <c r="A79" i="15" l="1"/>
  <c r="P78" i="15"/>
  <c r="P79" i="15" l="1"/>
  <c r="A80" i="15"/>
  <c r="A81" i="15" l="1"/>
  <c r="P80" i="15"/>
  <c r="A82" i="15" l="1"/>
  <c r="P81" i="15"/>
  <c r="A83" i="15" l="1"/>
  <c r="P83" i="15" s="1"/>
  <c r="P82" i="15"/>
  <c r="E19" i="11" l="1"/>
  <c r="O79" i="14"/>
  <c r="E79" i="14"/>
  <c r="D79" i="14"/>
  <c r="E78" i="14"/>
  <c r="D78" i="14"/>
  <c r="O77" i="14"/>
  <c r="O80" i="14" s="1"/>
  <c r="E77" i="14"/>
  <c r="D77" i="14"/>
  <c r="K71" i="14"/>
  <c r="J70" i="14"/>
  <c r="J71" i="14" s="1"/>
  <c r="I70" i="14"/>
  <c r="I71" i="14" s="1"/>
  <c r="E70" i="14"/>
  <c r="F70" i="14" s="1"/>
  <c r="D70" i="14"/>
  <c r="L67" i="14"/>
  <c r="M67" i="14" s="1"/>
  <c r="J67" i="14"/>
  <c r="I67" i="14"/>
  <c r="F67" i="14"/>
  <c r="E67" i="14"/>
  <c r="D67" i="14"/>
  <c r="L66" i="14"/>
  <c r="M66" i="14" s="1"/>
  <c r="J66" i="14"/>
  <c r="I66" i="14"/>
  <c r="I68" i="14" s="1"/>
  <c r="F66" i="14"/>
  <c r="E66" i="14"/>
  <c r="D66" i="14"/>
  <c r="L65" i="14"/>
  <c r="M65" i="14" s="1"/>
  <c r="K65" i="14"/>
  <c r="J65" i="14"/>
  <c r="G65" i="14"/>
  <c r="F65" i="14"/>
  <c r="E65" i="14"/>
  <c r="D65" i="14"/>
  <c r="N65" i="14" s="1"/>
  <c r="O65" i="14" s="1"/>
  <c r="L64" i="14"/>
  <c r="M64" i="14" s="1"/>
  <c r="K64" i="14"/>
  <c r="J64" i="14"/>
  <c r="F64" i="14"/>
  <c r="E64" i="14"/>
  <c r="D64" i="14"/>
  <c r="L63" i="14"/>
  <c r="M63" i="14" s="1"/>
  <c r="K63" i="14"/>
  <c r="J63" i="14"/>
  <c r="F63" i="14"/>
  <c r="E63" i="14"/>
  <c r="D63" i="14"/>
  <c r="N63" i="14" s="1"/>
  <c r="O63" i="14" s="1"/>
  <c r="L62" i="14"/>
  <c r="M62" i="14" s="1"/>
  <c r="K62" i="14"/>
  <c r="K68" i="14" s="1"/>
  <c r="J62" i="14"/>
  <c r="J68" i="14" s="1"/>
  <c r="F62" i="14"/>
  <c r="E62" i="14"/>
  <c r="D62" i="14"/>
  <c r="N62" i="14" s="1"/>
  <c r="O62" i="14" s="1"/>
  <c r="K59" i="14"/>
  <c r="K57" i="14"/>
  <c r="J57" i="14"/>
  <c r="I57" i="14"/>
  <c r="B57" i="14" s="1"/>
  <c r="M56" i="14"/>
  <c r="L56" i="14"/>
  <c r="L57" i="14" s="1"/>
  <c r="J56" i="14"/>
  <c r="E56" i="14"/>
  <c r="D56" i="14"/>
  <c r="F56" i="14" s="1"/>
  <c r="F57" i="14" s="1"/>
  <c r="J54" i="14"/>
  <c r="I54" i="14"/>
  <c r="B54" i="14" s="1"/>
  <c r="M53" i="14"/>
  <c r="L53" i="14"/>
  <c r="E53" i="14"/>
  <c r="D53" i="14"/>
  <c r="F53" i="14" s="1"/>
  <c r="L52" i="14"/>
  <c r="M52" i="14" s="1"/>
  <c r="N52" i="14" s="1"/>
  <c r="O52" i="14" s="1"/>
  <c r="F52" i="14"/>
  <c r="E52" i="14"/>
  <c r="D52" i="14"/>
  <c r="L51" i="14"/>
  <c r="M51" i="14" s="1"/>
  <c r="E51" i="14"/>
  <c r="D51" i="14"/>
  <c r="K50" i="14"/>
  <c r="L50" i="14" s="1"/>
  <c r="M50" i="14" s="1"/>
  <c r="N50" i="14" s="1"/>
  <c r="O50" i="14" s="1"/>
  <c r="E50" i="14"/>
  <c r="F50" i="14" s="1"/>
  <c r="D50" i="14"/>
  <c r="M49" i="14"/>
  <c r="N49" i="14" s="1"/>
  <c r="O49" i="14" s="1"/>
  <c r="L49" i="14"/>
  <c r="E49" i="14"/>
  <c r="D49" i="14"/>
  <c r="F49" i="14" s="1"/>
  <c r="M48" i="14"/>
  <c r="L48" i="14"/>
  <c r="E48" i="14"/>
  <c r="D48" i="14"/>
  <c r="K47" i="14"/>
  <c r="L47" i="14" s="1"/>
  <c r="M47" i="14" s="1"/>
  <c r="F47" i="14"/>
  <c r="E47" i="14"/>
  <c r="D47" i="14"/>
  <c r="L46" i="14"/>
  <c r="K46" i="14"/>
  <c r="K54" i="14" s="1"/>
  <c r="E46" i="14"/>
  <c r="D46" i="14"/>
  <c r="F46" i="14" s="1"/>
  <c r="M45" i="14"/>
  <c r="L45" i="14"/>
  <c r="E45" i="14"/>
  <c r="D45" i="14"/>
  <c r="M44" i="14"/>
  <c r="L44" i="14"/>
  <c r="E44" i="14"/>
  <c r="F44" i="14" s="1"/>
  <c r="D44" i="14"/>
  <c r="N44" i="14" s="1"/>
  <c r="O44" i="14" s="1"/>
  <c r="I42" i="14"/>
  <c r="B42" i="14"/>
  <c r="L41" i="14"/>
  <c r="M41" i="14" s="1"/>
  <c r="J41" i="14"/>
  <c r="E41" i="14"/>
  <c r="D41" i="14"/>
  <c r="J40" i="14"/>
  <c r="L40" i="14" s="1"/>
  <c r="M40" i="14" s="1"/>
  <c r="E40" i="14"/>
  <c r="D40" i="14"/>
  <c r="F40" i="14" s="1"/>
  <c r="L39" i="14"/>
  <c r="M39" i="14" s="1"/>
  <c r="N39" i="14" s="1"/>
  <c r="O39" i="14" s="1"/>
  <c r="J39" i="14"/>
  <c r="E39" i="14"/>
  <c r="D39" i="14"/>
  <c r="F39" i="14" s="1"/>
  <c r="K38" i="14"/>
  <c r="K42" i="14" s="1"/>
  <c r="J38" i="14"/>
  <c r="L38" i="14" s="1"/>
  <c r="M38" i="14" s="1"/>
  <c r="E38" i="14"/>
  <c r="F38" i="14" s="1"/>
  <c r="D38" i="14"/>
  <c r="J37" i="14"/>
  <c r="L37" i="14" s="1"/>
  <c r="M37" i="14" s="1"/>
  <c r="N37" i="14" s="1"/>
  <c r="O37" i="14" s="1"/>
  <c r="F37" i="14"/>
  <c r="E37" i="14"/>
  <c r="D37" i="14"/>
  <c r="L36" i="14"/>
  <c r="M36" i="14" s="1"/>
  <c r="J36" i="14"/>
  <c r="E36" i="14"/>
  <c r="F36" i="14" s="1"/>
  <c r="D36" i="14"/>
  <c r="L35" i="14"/>
  <c r="M35" i="14" s="1"/>
  <c r="J35" i="14"/>
  <c r="E35" i="14"/>
  <c r="D35" i="14"/>
  <c r="F35" i="14" s="1"/>
  <c r="L34" i="14"/>
  <c r="M34" i="14" s="1"/>
  <c r="N34" i="14" s="1"/>
  <c r="O34" i="14" s="1"/>
  <c r="J34" i="14"/>
  <c r="E34" i="14"/>
  <c r="D34" i="14"/>
  <c r="F34" i="14" s="1"/>
  <c r="J33" i="14"/>
  <c r="G33" i="14"/>
  <c r="F33" i="14"/>
  <c r="E33" i="14"/>
  <c r="D33" i="14"/>
  <c r="I31" i="14"/>
  <c r="B31" i="14"/>
  <c r="J30" i="14"/>
  <c r="L30" i="14" s="1"/>
  <c r="M30" i="14" s="1"/>
  <c r="G30" i="14"/>
  <c r="F30" i="14"/>
  <c r="E30" i="14"/>
  <c r="D30" i="14"/>
  <c r="L29" i="14"/>
  <c r="M29" i="14" s="1"/>
  <c r="J29" i="14"/>
  <c r="E29" i="14"/>
  <c r="D29" i="14"/>
  <c r="F29" i="14" s="1"/>
  <c r="J28" i="14"/>
  <c r="L28" i="14" s="1"/>
  <c r="M28" i="14" s="1"/>
  <c r="E28" i="14"/>
  <c r="D28" i="14"/>
  <c r="J27" i="14"/>
  <c r="L27" i="14" s="1"/>
  <c r="M27" i="14" s="1"/>
  <c r="N27" i="14" s="1"/>
  <c r="O27" i="14" s="1"/>
  <c r="E27" i="14"/>
  <c r="D27" i="14"/>
  <c r="F27" i="14" s="1"/>
  <c r="J26" i="14"/>
  <c r="L26" i="14" s="1"/>
  <c r="M26" i="14" s="1"/>
  <c r="N26" i="14" s="1"/>
  <c r="O26" i="14" s="1"/>
  <c r="F26" i="14"/>
  <c r="E26" i="14"/>
  <c r="D26" i="14"/>
  <c r="L25" i="14"/>
  <c r="M25" i="14" s="1"/>
  <c r="J25" i="14"/>
  <c r="E25" i="14"/>
  <c r="F25" i="14" s="1"/>
  <c r="D25" i="14"/>
  <c r="J24" i="14"/>
  <c r="L24" i="14" s="1"/>
  <c r="M24" i="14" s="1"/>
  <c r="E24" i="14"/>
  <c r="D24" i="14"/>
  <c r="F24" i="14" s="1"/>
  <c r="L23" i="14"/>
  <c r="M23" i="14" s="1"/>
  <c r="J23" i="14"/>
  <c r="E23" i="14"/>
  <c r="D23" i="14"/>
  <c r="F23" i="14" s="1"/>
  <c r="J22" i="14"/>
  <c r="L22" i="14" s="1"/>
  <c r="M22" i="14" s="1"/>
  <c r="G22" i="14"/>
  <c r="F22" i="14"/>
  <c r="E22" i="14"/>
  <c r="D22" i="14"/>
  <c r="N22" i="14" s="1"/>
  <c r="O22" i="14" s="1"/>
  <c r="L21" i="14"/>
  <c r="M21" i="14" s="1"/>
  <c r="J21" i="14"/>
  <c r="E21" i="14"/>
  <c r="D21" i="14"/>
  <c r="F21" i="14" s="1"/>
  <c r="J20" i="14"/>
  <c r="L20" i="14" s="1"/>
  <c r="M20" i="14" s="1"/>
  <c r="E20" i="14"/>
  <c r="D20" i="14"/>
  <c r="J19" i="14"/>
  <c r="L19" i="14" s="1"/>
  <c r="M19" i="14" s="1"/>
  <c r="N19" i="14" s="1"/>
  <c r="O19" i="14" s="1"/>
  <c r="E19" i="14"/>
  <c r="D19" i="14"/>
  <c r="F19" i="14" s="1"/>
  <c r="M18" i="14"/>
  <c r="N18" i="14" s="1"/>
  <c r="O18" i="14" s="1"/>
  <c r="J18" i="14"/>
  <c r="L18" i="14" s="1"/>
  <c r="F18" i="14"/>
  <c r="E18" i="14"/>
  <c r="D18" i="14"/>
  <c r="L17" i="14"/>
  <c r="M17" i="14" s="1"/>
  <c r="J17" i="14"/>
  <c r="E17" i="14"/>
  <c r="D17" i="14"/>
  <c r="J16" i="14"/>
  <c r="L16" i="14" s="1"/>
  <c r="M16" i="14" s="1"/>
  <c r="E16" i="14"/>
  <c r="D16" i="14"/>
  <c r="F16" i="14" s="1"/>
  <c r="L15" i="14"/>
  <c r="M15" i="14" s="1"/>
  <c r="N15" i="14" s="1"/>
  <c r="O15" i="14" s="1"/>
  <c r="J15" i="14"/>
  <c r="E15" i="14"/>
  <c r="D15" i="14"/>
  <c r="F15" i="14" s="1"/>
  <c r="K14" i="14"/>
  <c r="K31" i="14" s="1"/>
  <c r="J14" i="14"/>
  <c r="L14" i="14" s="1"/>
  <c r="M14" i="14" s="1"/>
  <c r="E14" i="14"/>
  <c r="D14" i="14"/>
  <c r="F14" i="14" s="1"/>
  <c r="J13" i="14"/>
  <c r="L13" i="14" s="1"/>
  <c r="F13" i="14"/>
  <c r="E13" i="14"/>
  <c r="D13" i="14"/>
  <c r="A13" i="14"/>
  <c r="P12" i="14"/>
  <c r="A12" i="14"/>
  <c r="P11" i="14"/>
  <c r="A4" i="14"/>
  <c r="G53" i="14" s="1"/>
  <c r="A2" i="14"/>
  <c r="A1" i="14"/>
  <c r="G50" i="14" l="1"/>
  <c r="G63" i="14"/>
  <c r="G48" i="14"/>
  <c r="G38" i="14"/>
  <c r="G15" i="14"/>
  <c r="G45" i="14"/>
  <c r="G19" i="14"/>
  <c r="G23" i="14"/>
  <c r="G27" i="14"/>
  <c r="G47" i="14"/>
  <c r="G67" i="14"/>
  <c r="G39" i="14"/>
  <c r="G34" i="14"/>
  <c r="G14" i="14"/>
  <c r="N20" i="14"/>
  <c r="O20" i="14" s="1"/>
  <c r="F20" i="14"/>
  <c r="L54" i="14"/>
  <c r="N48" i="14"/>
  <c r="O48" i="14" s="1"/>
  <c r="F48" i="14"/>
  <c r="N51" i="14"/>
  <c r="O51" i="14" s="1"/>
  <c r="F51" i="14"/>
  <c r="L31" i="14"/>
  <c r="J42" i="14"/>
  <c r="F68" i="14"/>
  <c r="F73" i="14" s="1"/>
  <c r="N23" i="14"/>
  <c r="O23" i="14" s="1"/>
  <c r="I59" i="14"/>
  <c r="I82" i="14" s="1"/>
  <c r="J73" i="14"/>
  <c r="N17" i="14"/>
  <c r="O17" i="14" s="1"/>
  <c r="G17" i="14"/>
  <c r="N41" i="14"/>
  <c r="O41" i="14" s="1"/>
  <c r="G41" i="14"/>
  <c r="N45" i="14"/>
  <c r="O45" i="14" s="1"/>
  <c r="F45" i="14"/>
  <c r="F54" i="14" s="1"/>
  <c r="M46" i="14"/>
  <c r="N46" i="14" s="1"/>
  <c r="O46" i="14" s="1"/>
  <c r="I73" i="14"/>
  <c r="B68" i="14"/>
  <c r="M13" i="14"/>
  <c r="N13" i="14" s="1"/>
  <c r="O13" i="14" s="1"/>
  <c r="N25" i="14"/>
  <c r="O25" i="14" s="1"/>
  <c r="G25" i="14"/>
  <c r="N28" i="14"/>
  <c r="O28" i="14" s="1"/>
  <c r="F28" i="14"/>
  <c r="N47" i="14"/>
  <c r="O47" i="14" s="1"/>
  <c r="N21" i="14"/>
  <c r="O21" i="14" s="1"/>
  <c r="N30" i="14"/>
  <c r="O30" i="14" s="1"/>
  <c r="N38" i="14"/>
  <c r="O38" i="14" s="1"/>
  <c r="K73" i="14"/>
  <c r="K82" i="14" s="1"/>
  <c r="N67" i="14"/>
  <c r="O67" i="14" s="1"/>
  <c r="L68" i="14"/>
  <c r="N29" i="14"/>
  <c r="O29" i="14" s="1"/>
  <c r="N36" i="14"/>
  <c r="O36" i="14" s="1"/>
  <c r="G36" i="14"/>
  <c r="A14" i="14"/>
  <c r="P13" i="14"/>
  <c r="N56" i="14"/>
  <c r="O56" i="14" s="1"/>
  <c r="O57" i="14" s="1"/>
  <c r="N57" i="14" s="1"/>
  <c r="N66" i="14"/>
  <c r="O66" i="14" s="1"/>
  <c r="F71" i="14"/>
  <c r="F17" i="14"/>
  <c r="F31" i="14" s="1"/>
  <c r="F41" i="14"/>
  <c r="F42" i="14" s="1"/>
  <c r="N64" i="14"/>
  <c r="O64" i="14" s="1"/>
  <c r="O68" i="14" s="1"/>
  <c r="G44" i="14"/>
  <c r="N53" i="14"/>
  <c r="O53" i="14" s="1"/>
  <c r="G70" i="14"/>
  <c r="G71" i="14" s="1"/>
  <c r="N16" i="14"/>
  <c r="O16" i="14" s="1"/>
  <c r="G20" i="14"/>
  <c r="N24" i="14"/>
  <c r="O24" i="14" s="1"/>
  <c r="G28" i="14"/>
  <c r="L33" i="14"/>
  <c r="N35" i="14"/>
  <c r="O35" i="14" s="1"/>
  <c r="N40" i="14"/>
  <c r="O40" i="14" s="1"/>
  <c r="G51" i="14"/>
  <c r="B71" i="14"/>
  <c r="G13" i="14"/>
  <c r="N14" i="14"/>
  <c r="O14" i="14" s="1"/>
  <c r="G18" i="14"/>
  <c r="G26" i="14"/>
  <c r="J31" i="14"/>
  <c r="J59" i="14" s="1"/>
  <c r="J82" i="14" s="1"/>
  <c r="G37" i="14"/>
  <c r="G52" i="14"/>
  <c r="G62" i="14"/>
  <c r="G64" i="14"/>
  <c r="G66" i="14"/>
  <c r="L70" i="14"/>
  <c r="G21" i="14"/>
  <c r="G29" i="14"/>
  <c r="G46" i="14"/>
  <c r="G49" i="14"/>
  <c r="G56" i="14"/>
  <c r="G57" i="14" s="1"/>
  <c r="G16" i="14"/>
  <c r="G24" i="14"/>
  <c r="G35" i="14"/>
  <c r="G40" i="14"/>
  <c r="G54" i="14" l="1"/>
  <c r="G42" i="14"/>
  <c r="N68" i="14"/>
  <c r="F59" i="14"/>
  <c r="F82" i="14" s="1"/>
  <c r="O54" i="14"/>
  <c r="N54" i="14" s="1"/>
  <c r="M33" i="14"/>
  <c r="N33" i="14" s="1"/>
  <c r="O33" i="14" s="1"/>
  <c r="O42" i="14" s="1"/>
  <c r="N42" i="14" s="1"/>
  <c r="L42" i="14"/>
  <c r="O31" i="14"/>
  <c r="B73" i="14"/>
  <c r="M70" i="14"/>
  <c r="N70" i="14" s="1"/>
  <c r="O70" i="14" s="1"/>
  <c r="O71" i="14" s="1"/>
  <c r="N71" i="14" s="1"/>
  <c r="L71" i="14"/>
  <c r="P14" i="14"/>
  <c r="A15" i="14"/>
  <c r="G31" i="14"/>
  <c r="G59" i="14" s="1"/>
  <c r="G68" i="14"/>
  <c r="G73" i="14" s="1"/>
  <c r="B59" i="14"/>
  <c r="L59" i="14"/>
  <c r="L73" i="14"/>
  <c r="G82" i="14" l="1"/>
  <c r="L82" i="14"/>
  <c r="B82" i="14"/>
  <c r="O59" i="14"/>
  <c r="N31" i="14"/>
  <c r="A16" i="14"/>
  <c r="P15" i="14"/>
  <c r="O73" i="14"/>
  <c r="N73" i="14" s="1"/>
  <c r="A17" i="14" l="1"/>
  <c r="P16" i="14"/>
  <c r="O82" i="14"/>
  <c r="N82" i="14" s="1"/>
  <c r="N59" i="14"/>
  <c r="A18" i="14" l="1"/>
  <c r="P17" i="14"/>
  <c r="A19" i="14" l="1"/>
  <c r="P18" i="14"/>
  <c r="A20" i="14" l="1"/>
  <c r="P19" i="14"/>
  <c r="A21" i="14" l="1"/>
  <c r="P20" i="14"/>
  <c r="P21" i="14" l="1"/>
  <c r="A22" i="14"/>
  <c r="P22" i="14" l="1"/>
  <c r="A23" i="14"/>
  <c r="A24" i="14" l="1"/>
  <c r="P23" i="14"/>
  <c r="A25" i="14" l="1"/>
  <c r="P24" i="14"/>
  <c r="A26" i="14" l="1"/>
  <c r="P25" i="14"/>
  <c r="A27" i="14" l="1"/>
  <c r="P26" i="14"/>
  <c r="A28" i="14" l="1"/>
  <c r="P27" i="14"/>
  <c r="A29" i="14" l="1"/>
  <c r="P28" i="14"/>
  <c r="P29" i="14" l="1"/>
  <c r="A30" i="14"/>
  <c r="P30" i="14" l="1"/>
  <c r="A31" i="14"/>
  <c r="A32" i="14" l="1"/>
  <c r="P31" i="14"/>
  <c r="P32" i="14" l="1"/>
  <c r="A33" i="14"/>
  <c r="P33" i="14" l="1"/>
  <c r="A34" i="14"/>
  <c r="A35" i="14" l="1"/>
  <c r="P34" i="14"/>
  <c r="A36" i="14" l="1"/>
  <c r="P35" i="14"/>
  <c r="A37" i="14" l="1"/>
  <c r="P36" i="14"/>
  <c r="A38" i="14" l="1"/>
  <c r="P37" i="14"/>
  <c r="P38" i="14" l="1"/>
  <c r="A39" i="14"/>
  <c r="A40" i="14" l="1"/>
  <c r="P39" i="14"/>
  <c r="A41" i="14" l="1"/>
  <c r="P40" i="14"/>
  <c r="P41" i="14" l="1"/>
  <c r="A42" i="14"/>
  <c r="A43" i="14" l="1"/>
  <c r="P42" i="14"/>
  <c r="A44" i="14" l="1"/>
  <c r="P43" i="14"/>
  <c r="P44" i="14" l="1"/>
  <c r="A45" i="14"/>
  <c r="A46" i="14" l="1"/>
  <c r="P45" i="14"/>
  <c r="P46" i="14" l="1"/>
  <c r="A47" i="14"/>
  <c r="P47" i="14" l="1"/>
  <c r="A48" i="14"/>
  <c r="A49" i="14" l="1"/>
  <c r="P48" i="14"/>
  <c r="A50" i="14" l="1"/>
  <c r="P49" i="14"/>
  <c r="A51" i="14" l="1"/>
  <c r="P50" i="14"/>
  <c r="A52" i="14" l="1"/>
  <c r="P51" i="14"/>
  <c r="A53" i="14" l="1"/>
  <c r="P52" i="14"/>
  <c r="P53" i="14" l="1"/>
  <c r="A54" i="14"/>
  <c r="P54" i="14" l="1"/>
  <c r="A55" i="14"/>
  <c r="A56" i="14" l="1"/>
  <c r="P55" i="14"/>
  <c r="A57" i="14" l="1"/>
  <c r="P56" i="14"/>
  <c r="P57" i="14" l="1"/>
  <c r="A58" i="14"/>
  <c r="P58" i="14" l="1"/>
  <c r="A59" i="14"/>
  <c r="A60" i="14" l="1"/>
  <c r="P59" i="14"/>
  <c r="A61" i="14" l="1"/>
  <c r="P60" i="14"/>
  <c r="A62" i="14" l="1"/>
  <c r="P61" i="14"/>
  <c r="A63" i="14" l="1"/>
  <c r="P62" i="14"/>
  <c r="A64" i="14" l="1"/>
  <c r="P63" i="14"/>
  <c r="A65" i="14" l="1"/>
  <c r="P64" i="14"/>
  <c r="A66" i="14" l="1"/>
  <c r="P65" i="14"/>
  <c r="A67" i="14" l="1"/>
  <c r="P66" i="14"/>
  <c r="A68" i="14" l="1"/>
  <c r="P67" i="14"/>
  <c r="A69" i="14" l="1"/>
  <c r="P68" i="14"/>
  <c r="A70" i="14" l="1"/>
  <c r="P69" i="14"/>
  <c r="P70" i="14" l="1"/>
  <c r="A71" i="14"/>
  <c r="P71" i="14" l="1"/>
  <c r="A72" i="14"/>
  <c r="A73" i="14" l="1"/>
  <c r="P72" i="14"/>
  <c r="P73" i="14" l="1"/>
  <c r="A74" i="14"/>
  <c r="A75" i="14" l="1"/>
  <c r="P74" i="14"/>
  <c r="A76" i="14" l="1"/>
  <c r="P75" i="14"/>
  <c r="P76" i="14" l="1"/>
  <c r="A77" i="14"/>
  <c r="P77" i="14" l="1"/>
  <c r="A78" i="14"/>
  <c r="A79" i="14" l="1"/>
  <c r="P78" i="14"/>
  <c r="A80" i="14" l="1"/>
  <c r="P79" i="14"/>
  <c r="A81" i="14" l="1"/>
  <c r="P80" i="14"/>
  <c r="A82" i="14" l="1"/>
  <c r="P81" i="14"/>
  <c r="A83" i="14" l="1"/>
  <c r="P83" i="14" s="1"/>
  <c r="P82" i="14"/>
  <c r="D19" i="11" l="1"/>
  <c r="O74" i="13"/>
  <c r="E74" i="13"/>
  <c r="D74" i="13"/>
  <c r="E73" i="13"/>
  <c r="D73" i="13"/>
  <c r="O72" i="13"/>
  <c r="O75" i="13" s="1"/>
  <c r="E72" i="13"/>
  <c r="D72" i="13"/>
  <c r="K66" i="13"/>
  <c r="J65" i="13"/>
  <c r="J66" i="13" s="1"/>
  <c r="I65" i="13"/>
  <c r="I66" i="13" s="1"/>
  <c r="E65" i="13"/>
  <c r="D65" i="13"/>
  <c r="F65" i="13" s="1"/>
  <c r="F66" i="13" s="1"/>
  <c r="J62" i="13"/>
  <c r="I62" i="13"/>
  <c r="L62" i="13" s="1"/>
  <c r="M62" i="13" s="1"/>
  <c r="E62" i="13"/>
  <c r="F62" i="13" s="1"/>
  <c r="D62" i="13"/>
  <c r="J61" i="13"/>
  <c r="L61" i="13" s="1"/>
  <c r="M61" i="13" s="1"/>
  <c r="I61" i="13"/>
  <c r="I63" i="13" s="1"/>
  <c r="G61" i="13"/>
  <c r="E61" i="13"/>
  <c r="D61" i="13"/>
  <c r="F61" i="13" s="1"/>
  <c r="K60" i="13"/>
  <c r="J60" i="13"/>
  <c r="L60" i="13" s="1"/>
  <c r="M60" i="13" s="1"/>
  <c r="E60" i="13"/>
  <c r="F60" i="13" s="1"/>
  <c r="D60" i="13"/>
  <c r="K59" i="13"/>
  <c r="L59" i="13" s="1"/>
  <c r="M59" i="13" s="1"/>
  <c r="J59" i="13"/>
  <c r="G59" i="13"/>
  <c r="E59" i="13"/>
  <c r="D59" i="13"/>
  <c r="F59" i="13" s="1"/>
  <c r="K58" i="13"/>
  <c r="J58" i="13"/>
  <c r="L58" i="13" s="1"/>
  <c r="M58" i="13" s="1"/>
  <c r="E58" i="13"/>
  <c r="F58" i="13" s="1"/>
  <c r="D58" i="13"/>
  <c r="N58" i="13" s="1"/>
  <c r="O58" i="13" s="1"/>
  <c r="K57" i="13"/>
  <c r="K63" i="13" s="1"/>
  <c r="K68" i="13" s="1"/>
  <c r="J57" i="13"/>
  <c r="J63" i="13" s="1"/>
  <c r="J68" i="13" s="1"/>
  <c r="G57" i="13"/>
  <c r="E57" i="13"/>
  <c r="D57" i="13"/>
  <c r="F57" i="13" s="1"/>
  <c r="K52" i="13"/>
  <c r="I52" i="13"/>
  <c r="B52" i="13"/>
  <c r="J51" i="13"/>
  <c r="J52" i="13" s="1"/>
  <c r="F51" i="13"/>
  <c r="F52" i="13" s="1"/>
  <c r="E51" i="13"/>
  <c r="D51" i="13"/>
  <c r="J49" i="13"/>
  <c r="I49" i="13"/>
  <c r="B49" i="13"/>
  <c r="L48" i="13"/>
  <c r="M48" i="13" s="1"/>
  <c r="E48" i="13"/>
  <c r="F48" i="13" s="1"/>
  <c r="D48" i="13"/>
  <c r="M47" i="13"/>
  <c r="N47" i="13" s="1"/>
  <c r="O47" i="13" s="1"/>
  <c r="L47" i="13"/>
  <c r="E47" i="13"/>
  <c r="D47" i="13"/>
  <c r="F47" i="13" s="1"/>
  <c r="M46" i="13"/>
  <c r="L46" i="13"/>
  <c r="E46" i="13"/>
  <c r="D46" i="13"/>
  <c r="N46" i="13" s="1"/>
  <c r="O46" i="13" s="1"/>
  <c r="L45" i="13"/>
  <c r="M45" i="13" s="1"/>
  <c r="K45" i="13"/>
  <c r="E45" i="13"/>
  <c r="D45" i="13"/>
  <c r="N45" i="13" s="1"/>
  <c r="O45" i="13" s="1"/>
  <c r="L44" i="13"/>
  <c r="M44" i="13" s="1"/>
  <c r="N44" i="13" s="1"/>
  <c r="O44" i="13" s="1"/>
  <c r="G44" i="13"/>
  <c r="F44" i="13"/>
  <c r="E44" i="13"/>
  <c r="D44" i="13"/>
  <c r="L43" i="13"/>
  <c r="M43" i="13" s="1"/>
  <c r="N43" i="13" s="1"/>
  <c r="O43" i="13" s="1"/>
  <c r="E43" i="13"/>
  <c r="D43" i="13"/>
  <c r="F43" i="13" s="1"/>
  <c r="K42" i="13"/>
  <c r="L42" i="13" s="1"/>
  <c r="M42" i="13" s="1"/>
  <c r="N42" i="13" s="1"/>
  <c r="O42" i="13" s="1"/>
  <c r="E42" i="13"/>
  <c r="D42" i="13"/>
  <c r="F42" i="13" s="1"/>
  <c r="K41" i="13"/>
  <c r="K49" i="13" s="1"/>
  <c r="F41" i="13"/>
  <c r="E41" i="13"/>
  <c r="D41" i="13"/>
  <c r="L40" i="13"/>
  <c r="M40" i="13" s="1"/>
  <c r="N40" i="13" s="1"/>
  <c r="O40" i="13" s="1"/>
  <c r="E40" i="13"/>
  <c r="D40" i="13"/>
  <c r="F40" i="13" s="1"/>
  <c r="N39" i="13"/>
  <c r="O39" i="13" s="1"/>
  <c r="M39" i="13"/>
  <c r="L39" i="13"/>
  <c r="E39" i="13"/>
  <c r="D39" i="13"/>
  <c r="F39" i="13" s="1"/>
  <c r="K37" i="13"/>
  <c r="I37" i="13"/>
  <c r="B37" i="13" s="1"/>
  <c r="M36" i="13"/>
  <c r="L36" i="13"/>
  <c r="J36" i="13"/>
  <c r="E36" i="13"/>
  <c r="D36" i="13"/>
  <c r="N36" i="13" s="1"/>
  <c r="O36" i="13" s="1"/>
  <c r="J35" i="13"/>
  <c r="L35" i="13" s="1"/>
  <c r="M35" i="13" s="1"/>
  <c r="E35" i="13"/>
  <c r="F35" i="13" s="1"/>
  <c r="D35" i="13"/>
  <c r="J34" i="13"/>
  <c r="J37" i="13" s="1"/>
  <c r="E34" i="13"/>
  <c r="D34" i="13"/>
  <c r="F34" i="13" s="1"/>
  <c r="K33" i="13"/>
  <c r="J33" i="13"/>
  <c r="L33" i="13" s="1"/>
  <c r="E33" i="13"/>
  <c r="G33" i="13" s="1"/>
  <c r="D33" i="13"/>
  <c r="F33" i="13" s="1"/>
  <c r="K31" i="13"/>
  <c r="K54" i="13" s="1"/>
  <c r="K77" i="13" s="1"/>
  <c r="I31" i="13"/>
  <c r="I54" i="13" s="1"/>
  <c r="B31" i="13"/>
  <c r="L30" i="13"/>
  <c r="M30" i="13" s="1"/>
  <c r="J30" i="13"/>
  <c r="E30" i="13"/>
  <c r="G30" i="13" s="1"/>
  <c r="D30" i="13"/>
  <c r="N30" i="13" s="1"/>
  <c r="O30" i="13" s="1"/>
  <c r="L29" i="13"/>
  <c r="M29" i="13" s="1"/>
  <c r="J29" i="13"/>
  <c r="G29" i="13"/>
  <c r="E29" i="13"/>
  <c r="D29" i="13"/>
  <c r="F29" i="13" s="1"/>
  <c r="M28" i="13"/>
  <c r="L28" i="13"/>
  <c r="J28" i="13"/>
  <c r="E28" i="13"/>
  <c r="D28" i="13"/>
  <c r="N28" i="13" s="1"/>
  <c r="O28" i="13" s="1"/>
  <c r="J27" i="13"/>
  <c r="L27" i="13" s="1"/>
  <c r="M27" i="13" s="1"/>
  <c r="E27" i="13"/>
  <c r="F27" i="13" s="1"/>
  <c r="D27" i="13"/>
  <c r="J26" i="13"/>
  <c r="L26" i="13" s="1"/>
  <c r="M26" i="13" s="1"/>
  <c r="N26" i="13" s="1"/>
  <c r="O26" i="13" s="1"/>
  <c r="E26" i="13"/>
  <c r="D26" i="13"/>
  <c r="F26" i="13" s="1"/>
  <c r="J25" i="13"/>
  <c r="L25" i="13" s="1"/>
  <c r="M25" i="13" s="1"/>
  <c r="N25" i="13" s="1"/>
  <c r="O25" i="13" s="1"/>
  <c r="E25" i="13"/>
  <c r="D25" i="13"/>
  <c r="F25" i="13" s="1"/>
  <c r="J24" i="13"/>
  <c r="L24" i="13" s="1"/>
  <c r="M24" i="13" s="1"/>
  <c r="N24" i="13" s="1"/>
  <c r="O24" i="13" s="1"/>
  <c r="F24" i="13"/>
  <c r="E24" i="13"/>
  <c r="D24" i="13"/>
  <c r="L23" i="13"/>
  <c r="M23" i="13" s="1"/>
  <c r="N23" i="13" s="1"/>
  <c r="O23" i="13" s="1"/>
  <c r="J23" i="13"/>
  <c r="E23" i="13"/>
  <c r="D23" i="13"/>
  <c r="F23" i="13" s="1"/>
  <c r="L22" i="13"/>
  <c r="M22" i="13" s="1"/>
  <c r="J22" i="13"/>
  <c r="E22" i="13"/>
  <c r="G22" i="13" s="1"/>
  <c r="D22" i="13"/>
  <c r="N22" i="13" s="1"/>
  <c r="O22" i="13" s="1"/>
  <c r="L21" i="13"/>
  <c r="M21" i="13" s="1"/>
  <c r="J21" i="13"/>
  <c r="G21" i="13"/>
  <c r="E21" i="13"/>
  <c r="D21" i="13"/>
  <c r="F21" i="13" s="1"/>
  <c r="M20" i="13"/>
  <c r="L20" i="13"/>
  <c r="J20" i="13"/>
  <c r="E20" i="13"/>
  <c r="G20" i="13" s="1"/>
  <c r="D20" i="13"/>
  <c r="N20" i="13" s="1"/>
  <c r="O20" i="13" s="1"/>
  <c r="J19" i="13"/>
  <c r="L19" i="13" s="1"/>
  <c r="M19" i="13" s="1"/>
  <c r="E19" i="13"/>
  <c r="F19" i="13" s="1"/>
  <c r="D19" i="13"/>
  <c r="J18" i="13"/>
  <c r="L18" i="13" s="1"/>
  <c r="M18" i="13" s="1"/>
  <c r="N18" i="13" s="1"/>
  <c r="O18" i="13" s="1"/>
  <c r="E18" i="13"/>
  <c r="D18" i="13"/>
  <c r="F18" i="13" s="1"/>
  <c r="J17" i="13"/>
  <c r="L17" i="13" s="1"/>
  <c r="M17" i="13" s="1"/>
  <c r="N17" i="13" s="1"/>
  <c r="O17" i="13" s="1"/>
  <c r="E17" i="13"/>
  <c r="D17" i="13"/>
  <c r="F17" i="13" s="1"/>
  <c r="J16" i="13"/>
  <c r="L16" i="13" s="1"/>
  <c r="M16" i="13" s="1"/>
  <c r="N16" i="13" s="1"/>
  <c r="O16" i="13" s="1"/>
  <c r="F16" i="13"/>
  <c r="E16" i="13"/>
  <c r="D16" i="13"/>
  <c r="L15" i="13"/>
  <c r="M15" i="13" s="1"/>
  <c r="N15" i="13" s="1"/>
  <c r="O15" i="13" s="1"/>
  <c r="J15" i="13"/>
  <c r="E15" i="13"/>
  <c r="D15" i="13"/>
  <c r="F15" i="13" s="1"/>
  <c r="K14" i="13"/>
  <c r="J14" i="13"/>
  <c r="L14" i="13" s="1"/>
  <c r="M14" i="13" s="1"/>
  <c r="E14" i="13"/>
  <c r="F14" i="13" s="1"/>
  <c r="D14" i="13"/>
  <c r="N14" i="13" s="1"/>
  <c r="O14" i="13" s="1"/>
  <c r="J13" i="13"/>
  <c r="J31" i="13" s="1"/>
  <c r="E13" i="13"/>
  <c r="D13" i="13"/>
  <c r="F13" i="13" s="1"/>
  <c r="A12" i="13"/>
  <c r="P12" i="13" s="1"/>
  <c r="P11" i="13"/>
  <c r="A4" i="13"/>
  <c r="G51" i="13" s="1"/>
  <c r="G52" i="13" s="1"/>
  <c r="A2" i="13"/>
  <c r="A1" i="13"/>
  <c r="G45" i="13" l="1"/>
  <c r="G16" i="13"/>
  <c r="G24" i="13"/>
  <c r="G41" i="13"/>
  <c r="G47" i="13"/>
  <c r="J54" i="13"/>
  <c r="J77" i="13" s="1"/>
  <c r="N19" i="13"/>
  <c r="O19" i="13" s="1"/>
  <c r="N27" i="13"/>
  <c r="O27" i="13" s="1"/>
  <c r="F63" i="13"/>
  <c r="F68" i="13" s="1"/>
  <c r="B54" i="13"/>
  <c r="N35" i="13"/>
  <c r="O35" i="13" s="1"/>
  <c r="F37" i="13"/>
  <c r="I77" i="13"/>
  <c r="I68" i="13"/>
  <c r="B63" i="13"/>
  <c r="M33" i="13"/>
  <c r="N33" i="13" s="1"/>
  <c r="O33" i="13" s="1"/>
  <c r="N60" i="13"/>
  <c r="O60" i="13" s="1"/>
  <c r="N62" i="13"/>
  <c r="O62" i="13" s="1"/>
  <c r="G19" i="13"/>
  <c r="F30" i="13"/>
  <c r="A13" i="13"/>
  <c r="L41" i="13"/>
  <c r="M41" i="13" s="1"/>
  <c r="N41" i="13" s="1"/>
  <c r="O41" i="13" s="1"/>
  <c r="O49" i="13" s="1"/>
  <c r="N49" i="13" s="1"/>
  <c r="L51" i="13"/>
  <c r="L57" i="13"/>
  <c r="L13" i="13"/>
  <c r="F22" i="13"/>
  <c r="F31" i="13" s="1"/>
  <c r="G27" i="13"/>
  <c r="G48" i="13"/>
  <c r="G17" i="13"/>
  <c r="F20" i="13"/>
  <c r="N21" i="13"/>
  <c r="O21" i="13" s="1"/>
  <c r="G25" i="13"/>
  <c r="F28" i="13"/>
  <c r="N29" i="13"/>
  <c r="O29" i="13" s="1"/>
  <c r="F36" i="13"/>
  <c r="G42" i="13"/>
  <c r="G58" i="13"/>
  <c r="G60" i="13"/>
  <c r="G63" i="13" s="1"/>
  <c r="G62" i="13"/>
  <c r="G14" i="13"/>
  <c r="G28" i="13"/>
  <c r="G36" i="13"/>
  <c r="G39" i="13"/>
  <c r="F46" i="13"/>
  <c r="N48" i="13"/>
  <c r="O48" i="13" s="1"/>
  <c r="N59" i="13"/>
  <c r="O59" i="13" s="1"/>
  <c r="N61" i="13"/>
  <c r="O61" i="13" s="1"/>
  <c r="G65" i="13"/>
  <c r="G66" i="13" s="1"/>
  <c r="G35" i="13"/>
  <c r="G15" i="13"/>
  <c r="G23" i="13"/>
  <c r="G46" i="13"/>
  <c r="B66" i="13"/>
  <c r="F45" i="13"/>
  <c r="F49" i="13" s="1"/>
  <c r="G13" i="13"/>
  <c r="G18" i="13"/>
  <c r="G26" i="13"/>
  <c r="G34" i="13"/>
  <c r="G37" i="13" s="1"/>
  <c r="G40" i="13"/>
  <c r="G43" i="13"/>
  <c r="L49" i="13"/>
  <c r="L65" i="13"/>
  <c r="L34" i="13"/>
  <c r="M34" i="13" s="1"/>
  <c r="N34" i="13" s="1"/>
  <c r="O34" i="13" s="1"/>
  <c r="G68" i="13" l="1"/>
  <c r="G49" i="13"/>
  <c r="F54" i="13"/>
  <c r="F77" i="13" s="1"/>
  <c r="L31" i="13"/>
  <c r="M13" i="13"/>
  <c r="N13" i="13" s="1"/>
  <c r="O13" i="13" s="1"/>
  <c r="O31" i="13" s="1"/>
  <c r="O37" i="13"/>
  <c r="N37" i="13" s="1"/>
  <c r="A14" i="13"/>
  <c r="P13" i="13"/>
  <c r="G31" i="13"/>
  <c r="G54" i="13" s="1"/>
  <c r="G77" i="13" s="1"/>
  <c r="M65" i="13"/>
  <c r="N65" i="13" s="1"/>
  <c r="O65" i="13" s="1"/>
  <c r="O66" i="13" s="1"/>
  <c r="N66" i="13" s="1"/>
  <c r="L66" i="13"/>
  <c r="B68" i="13"/>
  <c r="B77" i="13"/>
  <c r="L52" i="13"/>
  <c r="M51" i="13"/>
  <c r="N51" i="13" s="1"/>
  <c r="O51" i="13" s="1"/>
  <c r="O52" i="13" s="1"/>
  <c r="N52" i="13" s="1"/>
  <c r="M57" i="13"/>
  <c r="N57" i="13" s="1"/>
  <c r="O57" i="13" s="1"/>
  <c r="O63" i="13" s="1"/>
  <c r="L63" i="13"/>
  <c r="L37" i="13"/>
  <c r="N63" i="13" l="1"/>
  <c r="O68" i="13"/>
  <c r="N68" i="13" s="1"/>
  <c r="L68" i="13"/>
  <c r="P14" i="13"/>
  <c r="A15" i="13"/>
  <c r="N31" i="13"/>
  <c r="O54" i="13"/>
  <c r="L54" i="13"/>
  <c r="L77" i="13" s="1"/>
  <c r="O77" i="13" l="1"/>
  <c r="N77" i="13" s="1"/>
  <c r="N54" i="13"/>
  <c r="A16" i="13"/>
  <c r="P15" i="13"/>
  <c r="P16" i="13" l="1"/>
  <c r="A17" i="13"/>
  <c r="A18" i="13" l="1"/>
  <c r="P17" i="13"/>
  <c r="P18" i="13" l="1"/>
  <c r="A19" i="13"/>
  <c r="A20" i="13" l="1"/>
  <c r="P19" i="13"/>
  <c r="P20" i="13" l="1"/>
  <c r="A21" i="13"/>
  <c r="A22" i="13" l="1"/>
  <c r="P21" i="13"/>
  <c r="P22" i="13" l="1"/>
  <c r="A23" i="13"/>
  <c r="A24" i="13" l="1"/>
  <c r="P23" i="13"/>
  <c r="P24" i="13" l="1"/>
  <c r="A25" i="13"/>
  <c r="P25" i="13" l="1"/>
  <c r="A26" i="13"/>
  <c r="A27" i="13" l="1"/>
  <c r="P26" i="13"/>
  <c r="A28" i="13" l="1"/>
  <c r="P27" i="13"/>
  <c r="P28" i="13" l="1"/>
  <c r="A29" i="13"/>
  <c r="A30" i="13" l="1"/>
  <c r="P29" i="13"/>
  <c r="P30" i="13" l="1"/>
  <c r="A31" i="13"/>
  <c r="A32" i="13" l="1"/>
  <c r="P31" i="13"/>
  <c r="A33" i="13" l="1"/>
  <c r="P32" i="13"/>
  <c r="A34" i="13" l="1"/>
  <c r="P33" i="13"/>
  <c r="A35" i="13" l="1"/>
  <c r="P34" i="13"/>
  <c r="A36" i="13" l="1"/>
  <c r="P35" i="13"/>
  <c r="A37" i="13" l="1"/>
  <c r="P36" i="13"/>
  <c r="A38" i="13" l="1"/>
  <c r="P37" i="13"/>
  <c r="A39" i="13" l="1"/>
  <c r="P38" i="13"/>
  <c r="A40" i="13" l="1"/>
  <c r="P39" i="13"/>
  <c r="A41" i="13" l="1"/>
  <c r="P40" i="13"/>
  <c r="P41" i="13" l="1"/>
  <c r="A42" i="13"/>
  <c r="P42" i="13" l="1"/>
  <c r="A43" i="13"/>
  <c r="A44" i="13" l="1"/>
  <c r="P43" i="13"/>
  <c r="A45" i="13" l="1"/>
  <c r="P44" i="13"/>
  <c r="P45" i="13" l="1"/>
  <c r="A46" i="13"/>
  <c r="A47" i="13" l="1"/>
  <c r="P46" i="13"/>
  <c r="A48" i="13" l="1"/>
  <c r="P47" i="13"/>
  <c r="P48" i="13" l="1"/>
  <c r="A49" i="13"/>
  <c r="A50" i="13" l="1"/>
  <c r="P49" i="13"/>
  <c r="A51" i="13" l="1"/>
  <c r="P50" i="13"/>
  <c r="P51" i="13" l="1"/>
  <c r="A52" i="13"/>
  <c r="A53" i="13" l="1"/>
  <c r="P52" i="13"/>
  <c r="A54" i="13" l="1"/>
  <c r="P53" i="13"/>
  <c r="P54" i="13" l="1"/>
  <c r="A55" i="13"/>
  <c r="P55" i="13" l="1"/>
  <c r="A56" i="13"/>
  <c r="A57" i="13" l="1"/>
  <c r="P56" i="13"/>
  <c r="P57" i="13" l="1"/>
  <c r="A58" i="13"/>
  <c r="A59" i="13" l="1"/>
  <c r="P58" i="13"/>
  <c r="P59" i="13" l="1"/>
  <c r="A60" i="13"/>
  <c r="A61" i="13" l="1"/>
  <c r="P60" i="13"/>
  <c r="A62" i="13" l="1"/>
  <c r="P61" i="13"/>
  <c r="A63" i="13" l="1"/>
  <c r="P62" i="13"/>
  <c r="A64" i="13" l="1"/>
  <c r="P63" i="13"/>
  <c r="A65" i="13" l="1"/>
  <c r="P64" i="13"/>
  <c r="A66" i="13" l="1"/>
  <c r="P65" i="13"/>
  <c r="A67" i="13" l="1"/>
  <c r="P66" i="13"/>
  <c r="A68" i="13" l="1"/>
  <c r="P67" i="13"/>
  <c r="A69" i="13" l="1"/>
  <c r="P68" i="13"/>
  <c r="A70" i="13" l="1"/>
  <c r="P69" i="13"/>
  <c r="A71" i="13" l="1"/>
  <c r="P70" i="13"/>
  <c r="P71" i="13" l="1"/>
  <c r="A72" i="13"/>
  <c r="A73" i="13" l="1"/>
  <c r="P72" i="13"/>
  <c r="A74" i="13" l="1"/>
  <c r="P73" i="13"/>
  <c r="A75" i="13" l="1"/>
  <c r="P74" i="13"/>
  <c r="A76" i="13" l="1"/>
  <c r="P75" i="13"/>
  <c r="A77" i="13" l="1"/>
  <c r="P76" i="13"/>
  <c r="A78" i="13" l="1"/>
  <c r="P78" i="13" s="1"/>
  <c r="P77" i="13"/>
  <c r="C32" i="11" l="1"/>
  <c r="C19" i="11" l="1"/>
  <c r="E11" i="11"/>
  <c r="F11" i="11"/>
  <c r="G11" i="11"/>
  <c r="C11" i="11"/>
  <c r="C13" i="11" s="1"/>
  <c r="D10" i="11"/>
  <c r="E14" i="18" l="1"/>
  <c r="F14" i="18" s="1"/>
  <c r="F16" i="18" s="1"/>
  <c r="F20" i="18" s="1"/>
  <c r="E15" i="11"/>
  <c r="E33" i="11"/>
  <c r="E16" i="11"/>
  <c r="E14" i="11"/>
  <c r="E13" i="11"/>
  <c r="G13" i="11"/>
  <c r="G15" i="11"/>
  <c r="G14" i="11"/>
  <c r="G16" i="11"/>
  <c r="G33" i="11"/>
  <c r="F14" i="11"/>
  <c r="F13" i="11"/>
  <c r="F15" i="11"/>
  <c r="F16" i="11"/>
  <c r="F33" i="11"/>
  <c r="D11" i="11"/>
  <c r="C23" i="11" s="1"/>
  <c r="C33" i="11"/>
  <c r="C21" i="11" l="1"/>
  <c r="C24" i="11"/>
  <c r="C22" i="11"/>
  <c r="D33" i="11"/>
  <c r="D15" i="11"/>
  <c r="D14" i="11"/>
  <c r="D13" i="11"/>
  <c r="D16" i="11"/>
  <c r="O73" i="12"/>
  <c r="E73" i="12"/>
  <c r="D73" i="12"/>
  <c r="E72" i="12"/>
  <c r="D72" i="12"/>
  <c r="O71" i="12"/>
  <c r="O74" i="12" s="1"/>
  <c r="E71" i="12"/>
  <c r="D71" i="12"/>
  <c r="K65" i="12"/>
  <c r="J64" i="12"/>
  <c r="J65" i="12" s="1"/>
  <c r="I64" i="12"/>
  <c r="I65" i="12" s="1"/>
  <c r="E64" i="12"/>
  <c r="D64" i="12"/>
  <c r="J61" i="12"/>
  <c r="I61" i="12"/>
  <c r="L61" i="12" s="1"/>
  <c r="M61" i="12" s="1"/>
  <c r="F61" i="12"/>
  <c r="E61" i="12"/>
  <c r="D61" i="12"/>
  <c r="J60" i="12"/>
  <c r="L60" i="12" s="1"/>
  <c r="M60" i="12" s="1"/>
  <c r="I60" i="12"/>
  <c r="I62" i="12" s="1"/>
  <c r="E60" i="12"/>
  <c r="D60" i="12"/>
  <c r="F60" i="12" s="1"/>
  <c r="K59" i="12"/>
  <c r="J59" i="12"/>
  <c r="L59" i="12" s="1"/>
  <c r="M59" i="12" s="1"/>
  <c r="F59" i="12"/>
  <c r="E59" i="12"/>
  <c r="D59" i="12"/>
  <c r="L58" i="12"/>
  <c r="M58" i="12" s="1"/>
  <c r="K58" i="12"/>
  <c r="J58" i="12"/>
  <c r="E58" i="12"/>
  <c r="D58" i="12"/>
  <c r="F58" i="12" s="1"/>
  <c r="K57" i="12"/>
  <c r="J57" i="12"/>
  <c r="L57" i="12" s="1"/>
  <c r="M57" i="12" s="1"/>
  <c r="F57" i="12"/>
  <c r="E57" i="12"/>
  <c r="D57" i="12"/>
  <c r="N57" i="12" s="1"/>
  <c r="O57" i="12" s="1"/>
  <c r="L56" i="12"/>
  <c r="M56" i="12" s="1"/>
  <c r="K56" i="12"/>
  <c r="K62" i="12" s="1"/>
  <c r="K67" i="12" s="1"/>
  <c r="J56" i="12"/>
  <c r="J62" i="12" s="1"/>
  <c r="J67" i="12" s="1"/>
  <c r="E56" i="12"/>
  <c r="D56" i="12"/>
  <c r="F56" i="12" s="1"/>
  <c r="K51" i="12"/>
  <c r="J51" i="12"/>
  <c r="I51" i="12"/>
  <c r="B51" i="12"/>
  <c r="L50" i="12"/>
  <c r="L51" i="12" s="1"/>
  <c r="J50" i="12"/>
  <c r="F50" i="12"/>
  <c r="F51" i="12" s="1"/>
  <c r="E50" i="12"/>
  <c r="D50" i="12"/>
  <c r="J48" i="12"/>
  <c r="I48" i="12"/>
  <c r="B48" i="12"/>
  <c r="L47" i="12"/>
  <c r="M47" i="12" s="1"/>
  <c r="E47" i="12"/>
  <c r="F47" i="12" s="1"/>
  <c r="D47" i="12"/>
  <c r="L46" i="12"/>
  <c r="M46" i="12" s="1"/>
  <c r="N46" i="12" s="1"/>
  <c r="O46" i="12" s="1"/>
  <c r="E46" i="12"/>
  <c r="D46" i="12"/>
  <c r="F46" i="12" s="1"/>
  <c r="M45" i="12"/>
  <c r="L45" i="12"/>
  <c r="E45" i="12"/>
  <c r="D45" i="12"/>
  <c r="N45" i="12" s="1"/>
  <c r="O45" i="12" s="1"/>
  <c r="L44" i="12"/>
  <c r="M44" i="12" s="1"/>
  <c r="K44" i="12"/>
  <c r="E44" i="12"/>
  <c r="D44" i="12"/>
  <c r="F44" i="12" s="1"/>
  <c r="M43" i="12"/>
  <c r="L43" i="12"/>
  <c r="F43" i="12"/>
  <c r="E43" i="12"/>
  <c r="D43" i="12"/>
  <c r="N43" i="12" s="1"/>
  <c r="O43" i="12" s="1"/>
  <c r="L42" i="12"/>
  <c r="M42" i="12" s="1"/>
  <c r="E42" i="12"/>
  <c r="D42" i="12"/>
  <c r="K41" i="12"/>
  <c r="L41" i="12" s="1"/>
  <c r="M41" i="12" s="1"/>
  <c r="N41" i="12" s="1"/>
  <c r="O41" i="12" s="1"/>
  <c r="F41" i="12"/>
  <c r="E41" i="12"/>
  <c r="D41" i="12"/>
  <c r="L40" i="12"/>
  <c r="M40" i="12" s="1"/>
  <c r="N40" i="12" s="1"/>
  <c r="O40" i="12" s="1"/>
  <c r="K40" i="12"/>
  <c r="K48" i="12" s="1"/>
  <c r="F40" i="12"/>
  <c r="E40" i="12"/>
  <c r="D40" i="12"/>
  <c r="L39" i="12"/>
  <c r="M39" i="12" s="1"/>
  <c r="E39" i="12"/>
  <c r="D39" i="12"/>
  <c r="L38" i="12"/>
  <c r="L48" i="12" s="1"/>
  <c r="E38" i="12"/>
  <c r="D38" i="12"/>
  <c r="F38" i="12" s="1"/>
  <c r="K36" i="12"/>
  <c r="I36" i="12"/>
  <c r="B36" i="12" s="1"/>
  <c r="J35" i="12"/>
  <c r="L35" i="12" s="1"/>
  <c r="M35" i="12" s="1"/>
  <c r="E35" i="12"/>
  <c r="D35" i="12"/>
  <c r="J34" i="12"/>
  <c r="J36" i="12" s="1"/>
  <c r="E34" i="12"/>
  <c r="F34" i="12" s="1"/>
  <c r="D34" i="12"/>
  <c r="I32" i="12"/>
  <c r="I53" i="12" s="1"/>
  <c r="B32" i="12"/>
  <c r="B53" i="12" s="1"/>
  <c r="J31" i="12"/>
  <c r="L31" i="12" s="1"/>
  <c r="M31" i="12" s="1"/>
  <c r="E31" i="12"/>
  <c r="F31" i="12" s="1"/>
  <c r="D31" i="12"/>
  <c r="J30" i="12"/>
  <c r="L30" i="12" s="1"/>
  <c r="M30" i="12" s="1"/>
  <c r="N30" i="12" s="1"/>
  <c r="O30" i="12" s="1"/>
  <c r="E30" i="12"/>
  <c r="F30" i="12" s="1"/>
  <c r="D30" i="12"/>
  <c r="J29" i="12"/>
  <c r="L29" i="12" s="1"/>
  <c r="M29" i="12" s="1"/>
  <c r="N29" i="12" s="1"/>
  <c r="O29" i="12" s="1"/>
  <c r="F29" i="12"/>
  <c r="E29" i="12"/>
  <c r="D29" i="12"/>
  <c r="L28" i="12"/>
  <c r="M28" i="12" s="1"/>
  <c r="N28" i="12" s="1"/>
  <c r="O28" i="12" s="1"/>
  <c r="J28" i="12"/>
  <c r="F28" i="12"/>
  <c r="E28" i="12"/>
  <c r="D28" i="12"/>
  <c r="L27" i="12"/>
  <c r="M27" i="12" s="1"/>
  <c r="J27" i="12"/>
  <c r="E27" i="12"/>
  <c r="D27" i="12"/>
  <c r="N27" i="12" s="1"/>
  <c r="O27" i="12" s="1"/>
  <c r="L26" i="12"/>
  <c r="M26" i="12" s="1"/>
  <c r="J26" i="12"/>
  <c r="E26" i="12"/>
  <c r="D26" i="12"/>
  <c r="F26" i="12" s="1"/>
  <c r="M25" i="12"/>
  <c r="L25" i="12"/>
  <c r="J25" i="12"/>
  <c r="G25" i="12"/>
  <c r="E25" i="12"/>
  <c r="D25" i="12"/>
  <c r="F25" i="12" s="1"/>
  <c r="J24" i="12"/>
  <c r="L24" i="12" s="1"/>
  <c r="M24" i="12" s="1"/>
  <c r="E24" i="12"/>
  <c r="D24" i="12"/>
  <c r="N24" i="12" s="1"/>
  <c r="O24" i="12" s="1"/>
  <c r="J23" i="12"/>
  <c r="L23" i="12" s="1"/>
  <c r="M23" i="12" s="1"/>
  <c r="E23" i="12"/>
  <c r="F23" i="12" s="1"/>
  <c r="D23" i="12"/>
  <c r="J22" i="12"/>
  <c r="L22" i="12" s="1"/>
  <c r="M22" i="12" s="1"/>
  <c r="N22" i="12" s="1"/>
  <c r="O22" i="12" s="1"/>
  <c r="E22" i="12"/>
  <c r="F22" i="12" s="1"/>
  <c r="D22" i="12"/>
  <c r="J21" i="12"/>
  <c r="L21" i="12" s="1"/>
  <c r="M21" i="12" s="1"/>
  <c r="N21" i="12" s="1"/>
  <c r="O21" i="12" s="1"/>
  <c r="F21" i="12"/>
  <c r="E21" i="12"/>
  <c r="D21" i="12"/>
  <c r="L20" i="12"/>
  <c r="M20" i="12" s="1"/>
  <c r="N20" i="12" s="1"/>
  <c r="O20" i="12" s="1"/>
  <c r="J20" i="12"/>
  <c r="F20" i="12"/>
  <c r="E20" i="12"/>
  <c r="D20" i="12"/>
  <c r="L19" i="12"/>
  <c r="M19" i="12" s="1"/>
  <c r="J19" i="12"/>
  <c r="E19" i="12"/>
  <c r="D19" i="12"/>
  <c r="N19" i="12" s="1"/>
  <c r="O19" i="12" s="1"/>
  <c r="L18" i="12"/>
  <c r="M18" i="12" s="1"/>
  <c r="J18" i="12"/>
  <c r="E18" i="12"/>
  <c r="D18" i="12"/>
  <c r="F18" i="12" s="1"/>
  <c r="M17" i="12"/>
  <c r="L17" i="12"/>
  <c r="J17" i="12"/>
  <c r="G17" i="12"/>
  <c r="E17" i="12"/>
  <c r="D17" i="12"/>
  <c r="F17" i="12" s="1"/>
  <c r="J16" i="12"/>
  <c r="L16" i="12" s="1"/>
  <c r="M16" i="12" s="1"/>
  <c r="E16" i="12"/>
  <c r="D16" i="12"/>
  <c r="N16" i="12" s="1"/>
  <c r="O16" i="12" s="1"/>
  <c r="J15" i="12"/>
  <c r="J32" i="12" s="1"/>
  <c r="E15" i="12"/>
  <c r="D15" i="12"/>
  <c r="K14" i="12"/>
  <c r="J14" i="12"/>
  <c r="E14" i="12"/>
  <c r="D14" i="12"/>
  <c r="L13" i="12"/>
  <c r="M13" i="12" s="1"/>
  <c r="J13" i="12"/>
  <c r="E13" i="12"/>
  <c r="D13" i="12"/>
  <c r="A12" i="12"/>
  <c r="A13" i="12" s="1"/>
  <c r="P11" i="12"/>
  <c r="A4" i="12"/>
  <c r="G47" i="12" s="1"/>
  <c r="A2" i="12"/>
  <c r="A1" i="12"/>
  <c r="C16" i="11" l="1"/>
  <c r="N35" i="12"/>
  <c r="O35" i="12" s="1"/>
  <c r="J53" i="12"/>
  <c r="J76" i="12" s="1"/>
  <c r="N39" i="12"/>
  <c r="O39" i="12" s="1"/>
  <c r="F15" i="12"/>
  <c r="I76" i="12"/>
  <c r="I67" i="12"/>
  <c r="B62" i="12"/>
  <c r="A14" i="12"/>
  <c r="P13" i="12"/>
  <c r="N42" i="12"/>
  <c r="O42" i="12" s="1"/>
  <c r="N59" i="12"/>
  <c r="O59" i="12" s="1"/>
  <c r="F13" i="12"/>
  <c r="N13" i="12"/>
  <c r="O13" i="12" s="1"/>
  <c r="L14" i="12"/>
  <c r="K32" i="12"/>
  <c r="K53" i="12" s="1"/>
  <c r="K76" i="12" s="1"/>
  <c r="F62" i="12"/>
  <c r="N61" i="12"/>
  <c r="O61" i="12" s="1"/>
  <c r="L62" i="12"/>
  <c r="G13" i="12"/>
  <c r="G44" i="12"/>
  <c r="L15" i="12"/>
  <c r="M15" i="12" s="1"/>
  <c r="N15" i="12" s="1"/>
  <c r="O15" i="12" s="1"/>
  <c r="F16" i="12"/>
  <c r="N17" i="12"/>
  <c r="O17" i="12" s="1"/>
  <c r="G21" i="12"/>
  <c r="F24" i="12"/>
  <c r="N25" i="12"/>
  <c r="O25" i="12" s="1"/>
  <c r="G29" i="12"/>
  <c r="L34" i="12"/>
  <c r="F35" i="12"/>
  <c r="F36" i="12" s="1"/>
  <c r="G41" i="12"/>
  <c r="M50" i="12"/>
  <c r="N50" i="12" s="1"/>
  <c r="O50" i="12" s="1"/>
  <c r="O51" i="12" s="1"/>
  <c r="N51" i="12" s="1"/>
  <c r="G57" i="12"/>
  <c r="G59" i="12"/>
  <c r="G61" i="12"/>
  <c r="F64" i="12"/>
  <c r="F65" i="12" s="1"/>
  <c r="F14" i="12"/>
  <c r="F19" i="12"/>
  <c r="G24" i="12"/>
  <c r="F27" i="12"/>
  <c r="G35" i="12"/>
  <c r="G38" i="12"/>
  <c r="F45" i="12"/>
  <c r="N47" i="12"/>
  <c r="O47" i="12" s="1"/>
  <c r="N56" i="12"/>
  <c r="O56" i="12" s="1"/>
  <c r="N58" i="12"/>
  <c r="O58" i="12" s="1"/>
  <c r="N60" i="12"/>
  <c r="O60" i="12" s="1"/>
  <c r="G64" i="12"/>
  <c r="G65" i="12" s="1"/>
  <c r="G14" i="12"/>
  <c r="N23" i="12"/>
  <c r="O23" i="12" s="1"/>
  <c r="N31" i="12"/>
  <c r="O31" i="12" s="1"/>
  <c r="F42" i="12"/>
  <c r="G45" i="12"/>
  <c r="B65" i="12"/>
  <c r="G18" i="12"/>
  <c r="G26" i="12"/>
  <c r="G16" i="12"/>
  <c r="P12" i="12"/>
  <c r="G19" i="12"/>
  <c r="G27" i="12"/>
  <c r="F39" i="12"/>
  <c r="F48" i="12" s="1"/>
  <c r="N18" i="12"/>
  <c r="O18" i="12" s="1"/>
  <c r="G22" i="12"/>
  <c r="N26" i="12"/>
  <c r="O26" i="12" s="1"/>
  <c r="G30" i="12"/>
  <c r="M38" i="12"/>
  <c r="N38" i="12" s="1"/>
  <c r="O38" i="12" s="1"/>
  <c r="O48" i="12" s="1"/>
  <c r="N48" i="12" s="1"/>
  <c r="G39" i="12"/>
  <c r="G42" i="12"/>
  <c r="N44" i="12"/>
  <c r="O44" i="12" s="1"/>
  <c r="G46" i="12"/>
  <c r="G56" i="12"/>
  <c r="G58" i="12"/>
  <c r="G60" i="12"/>
  <c r="L64" i="12"/>
  <c r="G20" i="12"/>
  <c r="G28" i="12"/>
  <c r="G40" i="12"/>
  <c r="G43" i="12"/>
  <c r="G50" i="12"/>
  <c r="G51" i="12" s="1"/>
  <c r="G15" i="12"/>
  <c r="G23" i="12"/>
  <c r="G31" i="12"/>
  <c r="G34" i="12"/>
  <c r="G36" i="12" s="1"/>
  <c r="C15" i="11"/>
  <c r="C14" i="11"/>
  <c r="F67" i="12" l="1"/>
  <c r="M64" i="12"/>
  <c r="N64" i="12" s="1"/>
  <c r="O64" i="12" s="1"/>
  <c r="O65" i="12" s="1"/>
  <c r="N65" i="12" s="1"/>
  <c r="L65" i="12"/>
  <c r="G48" i="12"/>
  <c r="G62" i="12"/>
  <c r="G67" i="12" s="1"/>
  <c r="L67" i="12"/>
  <c r="M14" i="12"/>
  <c r="N14" i="12" s="1"/>
  <c r="O14" i="12" s="1"/>
  <c r="O32" i="12" s="1"/>
  <c r="L32" i="12"/>
  <c r="L53" i="12" s="1"/>
  <c r="L76" i="12" s="1"/>
  <c r="A15" i="12"/>
  <c r="P14" i="12"/>
  <c r="O62" i="12"/>
  <c r="L36" i="12"/>
  <c r="M34" i="12"/>
  <c r="N34" i="12" s="1"/>
  <c r="O34" i="12" s="1"/>
  <c r="O36" i="12" s="1"/>
  <c r="N36" i="12" s="1"/>
  <c r="B67" i="12"/>
  <c r="B76" i="12" s="1"/>
  <c r="G32" i="12"/>
  <c r="G53" i="12" s="1"/>
  <c r="G76" i="12" s="1"/>
  <c r="F32" i="12"/>
  <c r="F53" i="12" s="1"/>
  <c r="F76" i="12" s="1"/>
  <c r="N32" i="12" l="1"/>
  <c r="O53" i="12"/>
  <c r="N62" i="12"/>
  <c r="O67" i="12"/>
  <c r="N67" i="12" s="1"/>
  <c r="A16" i="12"/>
  <c r="P15" i="12"/>
  <c r="P16" i="12" l="1"/>
  <c r="A17" i="12"/>
  <c r="O76" i="12"/>
  <c r="N76" i="12" s="1"/>
  <c r="N53" i="12"/>
  <c r="A18" i="12" l="1"/>
  <c r="P17" i="12"/>
  <c r="A19" i="12" l="1"/>
  <c r="P18" i="12"/>
  <c r="A20" i="12" l="1"/>
  <c r="P19" i="12"/>
  <c r="P20" i="12" l="1"/>
  <c r="A21" i="12"/>
  <c r="P21" i="12" l="1"/>
  <c r="A22" i="12"/>
  <c r="A23" i="12" l="1"/>
  <c r="P22" i="12"/>
  <c r="A24" i="12" l="1"/>
  <c r="P23" i="12"/>
  <c r="P24" i="12" l="1"/>
  <c r="A25" i="12"/>
  <c r="A26" i="12" l="1"/>
  <c r="P25" i="12"/>
  <c r="A27" i="12" l="1"/>
  <c r="P26" i="12"/>
  <c r="A28" i="12" l="1"/>
  <c r="P27" i="12"/>
  <c r="P28" i="12" l="1"/>
  <c r="A29" i="12"/>
  <c r="P29" i="12" l="1"/>
  <c r="A30" i="12"/>
  <c r="A31" i="12" l="1"/>
  <c r="P30" i="12"/>
  <c r="A32" i="12" l="1"/>
  <c r="P31" i="12"/>
  <c r="P32" i="12" l="1"/>
  <c r="A33" i="12"/>
  <c r="A34" i="12" l="1"/>
  <c r="P33" i="12"/>
  <c r="A35" i="12" l="1"/>
  <c r="P34" i="12"/>
  <c r="P35" i="12" l="1"/>
  <c r="A36" i="12"/>
  <c r="A37" i="12" l="1"/>
  <c r="P36" i="12"/>
  <c r="A38" i="12" l="1"/>
  <c r="P37" i="12"/>
  <c r="P38" i="12" l="1"/>
  <c r="A39" i="12"/>
  <c r="A40" i="12" l="1"/>
  <c r="P39" i="12"/>
  <c r="A41" i="12" l="1"/>
  <c r="P40" i="12"/>
  <c r="P41" i="12" l="1"/>
  <c r="A42" i="12"/>
  <c r="A43" i="12" l="1"/>
  <c r="P42" i="12"/>
  <c r="A44" i="12" l="1"/>
  <c r="P43" i="12"/>
  <c r="A45" i="12" l="1"/>
  <c r="P44" i="12"/>
  <c r="A46" i="12" l="1"/>
  <c r="P45" i="12"/>
  <c r="A47" i="12" l="1"/>
  <c r="P46" i="12"/>
  <c r="A48" i="12" l="1"/>
  <c r="P47" i="12"/>
  <c r="P48" i="12" l="1"/>
  <c r="A49" i="12"/>
  <c r="A50" i="12" l="1"/>
  <c r="P49" i="12"/>
  <c r="A51" i="12" l="1"/>
  <c r="P50" i="12"/>
  <c r="P51" i="12" l="1"/>
  <c r="A52" i="12"/>
  <c r="A53" i="12" l="1"/>
  <c r="P52" i="12"/>
  <c r="A54" i="12" l="1"/>
  <c r="P53" i="12"/>
  <c r="A55" i="12" l="1"/>
  <c r="P54" i="12"/>
  <c r="A56" i="12" l="1"/>
  <c r="P55" i="12"/>
  <c r="A57" i="12" l="1"/>
  <c r="P56" i="12"/>
  <c r="A58" i="12" l="1"/>
  <c r="P57" i="12"/>
  <c r="A59" i="12" l="1"/>
  <c r="P58" i="12"/>
  <c r="A60" i="12" l="1"/>
  <c r="P59" i="12"/>
  <c r="A61" i="12" l="1"/>
  <c r="P60" i="12"/>
  <c r="A62" i="12" l="1"/>
  <c r="P61" i="12"/>
  <c r="A63" i="12" l="1"/>
  <c r="P62" i="12"/>
  <c r="A64" i="12" l="1"/>
  <c r="P63" i="12"/>
  <c r="A65" i="12" l="1"/>
  <c r="P64" i="12"/>
  <c r="A66" i="12" l="1"/>
  <c r="P65" i="12"/>
  <c r="A67" i="12" l="1"/>
  <c r="P66" i="12"/>
  <c r="A68" i="12" l="1"/>
  <c r="P67" i="12"/>
  <c r="A69" i="12" l="1"/>
  <c r="P68" i="12"/>
  <c r="A70" i="12" l="1"/>
  <c r="P69" i="12"/>
  <c r="P70" i="12" l="1"/>
  <c r="A71" i="12"/>
  <c r="A72" i="12" l="1"/>
  <c r="P71" i="12"/>
  <c r="A73" i="12" l="1"/>
  <c r="P72" i="12"/>
  <c r="A74" i="12" l="1"/>
  <c r="P73" i="12"/>
  <c r="A75" i="12" l="1"/>
  <c r="P74" i="12"/>
  <c r="A76" i="12" l="1"/>
  <c r="P75" i="12"/>
  <c r="A77" i="12" l="1"/>
  <c r="P77" i="12" s="1"/>
  <c r="P7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Fechner, Matthew</author>
    <author>Matthew Fechner</author>
  </authors>
  <commentList>
    <comment ref="J31" authorId="0" shapeId="0" xr:uid="{7B45174D-36B5-4AF1-AF91-7BBC3001786F}">
      <text>
        <r>
          <rPr>
            <b/>
            <sz val="9"/>
            <color indexed="81"/>
            <rFont val="Tahoma"/>
            <family val="2"/>
          </rPr>
          <t>Fechner, Matthew:</t>
        </r>
        <r>
          <rPr>
            <sz val="9"/>
            <color indexed="81"/>
            <rFont val="Tahoma"/>
            <family val="2"/>
          </rPr>
          <t xml:space="preserve">
includes year-end A/P accrual of $552,500 to G/L 185025 (FERC 186) for the Moodys New Issuance Ratings Fee for  this series.</t>
        </r>
      </text>
    </comment>
    <comment ref="O71" authorId="1" shapeId="0" xr:uid="{2FAE73EC-8244-4B46-AC3E-DF2806E2D8B9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O72" authorId="1" shapeId="0" xr:uid="{FA00055D-0BD7-4341-87F1-599D3871F3FE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O73" authorId="1" shapeId="0" xr:uid="{A41C2470-670C-4E5F-82E5-31B32D2A8FD3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Fechner</author>
  </authors>
  <commentList>
    <comment ref="O72" authorId="0" shapeId="0" xr:uid="{2B43B951-B1E1-4036-86B5-5337183455B4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O73" authorId="0" shapeId="0" xr:uid="{442B7620-60F6-410F-B77A-F194D8DB02D0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O74" authorId="0" shapeId="0" xr:uid="{486022DF-4EB2-4BF7-A6FC-49080DBB7713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Fechner</author>
  </authors>
  <commentList>
    <comment ref="O77" authorId="0" shapeId="0" xr:uid="{70AEC314-AC44-4076-979D-E0390D6E74DD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O78" authorId="0" shapeId="0" xr:uid="{17BD49F3-00E2-45E2-88FA-E8334927E5CD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O79" authorId="0" shapeId="0" xr:uid="{58DB91F3-698C-494A-9485-48F4C1BB1366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Fechner</author>
  </authors>
  <commentList>
    <comment ref="O77" authorId="0" shapeId="0" xr:uid="{1B72CCEC-9775-4BCC-BBFB-A768EF522E09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O78" authorId="0" shapeId="0" xr:uid="{5439A45F-A539-46B3-BB09-12DA5691464C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O79" authorId="0" shapeId="0" xr:uid="{AEEBE426-8C1A-4D74-8924-27009AB23FB1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Fechner, Matthew</author>
    <author>Matthew Fechner</author>
  </authors>
  <commentList>
    <comment ref="J30" authorId="0" shapeId="0" xr:uid="{0CC4AE82-4E42-4DE2-9CC7-A27A2D1465BA}">
      <text>
        <r>
          <rPr>
            <b/>
            <sz val="9"/>
            <color indexed="81"/>
            <rFont val="Tahoma"/>
            <family val="2"/>
          </rPr>
          <t>Fechner, Matthew:</t>
        </r>
        <r>
          <rPr>
            <sz val="9"/>
            <color indexed="81"/>
            <rFont val="Tahoma"/>
            <family val="2"/>
          </rPr>
          <t xml:space="preserve">
includes year-end A/P accrual of $537,750 to G/L 185025 (FERC 186) for the Moodys New Issuance Ratings Fee for  this series.</t>
        </r>
      </text>
    </comment>
    <comment ref="O81" authorId="1" shapeId="0" xr:uid="{B2884DBE-C1D4-4DE5-961F-A159B9F8F88B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O82" authorId="1" shapeId="0" xr:uid="{E9826E13-33F3-46A8-A46F-8A1963CAEA21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O83" authorId="1" shapeId="0" xr:uid="{85F9FABE-B058-433A-BA2D-3D7F1FE507A8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  <comment ref="O84" authorId="1" shapeId="0" xr:uid="{DF7C5FB4-0D5E-46D5-B459-E7FEF4CCD65A}">
      <text>
        <r>
          <rPr>
            <b/>
            <sz val="9"/>
            <color indexed="81"/>
            <rFont val="Tahoma"/>
            <family val="2"/>
          </rPr>
          <t>Matthew Fechner:</t>
        </r>
        <r>
          <rPr>
            <sz val="9"/>
            <color indexed="81"/>
            <rFont val="Tahoma"/>
            <family val="2"/>
          </rPr>
          <t xml:space="preserve">
SAP Acct 189246</t>
        </r>
      </text>
    </comment>
  </commentList>
</comments>
</file>

<file path=xl/sharedStrings.xml><?xml version="1.0" encoding="utf-8"?>
<sst xmlns="http://schemas.openxmlformats.org/spreadsheetml/2006/main" count="646" uniqueCount="154">
  <si>
    <t>Actual</t>
  </si>
  <si>
    <t>FERC 221-224 (Principal)</t>
  </si>
  <si>
    <t>Long-Term Debt</t>
  </si>
  <si>
    <t>Wt Ave Cost of</t>
  </si>
  <si>
    <t>Short-Term Debt</t>
  </si>
  <si>
    <r>
      <t xml:space="preserve">PacifiCorp Regulatory Capital Structure </t>
    </r>
    <r>
      <rPr>
        <sz val="10"/>
        <rFont val="Arial"/>
        <family val="2"/>
      </rPr>
      <t>(Total)</t>
    </r>
  </si>
  <si>
    <t>FERC Form 1/3-Q Balances</t>
  </si>
  <si>
    <t>FERC 204 (Stated Value)</t>
  </si>
  <si>
    <t>Preferred Stock</t>
  </si>
  <si>
    <t>Total Proprietary Capital - Pfd Equity</t>
  </si>
  <si>
    <t>Common Equity</t>
  </si>
  <si>
    <t>End of Month % of</t>
  </si>
  <si>
    <t>5Q Ave %</t>
  </si>
  <si>
    <t>Total Proprietary Capital</t>
  </si>
  <si>
    <t>line 16</t>
  </si>
  <si>
    <t>Total Long-Term Debt</t>
  </si>
  <si>
    <t>line 24</t>
  </si>
  <si>
    <t>Less: Unamort Prem on LT Debt</t>
  </si>
  <si>
    <t>line 22</t>
  </si>
  <si>
    <t>Less: Unamort Disc on LT Debt</t>
  </si>
  <si>
    <t>line 23</t>
  </si>
  <si>
    <t>Check</t>
  </si>
  <si>
    <t>Cost of Long-Term Debt Detail</t>
  </si>
  <si>
    <t>NET PROCEEDS TO COMPANY</t>
  </si>
  <si>
    <t>PRINCIPAL AMOUNT</t>
  </si>
  <si>
    <t>TOTAL</t>
  </si>
  <si>
    <t>PER $100</t>
  </si>
  <si>
    <t>LINE</t>
  </si>
  <si>
    <t>INTEREST</t>
  </si>
  <si>
    <t/>
  </si>
  <si>
    <t>ISSUANCE</t>
  </si>
  <si>
    <t>MATURITY</t>
  </si>
  <si>
    <t>ORIG</t>
  </si>
  <si>
    <t>ORIGINAL</t>
  </si>
  <si>
    <t>CURRENTLY</t>
  </si>
  <si>
    <t>REDEMPTION</t>
  </si>
  <si>
    <t>DOLLAR</t>
  </si>
  <si>
    <t>PRINCIPAL</t>
  </si>
  <si>
    <t>MONEY TO</t>
  </si>
  <si>
    <t>ANNUAL DEBT</t>
  </si>
  <si>
    <t xml:space="preserve"> NO.</t>
  </si>
  <si>
    <t>RATE</t>
  </si>
  <si>
    <t>DESCRIPTION</t>
  </si>
  <si>
    <t>DATE</t>
  </si>
  <si>
    <t>LIFE</t>
  </si>
  <si>
    <t>YTM</t>
  </si>
  <si>
    <t>ISSUE</t>
  </si>
  <si>
    <t>OUTSTANDING</t>
  </si>
  <si>
    <t>EXPENSES</t>
  </si>
  <si>
    <t>AMOUNT</t>
  </si>
  <si>
    <t>COMPANY</t>
  </si>
  <si>
    <t>SERVICE COST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</si>
  <si>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</si>
  <si>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</si>
  <si>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</si>
  <si>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</si>
  <si>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</si>
  <si>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</si>
  <si>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</si>
  <si>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</si>
  <si>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</si>
  <si>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</si>
  <si>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</si>
  <si>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</si>
  <si>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</si>
  <si>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</si>
  <si>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First Mortgage Bonds</t>
  </si>
  <si>
    <t xml:space="preserve">  Series due Jun 2023</t>
  </si>
  <si>
    <t xml:space="preserve">  Series due Apr 2024</t>
  </si>
  <si>
    <t xml:space="preserve">  Series due Jul 2025</t>
  </si>
  <si>
    <t xml:space="preserve">  Series due Jun 2029</t>
  </si>
  <si>
    <t xml:space="preserve">  Series due Sep 2030</t>
  </si>
  <si>
    <t xml:space="preserve">  Series due Nov 2031</t>
  </si>
  <si>
    <t xml:space="preserve">  Series due Aug 2034</t>
  </si>
  <si>
    <t xml:space="preserve">  Series due Jun 2035</t>
  </si>
  <si>
    <t xml:space="preserve">  Series due Aug 2036</t>
  </si>
  <si>
    <t xml:space="preserve">  Series due Apr 2037</t>
  </si>
  <si>
    <t xml:space="preserve">  Series due Oct 2037</t>
  </si>
  <si>
    <t xml:space="preserve">  Series due Jul 2038</t>
  </si>
  <si>
    <t xml:space="preserve">  Series due Jan 2039</t>
  </si>
  <si>
    <t xml:space="preserve">  Series due Feb 2042</t>
  </si>
  <si>
    <t xml:space="preserve">  Series due Jan 2049</t>
  </si>
  <si>
    <t xml:space="preserve">  Series due Feb 2050</t>
  </si>
  <si>
    <t xml:space="preserve">  Series due Mar 2051</t>
  </si>
  <si>
    <t xml:space="preserve">  Series due June 2052</t>
  </si>
  <si>
    <t xml:space="preserve">  Series due Dec 2053</t>
  </si>
  <si>
    <t>Subtotal - Bullet FMBs</t>
  </si>
  <si>
    <t xml:space="preserve">  Series E due Jan 2023</t>
  </si>
  <si>
    <t>Subtotal - Series E MTNs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</si>
  <si>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</si>
  <si>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</si>
  <si>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</si>
  <si>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</si>
  <si>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>Subtotal - Series F MTNs</t>
  </si>
  <si>
    <t xml:space="preserve">  Series G due Jan 2026</t>
  </si>
  <si>
    <t>Subtotal - Series G MTNs</t>
  </si>
  <si>
    <t>Total First Mortgage Bonds</t>
  </si>
  <si>
    <t>Pollution Control Revenue Bonds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</si>
  <si>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</si>
  <si>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</si>
  <si>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</si>
  <si>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</si>
  <si>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 xml:space="preserve">  Converse 95 due Nov 2025</t>
  </si>
  <si>
    <t xml:space="preserve">  Lincoln 95 due Nov 2025</t>
  </si>
  <si>
    <t>Subtotal - Secured PCRBs</t>
  </si>
  <si>
    <t xml:space="preserve">  Sweetwater 95 due Nov 2025</t>
  </si>
  <si>
    <t>Subtotal - Unsecured PCRBs</t>
  </si>
  <si>
    <t>Total PCRB Obligations</t>
  </si>
  <si>
    <t>REACQ</t>
  </si>
  <si>
    <t>ORG MAT</t>
  </si>
  <si>
    <t>8.375% Series A QUIDS</t>
  </si>
  <si>
    <t>8.55% Series B QUIDS</t>
  </si>
  <si>
    <t>Carbon '94 PCRB Series</t>
  </si>
  <si>
    <t>Long-Term Debt Reacquisition, without refunding amortization</t>
  </si>
  <si>
    <t>FERC 231 (Face Value)</t>
  </si>
  <si>
    <t>Total Notes Payable</t>
  </si>
  <si>
    <t>line 37</t>
  </si>
  <si>
    <t xml:space="preserve">  Series E due Oct 2022</t>
  </si>
  <si>
    <t xml:space="preserve">  Series E due Sep 2022</t>
  </si>
  <si>
    <t xml:space="preserve">  Series C due Jan 2022</t>
  </si>
  <si>
    <t>Subtotal - Series C MTNs</t>
  </si>
  <si>
    <t>2.95% FMB Series due 2022</t>
  </si>
  <si>
    <t>PacifiCorp</t>
  </si>
  <si>
    <t>12 months ended 12/31/22</t>
  </si>
  <si>
    <t>For The 12 Months Ending December 31, 2022</t>
  </si>
  <si>
    <t>(A)</t>
  </si>
  <si>
    <t>(B)</t>
  </si>
  <si>
    <t>(C)</t>
  </si>
  <si>
    <t>(D)</t>
  </si>
  <si>
    <t>(E)</t>
  </si>
  <si>
    <t xml:space="preserve"> </t>
  </si>
  <si>
    <t>Weighted</t>
  </si>
  <si>
    <t>Cost of</t>
  </si>
  <si>
    <t>Description</t>
  </si>
  <si>
    <t>Amount (i)</t>
  </si>
  <si>
    <t>Ratio</t>
  </si>
  <si>
    <t>Cost</t>
  </si>
  <si>
    <t>Short Term Debt</t>
  </si>
  <si>
    <t>Long Term Debt</t>
  </si>
  <si>
    <t>Total Debt</t>
  </si>
  <si>
    <t>Debt</t>
  </si>
  <si>
    <t>Blended Cost of Debt (Short Term &amp; Long Term)</t>
  </si>
  <si>
    <t>Blended Cost of Total Debt</t>
  </si>
  <si>
    <t>FERC Form 1/3-Q</t>
  </si>
  <si>
    <t>Balance Sheet</t>
  </si>
  <si>
    <r>
      <t>(i)</t>
    </r>
    <r>
      <rPr>
        <sz val="9"/>
        <rFont val="Arial"/>
        <family val="2"/>
      </rPr>
      <t xml:space="preserve"> - Average of Quarter-End Balances spanning 12 Month Period Ending.</t>
    </r>
  </si>
  <si>
    <t>Credit Agreement Expense</t>
  </si>
  <si>
    <r>
      <t>Total</t>
    </r>
    <r>
      <rPr>
        <sz val="9"/>
        <rFont val="Arial"/>
        <family val="2"/>
      </rPr>
      <t xml:space="preserve"> (1)</t>
    </r>
  </si>
  <si>
    <t>Qtrly Credit Agreement Commitment Fees</t>
  </si>
  <si>
    <t>Upfront Credit Agreement Cost Amort</t>
  </si>
  <si>
    <t>Annual Credit Agreement Agent Fees</t>
  </si>
  <si>
    <t>Credit Agreement Periodic Fees &amp; Upfront Cost Amort Expense</t>
  </si>
  <si>
    <t>PACIFICORP</t>
  </si>
  <si>
    <t>(1) Total credit agreement bank commitment fee expenses recognized in FERC account 431, Other Interest Expense.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</si>
</sst>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_(&quot;$&quot;* #,##0_);_(&quot;$&quot;* \(#,##0\);_(&quot;$&quot;* &quot;-&quot;??_);_(@_)"/>
    <numFmt numFmtId="167" formatCode="0.0%"/>
    <numFmt numFmtId="168" formatCode="[$-409]mmmm\ d\,\ yyyy;@"/>
    <numFmt numFmtId="169" formatCode="_(* #,##0.000000000_);_(* \(#,##0.000000000\);_(* &quot;-&quot;??_);_(@_)"/>
    <numFmt numFmtId="170" formatCode="0_)"/>
    <numFmt numFmtId="171" formatCode="mm/dd/yy_)"/>
    <numFmt numFmtId="172" formatCode="0.000%"/>
    <numFmt numFmtId="173" formatCode="&quot;$&quot;#,##0.000_);[Red]\(&quot;$&quot;#,##0.000\)"/>
    <numFmt numFmtId="174" formatCode="&quot;$&quot;#,##0.0_);[Red]\(&quot;$&quot;#,##0.0\)"/>
    <numFmt numFmtId="175" formatCode="0.000%;[Red]\-0.000%"/>
    <numFmt numFmtId="176" formatCode="&quot; As of &quot;mmmm\ d\,\ yyyy"/>
    <numFmt numFmtId="177" formatCode="0.0000%"/>
    <numFmt numFmtId="178" formatCode="&quot; For The 12 Months Ending &quot;mmmm\ d\,\ yyyy"/>
    <numFmt numFmtId="179" formatCode="0.000000%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 MT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b/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0"/>
      <name val="CG Times (WN)"/>
      <family val="1"/>
    </font>
    <font>
      <b/>
      <sz val="10"/>
      <name val="Times New Roman"/>
      <family val="1"/>
    </font>
    <font>
      <sz val="10"/>
      <color indexed="12"/>
      <name val="CG Times (WN)"/>
      <family val="1"/>
    </font>
    <font>
      <sz val="10"/>
      <name val="CG Times (WN)"/>
    </font>
    <font>
      <sz val="10"/>
      <color indexed="12"/>
      <name val="CG Times (WN)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u/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rgb="FFFF0000"/>
      <name val="Times New Roman"/>
      <family val="1"/>
    </font>
    <font>
      <b/>
      <sz val="8"/>
      <name val="Arial"/>
      <family val="2"/>
    </font>
    <font>
      <i/>
      <sz val="10"/>
      <color indexed="12"/>
      <name val="Arial"/>
      <family val="2"/>
    </font>
    <font>
      <b/>
      <sz val="9"/>
      <name val="Arial"/>
      <family val="2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6" fontId="9" fillId="0" borderId="0"/>
    <xf numFmtId="10" fontId="27" fillId="0" borderId="0"/>
    <xf numFmtId="0" fontId="27" fillId="0" borderId="0"/>
    <xf numFmtId="37" fontId="30" fillId="0" borderId="0"/>
    <xf numFmtId="37" fontId="27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9" fontId="2" fillId="0" borderId="0" xfId="3" applyFont="1" applyBorder="1" applyAlignment="1">
      <alignment horizontal="right"/>
    </xf>
    <xf numFmtId="167" fontId="2" fillId="0" borderId="0" xfId="3" applyNumberFormat="1" applyFont="1" applyBorder="1"/>
    <xf numFmtId="0" fontId="2" fillId="0" borderId="0" xfId="0" applyFont="1" applyAlignment="1">
      <alignment horizontal="right"/>
    </xf>
    <xf numFmtId="166" fontId="4" fillId="0" borderId="0" xfId="2" applyNumberFormat="1" applyFont="1" applyBorder="1"/>
    <xf numFmtId="164" fontId="5" fillId="0" borderId="0" xfId="1" applyNumberFormat="1" applyFont="1" applyBorder="1"/>
    <xf numFmtId="168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5" applyAlignment="1">
      <alignment horizontal="center"/>
    </xf>
    <xf numFmtId="165" fontId="2" fillId="0" borderId="0" xfId="5" quotePrefix="1" applyNumberFormat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164" fontId="5" fillId="0" borderId="0" xfId="4" applyNumberFormat="1" applyFont="1" applyBorder="1"/>
    <xf numFmtId="166" fontId="1" fillId="0" borderId="0" xfId="2" applyNumberFormat="1" applyFont="1" applyFill="1" applyBorder="1"/>
    <xf numFmtId="166" fontId="1" fillId="0" borderId="0" xfId="2" applyNumberFormat="1" applyFont="1" applyBorder="1"/>
    <xf numFmtId="10" fontId="2" fillId="0" borderId="0" xfId="3" applyNumberFormat="1" applyFont="1" applyBorder="1"/>
    <xf numFmtId="9" fontId="2" fillId="0" borderId="1" xfId="3" applyFont="1" applyBorder="1" applyAlignment="1">
      <alignment horizontal="right"/>
    </xf>
    <xf numFmtId="0" fontId="2" fillId="0" borderId="2" xfId="0" applyFont="1" applyBorder="1"/>
    <xf numFmtId="10" fontId="2" fillId="2" borderId="8" xfId="3" applyNumberFormat="1" applyFont="1" applyFill="1" applyBorder="1"/>
    <xf numFmtId="9" fontId="2" fillId="0" borderId="3" xfId="3" applyFont="1" applyBorder="1" applyAlignment="1">
      <alignment horizontal="right"/>
    </xf>
    <xf numFmtId="0" fontId="2" fillId="0" borderId="4" xfId="0" applyFont="1" applyBorder="1"/>
    <xf numFmtId="10" fontId="2" fillId="2" borderId="9" xfId="3" applyNumberFormat="1" applyFont="1" applyFill="1" applyBorder="1"/>
    <xf numFmtId="9" fontId="2" fillId="0" borderId="5" xfId="3" applyFont="1" applyBorder="1" applyAlignment="1">
      <alignment horizontal="right"/>
    </xf>
    <xf numFmtId="0" fontId="2" fillId="0" borderId="6" xfId="0" applyFont="1" applyBorder="1"/>
    <xf numFmtId="10" fontId="2" fillId="2" borderId="10" xfId="3" applyNumberFormat="1" applyFont="1" applyFill="1" applyBorder="1"/>
    <xf numFmtId="43" fontId="2" fillId="0" borderId="0" xfId="1" applyFont="1" applyBorder="1"/>
    <xf numFmtId="0" fontId="1" fillId="0" borderId="7" xfId="0" applyFont="1" applyBorder="1"/>
    <xf numFmtId="166" fontId="1" fillId="0" borderId="7" xfId="2" applyNumberFormat="1" applyFont="1" applyBorder="1"/>
    <xf numFmtId="164" fontId="7" fillId="0" borderId="0" xfId="1" applyNumberFormat="1" applyFont="1" applyFill="1" applyBorder="1"/>
    <xf numFmtId="10" fontId="2" fillId="0" borderId="0" xfId="3" applyNumberFormat="1" applyFont="1"/>
    <xf numFmtId="0" fontId="8" fillId="0" borderId="11" xfId="0" applyFont="1" applyBorder="1"/>
    <xf numFmtId="0" fontId="2" fillId="0" borderId="11" xfId="0" applyFont="1" applyBorder="1"/>
    <xf numFmtId="0" fontId="8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9" fontId="2" fillId="0" borderId="0" xfId="1" applyNumberFormat="1" applyFont="1"/>
    <xf numFmtId="6" fontId="11" fillId="0" borderId="0" xfId="6" applyFont="1"/>
    <xf numFmtId="6" fontId="12" fillId="0" borderId="15" xfId="6" applyFont="1" applyBorder="1" applyAlignment="1">
      <alignment horizontal="center"/>
    </xf>
    <xf numFmtId="6" fontId="13" fillId="0" borderId="0" xfId="6" applyFont="1" applyAlignment="1">
      <alignment horizontal="center"/>
    </xf>
    <xf numFmtId="6" fontId="13" fillId="0" borderId="0" xfId="6" applyFont="1"/>
    <xf numFmtId="6" fontId="12" fillId="0" borderId="16" xfId="6" applyFont="1" applyBorder="1"/>
    <xf numFmtId="6" fontId="14" fillId="0" borderId="0" xfId="6" applyFont="1"/>
    <xf numFmtId="6" fontId="12" fillId="0" borderId="0" xfId="6" applyFont="1" applyAlignment="1">
      <alignment horizontal="center"/>
    </xf>
    <xf numFmtId="6" fontId="12" fillId="0" borderId="0" xfId="6" applyFont="1"/>
    <xf numFmtId="6" fontId="12" fillId="0" borderId="17" xfId="6" applyFont="1" applyBorder="1"/>
    <xf numFmtId="6" fontId="11" fillId="0" borderId="19" xfId="6" applyFont="1" applyBorder="1" applyAlignment="1">
      <alignment horizontal="center"/>
    </xf>
    <xf numFmtId="6" fontId="11" fillId="0" borderId="20" xfId="6" quotePrefix="1" applyFont="1" applyBorder="1" applyAlignment="1">
      <alignment horizontal="center"/>
    </xf>
    <xf numFmtId="6" fontId="11" fillId="0" borderId="21" xfId="6" applyFont="1" applyBorder="1" applyAlignment="1">
      <alignment horizontal="right"/>
    </xf>
    <xf numFmtId="170" fontId="15" fillId="0" borderId="15" xfId="6" applyNumberFormat="1" applyFont="1" applyBorder="1" applyAlignment="1" applyProtection="1">
      <alignment horizontal="center"/>
      <protection locked="0"/>
    </xf>
    <xf numFmtId="6" fontId="11" fillId="0" borderId="0" xfId="6" applyFont="1" applyAlignment="1">
      <alignment horizontal="center"/>
    </xf>
    <xf numFmtId="170" fontId="15" fillId="0" borderId="16" xfId="6" applyNumberFormat="1" applyFont="1" applyBorder="1" applyProtection="1">
      <protection locked="0"/>
    </xf>
    <xf numFmtId="6" fontId="16" fillId="0" borderId="0" xfId="6" applyFont="1"/>
    <xf numFmtId="6" fontId="16" fillId="0" borderId="0" xfId="6" applyFont="1" applyAlignment="1">
      <alignment horizontal="center"/>
    </xf>
    <xf numFmtId="171" fontId="11" fillId="0" borderId="0" xfId="6" applyNumberFormat="1" applyFont="1" applyAlignment="1">
      <alignment horizontal="center"/>
    </xf>
    <xf numFmtId="172" fontId="11" fillId="0" borderId="0" xfId="6" applyNumberFormat="1" applyFont="1" applyAlignment="1">
      <alignment horizontal="center"/>
    </xf>
    <xf numFmtId="170" fontId="11" fillId="0" borderId="0" xfId="6" applyNumberFormat="1" applyFont="1" applyAlignment="1">
      <alignment horizontal="center"/>
    </xf>
    <xf numFmtId="5" fontId="17" fillId="0" borderId="0" xfId="6" applyNumberFormat="1" applyFont="1" applyAlignment="1">
      <alignment horizontal="right"/>
    </xf>
    <xf numFmtId="5" fontId="15" fillId="0" borderId="0" xfId="6" applyNumberFormat="1" applyFont="1" applyProtection="1">
      <protection locked="0"/>
    </xf>
    <xf numFmtId="6" fontId="18" fillId="0" borderId="0" xfId="6" applyFont="1"/>
    <xf numFmtId="5" fontId="11" fillId="0" borderId="0" xfId="6" applyNumberFormat="1" applyFont="1"/>
    <xf numFmtId="173" fontId="11" fillId="0" borderId="0" xfId="6" applyNumberFormat="1" applyFont="1"/>
    <xf numFmtId="172" fontId="11" fillId="0" borderId="0" xfId="6" applyNumberFormat="1" applyFont="1"/>
    <xf numFmtId="174" fontId="11" fillId="0" borderId="0" xfId="6" applyNumberFormat="1" applyFont="1"/>
    <xf numFmtId="8" fontId="11" fillId="0" borderId="0" xfId="6" applyNumberFormat="1" applyFont="1"/>
    <xf numFmtId="172" fontId="19" fillId="0" borderId="0" xfId="3" applyNumberFormat="1" applyFont="1" applyFill="1" applyBorder="1" applyAlignment="1">
      <alignment horizontal="center"/>
    </xf>
    <xf numFmtId="6" fontId="19" fillId="0" borderId="0" xfId="6" applyFont="1"/>
    <xf numFmtId="170" fontId="19" fillId="0" borderId="0" xfId="6" applyNumberFormat="1" applyFont="1" applyAlignment="1">
      <alignment horizontal="center"/>
    </xf>
    <xf numFmtId="5" fontId="19" fillId="0" borderId="0" xfId="6" applyNumberFormat="1" applyFont="1"/>
    <xf numFmtId="172" fontId="19" fillId="0" borderId="0" xfId="3" applyNumberFormat="1" applyFont="1" applyFill="1" applyBorder="1"/>
    <xf numFmtId="172" fontId="18" fillId="0" borderId="0" xfId="3" applyNumberFormat="1" applyFont="1" applyFill="1" applyBorder="1" applyAlignment="1" applyProtection="1">
      <alignment horizontal="center"/>
      <protection locked="0"/>
    </xf>
    <xf numFmtId="6" fontId="20" fillId="0" borderId="0" xfId="6" applyFont="1" applyProtection="1">
      <protection locked="0"/>
    </xf>
    <xf numFmtId="6" fontId="15" fillId="0" borderId="0" xfId="6" applyFont="1"/>
    <xf numFmtId="175" fontId="21" fillId="0" borderId="0" xfId="6" applyNumberFormat="1" applyFont="1" applyAlignment="1" applyProtection="1">
      <alignment horizontal="center"/>
      <protection locked="0"/>
    </xf>
    <xf numFmtId="6" fontId="22" fillId="0" borderId="0" xfId="6" applyFont="1" applyProtection="1">
      <protection locked="0"/>
    </xf>
    <xf numFmtId="6" fontId="18" fillId="0" borderId="0" xfId="6" quotePrefix="1" applyFont="1"/>
    <xf numFmtId="172" fontId="19" fillId="0" borderId="0" xfId="3" applyNumberFormat="1" applyFont="1" applyFill="1" applyBorder="1" applyAlignment="1" applyProtection="1">
      <alignment horizontal="center"/>
    </xf>
    <xf numFmtId="170" fontId="15" fillId="0" borderId="22" xfId="6" applyNumberFormat="1" applyFont="1" applyBorder="1" applyAlignment="1" applyProtection="1">
      <alignment horizontal="center"/>
      <protection locked="0"/>
    </xf>
    <xf numFmtId="6" fontId="11" fillId="0" borderId="17" xfId="6" applyFont="1" applyBorder="1" applyAlignment="1">
      <alignment horizontal="center"/>
    </xf>
    <xf numFmtId="6" fontId="11" fillId="0" borderId="17" xfId="6" applyFont="1" applyBorder="1"/>
    <xf numFmtId="171" fontId="11" fillId="0" borderId="17" xfId="6" applyNumberFormat="1" applyFont="1" applyBorder="1" applyAlignment="1">
      <alignment horizontal="center"/>
    </xf>
    <xf numFmtId="170" fontId="11" fillId="0" borderId="17" xfId="6" applyNumberFormat="1" applyFont="1" applyBorder="1" applyAlignment="1">
      <alignment horizontal="center"/>
    </xf>
    <xf numFmtId="6" fontId="15" fillId="0" borderId="17" xfId="6" applyFont="1" applyBorder="1"/>
    <xf numFmtId="5" fontId="11" fillId="0" borderId="17" xfId="6" applyNumberFormat="1" applyFont="1" applyBorder="1"/>
    <xf numFmtId="172" fontId="11" fillId="0" borderId="17" xfId="6" applyNumberFormat="1" applyFont="1" applyBorder="1"/>
    <xf numFmtId="170" fontId="15" fillId="0" borderId="23" xfId="6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164" fontId="4" fillId="0" borderId="0" xfId="1" applyNumberFormat="1" applyFont="1" applyBorder="1"/>
    <xf numFmtId="10" fontId="2" fillId="0" borderId="0" xfId="3" applyNumberFormat="1" applyFont="1" applyFill="1" applyBorder="1"/>
    <xf numFmtId="6" fontId="11" fillId="0" borderId="0" xfId="6" quotePrefix="1" applyFont="1"/>
    <xf numFmtId="0" fontId="1" fillId="0" borderId="0" xfId="5" applyFont="1"/>
    <xf numFmtId="0" fontId="2" fillId="0" borderId="0" xfId="5"/>
    <xf numFmtId="0" fontId="25" fillId="0" borderId="0" xfId="5" applyFont="1"/>
    <xf numFmtId="0" fontId="1" fillId="0" borderId="0" xfId="5" applyFont="1" applyAlignment="1">
      <alignment horizontal="center"/>
    </xf>
    <xf numFmtId="0" fontId="3" fillId="0" borderId="0" xfId="5" applyFont="1"/>
    <xf numFmtId="0" fontId="8" fillId="0" borderId="0" xfId="5" applyFont="1"/>
    <xf numFmtId="164" fontId="1" fillId="0" borderId="0" xfId="1" applyNumberFormat="1" applyFont="1"/>
    <xf numFmtId="10" fontId="11" fillId="0" borderId="0" xfId="7" applyFont="1"/>
    <xf numFmtId="0" fontId="28" fillId="0" borderId="0" xfId="8" applyFont="1" applyAlignment="1">
      <alignment horizontal="centerContinuous" vertical="center" wrapText="1"/>
    </xf>
    <xf numFmtId="176" fontId="28" fillId="0" borderId="0" xfId="7" applyNumberFormat="1" applyFont="1" applyAlignment="1">
      <alignment horizontal="centerContinuous" vertical="center" wrapText="1"/>
    </xf>
    <xf numFmtId="37" fontId="11" fillId="0" borderId="0" xfId="7" applyNumberFormat="1" applyFont="1"/>
    <xf numFmtId="177" fontId="11" fillId="0" borderId="0" xfId="7" applyNumberFormat="1" applyFont="1"/>
    <xf numFmtId="10" fontId="2" fillId="0" borderId="0" xfId="7" applyFont="1"/>
    <xf numFmtId="178" fontId="29" fillId="0" borderId="0" xfId="7" applyNumberFormat="1" applyFont="1" applyAlignment="1">
      <alignment horizontal="centerContinuous" vertical="center" wrapText="1"/>
    </xf>
    <xf numFmtId="1" fontId="11" fillId="0" borderId="0" xfId="7" applyNumberFormat="1" applyFont="1" applyAlignment="1">
      <alignment horizontal="center"/>
    </xf>
    <xf numFmtId="37" fontId="11" fillId="0" borderId="0" xfId="9" applyFont="1"/>
    <xf numFmtId="10" fontId="31" fillId="0" borderId="0" xfId="7" applyFont="1"/>
    <xf numFmtId="1" fontId="30" fillId="0" borderId="0" xfId="7" applyNumberFormat="1" applyFont="1" applyAlignment="1">
      <alignment horizontal="center"/>
    </xf>
    <xf numFmtId="37" fontId="32" fillId="0" borderId="0" xfId="10" applyFont="1" applyAlignment="1">
      <alignment horizontal="center"/>
    </xf>
    <xf numFmtId="10" fontId="2" fillId="0" borderId="0" xfId="7" applyFont="1" applyAlignment="1">
      <alignment horizontal="center"/>
    </xf>
    <xf numFmtId="10" fontId="1" fillId="0" borderId="0" xfId="7" applyFont="1" applyAlignment="1">
      <alignment horizontal="center"/>
    </xf>
    <xf numFmtId="10" fontId="26" fillId="0" borderId="0" xfId="7" applyFont="1" applyAlignment="1">
      <alignment horizontal="center"/>
    </xf>
    <xf numFmtId="10" fontId="2" fillId="0" borderId="0" xfId="7" applyFont="1" applyAlignment="1">
      <alignment horizontal="left"/>
    </xf>
    <xf numFmtId="5" fontId="2" fillId="0" borderId="0" xfId="7" applyNumberFormat="1" applyFont="1"/>
    <xf numFmtId="10" fontId="6" fillId="0" borderId="0" xfId="7" applyFont="1"/>
    <xf numFmtId="10" fontId="1" fillId="0" borderId="0" xfId="7" applyFont="1"/>
    <xf numFmtId="10" fontId="33" fillId="0" borderId="0" xfId="7" applyFont="1"/>
    <xf numFmtId="179" fontId="33" fillId="0" borderId="0" xfId="7" applyNumberFormat="1" applyFont="1"/>
    <xf numFmtId="10" fontId="2" fillId="0" borderId="0" xfId="9" applyNumberFormat="1" applyFont="1"/>
    <xf numFmtId="172" fontId="11" fillId="0" borderId="0" xfId="3" applyNumberFormat="1" applyFont="1"/>
    <xf numFmtId="167" fontId="2" fillId="0" borderId="0" xfId="7" applyNumberFormat="1" applyFont="1"/>
    <xf numFmtId="10" fontId="34" fillId="0" borderId="0" xfId="7" applyFont="1" applyAlignment="1">
      <alignment horizontal="left"/>
    </xf>
    <xf numFmtId="38" fontId="2" fillId="0" borderId="0" xfId="7" applyNumberFormat="1" applyFont="1"/>
    <xf numFmtId="10" fontId="35" fillId="0" borderId="0" xfId="7" applyFont="1"/>
    <xf numFmtId="1" fontId="11" fillId="0" borderId="0" xfId="7" applyNumberFormat="1" applyFont="1"/>
    <xf numFmtId="5" fontId="11" fillId="0" borderId="0" xfId="7" applyNumberFormat="1" applyFont="1"/>
    <xf numFmtId="167" fontId="11" fillId="0" borderId="0" xfId="7" applyNumberFormat="1" applyFont="1"/>
    <xf numFmtId="10" fontId="2" fillId="0" borderId="0" xfId="7" applyNumberFormat="1" applyFont="1"/>
    <xf numFmtId="10" fontId="4" fillId="0" borderId="0" xfId="3" applyNumberFormat="1" applyFont="1" applyBorder="1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Border="1"/>
    <xf numFmtId="167" fontId="2" fillId="0" borderId="0" xfId="3" applyNumberFormat="1" applyFont="1" applyFill="1" applyBorder="1"/>
    <xf numFmtId="9" fontId="2" fillId="0" borderId="0" xfId="3" applyFont="1" applyFill="1" applyBorder="1" applyAlignment="1">
      <alignment horizontal="center"/>
    </xf>
    <xf numFmtId="43" fontId="2" fillId="0" borderId="0" xfId="1"/>
    <xf numFmtId="43" fontId="1" fillId="0" borderId="24" xfId="3" applyNumberFormat="1" applyFont="1" applyBorder="1"/>
    <xf numFmtId="0" fontId="2" fillId="0" borderId="0" xfId="5" applyBorder="1" applyAlignment="1">
      <alignment horizontal="right"/>
    </xf>
    <xf numFmtId="0" fontId="30" fillId="0" borderId="0" xfId="5" applyFont="1"/>
    <xf numFmtId="0" fontId="2" fillId="0" borderId="0" xfId="5" applyAlignment="1">
      <alignment horizontal="right"/>
    </xf>
    <xf numFmtId="0" fontId="2" fillId="0" borderId="0" xfId="0" applyFont="1" applyAlignment="1">
      <alignment horizontal="center"/>
    </xf>
    <xf numFmtId="6" fontId="12" fillId="0" borderId="18" xfId="6" applyFont="1" applyBorder="1" applyAlignment="1">
      <alignment horizontal="center"/>
    </xf>
    <xf numFmtId="6" fontId="10" fillId="3" borderId="12" xfId="6" applyFont="1" applyFill="1" applyBorder="1" applyAlignment="1">
      <alignment horizontal="center"/>
    </xf>
    <xf numFmtId="6" fontId="10" fillId="3" borderId="13" xfId="6" applyFont="1" applyFill="1" applyBorder="1" applyAlignment="1">
      <alignment horizontal="center"/>
    </xf>
    <xf numFmtId="6" fontId="10" fillId="3" borderId="14" xfId="6" applyFont="1" applyFill="1" applyBorder="1" applyAlignment="1">
      <alignment horizontal="center"/>
    </xf>
    <xf numFmtId="6" fontId="10" fillId="3" borderId="15" xfId="6" applyFont="1" applyFill="1" applyBorder="1" applyAlignment="1">
      <alignment horizontal="center"/>
    </xf>
    <xf numFmtId="6" fontId="10" fillId="3" borderId="0" xfId="6" applyFont="1" applyFill="1" applyAlignment="1">
      <alignment horizontal="center"/>
    </xf>
    <xf numFmtId="6" fontId="10" fillId="3" borderId="16" xfId="6" applyFont="1" applyFill="1" applyBorder="1" applyAlignment="1">
      <alignment horizontal="center"/>
    </xf>
    <xf numFmtId="168" fontId="10" fillId="3" borderId="15" xfId="6" applyNumberFormat="1" applyFont="1" applyFill="1" applyBorder="1" applyAlignment="1" applyProtection="1">
      <alignment horizontal="center"/>
      <protection locked="0"/>
    </xf>
    <xf numFmtId="168" fontId="10" fillId="3" borderId="0" xfId="6" applyNumberFormat="1" applyFont="1" applyFill="1" applyAlignment="1" applyProtection="1">
      <alignment horizontal="center"/>
      <protection locked="0"/>
    </xf>
    <xf numFmtId="168" fontId="10" fillId="3" borderId="16" xfId="6" applyNumberFormat="1" applyFont="1" applyFill="1" applyBorder="1" applyAlignment="1" applyProtection="1">
      <alignment horizontal="center"/>
      <protection locked="0"/>
    </xf>
    <xf numFmtId="0" fontId="8" fillId="0" borderId="0" xfId="5" quotePrefix="1" applyFont="1" applyAlignment="1">
      <alignment horizontal="left" vertical="top" wrapText="1"/>
    </xf>
  </cellXfs>
  <cellStyles count="11">
    <cellStyle name="Comma" xfId="1" builtinId="3"/>
    <cellStyle name="Comma 2" xfId="4" xr:uid="{D722BB8A-4A13-41B4-86DB-4CE7459C218B}"/>
    <cellStyle name="Currency" xfId="2" builtinId="4"/>
    <cellStyle name="Normal" xfId="0" builtinId="0"/>
    <cellStyle name="Normal 2" xfId="5" xr:uid="{78BCBFF9-6552-453E-B0D2-335BF6B143EC}"/>
    <cellStyle name="Normal 3" xfId="6" xr:uid="{929E6AFD-AB6F-4E1B-A1F6-FB776165D046}"/>
    <cellStyle name="Normal 4" xfId="9" xr:uid="{055C5616-0F4D-43FD-9717-25EC158A338C}"/>
    <cellStyle name="Normal_AMACAPST" xfId="8" xr:uid="{2DF23DA7-8B02-48ED-8247-15B0E6EEF657}"/>
    <cellStyle name="Normal_COSTOF" xfId="10" xr:uid="{B9BBB6C9-E053-48AB-8D48-C79D9E1F1112}"/>
    <cellStyle name="Normal_RATEOFRE" xfId="7" xr:uid="{77F6DB31-3198-486F-8EBA-319F9B6B5B0C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488CF55F-4FDB-45F4-87DC-A0EF1112E562}"/>
            </a:ext>
          </a:extLst>
        </xdr:cNvPr>
        <xdr:cNvSpPr>
          <a:spLocks noChangeShapeType="1"/>
        </xdr:cNvSpPr>
      </xdr:nvSpPr>
      <xdr:spPr bwMode="auto">
        <a:xfrm>
          <a:off x="1323022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F7756BE4-022E-4800-8683-FC2489BE545E}"/>
            </a:ext>
          </a:extLst>
        </xdr:cNvPr>
        <xdr:cNvSpPr>
          <a:spLocks noChangeShapeType="1"/>
        </xdr:cNvSpPr>
      </xdr:nvSpPr>
      <xdr:spPr bwMode="auto">
        <a:xfrm>
          <a:off x="1323022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3B703CA7-E4A5-4F45-ABFB-D2056077562F}"/>
            </a:ext>
          </a:extLst>
        </xdr:cNvPr>
        <xdr:cNvSpPr>
          <a:spLocks noChangeShapeType="1"/>
        </xdr:cNvSpPr>
      </xdr:nvSpPr>
      <xdr:spPr bwMode="auto">
        <a:xfrm>
          <a:off x="1323022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EE12149E-7D18-43A8-9AE9-1D1975994FA6}"/>
            </a:ext>
          </a:extLst>
        </xdr:cNvPr>
        <xdr:cNvSpPr>
          <a:spLocks noChangeShapeType="1"/>
        </xdr:cNvSpPr>
      </xdr:nvSpPr>
      <xdr:spPr bwMode="auto">
        <a:xfrm>
          <a:off x="1323022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2CCD7868-A931-4590-8375-D34288385D6C}"/>
            </a:ext>
          </a:extLst>
        </xdr:cNvPr>
        <xdr:cNvSpPr>
          <a:spLocks noChangeShapeType="1"/>
        </xdr:cNvSpPr>
      </xdr:nvSpPr>
      <xdr:spPr bwMode="auto">
        <a:xfrm>
          <a:off x="1323022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CASH/TREASURY%20NOTEBOOK/Cost%20of%20LTD/ltd%203-31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CASH/TREASURY%20NOTEBOOK/Cost%20of%20LTD/ltd%206-30-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CASH/TREASURY%20NOTEBOOK/Cost%20of%20LTD/ltd%209-30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CASH/TREASURY%20NOTEBOOK/Cost%20of%20LTD/ltd%2012-31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_FIN/CASH/TREASURY%20NOTEBOOK/Cost%20of%20LTD/ltd%2012-31-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MENT%20PROCESSING\Wong%20Matthew\Reports\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1">
          <cell r="A1" t="str">
            <v>PACIFICORP</v>
          </cell>
        </row>
        <row r="2">
          <cell r="A2" t="str">
            <v>Electric Operations</v>
          </cell>
        </row>
        <row r="4">
          <cell r="A4">
            <v>44651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1">
          <cell r="A1" t="str">
            <v>PACIFICORP</v>
          </cell>
        </row>
        <row r="2">
          <cell r="A2" t="str">
            <v>Electric Operations</v>
          </cell>
        </row>
        <row r="4">
          <cell r="A4">
            <v>44742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1">
          <cell r="A1" t="str">
            <v>PACIFICORP</v>
          </cell>
        </row>
        <row r="2">
          <cell r="A2" t="str">
            <v>Electric Operations</v>
          </cell>
        </row>
        <row r="4">
          <cell r="A4">
            <v>44834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1">
          <cell r="A1" t="str">
            <v>PACIFICORP</v>
          </cell>
        </row>
        <row r="2">
          <cell r="A2" t="str">
            <v>Electric Operations</v>
          </cell>
        </row>
        <row r="4">
          <cell r="A4">
            <v>44561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1">
          <cell r="A1" t="str">
            <v>PACIFICORP</v>
          </cell>
        </row>
        <row r="2">
          <cell r="A2" t="str">
            <v>Electric Operations</v>
          </cell>
        </row>
        <row r="4">
          <cell r="A4">
            <v>44926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E1CA-102C-4093-864E-26644EF01F48}">
  <dimension ref="A1:L42"/>
  <sheetViews>
    <sheetView tabSelected="1" workbookViewId="0"/>
  </sheetViews>
  <sheetFormatPr defaultColWidth="9.85546875" defaultRowHeight="12.75"/>
  <cols>
    <col min="1" max="1" width="3.28515625" style="99" customWidth="1"/>
    <col min="2" max="2" width="59.140625" style="99" bestFit="1" customWidth="1"/>
    <col min="3" max="3" width="15.5703125" style="99" customWidth="1"/>
    <col min="4" max="4" width="11.5703125" style="99" customWidth="1"/>
    <col min="5" max="5" width="6.28515625" style="99" bestFit="1" customWidth="1"/>
    <col min="6" max="6" width="9.7109375" style="99" bestFit="1" customWidth="1"/>
    <col min="7" max="7" width="9.85546875" style="99" customWidth="1"/>
    <col min="8" max="8" width="11.85546875" style="99" customWidth="1"/>
    <col min="9" max="9" width="15.140625" style="99" customWidth="1"/>
    <col min="10" max="10" width="7.28515625" style="99" customWidth="1"/>
    <col min="11" max="11" width="7.7109375" style="99" customWidth="1"/>
    <col min="12" max="12" width="7.42578125" style="99" customWidth="1"/>
    <col min="13" max="16384" width="9.85546875" style="99"/>
  </cols>
  <sheetData>
    <row r="1" spans="1:12" ht="15.75">
      <c r="B1" s="100" t="s">
        <v>152</v>
      </c>
      <c r="C1" s="100"/>
      <c r="D1" s="100"/>
      <c r="E1" s="100"/>
      <c r="F1" s="100"/>
    </row>
    <row r="2" spans="1:12" ht="15.75">
      <c r="B2" s="101" t="s">
        <v>142</v>
      </c>
      <c r="C2" s="101"/>
      <c r="D2" s="101"/>
      <c r="E2" s="101"/>
      <c r="F2" s="101"/>
      <c r="H2" s="102"/>
      <c r="L2" s="103"/>
    </row>
    <row r="3" spans="1:12">
      <c r="A3" s="104"/>
      <c r="B3" s="105" t="s">
        <v>124</v>
      </c>
      <c r="C3" s="105"/>
      <c r="D3" s="105"/>
      <c r="E3" s="105"/>
      <c r="F3" s="105"/>
      <c r="H3" s="102"/>
      <c r="L3" s="103"/>
    </row>
    <row r="4" spans="1:12">
      <c r="A4" s="106"/>
      <c r="C4" s="107"/>
      <c r="F4" s="108"/>
      <c r="H4" s="102"/>
      <c r="L4" s="103"/>
    </row>
    <row r="5" spans="1:12">
      <c r="A5" s="106"/>
      <c r="B5" s="104"/>
      <c r="C5" s="104"/>
      <c r="D5" s="104"/>
      <c r="E5" s="104"/>
      <c r="F5" s="104"/>
      <c r="H5" s="102"/>
      <c r="L5" s="103"/>
    </row>
    <row r="6" spans="1:12">
      <c r="A6" s="109">
        <v>1</v>
      </c>
      <c r="B6" s="110" t="s">
        <v>125</v>
      </c>
      <c r="C6" s="110" t="s">
        <v>126</v>
      </c>
      <c r="D6" s="110" t="s">
        <v>127</v>
      </c>
      <c r="E6" s="110" t="s">
        <v>128</v>
      </c>
      <c r="F6" s="110" t="s">
        <v>129</v>
      </c>
      <c r="H6" s="102"/>
      <c r="L6" s="103"/>
    </row>
    <row r="7" spans="1:12">
      <c r="A7" s="109">
        <f>+A6+1</f>
        <v>2</v>
      </c>
      <c r="B7" s="104"/>
      <c r="C7" s="104"/>
      <c r="D7" s="104"/>
      <c r="E7" s="104"/>
      <c r="F7" s="104"/>
      <c r="H7" s="102"/>
      <c r="L7" s="103"/>
    </row>
    <row r="8" spans="1:12">
      <c r="A8" s="109">
        <f t="shared" ref="A8:A15" si="0">+A7+1</f>
        <v>3</v>
      </c>
      <c r="B8" s="111" t="s">
        <v>130</v>
      </c>
      <c r="C8" s="112"/>
      <c r="D8" s="112"/>
      <c r="E8" s="112"/>
      <c r="F8" s="112" t="s">
        <v>131</v>
      </c>
      <c r="H8" s="102"/>
      <c r="L8" s="103"/>
    </row>
    <row r="9" spans="1:12">
      <c r="A9" s="109">
        <f t="shared" si="0"/>
        <v>4</v>
      </c>
      <c r="B9" s="112"/>
      <c r="C9" s="112"/>
      <c r="D9" s="112"/>
      <c r="E9" s="112"/>
      <c r="F9" s="112" t="s">
        <v>132</v>
      </c>
      <c r="H9" s="102"/>
      <c r="L9" s="103"/>
    </row>
    <row r="10" spans="1:12">
      <c r="A10" s="109">
        <f t="shared" si="0"/>
        <v>5</v>
      </c>
      <c r="B10" s="113" t="s">
        <v>133</v>
      </c>
      <c r="C10" s="113" t="s">
        <v>134</v>
      </c>
      <c r="D10" s="113" t="s">
        <v>135</v>
      </c>
      <c r="E10" s="113" t="s">
        <v>136</v>
      </c>
      <c r="F10" s="113" t="s">
        <v>140</v>
      </c>
      <c r="H10" s="102"/>
      <c r="L10" s="103"/>
    </row>
    <row r="11" spans="1:12">
      <c r="A11" s="109">
        <f t="shared" si="0"/>
        <v>6</v>
      </c>
      <c r="B11" s="114"/>
      <c r="C11" s="114"/>
      <c r="D11" s="114"/>
      <c r="E11" s="114"/>
      <c r="F11" s="114"/>
      <c r="H11" s="102"/>
      <c r="L11" s="103"/>
    </row>
    <row r="12" spans="1:12">
      <c r="A12" s="109">
        <f t="shared" si="0"/>
        <v>7</v>
      </c>
      <c r="B12" s="114" t="s">
        <v>137</v>
      </c>
      <c r="C12" s="115">
        <f>AVERAGE('2022 % Cap Struc-5QE Ave   '!C7:G7)</f>
        <v>0</v>
      </c>
      <c r="D12" s="129">
        <f>ROUND(C12/C16,4)</f>
        <v>0</v>
      </c>
      <c r="E12" s="32">
        <f>IF(C12=0,0,SUMPRODUCT('2022 % Cap Struc-5QE Ave   '!C7:G7,'2022 % Cap Struc-5QE Ave   '!C18:G18)/SUM('2022 % Cap Struc-5QE Ave   '!C7:G7))</f>
        <v>0</v>
      </c>
      <c r="F12" s="129">
        <f>ROUND(D12*E12,4)</f>
        <v>0</v>
      </c>
      <c r="L12" s="102"/>
    </row>
    <row r="13" spans="1:12">
      <c r="A13" s="109">
        <f>+A12+1</f>
        <v>8</v>
      </c>
      <c r="B13" s="114"/>
      <c r="C13" s="115"/>
      <c r="D13" s="122"/>
      <c r="E13" s="104"/>
      <c r="F13" s="104"/>
      <c r="L13" s="102"/>
    </row>
    <row r="14" spans="1:12">
      <c r="A14" s="109">
        <f>+A13+1</f>
        <v>9</v>
      </c>
      <c r="B14" s="114" t="s">
        <v>138</v>
      </c>
      <c r="C14" s="115">
        <f>AVERAGE('2022 % Cap Struc-5QE Ave   '!C8:G8)</f>
        <v>8961750000</v>
      </c>
      <c r="D14" s="116">
        <f>ROUND(C14/C16,4)</f>
        <v>1</v>
      </c>
      <c r="E14" s="104">
        <f>SUMPRODUCT('2022 % Cap Struc-5QE Ave   '!C8:G8,'2022 % Cap Struc-5QE Ave   '!C19:G19)/SUM('2022 % Cap Struc-5QE Ave   '!C8:G8)</f>
        <v>4.6986605127346773E-2</v>
      </c>
      <c r="F14" s="104">
        <f>ROUND(D14*E14,4)</f>
        <v>4.7E-2</v>
      </c>
      <c r="L14" s="102"/>
    </row>
    <row r="15" spans="1:12">
      <c r="A15" s="109">
        <f t="shared" si="0"/>
        <v>10</v>
      </c>
      <c r="B15" s="117"/>
      <c r="C15" s="115"/>
      <c r="D15" s="104"/>
      <c r="E15" s="104"/>
      <c r="F15" s="104"/>
      <c r="H15" s="118"/>
      <c r="L15" s="102"/>
    </row>
    <row r="16" spans="1:12">
      <c r="A16" s="109">
        <v>11</v>
      </c>
      <c r="B16" s="104" t="s">
        <v>141</v>
      </c>
      <c r="C16" s="115">
        <f>C12+C14</f>
        <v>8961750000</v>
      </c>
      <c r="D16" s="104">
        <f>ROUND((C12+C14)/C16,4)</f>
        <v>1</v>
      </c>
      <c r="E16" s="104"/>
      <c r="F16" s="104">
        <f>F14+F12</f>
        <v>4.7E-2</v>
      </c>
      <c r="H16" s="119"/>
      <c r="L16" s="102"/>
    </row>
    <row r="17" spans="1:12">
      <c r="A17" s="109">
        <v>12</v>
      </c>
      <c r="B17" s="117"/>
      <c r="C17" s="115"/>
      <c r="D17" s="104"/>
      <c r="E17" s="104"/>
      <c r="F17" s="104"/>
      <c r="H17" s="118"/>
      <c r="L17" s="102"/>
    </row>
    <row r="18" spans="1:12">
      <c r="A18" s="109">
        <v>13</v>
      </c>
      <c r="B18" s="104" t="s">
        <v>151</v>
      </c>
      <c r="C18" s="115"/>
      <c r="D18" s="104"/>
      <c r="E18" s="104"/>
      <c r="F18" s="104">
        <f>'Credit Agrmt Exp - 2022 '!D9/C16</f>
        <v>1.5010798337378303E-4</v>
      </c>
      <c r="H18" s="118"/>
      <c r="L18" s="102"/>
    </row>
    <row r="19" spans="1:12">
      <c r="A19" s="109">
        <v>14</v>
      </c>
      <c r="B19" s="117"/>
      <c r="C19" s="115"/>
      <c r="D19" s="104"/>
      <c r="E19" s="104"/>
      <c r="F19" s="104"/>
      <c r="H19" s="118"/>
      <c r="L19" s="102"/>
    </row>
    <row r="20" spans="1:12">
      <c r="A20" s="109">
        <v>15</v>
      </c>
      <c r="B20" s="117" t="s">
        <v>139</v>
      </c>
      <c r="C20" s="115">
        <f>C14+C12</f>
        <v>8961750000</v>
      </c>
      <c r="D20" s="104">
        <f>D16</f>
        <v>1</v>
      </c>
      <c r="E20" s="120"/>
      <c r="F20" s="104">
        <f>SUM(F16:F19)</f>
        <v>4.7150107983373782E-2</v>
      </c>
      <c r="G20" s="121"/>
      <c r="H20" s="118"/>
      <c r="L20" s="102"/>
    </row>
    <row r="21" spans="1:12">
      <c r="A21" s="109">
        <v>16</v>
      </c>
      <c r="B21" s="117"/>
      <c r="C21" s="115"/>
      <c r="D21" s="104"/>
      <c r="E21" s="104"/>
      <c r="F21" s="104"/>
      <c r="H21" s="118"/>
      <c r="L21" s="102"/>
    </row>
    <row r="22" spans="1:12">
      <c r="A22" s="109">
        <v>17</v>
      </c>
      <c r="B22" s="123" t="s">
        <v>145</v>
      </c>
      <c r="C22" s="104"/>
      <c r="D22" s="104"/>
      <c r="E22" s="124"/>
      <c r="F22" s="104"/>
      <c r="G22" s="125"/>
    </row>
    <row r="23" spans="1:12">
      <c r="A23" s="126"/>
      <c r="B23" s="104"/>
      <c r="C23" s="104"/>
      <c r="D23" s="104"/>
      <c r="E23" s="104"/>
      <c r="F23" s="104"/>
    </row>
    <row r="24" spans="1:12">
      <c r="A24" s="126"/>
      <c r="B24" s="104"/>
      <c r="C24" s="115"/>
      <c r="D24" s="104"/>
      <c r="E24" s="104"/>
      <c r="F24" s="104"/>
    </row>
    <row r="25" spans="1:12">
      <c r="A25" s="126"/>
      <c r="B25" s="104"/>
      <c r="C25" s="115"/>
      <c r="D25" s="104"/>
      <c r="E25" s="104"/>
      <c r="F25" s="104"/>
    </row>
    <row r="26" spans="1:12">
      <c r="A26" s="126"/>
      <c r="B26" s="104"/>
      <c r="C26" s="115"/>
      <c r="D26" s="104"/>
      <c r="E26" s="104"/>
      <c r="F26" s="104"/>
    </row>
    <row r="27" spans="1:12">
      <c r="A27" s="126"/>
      <c r="B27" s="104"/>
      <c r="D27" s="104"/>
      <c r="E27" s="104"/>
      <c r="F27" s="104"/>
    </row>
    <row r="28" spans="1:12">
      <c r="A28" s="126"/>
      <c r="B28" s="104"/>
      <c r="C28" s="115"/>
      <c r="D28" s="104"/>
      <c r="E28" s="104"/>
      <c r="F28" s="104"/>
    </row>
    <row r="29" spans="1:12">
      <c r="A29" s="126"/>
      <c r="B29" s="104"/>
      <c r="C29" s="104"/>
      <c r="D29" s="104"/>
      <c r="E29" s="104"/>
      <c r="F29" s="104"/>
    </row>
    <row r="30" spans="1:12">
      <c r="A30" s="126"/>
      <c r="B30" s="104"/>
      <c r="C30" s="104"/>
      <c r="D30" s="104"/>
      <c r="E30" s="104"/>
      <c r="F30" s="104"/>
    </row>
    <row r="31" spans="1:12">
      <c r="B31" s="104"/>
      <c r="C31" s="104"/>
      <c r="D31" s="104"/>
      <c r="E31" s="104"/>
      <c r="F31" s="104"/>
    </row>
    <row r="32" spans="1:12">
      <c r="B32" s="104"/>
      <c r="C32" s="104"/>
      <c r="D32" s="104"/>
      <c r="E32" s="104"/>
      <c r="F32" s="104"/>
    </row>
    <row r="33" spans="3:5">
      <c r="E33" s="104"/>
    </row>
    <row r="35" spans="3:5">
      <c r="C35" s="127"/>
      <c r="D35" s="128"/>
    </row>
    <row r="36" spans="3:5">
      <c r="D36" s="128"/>
    </row>
    <row r="37" spans="3:5">
      <c r="C37" s="127"/>
      <c r="D37" s="128"/>
    </row>
    <row r="38" spans="3:5">
      <c r="C38" s="127"/>
      <c r="D38" s="128"/>
    </row>
    <row r="39" spans="3:5">
      <c r="C39" s="127"/>
      <c r="D39" s="128"/>
    </row>
    <row r="40" spans="3:5">
      <c r="C40" s="127"/>
      <c r="D40" s="128"/>
    </row>
    <row r="41" spans="3:5">
      <c r="D41" s="128"/>
    </row>
    <row r="42" spans="3:5">
      <c r="C42" s="127"/>
      <c r="D42" s="128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7A1E-B7AA-4192-8270-2D15A7420A08}">
  <sheetPr>
    <pageSetUpPr fitToPage="1"/>
  </sheetPr>
  <dimension ref="A1:H39"/>
  <sheetViews>
    <sheetView zoomScaleNormal="100" workbookViewId="0">
      <pane xSplit="2" ySplit="6" topLeftCell="C7" activePane="bottomRight" state="frozen"/>
      <selection activeCell="D8" sqref="D8"/>
      <selection pane="topRight" activeCell="D8" sqref="D8"/>
      <selection pane="bottomLeft" activeCell="D8" sqref="D8"/>
      <selection pane="bottomRight" activeCell="C22" sqref="C22"/>
    </sheetView>
  </sheetViews>
  <sheetFormatPr defaultColWidth="9.140625" defaultRowHeight="12.75"/>
  <cols>
    <col min="1" max="1" width="31.7109375" style="2" customWidth="1"/>
    <col min="2" max="2" width="16.5703125" style="2" bestFit="1" customWidth="1"/>
    <col min="3" max="5" width="16" style="2" bestFit="1" customWidth="1"/>
    <col min="6" max="7" width="16" style="2" customWidth="1"/>
    <col min="8" max="8" width="1.85546875" style="2" customWidth="1"/>
    <col min="9" max="9" width="10.42578125" style="2" bestFit="1" customWidth="1"/>
    <col min="10" max="10" width="15.42578125" style="2" bestFit="1" customWidth="1"/>
    <col min="11" max="14" width="9.140625" style="2"/>
    <col min="15" max="15" width="18" style="2" bestFit="1" customWidth="1"/>
    <col min="16" max="16384" width="9.140625" style="2"/>
  </cols>
  <sheetData>
    <row r="1" spans="1:8">
      <c r="A1" s="1" t="s">
        <v>5</v>
      </c>
      <c r="B1" s="1"/>
      <c r="F1" s="1"/>
      <c r="G1" s="1"/>
    </row>
    <row r="2" spans="1:8">
      <c r="A2" s="10">
        <v>44926</v>
      </c>
      <c r="B2" s="1"/>
      <c r="C2" s="3"/>
      <c r="D2" s="11"/>
      <c r="E2" s="11"/>
      <c r="F2" s="1"/>
      <c r="G2" s="1"/>
    </row>
    <row r="3" spans="1:8">
      <c r="A3" s="1"/>
      <c r="B3" s="1"/>
      <c r="C3" s="3"/>
      <c r="D3" s="11"/>
      <c r="E3" s="11"/>
      <c r="F3" s="1"/>
      <c r="G3" s="1"/>
    </row>
    <row r="4" spans="1:8">
      <c r="A4" s="1"/>
      <c r="B4" s="1"/>
      <c r="C4" s="3"/>
      <c r="D4" s="3"/>
      <c r="E4" s="3"/>
      <c r="F4" s="1"/>
      <c r="G4" s="1"/>
    </row>
    <row r="5" spans="1:8">
      <c r="C5" s="12" t="s">
        <v>0</v>
      </c>
      <c r="D5" s="12" t="s">
        <v>0</v>
      </c>
      <c r="E5" s="11" t="s">
        <v>0</v>
      </c>
      <c r="F5" s="11" t="s">
        <v>0</v>
      </c>
      <c r="G5" s="131" t="s">
        <v>0</v>
      </c>
      <c r="H5" s="132"/>
    </row>
    <row r="6" spans="1:8">
      <c r="A6" s="141" t="s">
        <v>6</v>
      </c>
      <c r="B6" s="141"/>
      <c r="C6" s="13">
        <v>44926</v>
      </c>
      <c r="D6" s="13">
        <v>44834</v>
      </c>
      <c r="E6" s="13">
        <v>44742</v>
      </c>
      <c r="F6" s="14">
        <v>44651</v>
      </c>
      <c r="G6" s="14">
        <v>44561</v>
      </c>
      <c r="H6" s="132"/>
    </row>
    <row r="7" spans="1:8">
      <c r="A7" s="88" t="s">
        <v>114</v>
      </c>
      <c r="B7" s="2" t="s">
        <v>4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8">
      <c r="A8" s="4" t="s">
        <v>1</v>
      </c>
      <c r="B8" s="2" t="s">
        <v>2</v>
      </c>
      <c r="C8" s="89">
        <v>9742150000</v>
      </c>
      <c r="D8" s="89">
        <v>8693150000</v>
      </c>
      <c r="E8" s="89">
        <v>8788150000</v>
      </c>
      <c r="F8" s="89">
        <v>8788150000</v>
      </c>
      <c r="G8" s="89">
        <v>8797150000</v>
      </c>
    </row>
    <row r="9" spans="1:8">
      <c r="A9" s="4" t="s">
        <v>7</v>
      </c>
      <c r="B9" s="2" t="s">
        <v>8</v>
      </c>
      <c r="C9" s="9">
        <v>2397600</v>
      </c>
      <c r="D9" s="9">
        <v>2397600</v>
      </c>
      <c r="E9" s="9">
        <v>2397600</v>
      </c>
      <c r="F9" s="9">
        <v>2397600</v>
      </c>
      <c r="G9" s="9">
        <v>2397600</v>
      </c>
    </row>
    <row r="10" spans="1:8">
      <c r="A10" s="4" t="s">
        <v>9</v>
      </c>
      <c r="B10" s="2" t="s">
        <v>10</v>
      </c>
      <c r="C10" s="15">
        <v>10738676800</v>
      </c>
      <c r="D10" s="15">
        <f>10435161801-2397600</f>
        <v>10432764201</v>
      </c>
      <c r="E10" s="15">
        <v>10023737496</v>
      </c>
      <c r="F10" s="15">
        <v>10041231668</v>
      </c>
      <c r="G10" s="15">
        <v>9910947334</v>
      </c>
    </row>
    <row r="11" spans="1:8">
      <c r="A11" s="1"/>
      <c r="B11" s="1"/>
      <c r="C11" s="16">
        <f>+C7+C8+C9+C10</f>
        <v>20483224400</v>
      </c>
      <c r="D11" s="16">
        <f t="shared" ref="D11:G11" si="0">+D7+D8+D9+D10</f>
        <v>19128311801</v>
      </c>
      <c r="E11" s="16">
        <f t="shared" si="0"/>
        <v>18814285096</v>
      </c>
      <c r="F11" s="16">
        <f t="shared" si="0"/>
        <v>18831779268</v>
      </c>
      <c r="G11" s="16">
        <f t="shared" si="0"/>
        <v>18710494934</v>
      </c>
    </row>
    <row r="12" spans="1:8">
      <c r="A12" s="1"/>
      <c r="B12" s="1"/>
      <c r="C12" s="17"/>
      <c r="D12" s="17"/>
      <c r="E12" s="17"/>
      <c r="F12" s="17"/>
      <c r="G12" s="17"/>
    </row>
    <row r="13" spans="1:8">
      <c r="A13" s="5" t="s">
        <v>11</v>
      </c>
      <c r="B13" s="2" t="s">
        <v>4</v>
      </c>
      <c r="C13" s="18">
        <f t="shared" ref="C13:C16" si="1">C7/C$11</f>
        <v>0</v>
      </c>
      <c r="D13" s="18">
        <f t="shared" ref="D13:G13" si="2">D7/D$11</f>
        <v>0</v>
      </c>
      <c r="E13" s="18">
        <f t="shared" si="2"/>
        <v>0</v>
      </c>
      <c r="F13" s="18">
        <f t="shared" si="2"/>
        <v>0</v>
      </c>
      <c r="G13" s="18">
        <f t="shared" si="2"/>
        <v>0</v>
      </c>
    </row>
    <row r="14" spans="1:8">
      <c r="A14" s="5" t="s">
        <v>11</v>
      </c>
      <c r="B14" s="2" t="s">
        <v>2</v>
      </c>
      <c r="C14" s="18">
        <f t="shared" si="1"/>
        <v>0.47561603631115812</v>
      </c>
      <c r="D14" s="18">
        <f t="shared" ref="D14:G14" si="3">D8/D$11</f>
        <v>0.45446509291768944</v>
      </c>
      <c r="E14" s="18">
        <f t="shared" si="3"/>
        <v>0.46709986348981175</v>
      </c>
      <c r="F14" s="18">
        <f t="shared" si="3"/>
        <v>0.46666594138203976</v>
      </c>
      <c r="G14" s="18">
        <f t="shared" si="3"/>
        <v>0.47017195595473821</v>
      </c>
    </row>
    <row r="15" spans="1:8">
      <c r="A15" s="5" t="s">
        <v>11</v>
      </c>
      <c r="B15" s="2" t="s">
        <v>8</v>
      </c>
      <c r="C15" s="18">
        <f t="shared" si="1"/>
        <v>1.1705188368682814E-4</v>
      </c>
      <c r="D15" s="18">
        <f t="shared" ref="D15:G15" si="4">D9/D$11</f>
        <v>1.2534300072809649E-4</v>
      </c>
      <c r="E15" s="18">
        <f t="shared" si="4"/>
        <v>1.274350839144954E-4</v>
      </c>
      <c r="F15" s="18">
        <f t="shared" si="4"/>
        <v>1.273167004497623E-4</v>
      </c>
      <c r="G15" s="18">
        <f t="shared" si="4"/>
        <v>1.2814198707502774E-4</v>
      </c>
    </row>
    <row r="16" spans="1:8">
      <c r="A16" s="5" t="s">
        <v>11</v>
      </c>
      <c r="B16" s="2" t="s">
        <v>10</v>
      </c>
      <c r="C16" s="18">
        <f t="shared" si="1"/>
        <v>0.52426691180515506</v>
      </c>
      <c r="D16" s="18">
        <f t="shared" ref="D16:G16" si="5">D10/D$11</f>
        <v>0.54540956408158248</v>
      </c>
      <c r="E16" s="18">
        <f t="shared" si="5"/>
        <v>0.53277270142627375</v>
      </c>
      <c r="F16" s="18">
        <f t="shared" si="5"/>
        <v>0.5332067419175105</v>
      </c>
      <c r="G16" s="18">
        <f t="shared" si="5"/>
        <v>0.52969990205818673</v>
      </c>
    </row>
    <row r="17" spans="1:7">
      <c r="A17" s="5"/>
      <c r="C17" s="6"/>
      <c r="D17" s="6"/>
      <c r="E17" s="6"/>
      <c r="F17" s="6"/>
      <c r="G17" s="6"/>
    </row>
    <row r="18" spans="1:7">
      <c r="A18" s="7" t="s">
        <v>3</v>
      </c>
      <c r="B18" s="2" t="s">
        <v>4</v>
      </c>
      <c r="C18" s="130"/>
      <c r="D18" s="130"/>
      <c r="E18" s="130"/>
      <c r="F18" s="130"/>
      <c r="G18" s="130"/>
    </row>
    <row r="19" spans="1:7">
      <c r="A19" s="7" t="s">
        <v>3</v>
      </c>
      <c r="B19" s="2" t="s">
        <v>2</v>
      </c>
      <c r="C19" s="90">
        <f>'LTD WAC -123122 detail'!O76/C8</f>
        <v>4.7689635534250652E-2</v>
      </c>
      <c r="D19" s="90">
        <f>'LTD WAC -093022 detail'!O77/D8</f>
        <v>4.6793384069065871E-2</v>
      </c>
      <c r="E19" s="90">
        <f>'LTD WAC -063022 detail'!O82/E8</f>
        <v>4.6878399449258375E-2</v>
      </c>
      <c r="F19" s="90">
        <f>'LTD WAC -033122 detail'!O82/F8</f>
        <v>4.6771436777933925E-2</v>
      </c>
      <c r="G19" s="90">
        <f>'LTD WAC -123121 detail'!O87/G8</f>
        <v>4.6722034377042566E-2</v>
      </c>
    </row>
    <row r="20" spans="1:7">
      <c r="A20" s="5"/>
      <c r="C20" s="6"/>
      <c r="D20" s="6"/>
      <c r="E20" s="6"/>
      <c r="F20" s="6"/>
      <c r="G20" s="6"/>
    </row>
    <row r="21" spans="1:7">
      <c r="A21" s="19" t="s">
        <v>12</v>
      </c>
      <c r="B21" s="20" t="s">
        <v>4</v>
      </c>
      <c r="C21" s="21">
        <f>ROUND(AVERAGE(C7:G7)/AVERAGE(C$11:G$11),4)</f>
        <v>0</v>
      </c>
      <c r="D21" s="6"/>
      <c r="E21" s="6"/>
      <c r="F21" s="6"/>
      <c r="G21" s="6"/>
    </row>
    <row r="22" spans="1:7">
      <c r="A22" s="22" t="s">
        <v>12</v>
      </c>
      <c r="B22" s="23" t="s">
        <v>2</v>
      </c>
      <c r="C22" s="24">
        <f>ROUND(AVERAGE(C8:G8)/AVERAGE(C$11:G$11),4)</f>
        <v>0.46689999999999998</v>
      </c>
      <c r="D22" s="6"/>
      <c r="E22" s="6"/>
      <c r="F22" s="6"/>
      <c r="G22" s="6"/>
    </row>
    <row r="23" spans="1:7">
      <c r="A23" s="22" t="s">
        <v>12</v>
      </c>
      <c r="B23" s="23" t="s">
        <v>8</v>
      </c>
      <c r="C23" s="24">
        <f>ROUND(AVERAGE(C9:G9)/AVERAGE(C$11:G$11),4)</f>
        <v>1E-4</v>
      </c>
      <c r="D23" s="6"/>
      <c r="E23" s="6"/>
      <c r="F23" s="6"/>
      <c r="G23" s="6"/>
    </row>
    <row r="24" spans="1:7">
      <c r="A24" s="25" t="s">
        <v>12</v>
      </c>
      <c r="B24" s="26" t="s">
        <v>10</v>
      </c>
      <c r="C24" s="27">
        <f>ROUND(AVERAGE(C10:G10)/AVERAGE(C$11:G$11),4)</f>
        <v>0.53300000000000003</v>
      </c>
      <c r="D24" s="6"/>
      <c r="E24" s="6"/>
      <c r="F24" s="6"/>
      <c r="G24" s="6"/>
    </row>
    <row r="25" spans="1:7">
      <c r="A25" s="5"/>
      <c r="B25" s="133"/>
      <c r="C25" s="134"/>
      <c r="D25" s="28"/>
      <c r="E25" s="6"/>
      <c r="F25" s="6"/>
      <c r="G25" s="6"/>
    </row>
    <row r="26" spans="1:7">
      <c r="A26" s="29"/>
      <c r="B26" s="29"/>
      <c r="C26" s="30"/>
      <c r="D26" s="30"/>
      <c r="E26" s="30"/>
      <c r="F26" s="30"/>
      <c r="G26" s="30"/>
    </row>
    <row r="27" spans="1:7">
      <c r="A27" s="135" t="s">
        <v>144</v>
      </c>
      <c r="B27" s="11" t="s">
        <v>143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</row>
    <row r="28" spans="1:7">
      <c r="A28" s="2" t="s">
        <v>115</v>
      </c>
      <c r="B28" s="11" t="s">
        <v>116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>
      <c r="A29" s="2" t="s">
        <v>13</v>
      </c>
      <c r="B29" s="11" t="s">
        <v>14</v>
      </c>
      <c r="C29" s="15">
        <v>10741074400</v>
      </c>
      <c r="D29" s="15">
        <v>10435161801</v>
      </c>
      <c r="E29" s="15">
        <v>10026135096</v>
      </c>
      <c r="F29" s="15">
        <v>10043629268</v>
      </c>
      <c r="G29" s="15">
        <v>9913344934</v>
      </c>
    </row>
    <row r="30" spans="1:7">
      <c r="A30" s="2" t="s">
        <v>15</v>
      </c>
      <c r="B30" s="11" t="s">
        <v>16</v>
      </c>
      <c r="C30" s="15">
        <v>9715642752</v>
      </c>
      <c r="D30" s="15">
        <v>8669615350</v>
      </c>
      <c r="E30" s="15">
        <v>8764296818</v>
      </c>
      <c r="F30" s="15">
        <v>8763978286</v>
      </c>
      <c r="G30" s="15">
        <v>8772659756</v>
      </c>
    </row>
    <row r="31" spans="1:7">
      <c r="A31" s="2" t="s">
        <v>17</v>
      </c>
      <c r="B31" s="11" t="s">
        <v>18</v>
      </c>
      <c r="C31" s="15">
        <v>227</v>
      </c>
      <c r="D31" s="15">
        <v>906</v>
      </c>
      <c r="E31" s="15">
        <v>1586</v>
      </c>
      <c r="F31" s="15">
        <v>2265</v>
      </c>
      <c r="G31" s="15">
        <v>2945</v>
      </c>
    </row>
    <row r="32" spans="1:7">
      <c r="A32" s="2" t="s">
        <v>19</v>
      </c>
      <c r="B32" s="11" t="s">
        <v>20</v>
      </c>
      <c r="C32" s="15">
        <f>-26507475</f>
        <v>-26507475</v>
      </c>
      <c r="D32" s="15">
        <v>-23535556</v>
      </c>
      <c r="E32" s="15">
        <v>-23854768</v>
      </c>
      <c r="F32" s="15">
        <v>-24173979</v>
      </c>
      <c r="G32" s="15">
        <v>-24493189</v>
      </c>
    </row>
    <row r="33" spans="1:7">
      <c r="A33" s="2" t="s">
        <v>21</v>
      </c>
      <c r="C33" s="31">
        <f>C11-C28-C29-C30+C31+C32</f>
        <v>0</v>
      </c>
      <c r="D33" s="31">
        <f>D11-D28-D29-D30+D31+D32</f>
        <v>0</v>
      </c>
      <c r="E33" s="31">
        <f>E11-E28-E29-E30+E31+E32</f>
        <v>0</v>
      </c>
      <c r="F33" s="31">
        <f>F11-F28-F29-F30+F31+F32</f>
        <v>0</v>
      </c>
      <c r="G33" s="31">
        <f>G11-G28-G29-G30+G31+G32</f>
        <v>0</v>
      </c>
    </row>
    <row r="34" spans="1:7">
      <c r="C34" s="32"/>
      <c r="D34" s="32"/>
      <c r="E34" s="32"/>
      <c r="F34" s="32"/>
      <c r="G34" s="32"/>
    </row>
    <row r="35" spans="1:7" ht="13.5" thickBot="1">
      <c r="A35" s="33"/>
      <c r="B35" s="34"/>
      <c r="C35" s="34"/>
      <c r="D35" s="34"/>
      <c r="E35" s="34"/>
      <c r="F35" s="34"/>
      <c r="G35" s="34"/>
    </row>
    <row r="36" spans="1:7">
      <c r="A36" s="35"/>
    </row>
    <row r="37" spans="1:7">
      <c r="C37" s="36"/>
    </row>
    <row r="38" spans="1:7">
      <c r="C38" s="37"/>
    </row>
    <row r="39" spans="1:7">
      <c r="C39" s="38"/>
    </row>
  </sheetData>
  <mergeCells count="1">
    <mergeCell ref="A6:B6"/>
  </mergeCells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17E4-BAFD-4F4F-B63B-6D9E2D223DC7}">
  <sheetPr transitionEvaluation="1" transitionEntry="1">
    <pageSetUpPr fitToPage="1"/>
  </sheetPr>
  <dimension ref="A1:R427"/>
  <sheetViews>
    <sheetView defaultGridColor="0" colorId="22" zoomScale="87" zoomScaleNormal="87" workbookViewId="0">
      <pane ySplit="10" topLeftCell="A11" activePane="bottomLeft" state="frozen"/>
      <selection pane="bottomLeft" activeCell="I64" sqref="I64"/>
    </sheetView>
  </sheetViews>
  <sheetFormatPr defaultColWidth="9.7109375" defaultRowHeight="12.75"/>
  <cols>
    <col min="1" max="1" width="5.5703125" style="52" customWidth="1"/>
    <col min="2" max="2" width="10.28515625" style="52" bestFit="1" customWidth="1"/>
    <col min="3" max="3" width="32.42578125" style="39" bestFit="1" customWidth="1"/>
    <col min="4" max="4" width="10.5703125" style="52" bestFit="1" customWidth="1"/>
    <col min="5" max="5" width="10.85546875" style="52" bestFit="1" customWidth="1"/>
    <col min="6" max="7" width="6.42578125" style="52" bestFit="1" customWidth="1"/>
    <col min="8" max="8" width="14.140625" style="39" bestFit="1" customWidth="1"/>
    <col min="9" max="9" width="14.85546875" style="39" customWidth="1"/>
    <col min="10" max="10" width="13.28515625" style="39" bestFit="1" customWidth="1"/>
    <col min="11" max="11" width="14.7109375" style="39" bestFit="1" customWidth="1"/>
    <col min="12" max="12" width="16.5703125" style="39" customWidth="1"/>
    <col min="13" max="13" width="11.28515625" style="39" customWidth="1"/>
    <col min="14" max="14" width="11" style="39" bestFit="1" customWidth="1"/>
    <col min="15" max="15" width="14.5703125" style="39" bestFit="1" customWidth="1"/>
    <col min="16" max="16" width="5.42578125" style="39" bestFit="1" customWidth="1"/>
    <col min="17" max="17" width="12" style="39" bestFit="1" customWidth="1"/>
    <col min="18" max="18" width="13.7109375" style="39" bestFit="1" customWidth="1"/>
    <col min="19" max="16384" width="9.7109375" style="39"/>
  </cols>
  <sheetData>
    <row r="1" spans="1:16" ht="15.75" customHeight="1">
      <c r="A1" s="143" t="str">
        <f>[5]Summary!A1</f>
        <v>PACIFICORP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.75" customHeight="1">
      <c r="A2" s="146" t="str">
        <f>[5]Summary!A2</f>
        <v>Electric Operations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15.75" customHeight="1">
      <c r="A3" s="146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15.75">
      <c r="A4" s="149">
        <f>[5]Summary!A4</f>
        <v>44926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4" customFormat="1" ht="11.25">
      <c r="A5" s="40"/>
      <c r="B5" s="41"/>
      <c r="C5" s="42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3"/>
    </row>
    <row r="6" spans="1:16">
      <c r="A6" s="40"/>
      <c r="B6" s="45"/>
      <c r="C6" s="46"/>
      <c r="D6" s="45"/>
      <c r="E6" s="45"/>
      <c r="F6" s="45"/>
      <c r="G6" s="45"/>
      <c r="H6" s="47"/>
      <c r="I6" s="47"/>
      <c r="J6" s="46"/>
      <c r="K6" s="46"/>
      <c r="L6" s="142" t="s">
        <v>23</v>
      </c>
      <c r="M6" s="142"/>
      <c r="O6" s="44"/>
      <c r="P6" s="43"/>
    </row>
    <row r="7" spans="1:16">
      <c r="A7" s="40"/>
      <c r="B7" s="45"/>
      <c r="C7" s="46"/>
      <c r="D7" s="45"/>
      <c r="E7" s="45"/>
      <c r="F7" s="45"/>
      <c r="G7" s="45"/>
      <c r="H7" s="142" t="s">
        <v>24</v>
      </c>
      <c r="I7" s="142"/>
      <c r="J7" s="46"/>
      <c r="K7" s="46"/>
      <c r="L7" s="45" t="s">
        <v>25</v>
      </c>
      <c r="M7" s="45" t="s">
        <v>26</v>
      </c>
      <c r="O7" s="44"/>
      <c r="P7" s="43"/>
    </row>
    <row r="8" spans="1:16">
      <c r="A8" s="40" t="s">
        <v>27</v>
      </c>
      <c r="B8" s="45" t="s">
        <v>28</v>
      </c>
      <c r="C8" s="46" t="s">
        <v>29</v>
      </c>
      <c r="D8" s="45" t="s">
        <v>30</v>
      </c>
      <c r="E8" s="45" t="s">
        <v>31</v>
      </c>
      <c r="F8" s="45" t="s">
        <v>32</v>
      </c>
      <c r="G8" s="45"/>
      <c r="H8" s="45" t="s">
        <v>33</v>
      </c>
      <c r="I8" s="45" t="s">
        <v>34</v>
      </c>
      <c r="J8" s="45" t="s">
        <v>30</v>
      </c>
      <c r="K8" s="45" t="s">
        <v>35</v>
      </c>
      <c r="L8" s="45" t="s">
        <v>36</v>
      </c>
      <c r="M8" s="45" t="s">
        <v>37</v>
      </c>
      <c r="N8" s="45" t="s">
        <v>38</v>
      </c>
      <c r="O8" s="45" t="s">
        <v>39</v>
      </c>
      <c r="P8" s="43" t="s">
        <v>27</v>
      </c>
    </row>
    <row r="9" spans="1:16">
      <c r="A9" s="40" t="s">
        <v>40</v>
      </c>
      <c r="B9" s="45" t="s">
        <v>41</v>
      </c>
      <c r="C9" s="45" t="s">
        <v>42</v>
      </c>
      <c r="D9" s="45" t="s">
        <v>43</v>
      </c>
      <c r="E9" s="45" t="s">
        <v>43</v>
      </c>
      <c r="F9" s="45" t="s">
        <v>44</v>
      </c>
      <c r="G9" s="45" t="s">
        <v>45</v>
      </c>
      <c r="H9" s="45" t="s">
        <v>46</v>
      </c>
      <c r="I9" s="45" t="s">
        <v>47</v>
      </c>
      <c r="J9" s="45" t="s">
        <v>48</v>
      </c>
      <c r="K9" s="45" t="s">
        <v>48</v>
      </c>
      <c r="L9" s="45" t="s">
        <v>49</v>
      </c>
      <c r="M9" s="45" t="s">
        <v>49</v>
      </c>
      <c r="N9" s="45" t="s">
        <v>50</v>
      </c>
      <c r="O9" s="45" t="s">
        <v>51</v>
      </c>
      <c r="P9" s="43" t="s">
        <v>40</v>
      </c>
    </row>
    <row r="10" spans="1:16">
      <c r="A10" s="48"/>
      <c r="B10" s="49" t="s">
        <v>52</v>
      </c>
      <c r="C10" s="49" t="s">
        <v>53</v>
      </c>
      <c r="D10" s="49" t="s">
        <v>54</v>
      </c>
      <c r="E10" s="49" t="s">
        <v>55</v>
      </c>
      <c r="F10" s="49" t="s">
        <v>56</v>
      </c>
      <c r="G10" s="49" t="s">
        <v>57</v>
      </c>
      <c r="H10" s="49" t="s">
        <v>58</v>
      </c>
      <c r="I10" s="49" t="s">
        <v>59</v>
      </c>
      <c r="J10" s="49" t="s">
        <v>60</v>
      </c>
      <c r="K10" s="49" t="s">
        <v>61</v>
      </c>
      <c r="L10" s="49" t="s">
        <v>62</v>
      </c>
      <c r="M10" s="49" t="s">
        <v>63</v>
      </c>
      <c r="N10" s="49" t="s">
        <v>64</v>
      </c>
      <c r="O10" s="49" t="s">
        <v>65</v>
      </c>
      <c r="P10" s="50"/>
    </row>
    <row r="11" spans="1:16">
      <c r="A11" s="51">
        <v>1</v>
      </c>
      <c r="P11" s="53">
        <f>A11</f>
        <v>1</v>
      </c>
    </row>
    <row r="12" spans="1:16">
      <c r="A12" s="51">
        <f>A11+1</f>
        <v>2</v>
      </c>
      <c r="C12" s="54" t="s">
        <v>66</v>
      </c>
      <c r="D12" s="55"/>
      <c r="E12" s="56"/>
      <c r="P12" s="53">
        <f>A12</f>
        <v>2</v>
      </c>
    </row>
    <row r="13" spans="1:16">
      <c r="A13" s="51">
        <f>A12+1</f>
        <v>3</v>
      </c>
      <c r="B13" s="57">
        <v>2.9499999999999998E-2</v>
      </c>
      <c r="C13" s="39" t="s">
        <v>67</v>
      </c>
      <c r="D13" s="56">
        <f>DATE(2013,6,6)</f>
        <v>41431</v>
      </c>
      <c r="E13" s="56">
        <f>DATE(2023,6,1)</f>
        <v>45078</v>
      </c>
      <c r="F13" s="58">
        <f t="shared" ref="F13:F31" si="0">YEARFRAC(D13,E13)</f>
        <v>9.9861111111111107</v>
      </c>
      <c r="G13" s="58">
        <f t="shared" ref="G13:G31" si="1">YEARFRAC($A$4,E13)</f>
        <v>0.41944444444444445</v>
      </c>
      <c r="H13" s="59">
        <v>300000000</v>
      </c>
      <c r="I13" s="60">
        <v>300000000</v>
      </c>
      <c r="J13" s="61">
        <f>-1350000-900000-494850.25-14501.29</f>
        <v>-2759351.54</v>
      </c>
      <c r="K13" s="61">
        <v>0</v>
      </c>
      <c r="L13" s="62">
        <f t="shared" ref="L13" si="2">SUM(I13:K13)</f>
        <v>297240648.45999998</v>
      </c>
      <c r="M13" s="63">
        <f t="shared" ref="M13:M31" si="3">L13/I13*100</f>
        <v>99.080216153333325</v>
      </c>
      <c r="N13" s="64">
        <f t="shared" ref="N13:N31" si="4">ROUND(YIELD(D13,E13,B13,M13,100,2,0),5)</f>
        <v>3.058E-2</v>
      </c>
      <c r="O13" s="39">
        <f t="shared" ref="O13:O31" si="5">ROUND(N13,5)*I13</f>
        <v>9174000</v>
      </c>
      <c r="P13" s="53">
        <f t="shared" ref="P13:P76" si="6">A13</f>
        <v>3</v>
      </c>
    </row>
    <row r="14" spans="1:16">
      <c r="A14" s="51">
        <f t="shared" ref="A14:A75" si="7">A13+1</f>
        <v>4</v>
      </c>
      <c r="B14" s="57">
        <v>3.5999999999999997E-2</v>
      </c>
      <c r="C14" s="39" t="s">
        <v>68</v>
      </c>
      <c r="D14" s="56">
        <f>DATE(2014,3,13)</f>
        <v>41711</v>
      </c>
      <c r="E14" s="56">
        <f>DATE(2024,4,1)</f>
        <v>45383</v>
      </c>
      <c r="F14" s="58">
        <f t="shared" si="0"/>
        <v>10.050000000000001</v>
      </c>
      <c r="G14" s="58">
        <f t="shared" si="1"/>
        <v>1.2527777777777778</v>
      </c>
      <c r="H14" s="59">
        <v>425000000</v>
      </c>
      <c r="I14" s="60">
        <v>425000000</v>
      </c>
      <c r="J14" s="61">
        <f>-255000-2635000-710164.21</f>
        <v>-3600164.21</v>
      </c>
      <c r="K14" s="61">
        <f>-1756408.34-183498.35-3167.83</f>
        <v>-1943074.5200000003</v>
      </c>
      <c r="L14" s="62">
        <f t="shared" ref="L14" si="8">SUM(I14:K14)</f>
        <v>419456761.27000004</v>
      </c>
      <c r="M14" s="63">
        <f t="shared" si="3"/>
        <v>98.695708534117657</v>
      </c>
      <c r="N14" s="64">
        <f t="shared" si="4"/>
        <v>3.7569999999999999E-2</v>
      </c>
      <c r="O14" s="39">
        <f t="shared" si="5"/>
        <v>15967250</v>
      </c>
      <c r="P14" s="53">
        <f t="shared" si="6"/>
        <v>4</v>
      </c>
    </row>
    <row r="15" spans="1:16">
      <c r="A15" s="51">
        <f t="shared" si="7"/>
        <v>5</v>
      </c>
      <c r="B15" s="57">
        <v>3.3500000000000002E-2</v>
      </c>
      <c r="C15" s="39" t="s">
        <v>69</v>
      </c>
      <c r="D15" s="56">
        <f>DATE(2015,6,19)</f>
        <v>42174</v>
      </c>
      <c r="E15" s="56">
        <f>DATE(2025,7,1)</f>
        <v>45839</v>
      </c>
      <c r="F15" s="58">
        <f t="shared" si="0"/>
        <v>10.033333333333333</v>
      </c>
      <c r="G15" s="58">
        <f t="shared" si="1"/>
        <v>2.5027777777777778</v>
      </c>
      <c r="H15" s="59">
        <v>250000000</v>
      </c>
      <c r="I15" s="60">
        <v>250000000</v>
      </c>
      <c r="J15" s="61">
        <f>-320000-1625000-496421.02</f>
        <v>-2441421.02</v>
      </c>
      <c r="K15" s="61">
        <v>0</v>
      </c>
      <c r="L15" s="62">
        <f t="shared" ref="L15" si="9">SUM(I15:K15)</f>
        <v>247558578.97999999</v>
      </c>
      <c r="M15" s="63">
        <f t="shared" si="3"/>
        <v>99.023431591999994</v>
      </c>
      <c r="N15" s="64">
        <f t="shared" si="4"/>
        <v>3.4660000000000003E-2</v>
      </c>
      <c r="O15" s="39">
        <f t="shared" si="5"/>
        <v>8665000</v>
      </c>
      <c r="P15" s="53">
        <f t="shared" si="6"/>
        <v>5</v>
      </c>
    </row>
    <row r="16" spans="1:16">
      <c r="A16" s="51">
        <f t="shared" si="7"/>
        <v>6</v>
      </c>
      <c r="B16" s="57">
        <v>3.5000000000000003E-2</v>
      </c>
      <c r="C16" s="39" t="s">
        <v>70</v>
      </c>
      <c r="D16" s="56">
        <f>DATE(2019,3,1)</f>
        <v>43525</v>
      </c>
      <c r="E16" s="56">
        <f>DATE(2029,6,15)</f>
        <v>47284</v>
      </c>
      <c r="F16" s="58">
        <f>YEARFRAC(D16,E16)</f>
        <v>10.28888888888889</v>
      </c>
      <c r="G16" s="58">
        <f>YEARFRAC($A$4,E16)</f>
        <v>6.458333333333333</v>
      </c>
      <c r="H16" s="59">
        <v>400000000</v>
      </c>
      <c r="I16" s="60">
        <v>400000000</v>
      </c>
      <c r="J16" s="61">
        <f>-740000-1700000-59986.3-374194.58</f>
        <v>-2874180.88</v>
      </c>
      <c r="K16" s="61">
        <v>0</v>
      </c>
      <c r="L16" s="62">
        <f>SUM(I16:K16)</f>
        <v>397125819.12</v>
      </c>
      <c r="M16" s="63">
        <f>L16/I16*100</f>
        <v>99.281454780000004</v>
      </c>
      <c r="N16" s="64">
        <f>ROUND(YIELD(D16,E16,B16,M16,100,2,0),5)</f>
        <v>3.5839999999999997E-2</v>
      </c>
      <c r="O16" s="39">
        <f>ROUND(N16,5)*I16</f>
        <v>14335999.999999998</v>
      </c>
      <c r="P16" s="53">
        <f t="shared" si="6"/>
        <v>6</v>
      </c>
    </row>
    <row r="17" spans="1:18">
      <c r="A17" s="51">
        <f t="shared" si="7"/>
        <v>7</v>
      </c>
      <c r="B17" s="57">
        <v>2.7E-2</v>
      </c>
      <c r="C17" s="39" t="s">
        <v>71</v>
      </c>
      <c r="D17" s="56">
        <f>DATE(2020,4,8)</f>
        <v>43929</v>
      </c>
      <c r="E17" s="56">
        <f>DATE(2030,9,15)</f>
        <v>47741</v>
      </c>
      <c r="F17" s="58">
        <f>YEARFRAC(D17,E17)</f>
        <v>10.436111111111112</v>
      </c>
      <c r="G17" s="58">
        <f>YEARFRAC($A$4,E17)</f>
        <v>7.708333333333333</v>
      </c>
      <c r="H17" s="59">
        <v>400000000</v>
      </c>
      <c r="I17" s="60">
        <v>400000000</v>
      </c>
      <c r="J17" s="61">
        <f>-720000-1700000-65400.39-391165.2-225.58</f>
        <v>-2876791.1700000004</v>
      </c>
      <c r="K17" s="61">
        <v>0</v>
      </c>
      <c r="L17" s="62">
        <f>SUM(I17:K17)</f>
        <v>397123208.82999998</v>
      </c>
      <c r="M17" s="63">
        <f>L17/I17*100</f>
        <v>99.280802207500003</v>
      </c>
      <c r="N17" s="64">
        <f>ROUND(YIELD(D17,E17,B17,M17,100,2,0),5)</f>
        <v>2.7799999999999998E-2</v>
      </c>
      <c r="O17" s="39">
        <f>ROUND(N17,5)*I17</f>
        <v>11120000</v>
      </c>
      <c r="P17" s="53">
        <f t="shared" si="6"/>
        <v>7</v>
      </c>
    </row>
    <row r="18" spans="1:18">
      <c r="A18" s="51">
        <f t="shared" si="7"/>
        <v>8</v>
      </c>
      <c r="B18" s="57">
        <v>7.6999999999999999E-2</v>
      </c>
      <c r="C18" s="39" t="s">
        <v>72</v>
      </c>
      <c r="D18" s="56">
        <f>DATE(2001,11,21)</f>
        <v>37216</v>
      </c>
      <c r="E18" s="56">
        <f>DATE(2031,11,15)</f>
        <v>48167</v>
      </c>
      <c r="F18" s="58">
        <f t="shared" si="0"/>
        <v>29.983333333333334</v>
      </c>
      <c r="G18" s="58">
        <f t="shared" si="1"/>
        <v>8.875</v>
      </c>
      <c r="H18" s="59">
        <v>300000000</v>
      </c>
      <c r="I18" s="60">
        <v>300000000</v>
      </c>
      <c r="J18" s="61">
        <f>-2625000-864000-212309.65</f>
        <v>-3701309.65</v>
      </c>
      <c r="K18" s="61">
        <v>0</v>
      </c>
      <c r="L18" s="62">
        <f t="shared" ref="L18:L26" si="10">SUM(I18:K18)</f>
        <v>296298690.35000002</v>
      </c>
      <c r="M18" s="63">
        <f t="shared" si="3"/>
        <v>98.766230116666677</v>
      </c>
      <c r="N18" s="64">
        <f t="shared" si="4"/>
        <v>7.8070000000000001E-2</v>
      </c>
      <c r="O18" s="39">
        <f t="shared" si="5"/>
        <v>23421000</v>
      </c>
      <c r="P18" s="53">
        <f t="shared" si="6"/>
        <v>8</v>
      </c>
      <c r="R18" s="65"/>
    </row>
    <row r="19" spans="1:18">
      <c r="A19" s="51">
        <f t="shared" si="7"/>
        <v>9</v>
      </c>
      <c r="B19" s="57">
        <v>5.8999999999999997E-2</v>
      </c>
      <c r="C19" s="39" t="s">
        <v>73</v>
      </c>
      <c r="D19" s="56">
        <f>DATE(2004,8,24)</f>
        <v>38223</v>
      </c>
      <c r="E19" s="56">
        <f>DATE(2034,8,15)</f>
        <v>49171</v>
      </c>
      <c r="F19" s="58">
        <f t="shared" si="0"/>
        <v>29.975000000000001</v>
      </c>
      <c r="G19" s="58">
        <f t="shared" si="1"/>
        <v>11.625</v>
      </c>
      <c r="H19" s="59">
        <v>200000000</v>
      </c>
      <c r="I19" s="60">
        <v>200000000</v>
      </c>
      <c r="J19" s="61">
        <f>-722000-1750000-142365.3</f>
        <v>-2614365.2999999998</v>
      </c>
      <c r="K19" s="61">
        <v>0</v>
      </c>
      <c r="L19" s="62">
        <f t="shared" si="10"/>
        <v>197385634.69999999</v>
      </c>
      <c r="M19" s="63">
        <f t="shared" si="3"/>
        <v>98.692817349999999</v>
      </c>
      <c r="N19" s="64">
        <f t="shared" si="4"/>
        <v>5.994E-2</v>
      </c>
      <c r="O19" s="39">
        <f t="shared" si="5"/>
        <v>11988000</v>
      </c>
      <c r="P19" s="53">
        <f t="shared" si="6"/>
        <v>9</v>
      </c>
      <c r="R19" s="65"/>
    </row>
    <row r="20" spans="1:18">
      <c r="A20" s="51">
        <f t="shared" si="7"/>
        <v>10</v>
      </c>
      <c r="B20" s="57">
        <v>5.2499999999999998E-2</v>
      </c>
      <c r="C20" s="39" t="s">
        <v>74</v>
      </c>
      <c r="D20" s="56">
        <f>DATE(2005,6,8)</f>
        <v>38511</v>
      </c>
      <c r="E20" s="56">
        <f>DATE(2035,6,15)</f>
        <v>49475</v>
      </c>
      <c r="F20" s="58">
        <f t="shared" si="0"/>
        <v>30.019444444444446</v>
      </c>
      <c r="G20" s="58">
        <f t="shared" si="1"/>
        <v>12.458333333333334</v>
      </c>
      <c r="H20" s="59">
        <v>300000000</v>
      </c>
      <c r="I20" s="60">
        <v>300000000</v>
      </c>
      <c r="J20" s="61">
        <f>-1080000-2625000-287020.96</f>
        <v>-3992020.96</v>
      </c>
      <c r="K20" s="61">
        <v>-1295995.2</v>
      </c>
      <c r="L20" s="62">
        <f t="shared" si="10"/>
        <v>294711983.84000003</v>
      </c>
      <c r="M20" s="63">
        <f t="shared" si="3"/>
        <v>98.237327946666682</v>
      </c>
      <c r="N20" s="64">
        <f t="shared" si="4"/>
        <v>5.3690000000000002E-2</v>
      </c>
      <c r="O20" s="39">
        <f t="shared" si="5"/>
        <v>16107000</v>
      </c>
      <c r="P20" s="53">
        <f t="shared" si="6"/>
        <v>10</v>
      </c>
    </row>
    <row r="21" spans="1:18">
      <c r="A21" s="51">
        <f t="shared" si="7"/>
        <v>11</v>
      </c>
      <c r="B21" s="57">
        <v>6.0999999999999999E-2</v>
      </c>
      <c r="C21" s="39" t="s">
        <v>75</v>
      </c>
      <c r="D21" s="56">
        <f>DATE(2006,8,10)</f>
        <v>38939</v>
      </c>
      <c r="E21" s="56">
        <f>DATE(2036,8,1)</f>
        <v>49888</v>
      </c>
      <c r="F21" s="58">
        <f t="shared" si="0"/>
        <v>29.975000000000001</v>
      </c>
      <c r="G21" s="58">
        <f t="shared" si="1"/>
        <v>13.58611111111111</v>
      </c>
      <c r="H21" s="59">
        <v>350000000</v>
      </c>
      <c r="I21" s="60">
        <v>350000000</v>
      </c>
      <c r="J21" s="61">
        <f>-1141000-2450000-457880.81</f>
        <v>-4048880.81</v>
      </c>
      <c r="K21" s="61">
        <v>0</v>
      </c>
      <c r="L21" s="62">
        <f t="shared" si="10"/>
        <v>345951119.19</v>
      </c>
      <c r="M21" s="63">
        <f t="shared" si="3"/>
        <v>98.843176911428571</v>
      </c>
      <c r="N21" s="64">
        <f t="shared" si="4"/>
        <v>6.1850000000000002E-2</v>
      </c>
      <c r="O21" s="39">
        <f t="shared" si="5"/>
        <v>21647500</v>
      </c>
      <c r="P21" s="53">
        <f t="shared" si="6"/>
        <v>11</v>
      </c>
    </row>
    <row r="22" spans="1:18">
      <c r="A22" s="51">
        <f t="shared" si="7"/>
        <v>12</v>
      </c>
      <c r="B22" s="57">
        <v>5.7500000000000002E-2</v>
      </c>
      <c r="C22" s="39" t="s">
        <v>76</v>
      </c>
      <c r="D22" s="56">
        <f>DATE(2007,3,14)</f>
        <v>39155</v>
      </c>
      <c r="E22" s="56">
        <f>DATE(2037,4,1)</f>
        <v>50131</v>
      </c>
      <c r="F22" s="58">
        <f t="shared" si="0"/>
        <v>30.047222222222221</v>
      </c>
      <c r="G22" s="58">
        <f t="shared" si="1"/>
        <v>14.252777777777778</v>
      </c>
      <c r="H22" s="59">
        <v>600000000</v>
      </c>
      <c r="I22" s="60">
        <v>600000000</v>
      </c>
      <c r="J22" s="61">
        <f>-24000-589216.14</f>
        <v>-613216.14</v>
      </c>
      <c r="K22" s="61">
        <v>0</v>
      </c>
      <c r="L22" s="62">
        <f t="shared" si="10"/>
        <v>599386783.86000001</v>
      </c>
      <c r="M22" s="63">
        <f t="shared" si="3"/>
        <v>99.897797310000001</v>
      </c>
      <c r="N22" s="64">
        <f t="shared" si="4"/>
        <v>5.7570000000000003E-2</v>
      </c>
      <c r="O22" s="39">
        <f t="shared" si="5"/>
        <v>34542000</v>
      </c>
      <c r="P22" s="53">
        <f t="shared" si="6"/>
        <v>12</v>
      </c>
    </row>
    <row r="23" spans="1:18">
      <c r="A23" s="51">
        <f t="shared" si="7"/>
        <v>13</v>
      </c>
      <c r="B23" s="57">
        <v>6.25E-2</v>
      </c>
      <c r="C23" s="39" t="s">
        <v>77</v>
      </c>
      <c r="D23" s="56">
        <f>DATE(2007,10,3)</f>
        <v>39358</v>
      </c>
      <c r="E23" s="56">
        <f>DATE(2037,10,15)</f>
        <v>50328</v>
      </c>
      <c r="F23" s="58">
        <f t="shared" si="0"/>
        <v>30.033333333333335</v>
      </c>
      <c r="G23" s="58">
        <f t="shared" si="1"/>
        <v>14.791666666666666</v>
      </c>
      <c r="H23" s="59">
        <v>600000000</v>
      </c>
      <c r="I23" s="60">
        <v>600000000</v>
      </c>
      <c r="J23" s="61">
        <f>-750000-4650000-477281.03</f>
        <v>-5877281.0300000003</v>
      </c>
      <c r="K23" s="61">
        <v>0</v>
      </c>
      <c r="L23" s="62">
        <f t="shared" si="10"/>
        <v>594122718.97000003</v>
      </c>
      <c r="M23" s="63">
        <f t="shared" si="3"/>
        <v>99.020453161666666</v>
      </c>
      <c r="N23" s="64">
        <f t="shared" si="4"/>
        <v>6.3229999999999995E-2</v>
      </c>
      <c r="O23" s="39">
        <f t="shared" si="5"/>
        <v>37938000</v>
      </c>
      <c r="P23" s="53">
        <f t="shared" si="6"/>
        <v>13</v>
      </c>
    </row>
    <row r="24" spans="1:18">
      <c r="A24" s="51">
        <f t="shared" si="7"/>
        <v>14</v>
      </c>
      <c r="B24" s="57">
        <v>6.3500000000000001E-2</v>
      </c>
      <c r="C24" s="39" t="s">
        <v>78</v>
      </c>
      <c r="D24" s="56">
        <f>DATE(2008,7,17)</f>
        <v>39646</v>
      </c>
      <c r="E24" s="56">
        <f>DATE(2038,7,15)</f>
        <v>50601</v>
      </c>
      <c r="F24" s="58">
        <f t="shared" si="0"/>
        <v>29.994444444444444</v>
      </c>
      <c r="G24" s="58">
        <f t="shared" si="1"/>
        <v>15.541666666666666</v>
      </c>
      <c r="H24" s="59">
        <v>300000000</v>
      </c>
      <c r="I24" s="60">
        <v>300000000</v>
      </c>
      <c r="J24" s="61">
        <f>-1671000-2100000-189957.54-375</f>
        <v>-3961332.54</v>
      </c>
      <c r="K24" s="61">
        <v>0</v>
      </c>
      <c r="L24" s="62">
        <f t="shared" si="10"/>
        <v>296038667.45999998</v>
      </c>
      <c r="M24" s="63">
        <f t="shared" si="3"/>
        <v>98.679555820000004</v>
      </c>
      <c r="N24" s="64">
        <f t="shared" si="4"/>
        <v>6.4500000000000002E-2</v>
      </c>
      <c r="O24" s="39">
        <f t="shared" si="5"/>
        <v>19350000</v>
      </c>
      <c r="P24" s="53">
        <f t="shared" si="6"/>
        <v>14</v>
      </c>
    </row>
    <row r="25" spans="1:18">
      <c r="A25" s="51">
        <f t="shared" si="7"/>
        <v>15</v>
      </c>
      <c r="B25" s="57">
        <v>0.06</v>
      </c>
      <c r="C25" s="39" t="s">
        <v>79</v>
      </c>
      <c r="D25" s="56">
        <f>DATE(2009,1,8)</f>
        <v>39821</v>
      </c>
      <c r="E25" s="56">
        <f>DATE(2039,1,15)</f>
        <v>50785</v>
      </c>
      <c r="F25" s="58">
        <f t="shared" si="0"/>
        <v>30.019444444444446</v>
      </c>
      <c r="G25" s="58">
        <f t="shared" si="1"/>
        <v>16.041666666666668</v>
      </c>
      <c r="H25" s="59">
        <v>650000000</v>
      </c>
      <c r="I25" s="60">
        <v>650000000</v>
      </c>
      <c r="J25" s="61">
        <f>-6175000-5687500-436184.72-11002.1</f>
        <v>-12309686.82</v>
      </c>
      <c r="K25" s="61">
        <v>0</v>
      </c>
      <c r="L25" s="62">
        <f t="shared" si="10"/>
        <v>637690313.17999995</v>
      </c>
      <c r="M25" s="63">
        <f t="shared" si="3"/>
        <v>98.106202027692305</v>
      </c>
      <c r="N25" s="64">
        <f t="shared" si="4"/>
        <v>6.139E-2</v>
      </c>
      <c r="O25" s="39">
        <f t="shared" si="5"/>
        <v>39903500</v>
      </c>
      <c r="P25" s="53">
        <f t="shared" si="6"/>
        <v>15</v>
      </c>
    </row>
    <row r="26" spans="1:18">
      <c r="A26" s="51">
        <f t="shared" si="7"/>
        <v>16</v>
      </c>
      <c r="B26" s="57">
        <v>4.1000000000000002E-2</v>
      </c>
      <c r="C26" s="39" t="s">
        <v>80</v>
      </c>
      <c r="D26" s="56">
        <f>DATE(2012,1,6)</f>
        <v>40914</v>
      </c>
      <c r="E26" s="56">
        <f>DATE(2042,2,1)</f>
        <v>51898</v>
      </c>
      <c r="F26" s="58">
        <f t="shared" si="0"/>
        <v>30.069444444444443</v>
      </c>
      <c r="G26" s="58">
        <f t="shared" si="1"/>
        <v>19.086111111111112</v>
      </c>
      <c r="H26" s="59">
        <v>300000000</v>
      </c>
      <c r="I26" s="60">
        <v>300000000</v>
      </c>
      <c r="J26" s="61">
        <f>-2400000-987000-337549.42-361.51</f>
        <v>-3724910.9299999997</v>
      </c>
      <c r="K26" s="61">
        <v>0</v>
      </c>
      <c r="L26" s="62">
        <f t="shared" si="10"/>
        <v>296275089.06999999</v>
      </c>
      <c r="M26" s="63">
        <f t="shared" si="3"/>
        <v>98.758363023333331</v>
      </c>
      <c r="N26" s="64">
        <f t="shared" si="4"/>
        <v>4.1730000000000003E-2</v>
      </c>
      <c r="O26" s="39">
        <f t="shared" si="5"/>
        <v>12519000.000000002</v>
      </c>
      <c r="P26" s="53">
        <f t="shared" si="6"/>
        <v>16</v>
      </c>
    </row>
    <row r="27" spans="1:18">
      <c r="A27" s="51">
        <f t="shared" si="7"/>
        <v>17</v>
      </c>
      <c r="B27" s="57">
        <v>4.1250000000000002E-2</v>
      </c>
      <c r="C27" s="39" t="s">
        <v>81</v>
      </c>
      <c r="D27" s="56">
        <f>DATE(2018,7,13)</f>
        <v>43294</v>
      </c>
      <c r="E27" s="56">
        <f>DATE(2049,1,15)</f>
        <v>54438</v>
      </c>
      <c r="F27" s="58">
        <f t="shared" si="0"/>
        <v>30.505555555555556</v>
      </c>
      <c r="G27" s="58">
        <f t="shared" si="1"/>
        <v>26.041666666666668</v>
      </c>
      <c r="H27" s="59">
        <v>600000000</v>
      </c>
      <c r="I27" s="60">
        <v>600000000</v>
      </c>
      <c r="J27" s="61">
        <f>-1344000-4800000-86899.03-753185.56</f>
        <v>-6984084.5899999999</v>
      </c>
      <c r="K27" s="61">
        <v>0</v>
      </c>
      <c r="L27" s="62">
        <f t="shared" ref="L27" si="11">SUM(I27:K27)</f>
        <v>593015915.40999997</v>
      </c>
      <c r="M27" s="63">
        <f t="shared" si="3"/>
        <v>98.83598590166666</v>
      </c>
      <c r="N27" s="64">
        <f t="shared" si="4"/>
        <v>4.1930000000000002E-2</v>
      </c>
      <c r="O27" s="39">
        <f t="shared" si="5"/>
        <v>25158000</v>
      </c>
      <c r="P27" s="53">
        <f t="shared" si="6"/>
        <v>17</v>
      </c>
    </row>
    <row r="28" spans="1:18">
      <c r="A28" s="51">
        <f t="shared" si="7"/>
        <v>18</v>
      </c>
      <c r="B28" s="57">
        <v>4.1500000000000002E-2</v>
      </c>
      <c r="C28" s="39" t="s">
        <v>82</v>
      </c>
      <c r="D28" s="56">
        <f>DATE(2019,3,1)</f>
        <v>43525</v>
      </c>
      <c r="E28" s="56">
        <f>DATE(2050,2,15)</f>
        <v>54834</v>
      </c>
      <c r="F28" s="58">
        <f t="shared" si="0"/>
        <v>30.955555555555556</v>
      </c>
      <c r="G28" s="58">
        <f t="shared" si="1"/>
        <v>27.125</v>
      </c>
      <c r="H28" s="59">
        <v>600000000</v>
      </c>
      <c r="I28" s="60">
        <v>600000000</v>
      </c>
      <c r="J28" s="61">
        <f>-2790000-4500000-89979.46-558791.88</f>
        <v>-7938771.3399999999</v>
      </c>
      <c r="K28" s="61">
        <v>0</v>
      </c>
      <c r="L28" s="62">
        <f t="shared" ref="L28:L29" si="12">SUM(I28:K28)</f>
        <v>592061228.65999997</v>
      </c>
      <c r="M28" s="63">
        <f t="shared" si="3"/>
        <v>98.676871443333326</v>
      </c>
      <c r="N28" s="64">
        <f t="shared" si="4"/>
        <v>4.2270000000000002E-2</v>
      </c>
      <c r="O28" s="39">
        <f t="shared" si="5"/>
        <v>25362000</v>
      </c>
      <c r="P28" s="53">
        <f t="shared" si="6"/>
        <v>18</v>
      </c>
    </row>
    <row r="29" spans="1:18">
      <c r="A29" s="51">
        <f t="shared" si="7"/>
        <v>19</v>
      </c>
      <c r="B29" s="57">
        <v>3.3000000000000002E-2</v>
      </c>
      <c r="C29" s="39" t="s">
        <v>83</v>
      </c>
      <c r="D29" s="56">
        <f>DATE(2020,4,8)</f>
        <v>43929</v>
      </c>
      <c r="E29" s="56">
        <f>DATE(2051,3,15)</f>
        <v>55227</v>
      </c>
      <c r="F29" s="58">
        <f t="shared" si="0"/>
        <v>30.93611111111111</v>
      </c>
      <c r="G29" s="58">
        <f t="shared" si="1"/>
        <v>28.208333333333332</v>
      </c>
      <c r="H29" s="59">
        <v>600000000</v>
      </c>
      <c r="I29" s="60">
        <v>600000000</v>
      </c>
      <c r="J29" s="61">
        <f>-4944000-4500000-98100.59-585497.81-338.37</f>
        <v>-10127936.77</v>
      </c>
      <c r="K29" s="61">
        <v>0</v>
      </c>
      <c r="L29" s="62">
        <f t="shared" si="12"/>
        <v>589872063.23000002</v>
      </c>
      <c r="M29" s="63">
        <f t="shared" si="3"/>
        <v>98.31201053833334</v>
      </c>
      <c r="N29" s="64">
        <f t="shared" si="4"/>
        <v>3.388E-2</v>
      </c>
      <c r="O29" s="39">
        <f t="shared" si="5"/>
        <v>20328000</v>
      </c>
      <c r="P29" s="53">
        <f t="shared" si="6"/>
        <v>19</v>
      </c>
    </row>
    <row r="30" spans="1:18">
      <c r="A30" s="51">
        <f t="shared" si="7"/>
        <v>20</v>
      </c>
      <c r="B30" s="57">
        <v>2.9000000000000001E-2</v>
      </c>
      <c r="C30" s="39" t="s">
        <v>84</v>
      </c>
      <c r="D30" s="56">
        <f>DATE(2021,7,9)</f>
        <v>44386</v>
      </c>
      <c r="E30" s="56">
        <f>DATE(2052,6,15)</f>
        <v>55685</v>
      </c>
      <c r="F30" s="58">
        <f t="shared" si="0"/>
        <v>30.933333333333334</v>
      </c>
      <c r="G30" s="58">
        <f t="shared" si="1"/>
        <v>29.458333333333332</v>
      </c>
      <c r="H30" s="59">
        <v>1000000000</v>
      </c>
      <c r="I30" s="60">
        <v>1000000000</v>
      </c>
      <c r="J30" s="61">
        <f>-7670000-7500000-38616.9-1150-850357.1-537750-1500</f>
        <v>-16599374</v>
      </c>
      <c r="K30" s="61">
        <v>0</v>
      </c>
      <c r="L30" s="62">
        <f t="shared" ref="L30" si="13">SUM(I30:K30)</f>
        <v>983400626</v>
      </c>
      <c r="M30" s="63">
        <f t="shared" si="3"/>
        <v>98.340062599999996</v>
      </c>
      <c r="N30" s="64">
        <f t="shared" si="4"/>
        <v>2.9819999999999999E-2</v>
      </c>
      <c r="O30" s="39">
        <f t="shared" si="5"/>
        <v>29820000</v>
      </c>
      <c r="P30" s="53">
        <f t="shared" si="6"/>
        <v>20</v>
      </c>
      <c r="R30" s="66"/>
    </row>
    <row r="31" spans="1:18">
      <c r="A31" s="51">
        <f t="shared" si="7"/>
        <v>21</v>
      </c>
      <c r="B31" s="57">
        <v>5.3499999999999999E-2</v>
      </c>
      <c r="C31" s="39" t="s">
        <v>85</v>
      </c>
      <c r="D31" s="56">
        <f>DATE(2022,12,1)</f>
        <v>44896</v>
      </c>
      <c r="E31" s="56">
        <f>DATE(2053,12,1)</f>
        <v>56219</v>
      </c>
      <c r="F31" s="58">
        <f t="shared" si="0"/>
        <v>31</v>
      </c>
      <c r="G31" s="58">
        <f t="shared" si="1"/>
        <v>30.919444444444444</v>
      </c>
      <c r="H31" s="59">
        <v>1100000000</v>
      </c>
      <c r="I31" s="60">
        <v>1100000000</v>
      </c>
      <c r="J31" s="61">
        <f>-3300000-8250000-38616.9-920009.39-552500</f>
        <v>-13061126.290000001</v>
      </c>
      <c r="K31" s="61">
        <v>0</v>
      </c>
      <c r="L31" s="62">
        <f t="shared" ref="L31" si="14">SUM(I31:K31)</f>
        <v>1086938873.71</v>
      </c>
      <c r="M31" s="63">
        <f t="shared" si="3"/>
        <v>98.812624882727278</v>
      </c>
      <c r="N31" s="64">
        <f t="shared" si="4"/>
        <v>5.4300000000000001E-2</v>
      </c>
      <c r="O31" s="39">
        <f t="shared" si="5"/>
        <v>59730000</v>
      </c>
      <c r="P31" s="53">
        <f t="shared" si="6"/>
        <v>21</v>
      </c>
      <c r="R31" s="66"/>
    </row>
    <row r="32" spans="1:18">
      <c r="A32" s="51">
        <f t="shared" si="7"/>
        <v>22</v>
      </c>
      <c r="B32" s="67">
        <f>SUMPRODUCT(B13:B31,I13:I31)/I32</f>
        <v>4.6250673854447442E-2</v>
      </c>
      <c r="C32" s="68" t="s">
        <v>86</v>
      </c>
      <c r="D32" s="56"/>
      <c r="E32" s="56"/>
      <c r="F32" s="69">
        <f>SUMPRODUCT(F13:F31,I13:I31)/I32</f>
        <v>26.588065289008682</v>
      </c>
      <c r="G32" s="69">
        <f>SUMPRODUCT(G13:G31,I13:I31)/I32</f>
        <v>18.433161126085658</v>
      </c>
      <c r="I32" s="70">
        <f>SUM(I13:I31)</f>
        <v>9275000000</v>
      </c>
      <c r="J32" s="70">
        <f>SUM(J13:J31)</f>
        <v>-110106205.99000001</v>
      </c>
      <c r="K32" s="70">
        <f>SUM(K13:K31)</f>
        <v>-3239069.72</v>
      </c>
      <c r="L32" s="70">
        <f>SUM(L13:L31)</f>
        <v>9161654724.2900009</v>
      </c>
      <c r="N32" s="71">
        <f>O32/I32</f>
        <v>4.7124123989218329E-2</v>
      </c>
      <c r="O32" s="68">
        <f>SUM(O13:O31)</f>
        <v>437076250</v>
      </c>
      <c r="P32" s="53">
        <f t="shared" si="6"/>
        <v>22</v>
      </c>
    </row>
    <row r="33" spans="1:16">
      <c r="A33" s="51">
        <f t="shared" si="7"/>
        <v>23</v>
      </c>
      <c r="B33" s="67"/>
      <c r="C33" s="68"/>
      <c r="D33" s="56"/>
      <c r="E33" s="56"/>
      <c r="F33" s="69"/>
      <c r="G33" s="69"/>
      <c r="I33" s="70"/>
      <c r="J33" s="70"/>
      <c r="K33" s="70"/>
      <c r="L33" s="70"/>
      <c r="N33" s="71"/>
      <c r="O33" s="68"/>
      <c r="P33" s="53">
        <f t="shared" si="6"/>
        <v>23</v>
      </c>
    </row>
    <row r="34" spans="1:16">
      <c r="A34" s="51">
        <f t="shared" si="7"/>
        <v>24</v>
      </c>
      <c r="B34" s="72">
        <v>8.2299999999999998E-2</v>
      </c>
      <c r="C34" s="39" t="s">
        <v>87</v>
      </c>
      <c r="D34" s="56">
        <f>DATE(1993,1,29)</f>
        <v>33998</v>
      </c>
      <c r="E34" s="56">
        <f>DATE(2023,1,20)</f>
        <v>44946</v>
      </c>
      <c r="F34" s="58">
        <f t="shared" ref="F34:F35" si="15">YEARFRAC(D34,E34)</f>
        <v>29.975000000000001</v>
      </c>
      <c r="G34" s="58">
        <f t="shared" ref="G34:G35" si="16">YEARFRAC($A$4,E34)</f>
        <v>5.5555555555555552E-2</v>
      </c>
      <c r="H34" s="61">
        <v>4000000</v>
      </c>
      <c r="I34" s="73">
        <v>4000000</v>
      </c>
      <c r="J34" s="61">
        <f>-(30000+130.74+101.26+219.74+284.98+278.44+46.89+30.97+8.45+6.28+36.25+3.16+45.31+39.91-901.5)+81560</f>
        <v>51229.119999999995</v>
      </c>
      <c r="K34" s="61">
        <v>-88988.58</v>
      </c>
      <c r="L34" s="61">
        <f t="shared" ref="L34:L35" si="17">SUM(I34:K34)</f>
        <v>3962240.54</v>
      </c>
      <c r="M34" s="63">
        <f t="shared" ref="M34:M35" si="18">L34/I34*100</f>
        <v>99.056013500000006</v>
      </c>
      <c r="N34" s="64">
        <f t="shared" ref="N34:N35" si="19">ROUND(YIELD(D34,E34,B34,M34,100,2,0),5)</f>
        <v>8.3159999999999998E-2</v>
      </c>
      <c r="O34" s="39">
        <f t="shared" ref="O34:O35" si="20">ROUND(N34,5)*I34</f>
        <v>332640</v>
      </c>
      <c r="P34" s="53">
        <f t="shared" si="6"/>
        <v>24</v>
      </c>
    </row>
    <row r="35" spans="1:16">
      <c r="A35" s="51">
        <f t="shared" si="7"/>
        <v>25</v>
      </c>
      <c r="B35" s="72">
        <v>8.2299999999999998E-2</v>
      </c>
      <c r="C35" s="39" t="s">
        <v>87</v>
      </c>
      <c r="D35" s="56">
        <f>DATE(1993,1,20)</f>
        <v>33989</v>
      </c>
      <c r="E35" s="56">
        <f>DATE(2023,1,20)</f>
        <v>44946</v>
      </c>
      <c r="F35" s="58">
        <f t="shared" si="15"/>
        <v>30</v>
      </c>
      <c r="G35" s="58">
        <f t="shared" si="16"/>
        <v>5.5555555555555552E-2</v>
      </c>
      <c r="H35" s="61">
        <v>5000000</v>
      </c>
      <c r="I35" s="73">
        <v>5000000</v>
      </c>
      <c r="J35" s="61">
        <f>-(37500+163.42+126.57+274.68+356.22+348.04+58.61+38.71+10.56+7.85+45.32+3.95+56.64+49.89-1126.87)</f>
        <v>-37913.589999999989</v>
      </c>
      <c r="K35" s="61">
        <v>-335843.38</v>
      </c>
      <c r="L35" s="61">
        <f t="shared" si="17"/>
        <v>4626243.03</v>
      </c>
      <c r="M35" s="63">
        <f t="shared" si="18"/>
        <v>92.524860599999997</v>
      </c>
      <c r="N35" s="64">
        <f t="shared" si="19"/>
        <v>8.9510000000000006E-2</v>
      </c>
      <c r="O35" s="39">
        <f t="shared" si="20"/>
        <v>447550.00000000006</v>
      </c>
      <c r="P35" s="53">
        <f t="shared" si="6"/>
        <v>25</v>
      </c>
    </row>
    <row r="36" spans="1:16">
      <c r="A36" s="51">
        <f t="shared" si="7"/>
        <v>26</v>
      </c>
      <c r="B36" s="67">
        <f>SUMPRODUCT(B34:B35,I34:I35)/I36</f>
        <v>8.2299999999999998E-2</v>
      </c>
      <c r="C36" s="68" t="s">
        <v>88</v>
      </c>
      <c r="D36" s="56"/>
      <c r="E36" s="56"/>
      <c r="F36" s="69">
        <f>SUMPRODUCT(F34:F35,I34:I35)/I36</f>
        <v>29.988888888888887</v>
      </c>
      <c r="G36" s="69">
        <f>SUMPRODUCT(G34:G35,I34:I35)/I36</f>
        <v>5.5555555555555552E-2</v>
      </c>
      <c r="I36" s="70">
        <f>SUM(I34:I35)</f>
        <v>9000000</v>
      </c>
      <c r="J36" s="70">
        <f>SUM(J34:J35)</f>
        <v>13315.530000000006</v>
      </c>
      <c r="K36" s="70">
        <f>SUM(K34:K35)</f>
        <v>-424831.96</v>
      </c>
      <c r="L36" s="70">
        <f>SUM(L34:L35)</f>
        <v>8588483.5700000003</v>
      </c>
      <c r="N36" s="71">
        <f>O36/I36</f>
        <v>8.668777777777778E-2</v>
      </c>
      <c r="O36" s="68">
        <f>SUM(O34:O35)</f>
        <v>780190</v>
      </c>
      <c r="P36" s="53">
        <f t="shared" si="6"/>
        <v>26</v>
      </c>
    </row>
    <row r="37" spans="1:16">
      <c r="A37" s="51">
        <f t="shared" si="7"/>
        <v>27</v>
      </c>
      <c r="D37" s="56"/>
      <c r="E37" s="56"/>
      <c r="F37" s="58"/>
      <c r="G37" s="58"/>
      <c r="I37" s="74"/>
      <c r="J37" s="62"/>
      <c r="L37" s="62"/>
      <c r="M37" s="64"/>
      <c r="N37" s="64"/>
      <c r="P37" s="53">
        <f t="shared" si="6"/>
        <v>27</v>
      </c>
    </row>
    <row r="38" spans="1:16">
      <c r="A38" s="51">
        <f t="shared" si="7"/>
        <v>28</v>
      </c>
      <c r="B38" s="72">
        <v>7.2599999999999998E-2</v>
      </c>
      <c r="C38" s="39" t="s">
        <v>89</v>
      </c>
      <c r="D38" s="56">
        <f>DATE(1993,7,22)</f>
        <v>34172</v>
      </c>
      <c r="E38" s="56">
        <f>DATE(2023,7,21)</f>
        <v>45128</v>
      </c>
      <c r="F38" s="58">
        <f t="shared" ref="F38:F47" si="21">YEARFRAC(D38,E38)</f>
        <v>29.997222222222224</v>
      </c>
      <c r="G38" s="58">
        <f t="shared" ref="G38:G47" si="22">YEARFRAC($A$4,E38)</f>
        <v>0.55833333333333335</v>
      </c>
      <c r="H38" s="61">
        <v>11000000</v>
      </c>
      <c r="I38" s="73">
        <v>11000000</v>
      </c>
      <c r="J38" s="61">
        <v>-100622</v>
      </c>
      <c r="K38" s="61">
        <v>-589062</v>
      </c>
      <c r="L38" s="61">
        <f t="shared" ref="L38:L47" si="23">SUM(I38:K38)</f>
        <v>10310316</v>
      </c>
      <c r="M38" s="63">
        <f t="shared" ref="M38:M47" si="24">L38/I38*100</f>
        <v>93.73014545454545</v>
      </c>
      <c r="N38" s="64">
        <f t="shared" ref="N38:N47" si="25">ROUND(YIELD(D38,E38,B38,M38,100,2,0),5)</f>
        <v>7.8039999999999998E-2</v>
      </c>
      <c r="O38" s="39">
        <f t="shared" ref="O38:O47" si="26">ROUND(N38,5)*I38</f>
        <v>858440</v>
      </c>
      <c r="P38" s="53">
        <f t="shared" si="6"/>
        <v>28</v>
      </c>
    </row>
    <row r="39" spans="1:16">
      <c r="A39" s="51">
        <f t="shared" si="7"/>
        <v>29</v>
      </c>
      <c r="B39" s="72">
        <v>7.2599999999999998E-2</v>
      </c>
      <c r="C39" s="39" t="s">
        <v>89</v>
      </c>
      <c r="D39" s="56">
        <f>DATE(1993,7,22)</f>
        <v>34172</v>
      </c>
      <c r="E39" s="56">
        <f>DATE(2023,7,21)</f>
        <v>45128</v>
      </c>
      <c r="F39" s="58">
        <f t="shared" si="21"/>
        <v>29.997222222222224</v>
      </c>
      <c r="G39" s="58">
        <f t="shared" si="22"/>
        <v>0.55833333333333335</v>
      </c>
      <c r="H39" s="61">
        <v>27000000</v>
      </c>
      <c r="I39" s="73">
        <v>27000000</v>
      </c>
      <c r="J39" s="61">
        <v>-246981</v>
      </c>
      <c r="K39" s="61">
        <v>-1445879.9</v>
      </c>
      <c r="L39" s="61">
        <f t="shared" si="23"/>
        <v>25307139.100000001</v>
      </c>
      <c r="M39" s="63">
        <f t="shared" si="24"/>
        <v>93.730144814814821</v>
      </c>
      <c r="N39" s="64">
        <f t="shared" si="25"/>
        <v>7.8039999999999998E-2</v>
      </c>
      <c r="O39" s="39">
        <f t="shared" si="26"/>
        <v>2107080</v>
      </c>
      <c r="P39" s="53">
        <f t="shared" si="6"/>
        <v>29</v>
      </c>
    </row>
    <row r="40" spans="1:16">
      <c r="A40" s="51">
        <f t="shared" si="7"/>
        <v>30</v>
      </c>
      <c r="B40" s="72">
        <v>7.2300000000000003E-2</v>
      </c>
      <c r="C40" s="39" t="s">
        <v>90</v>
      </c>
      <c r="D40" s="56">
        <f>DATE(1993,8,16)</f>
        <v>34197</v>
      </c>
      <c r="E40" s="56">
        <f>DATE(2023,8,16)</f>
        <v>45154</v>
      </c>
      <c r="F40" s="58">
        <f t="shared" si="21"/>
        <v>30</v>
      </c>
      <c r="G40" s="58">
        <f t="shared" si="22"/>
        <v>0.62777777777777777</v>
      </c>
      <c r="H40" s="61">
        <v>15000000</v>
      </c>
      <c r="I40" s="73">
        <v>15000000</v>
      </c>
      <c r="J40" s="61">
        <v>-137211</v>
      </c>
      <c r="K40" s="61">
        <f>-504373+235749</f>
        <v>-268624</v>
      </c>
      <c r="L40" s="61">
        <f t="shared" si="23"/>
        <v>14594165</v>
      </c>
      <c r="M40" s="63">
        <f t="shared" si="24"/>
        <v>97.29443333333333</v>
      </c>
      <c r="N40" s="64">
        <f t="shared" si="25"/>
        <v>7.4569999999999997E-2</v>
      </c>
      <c r="O40" s="39">
        <f t="shared" si="26"/>
        <v>1118550</v>
      </c>
      <c r="P40" s="53">
        <f t="shared" si="6"/>
        <v>30</v>
      </c>
    </row>
    <row r="41" spans="1:16">
      <c r="A41" s="51">
        <f t="shared" si="7"/>
        <v>31</v>
      </c>
      <c r="B41" s="72">
        <v>7.2400000000000006E-2</v>
      </c>
      <c r="C41" s="39" t="s">
        <v>90</v>
      </c>
      <c r="D41" s="56">
        <f>DATE(1993,8,16)</f>
        <v>34197</v>
      </c>
      <c r="E41" s="56">
        <f>DATE(2023,8,16)</f>
        <v>45154</v>
      </c>
      <c r="F41" s="58">
        <f t="shared" si="21"/>
        <v>30</v>
      </c>
      <c r="G41" s="58">
        <f t="shared" si="22"/>
        <v>0.62777777777777777</v>
      </c>
      <c r="H41" s="61">
        <v>30000000</v>
      </c>
      <c r="I41" s="73">
        <v>30000000</v>
      </c>
      <c r="J41" s="61">
        <v>-274423</v>
      </c>
      <c r="K41" s="61">
        <f>-1008746+471498</f>
        <v>-537248</v>
      </c>
      <c r="L41" s="61">
        <f t="shared" si="23"/>
        <v>29188329</v>
      </c>
      <c r="M41" s="63">
        <f t="shared" si="24"/>
        <v>97.294430000000006</v>
      </c>
      <c r="N41" s="64">
        <f t="shared" si="25"/>
        <v>7.467E-2</v>
      </c>
      <c r="O41" s="39">
        <f t="shared" si="26"/>
        <v>2240100</v>
      </c>
      <c r="P41" s="53">
        <f t="shared" si="6"/>
        <v>31</v>
      </c>
    </row>
    <row r="42" spans="1:16">
      <c r="A42" s="51">
        <f t="shared" si="7"/>
        <v>32</v>
      </c>
      <c r="B42" s="72">
        <v>6.7500000000000004E-2</v>
      </c>
      <c r="C42" s="39" t="s">
        <v>91</v>
      </c>
      <c r="D42" s="56">
        <f>DATE(1993,9,14)</f>
        <v>34226</v>
      </c>
      <c r="E42" s="56">
        <f>DATE(2023,9,14)</f>
        <v>45183</v>
      </c>
      <c r="F42" s="58">
        <f t="shared" si="21"/>
        <v>30</v>
      </c>
      <c r="G42" s="58">
        <f t="shared" si="22"/>
        <v>0.7055555555555556</v>
      </c>
      <c r="H42" s="61">
        <v>2000000</v>
      </c>
      <c r="I42" s="73">
        <v>2000000</v>
      </c>
      <c r="J42" s="61">
        <v>-15300</v>
      </c>
      <c r="K42" s="61">
        <v>0</v>
      </c>
      <c r="L42" s="61">
        <f t="shared" si="23"/>
        <v>1984700</v>
      </c>
      <c r="M42" s="63">
        <f t="shared" si="24"/>
        <v>99.234999999999999</v>
      </c>
      <c r="N42" s="64">
        <f t="shared" si="25"/>
        <v>6.8099999999999994E-2</v>
      </c>
      <c r="O42" s="39">
        <f t="shared" si="26"/>
        <v>136200</v>
      </c>
      <c r="P42" s="53">
        <f t="shared" si="6"/>
        <v>32</v>
      </c>
    </row>
    <row r="43" spans="1:16">
      <c r="A43" s="51">
        <f t="shared" si="7"/>
        <v>33</v>
      </c>
      <c r="B43" s="72">
        <v>6.720000000000001E-2</v>
      </c>
      <c r="C43" s="39" t="s">
        <v>91</v>
      </c>
      <c r="D43" s="56">
        <f>DATE(1993,9,14)</f>
        <v>34226</v>
      </c>
      <c r="E43" s="56">
        <f>DATE(2023,9,14)</f>
        <v>45183</v>
      </c>
      <c r="F43" s="58">
        <f t="shared" si="21"/>
        <v>30</v>
      </c>
      <c r="G43" s="58">
        <f t="shared" si="22"/>
        <v>0.7055555555555556</v>
      </c>
      <c r="H43" s="61">
        <v>2000000</v>
      </c>
      <c r="I43" s="73">
        <v>2000000</v>
      </c>
      <c r="J43" s="61">
        <v>-15300</v>
      </c>
      <c r="K43" s="61">
        <v>0</v>
      </c>
      <c r="L43" s="61">
        <f t="shared" si="23"/>
        <v>1984700</v>
      </c>
      <c r="M43" s="63">
        <f t="shared" si="24"/>
        <v>99.234999999999999</v>
      </c>
      <c r="N43" s="64">
        <f t="shared" si="25"/>
        <v>6.7799999999999999E-2</v>
      </c>
      <c r="O43" s="39">
        <f t="shared" si="26"/>
        <v>135600</v>
      </c>
      <c r="P43" s="53">
        <f t="shared" si="6"/>
        <v>33</v>
      </c>
    </row>
    <row r="44" spans="1:16">
      <c r="A44" s="51">
        <f t="shared" si="7"/>
        <v>34</v>
      </c>
      <c r="B44" s="72">
        <v>6.7500000000000004E-2</v>
      </c>
      <c r="C44" s="39" t="s">
        <v>91</v>
      </c>
      <c r="D44" s="56">
        <f>DATE(1993,9,14)</f>
        <v>34226</v>
      </c>
      <c r="E44" s="56">
        <f>DATE(2023,9,14)</f>
        <v>45183</v>
      </c>
      <c r="F44" s="58">
        <f t="shared" si="21"/>
        <v>30</v>
      </c>
      <c r="G44" s="58">
        <f t="shared" si="22"/>
        <v>0.7055555555555556</v>
      </c>
      <c r="H44" s="61">
        <v>5000000</v>
      </c>
      <c r="I44" s="73">
        <v>5000000</v>
      </c>
      <c r="J44" s="61">
        <v>-38250</v>
      </c>
      <c r="K44" s="61">
        <f>-64156+29987</f>
        <v>-34169</v>
      </c>
      <c r="L44" s="61">
        <f t="shared" si="23"/>
        <v>4927581</v>
      </c>
      <c r="M44" s="63">
        <f t="shared" si="24"/>
        <v>98.55162</v>
      </c>
      <c r="N44" s="64">
        <f t="shared" si="25"/>
        <v>6.8650000000000003E-2</v>
      </c>
      <c r="O44" s="39">
        <f t="shared" si="26"/>
        <v>343250</v>
      </c>
      <c r="P44" s="53">
        <f t="shared" si="6"/>
        <v>34</v>
      </c>
    </row>
    <row r="45" spans="1:16">
      <c r="A45" s="51">
        <f t="shared" si="7"/>
        <v>35</v>
      </c>
      <c r="B45" s="72">
        <v>6.7500000000000004E-2</v>
      </c>
      <c r="C45" s="39" t="s">
        <v>92</v>
      </c>
      <c r="D45" s="56">
        <f>DATE(1993,10,26)</f>
        <v>34268</v>
      </c>
      <c r="E45" s="56">
        <f>DATE(2023,10,26)</f>
        <v>45225</v>
      </c>
      <c r="F45" s="58">
        <f t="shared" si="21"/>
        <v>30</v>
      </c>
      <c r="G45" s="58">
        <f t="shared" si="22"/>
        <v>0.82222222222222219</v>
      </c>
      <c r="H45" s="61">
        <v>12000000</v>
      </c>
      <c r="I45" s="73">
        <v>12000000</v>
      </c>
      <c r="J45" s="61">
        <v>-91396</v>
      </c>
      <c r="K45" s="61">
        <v>0</v>
      </c>
      <c r="L45" s="61">
        <f t="shared" si="23"/>
        <v>11908604</v>
      </c>
      <c r="M45" s="63">
        <f t="shared" si="24"/>
        <v>99.238366666666664</v>
      </c>
      <c r="N45" s="64">
        <f t="shared" si="25"/>
        <v>6.8099999999999994E-2</v>
      </c>
      <c r="O45" s="39">
        <f t="shared" si="26"/>
        <v>817199.99999999988</v>
      </c>
      <c r="P45" s="53">
        <f t="shared" si="6"/>
        <v>35</v>
      </c>
    </row>
    <row r="46" spans="1:16">
      <c r="A46" s="51">
        <f t="shared" si="7"/>
        <v>36</v>
      </c>
      <c r="B46" s="72">
        <v>6.7500000000000004E-2</v>
      </c>
      <c r="C46" s="39" t="s">
        <v>92</v>
      </c>
      <c r="D46" s="56">
        <f t="shared" ref="D46:D47" si="27">DATE(1993,10,26)</f>
        <v>34268</v>
      </c>
      <c r="E46" s="56">
        <f>DATE(2023,10,26)</f>
        <v>45225</v>
      </c>
      <c r="F46" s="58">
        <f t="shared" si="21"/>
        <v>30</v>
      </c>
      <c r="G46" s="58">
        <f t="shared" si="22"/>
        <v>0.82222222222222219</v>
      </c>
      <c r="H46" s="61">
        <v>16000000</v>
      </c>
      <c r="I46" s="73">
        <v>16000000</v>
      </c>
      <c r="J46" s="61">
        <v>-121861</v>
      </c>
      <c r="K46" s="61">
        <v>0</v>
      </c>
      <c r="L46" s="61">
        <f t="shared" si="23"/>
        <v>15878139</v>
      </c>
      <c r="M46" s="63">
        <f t="shared" si="24"/>
        <v>99.238368749999992</v>
      </c>
      <c r="N46" s="64">
        <f t="shared" si="25"/>
        <v>6.8099999999999994E-2</v>
      </c>
      <c r="O46" s="39">
        <f t="shared" si="26"/>
        <v>1089600</v>
      </c>
      <c r="P46" s="53">
        <f t="shared" si="6"/>
        <v>36</v>
      </c>
    </row>
    <row r="47" spans="1:16">
      <c r="A47" s="51">
        <f t="shared" si="7"/>
        <v>37</v>
      </c>
      <c r="B47" s="72">
        <v>6.7500000000000004E-2</v>
      </c>
      <c r="C47" s="39" t="s">
        <v>92</v>
      </c>
      <c r="D47" s="56">
        <f t="shared" si="27"/>
        <v>34268</v>
      </c>
      <c r="E47" s="56">
        <f>DATE(2023,10,26)</f>
        <v>45225</v>
      </c>
      <c r="F47" s="58">
        <f t="shared" si="21"/>
        <v>30</v>
      </c>
      <c r="G47" s="58">
        <f t="shared" si="22"/>
        <v>0.82222222222222219</v>
      </c>
      <c r="H47" s="61">
        <v>20000000</v>
      </c>
      <c r="I47" s="73">
        <v>20000000</v>
      </c>
      <c r="J47" s="61">
        <v>-152326</v>
      </c>
      <c r="K47" s="61">
        <v>0</v>
      </c>
      <c r="L47" s="61">
        <f t="shared" si="23"/>
        <v>19847674</v>
      </c>
      <c r="M47" s="63">
        <f t="shared" si="24"/>
        <v>99.238370000000003</v>
      </c>
      <c r="N47" s="64">
        <f t="shared" si="25"/>
        <v>6.8099999999999994E-2</v>
      </c>
      <c r="O47" s="39">
        <f t="shared" si="26"/>
        <v>1361999.9999999998</v>
      </c>
      <c r="P47" s="53">
        <f t="shared" si="6"/>
        <v>37</v>
      </c>
    </row>
    <row r="48" spans="1:16">
      <c r="A48" s="51">
        <f t="shared" si="7"/>
        <v>38</v>
      </c>
      <c r="B48" s="67">
        <f>SUMPRODUCT(B38:B47,I38:I47)/I48</f>
        <v>7.0444285714285709E-2</v>
      </c>
      <c r="C48" s="68" t="s">
        <v>93</v>
      </c>
      <c r="D48" s="56"/>
      <c r="E48" s="56"/>
      <c r="F48" s="69">
        <f>SUMPRODUCT(F38:F47,I38:I47)/I48</f>
        <v>29.999246031746033</v>
      </c>
      <c r="G48" s="69">
        <f>SUMPRODUCT(G38:G47,I38:I47)/I48</f>
        <v>0.68059523809523814</v>
      </c>
      <c r="I48" s="70">
        <f>SUM(I38:I47)</f>
        <v>140000000</v>
      </c>
      <c r="J48" s="70">
        <f>SUM(J38:J47)</f>
        <v>-1193670</v>
      </c>
      <c r="K48" s="70">
        <f>SUM(K38:K47)</f>
        <v>-2874982.9</v>
      </c>
      <c r="L48" s="70">
        <f>SUM(L38:L47)</f>
        <v>135931347.09999999</v>
      </c>
      <c r="N48" s="71">
        <f>O48/I48</f>
        <v>7.2914428571428574E-2</v>
      </c>
      <c r="O48" s="68">
        <f>SUM(O38:O47)</f>
        <v>10208020</v>
      </c>
      <c r="P48" s="53">
        <f t="shared" si="6"/>
        <v>38</v>
      </c>
    </row>
    <row r="49" spans="1:16">
      <c r="A49" s="51">
        <f t="shared" si="7"/>
        <v>39</v>
      </c>
      <c r="D49" s="56"/>
      <c r="E49" s="56"/>
      <c r="F49" s="58"/>
      <c r="G49" s="58"/>
      <c r="I49" s="74"/>
      <c r="J49" s="62"/>
      <c r="L49" s="62"/>
      <c r="M49" s="64"/>
      <c r="N49" s="64"/>
      <c r="P49" s="53">
        <f t="shared" si="6"/>
        <v>39</v>
      </c>
    </row>
    <row r="50" spans="1:16">
      <c r="A50" s="51">
        <f t="shared" si="7"/>
        <v>40</v>
      </c>
      <c r="B50" s="72">
        <v>6.7100000000000007E-2</v>
      </c>
      <c r="C50" s="39" t="s">
        <v>94</v>
      </c>
      <c r="D50" s="56">
        <f>DATE(1996,1,23)</f>
        <v>35087</v>
      </c>
      <c r="E50" s="56">
        <f>DATE(2026,1,15)</f>
        <v>46037</v>
      </c>
      <c r="F50" s="58">
        <f>YEARFRAC(D50,E50)</f>
        <v>29.977777777777778</v>
      </c>
      <c r="G50" s="58">
        <f>YEARFRAC($A$4,E50)</f>
        <v>3.0416666666666665</v>
      </c>
      <c r="H50" s="61">
        <v>100000000</v>
      </c>
      <c r="I50" s="73">
        <v>100000000</v>
      </c>
      <c r="J50" s="61">
        <f>(I50*-0.00875)-1238.49-2843.43-5000-1895.25-10252.38-2112.63-6124.41</f>
        <v>-904466.5900000002</v>
      </c>
      <c r="K50" s="61">
        <v>0</v>
      </c>
      <c r="L50" s="61">
        <f>SUM(I50:K50)</f>
        <v>99095533.409999996</v>
      </c>
      <c r="M50" s="63">
        <f>L50/I50*100</f>
        <v>99.095533409999987</v>
      </c>
      <c r="N50" s="64">
        <f>ROUND(YIELD(D50,E50,B50,M50,100,2,0),5)</f>
        <v>6.7809999999999995E-2</v>
      </c>
      <c r="O50" s="61">
        <f>ROUND(N50,5)*I50</f>
        <v>6780999.9999999991</v>
      </c>
      <c r="P50" s="53">
        <f t="shared" si="6"/>
        <v>40</v>
      </c>
    </row>
    <row r="51" spans="1:16">
      <c r="A51" s="51">
        <f t="shared" si="7"/>
        <v>41</v>
      </c>
      <c r="B51" s="67">
        <f>SUMPRODUCT(B50:B50,I50:I50)/I51</f>
        <v>6.7100000000000007E-2</v>
      </c>
      <c r="C51" s="68" t="s">
        <v>95</v>
      </c>
      <c r="D51" s="56"/>
      <c r="E51" s="56"/>
      <c r="F51" s="69">
        <f>SUMPRODUCT(F50:F50,I50:I50)/I51</f>
        <v>29.977777777777778</v>
      </c>
      <c r="G51" s="69">
        <f>SUMPRODUCT(G50:G50,I50:I50)/I51</f>
        <v>3.0416666666666661</v>
      </c>
      <c r="I51" s="68">
        <f>SUM(I50:I50)</f>
        <v>100000000</v>
      </c>
      <c r="J51" s="68">
        <f>SUM(J50:J50)</f>
        <v>-904466.5900000002</v>
      </c>
      <c r="K51" s="68">
        <f>SUM(K50:K50)</f>
        <v>0</v>
      </c>
      <c r="L51" s="68">
        <f>SUM(L50:L50)</f>
        <v>99095533.409999996</v>
      </c>
      <c r="M51" s="64"/>
      <c r="N51" s="71">
        <f>O51/I51</f>
        <v>6.7809999999999995E-2</v>
      </c>
      <c r="O51" s="68">
        <f>SUM(O50:O50)</f>
        <v>6780999.9999999991</v>
      </c>
      <c r="P51" s="53">
        <f t="shared" si="6"/>
        <v>41</v>
      </c>
    </row>
    <row r="52" spans="1:16">
      <c r="A52" s="51">
        <f t="shared" si="7"/>
        <v>42</v>
      </c>
      <c r="D52" s="56"/>
      <c r="E52" s="56"/>
      <c r="F52" s="58"/>
      <c r="G52" s="58"/>
      <c r="I52" s="74"/>
      <c r="J52" s="62"/>
      <c r="L52" s="62"/>
      <c r="M52" s="64"/>
      <c r="N52" s="64"/>
      <c r="P52" s="53">
        <f t="shared" si="6"/>
        <v>42</v>
      </c>
    </row>
    <row r="53" spans="1:16">
      <c r="A53" s="51">
        <f t="shared" si="7"/>
        <v>43</v>
      </c>
      <c r="B53" s="67">
        <f>(+B32*I32+B36*I36+B48*I48+B51*I51)/I53</f>
        <v>4.6859292314153714E-2</v>
      </c>
      <c r="C53" s="68" t="s">
        <v>96</v>
      </c>
      <c r="D53" s="56"/>
      <c r="E53" s="56"/>
      <c r="F53" s="69">
        <f>(+F32*I32+F36*I36+F48*I48+F51*I51)/I53</f>
        <v>26.677013626394139</v>
      </c>
      <c r="G53" s="69">
        <f>(+G32*I32+G36*I36+G48*I48+G51*I51)/I53</f>
        <v>17.993229677073131</v>
      </c>
      <c r="I53" s="68">
        <f>+I32+I36+I48+I51</f>
        <v>9524000000</v>
      </c>
      <c r="J53" s="68">
        <f>+J32+J36+J48+J51</f>
        <v>-112191027.05000001</v>
      </c>
      <c r="K53" s="68">
        <f>+K32+K36+K48+K51</f>
        <v>-6538884.5800000001</v>
      </c>
      <c r="L53" s="68">
        <f>+L32+L36+L48+L51</f>
        <v>9405270088.3700008</v>
      </c>
      <c r="M53" s="64"/>
      <c r="N53" s="71">
        <f>O53/I53</f>
        <v>4.775781814363713E-2</v>
      </c>
      <c r="O53" s="68">
        <f>+O32+O36+O48+O51</f>
        <v>454845460</v>
      </c>
      <c r="P53" s="53">
        <f t="shared" si="6"/>
        <v>43</v>
      </c>
    </row>
    <row r="54" spans="1:16">
      <c r="A54" s="51">
        <f t="shared" si="7"/>
        <v>44</v>
      </c>
      <c r="D54" s="56"/>
      <c r="E54" s="56"/>
      <c r="F54" s="58"/>
      <c r="G54" s="58"/>
      <c r="I54" s="74"/>
      <c r="J54" s="62"/>
      <c r="L54" s="62"/>
      <c r="M54" s="64"/>
      <c r="N54" s="64"/>
      <c r="O54" s="62"/>
      <c r="P54" s="53">
        <f t="shared" si="6"/>
        <v>44</v>
      </c>
    </row>
    <row r="55" spans="1:16">
      <c r="A55" s="51">
        <f t="shared" si="7"/>
        <v>45</v>
      </c>
      <c r="C55" s="54" t="s">
        <v>97</v>
      </c>
      <c r="D55" s="56"/>
      <c r="E55" s="56"/>
      <c r="F55" s="58"/>
      <c r="G55" s="58"/>
      <c r="I55" s="74"/>
      <c r="J55" s="62"/>
      <c r="L55" s="62"/>
      <c r="M55" s="64"/>
      <c r="N55" s="64"/>
      <c r="O55" s="62"/>
      <c r="P55" s="53">
        <f t="shared" si="6"/>
        <v>45</v>
      </c>
    </row>
    <row r="56" spans="1:16">
      <c r="A56" s="51">
        <f t="shared" si="7"/>
        <v>46</v>
      </c>
      <c r="B56" s="75">
        <v>4.2367352873626384E-2</v>
      </c>
      <c r="C56" s="39" t="s">
        <v>98</v>
      </c>
      <c r="D56" s="56">
        <f>DATE(1994,11,17)</f>
        <v>34655</v>
      </c>
      <c r="E56" s="56">
        <f>DATE(2024,11,1)</f>
        <v>45597</v>
      </c>
      <c r="F56" s="58">
        <f t="shared" ref="F56:F61" si="28">YEARFRAC(D56,E56)</f>
        <v>29.955555555555556</v>
      </c>
      <c r="G56" s="58">
        <f t="shared" ref="G56:G61" si="29">YEARFRAC($A$4,E56)</f>
        <v>1.836111111111111</v>
      </c>
      <c r="H56" s="61">
        <v>8190000</v>
      </c>
      <c r="I56" s="73">
        <v>8190000</v>
      </c>
      <c r="J56" s="61">
        <f>-183929-93.65-9.49-32.4-20274.2-5147.2+527.73-555.55-263.72-0.15</f>
        <v>-209777.62999999998</v>
      </c>
      <c r="K56" s="61">
        <f>(-86323)</f>
        <v>-86323</v>
      </c>
      <c r="L56" s="61">
        <f t="shared" ref="L56:L61" si="30">SUM(I56:K56)</f>
        <v>7893899.3700000001</v>
      </c>
      <c r="M56" s="63">
        <f t="shared" ref="M56:M61" si="31">L56/I56*100</f>
        <v>96.384607692307682</v>
      </c>
      <c r="N56" s="64">
        <f t="shared" ref="N56:N61" si="32">ROUND(YIELD(D56,E56,B56,M56,100,4,1),5)</f>
        <v>4.4560000000000002E-2</v>
      </c>
      <c r="O56" s="62">
        <f t="shared" ref="O56:O61" si="33">ROUND(N56,5)*I56</f>
        <v>364946.4</v>
      </c>
      <c r="P56" s="53">
        <f t="shared" si="6"/>
        <v>46</v>
      </c>
    </row>
    <row r="57" spans="1:16">
      <c r="A57" s="51">
        <f t="shared" si="7"/>
        <v>47</v>
      </c>
      <c r="B57" s="75">
        <v>4.0440221825569951E-2</v>
      </c>
      <c r="C57" s="39" t="s">
        <v>99</v>
      </c>
      <c r="D57" s="56">
        <f>DATE(1994,11,17)</f>
        <v>34655</v>
      </c>
      <c r="E57" s="56">
        <f>DATE(2024,11,1)</f>
        <v>45597</v>
      </c>
      <c r="F57" s="58">
        <f t="shared" si="28"/>
        <v>29.955555555555556</v>
      </c>
      <c r="G57" s="58">
        <f t="shared" si="29"/>
        <v>1.836111111111111</v>
      </c>
      <c r="H57" s="61">
        <v>121940000</v>
      </c>
      <c r="I57" s="73">
        <v>121940000</v>
      </c>
      <c r="J57" s="61">
        <f>-2969452-1956.29-141.25-481.71-301860.26-92.38+3920.28-2222.23-1959.09-1.04</f>
        <v>-3274245.9699999997</v>
      </c>
      <c r="K57" s="61">
        <f>(-1935450)+9683</f>
        <v>-1925767</v>
      </c>
      <c r="L57" s="61">
        <f t="shared" si="30"/>
        <v>116739987.03</v>
      </c>
      <c r="M57" s="63">
        <f t="shared" si="31"/>
        <v>95.735597039527647</v>
      </c>
      <c r="N57" s="64">
        <f t="shared" si="32"/>
        <v>4.2979999999999997E-2</v>
      </c>
      <c r="O57" s="62">
        <f t="shared" si="33"/>
        <v>5240981.1999999993</v>
      </c>
      <c r="P57" s="53">
        <f t="shared" si="6"/>
        <v>47</v>
      </c>
    </row>
    <row r="58" spans="1:16">
      <c r="A58" s="51">
        <f t="shared" si="7"/>
        <v>48</v>
      </c>
      <c r="B58" s="75">
        <v>4.3462138850597618E-2</v>
      </c>
      <c r="C58" s="39" t="s">
        <v>100</v>
      </c>
      <c r="D58" s="56">
        <f>DATE(1994,11,17)</f>
        <v>34655</v>
      </c>
      <c r="E58" s="56">
        <f>DATE(2024,11,1)</f>
        <v>45597</v>
      </c>
      <c r="F58" s="58">
        <f t="shared" si="28"/>
        <v>29.955555555555556</v>
      </c>
      <c r="G58" s="58">
        <f t="shared" si="29"/>
        <v>1.836111111111111</v>
      </c>
      <c r="H58" s="61">
        <v>15060000</v>
      </c>
      <c r="I58" s="73">
        <v>15060000</v>
      </c>
      <c r="J58" s="61">
        <f>-375570-172.07-17.44-59.52-37280.76-9466.37+527.73-555.56-263.72-0.15</f>
        <v>-422857.86000000004</v>
      </c>
      <c r="K58" s="61">
        <f>(-92641)+11214</f>
        <v>-81427</v>
      </c>
      <c r="L58" s="61">
        <f t="shared" si="30"/>
        <v>14555715.140000001</v>
      </c>
      <c r="M58" s="63">
        <f t="shared" si="31"/>
        <v>96.651494953519261</v>
      </c>
      <c r="N58" s="64">
        <f t="shared" si="32"/>
        <v>4.5510000000000002E-2</v>
      </c>
      <c r="O58" s="62">
        <f t="shared" si="33"/>
        <v>685380.6</v>
      </c>
      <c r="P58" s="53">
        <f t="shared" si="6"/>
        <v>48</v>
      </c>
    </row>
    <row r="59" spans="1:16">
      <c r="A59" s="51">
        <f t="shared" si="7"/>
        <v>49</v>
      </c>
      <c r="B59" s="75">
        <v>4.2703583508466605E-2</v>
      </c>
      <c r="C59" s="39" t="s">
        <v>101</v>
      </c>
      <c r="D59" s="56">
        <f>DATE(1994,11,17)</f>
        <v>34655</v>
      </c>
      <c r="E59" s="56">
        <f>DATE(2024,11,1)</f>
        <v>45597</v>
      </c>
      <c r="F59" s="58">
        <f t="shared" si="28"/>
        <v>29.955555555555556</v>
      </c>
      <c r="G59" s="58">
        <f t="shared" si="29"/>
        <v>1.836111111111111</v>
      </c>
      <c r="H59" s="61">
        <v>21260000</v>
      </c>
      <c r="I59" s="73">
        <v>21260000</v>
      </c>
      <c r="J59" s="61">
        <f>-412545-242.74-24.63-31480.09-52628.74-13360.33+18.88+678.51-555.55-339.07-0.18</f>
        <v>-510478.94</v>
      </c>
      <c r="K59" s="61">
        <f>(-88352)</f>
        <v>-88352</v>
      </c>
      <c r="L59" s="61">
        <f t="shared" si="30"/>
        <v>20661169.059999999</v>
      </c>
      <c r="M59" s="63">
        <f t="shared" si="31"/>
        <v>97.183297554092178</v>
      </c>
      <c r="N59" s="64">
        <f t="shared" si="32"/>
        <v>4.4409999999999998E-2</v>
      </c>
      <c r="O59" s="62">
        <f t="shared" si="33"/>
        <v>944156.6</v>
      </c>
      <c r="P59" s="53">
        <f t="shared" si="6"/>
        <v>49</v>
      </c>
    </row>
    <row r="60" spans="1:16">
      <c r="A60" s="51">
        <f t="shared" si="7"/>
        <v>50</v>
      </c>
      <c r="B60" s="75">
        <v>4.0767084990566041E-2</v>
      </c>
      <c r="C60" s="39" t="s">
        <v>102</v>
      </c>
      <c r="D60" s="56">
        <f>DATE(1995,11,17)</f>
        <v>35020</v>
      </c>
      <c r="E60" s="56">
        <f>DATE(2025,11,1)</f>
        <v>45962</v>
      </c>
      <c r="F60" s="58">
        <f t="shared" si="28"/>
        <v>29.955555555555556</v>
      </c>
      <c r="G60" s="58">
        <f t="shared" si="29"/>
        <v>2.8361111111111112</v>
      </c>
      <c r="H60" s="61">
        <v>5300000</v>
      </c>
      <c r="I60" s="73">
        <f>5300000</f>
        <v>5300000</v>
      </c>
      <c r="J60" s="61">
        <f>-4020.01-32463.14-26670.88-14633.18-53933.24-322.71</f>
        <v>-132043.15999999997</v>
      </c>
      <c r="K60" s="61">
        <v>0</v>
      </c>
      <c r="L60" s="61">
        <f t="shared" si="30"/>
        <v>5167956.84</v>
      </c>
      <c r="M60" s="63">
        <f t="shared" si="31"/>
        <v>97.508619622641504</v>
      </c>
      <c r="N60" s="64">
        <f t="shared" si="32"/>
        <v>4.224E-2</v>
      </c>
      <c r="O60" s="62">
        <f t="shared" si="33"/>
        <v>223872</v>
      </c>
      <c r="P60" s="53">
        <f t="shared" si="6"/>
        <v>50</v>
      </c>
    </row>
    <row r="61" spans="1:16">
      <c r="A61" s="51">
        <f t="shared" si="7"/>
        <v>51</v>
      </c>
      <c r="B61" s="75">
        <v>4.3301981500000003E-2</v>
      </c>
      <c r="C61" s="39" t="s">
        <v>103</v>
      </c>
      <c r="D61" s="56">
        <f>DATE(1995,11,17)</f>
        <v>35020</v>
      </c>
      <c r="E61" s="56">
        <f>DATE(2025,11,1)</f>
        <v>45962</v>
      </c>
      <c r="F61" s="58">
        <f t="shared" si="28"/>
        <v>29.955555555555556</v>
      </c>
      <c r="G61" s="58">
        <f t="shared" si="29"/>
        <v>2.8361111111111112</v>
      </c>
      <c r="H61" s="61">
        <v>22000000</v>
      </c>
      <c r="I61" s="73">
        <f>22000000</f>
        <v>22000000</v>
      </c>
      <c r="J61" s="61">
        <f>-9071.1-129640.11-189217.86-14682.77-4950-56377.22-322.71</f>
        <v>-404261.76999999996</v>
      </c>
      <c r="K61" s="61">
        <v>0</v>
      </c>
      <c r="L61" s="61">
        <f t="shared" si="30"/>
        <v>21595738.23</v>
      </c>
      <c r="M61" s="63">
        <f t="shared" si="31"/>
        <v>98.162446500000001</v>
      </c>
      <c r="N61" s="64">
        <f t="shared" si="32"/>
        <v>4.4409999999999998E-2</v>
      </c>
      <c r="O61" s="62">
        <f t="shared" si="33"/>
        <v>977020</v>
      </c>
      <c r="P61" s="53">
        <f t="shared" si="6"/>
        <v>51</v>
      </c>
    </row>
    <row r="62" spans="1:16">
      <c r="A62" s="51">
        <f t="shared" si="7"/>
        <v>52</v>
      </c>
      <c r="B62" s="67">
        <f>SUMPRODUCT(B56:B61,I56:I61)/I62</f>
        <v>4.1338820177419355E-2</v>
      </c>
      <c r="C62" s="68" t="s">
        <v>104</v>
      </c>
      <c r="D62" s="56"/>
      <c r="E62" s="56"/>
      <c r="F62" s="69">
        <f>SUMPRODUCT(F56:F61,I56:I61)/I62</f>
        <v>29.955555555555563</v>
      </c>
      <c r="G62" s="69">
        <f>SUMPRODUCT(G56:G61,I56:I61)/I62</f>
        <v>1.9770143369175628</v>
      </c>
      <c r="I62" s="68">
        <f>SUM(I56:I61)</f>
        <v>193750000</v>
      </c>
      <c r="J62" s="68">
        <f>SUM(J56:J61)</f>
        <v>-4953665.3299999991</v>
      </c>
      <c r="K62" s="68">
        <f>SUM(K56:K61)</f>
        <v>-2181869</v>
      </c>
      <c r="L62" s="68">
        <f>SUM(L56:L61)</f>
        <v>186614465.67000002</v>
      </c>
      <c r="M62" s="64"/>
      <c r="N62" s="71">
        <f>O62/I62</f>
        <v>4.3542486709677412E-2</v>
      </c>
      <c r="O62" s="68">
        <f>SUM(O56:O61)</f>
        <v>8436356.7999999989</v>
      </c>
      <c r="P62" s="53">
        <f t="shared" si="6"/>
        <v>52</v>
      </c>
    </row>
    <row r="63" spans="1:16">
      <c r="A63" s="51">
        <f t="shared" si="7"/>
        <v>53</v>
      </c>
      <c r="D63" s="56"/>
      <c r="E63" s="56"/>
      <c r="F63" s="58"/>
      <c r="G63" s="58"/>
      <c r="I63" s="74"/>
      <c r="J63" s="62"/>
      <c r="L63" s="62"/>
      <c r="M63" s="64"/>
      <c r="N63" s="64"/>
      <c r="O63" s="62"/>
      <c r="P63" s="53">
        <f t="shared" si="6"/>
        <v>53</v>
      </c>
    </row>
    <row r="64" spans="1:16">
      <c r="A64" s="51">
        <f t="shared" si="7"/>
        <v>54</v>
      </c>
      <c r="B64" s="75">
        <v>4.3952474040983611E-2</v>
      </c>
      <c r="C64" s="61" t="s">
        <v>105</v>
      </c>
      <c r="D64" s="56">
        <f>DATE(1995,12,14)</f>
        <v>35047</v>
      </c>
      <c r="E64" s="56">
        <f>DATE(2025,11,1)</f>
        <v>45962</v>
      </c>
      <c r="F64" s="58">
        <f t="shared" ref="F64" si="34">YEARFRAC(D64,E64)</f>
        <v>29.880555555555556</v>
      </c>
      <c r="G64" s="58">
        <f t="shared" ref="G64" si="35">YEARFRAC($A$4,E64)</f>
        <v>2.8361111111111112</v>
      </c>
      <c r="H64" s="61">
        <v>24400000</v>
      </c>
      <c r="I64" s="76">
        <f>24400000</f>
        <v>24400000</v>
      </c>
      <c r="J64" s="61">
        <f>-19002.27-120150.79-10722.63-6607.3-58895.72-9621.24</f>
        <v>-224999.94999999998</v>
      </c>
      <c r="K64" s="61">
        <v>-428469.14</v>
      </c>
      <c r="L64" s="61">
        <f t="shared" ref="L64" si="36">SUM(I64:K64)</f>
        <v>23746530.91</v>
      </c>
      <c r="M64" s="63">
        <f t="shared" ref="M64" si="37">L64/I64*100</f>
        <v>97.321847991803281</v>
      </c>
      <c r="N64" s="64">
        <f t="shared" ref="N64" si="38">ROUND(YIELD(D64,E64,B64,M64,100,4,1),5)</f>
        <v>4.5600000000000002E-2</v>
      </c>
      <c r="O64" s="62">
        <f t="shared" ref="O64" si="39">ROUND(N64,5)*I64</f>
        <v>1112640</v>
      </c>
      <c r="P64" s="53">
        <f t="shared" si="6"/>
        <v>54</v>
      </c>
    </row>
    <row r="65" spans="1:16">
      <c r="A65" s="51">
        <f t="shared" si="7"/>
        <v>55</v>
      </c>
      <c r="B65" s="67">
        <f>SUMPRODUCT(B64:B64,I64:I64)/I65</f>
        <v>4.3952474040983611E-2</v>
      </c>
      <c r="C65" s="68" t="s">
        <v>106</v>
      </c>
      <c r="D65" s="56"/>
      <c r="E65" s="56"/>
      <c r="F65" s="69">
        <f>SUMPRODUCT(F64:F64,I64:I64)/I65</f>
        <v>29.880555555555556</v>
      </c>
      <c r="G65" s="69">
        <f>SUMPRODUCT(G64:G64,I64:I64)/I65</f>
        <v>2.8361111111111112</v>
      </c>
      <c r="I65" s="68">
        <f>SUM(I64:I64)</f>
        <v>24400000</v>
      </c>
      <c r="J65" s="68">
        <f>SUM(J64:J64)</f>
        <v>-224999.94999999998</v>
      </c>
      <c r="K65" s="68">
        <f>SUM(K64:K64)</f>
        <v>-428469.14</v>
      </c>
      <c r="L65" s="68">
        <f>SUM(L64:L64)</f>
        <v>23746530.91</v>
      </c>
      <c r="M65" s="64"/>
      <c r="N65" s="71">
        <f>O65/I65</f>
        <v>4.5600000000000002E-2</v>
      </c>
      <c r="O65" s="68">
        <f>SUM(O64:O64)</f>
        <v>1112640</v>
      </c>
      <c r="P65" s="53">
        <f t="shared" si="6"/>
        <v>55</v>
      </c>
    </row>
    <row r="66" spans="1:16">
      <c r="A66" s="51">
        <f t="shared" si="7"/>
        <v>56</v>
      </c>
      <c r="D66" s="56"/>
      <c r="E66" s="56"/>
      <c r="F66" s="58"/>
      <c r="G66" s="58"/>
      <c r="I66" s="74"/>
      <c r="J66" s="62"/>
      <c r="L66" s="62"/>
      <c r="M66" s="64"/>
      <c r="N66" s="64"/>
      <c r="O66" s="62"/>
      <c r="P66" s="53">
        <f t="shared" si="6"/>
        <v>56</v>
      </c>
    </row>
    <row r="67" spans="1:16">
      <c r="A67" s="51">
        <f t="shared" si="7"/>
        <v>57</v>
      </c>
      <c r="B67" s="67">
        <f>(B62*I62+B65*I65)/I67</f>
        <v>4.1631156433531977E-2</v>
      </c>
      <c r="C67" s="68" t="s">
        <v>107</v>
      </c>
      <c r="D67" s="56"/>
      <c r="E67" s="56"/>
      <c r="F67" s="69">
        <f>(F62*I62+F65*I65)/I67</f>
        <v>29.947166832200072</v>
      </c>
      <c r="G67" s="69">
        <f>(G62*I62+G65*I65)/I67</f>
        <v>2.0731040059082693</v>
      </c>
      <c r="I67" s="68">
        <f>I62+I65</f>
        <v>218150000</v>
      </c>
      <c r="J67" s="68">
        <f>J62+J65</f>
        <v>-5178665.2799999993</v>
      </c>
      <c r="K67" s="68">
        <f>K62+K65</f>
        <v>-2610338.14</v>
      </c>
      <c r="L67" s="68">
        <f>L62+L65</f>
        <v>210360996.58000001</v>
      </c>
      <c r="M67" s="64"/>
      <c r="N67" s="71">
        <f>O67/I67</f>
        <v>4.3772618840247531E-2</v>
      </c>
      <c r="O67" s="68">
        <f>O62+O65</f>
        <v>9548996.7999999989</v>
      </c>
      <c r="P67" s="53">
        <f t="shared" si="6"/>
        <v>57</v>
      </c>
    </row>
    <row r="68" spans="1:16">
      <c r="A68" s="51">
        <f t="shared" si="7"/>
        <v>58</v>
      </c>
      <c r="B68" s="67"/>
      <c r="C68" s="68"/>
      <c r="D68" s="56"/>
      <c r="E68" s="56"/>
      <c r="F68" s="69"/>
      <c r="G68" s="69"/>
      <c r="I68" s="68"/>
      <c r="J68" s="68"/>
      <c r="K68" s="68"/>
      <c r="L68" s="68"/>
      <c r="M68" s="64"/>
      <c r="N68" s="71"/>
      <c r="O68" s="68"/>
      <c r="P68" s="53">
        <f t="shared" si="6"/>
        <v>58</v>
      </c>
    </row>
    <row r="69" spans="1:16">
      <c r="A69" s="51">
        <f t="shared" si="7"/>
        <v>59</v>
      </c>
      <c r="B69" s="67"/>
      <c r="C69" s="68"/>
      <c r="D69" s="45" t="s">
        <v>108</v>
      </c>
      <c r="E69" s="45" t="s">
        <v>109</v>
      </c>
      <c r="F69" s="69"/>
      <c r="G69" s="69"/>
      <c r="I69" s="68"/>
      <c r="J69" s="68"/>
      <c r="K69" s="68"/>
      <c r="L69" s="68"/>
      <c r="M69" s="64"/>
      <c r="N69" s="71"/>
      <c r="O69" s="68"/>
      <c r="P69" s="53">
        <f t="shared" si="6"/>
        <v>59</v>
      </c>
    </row>
    <row r="70" spans="1:16">
      <c r="A70" s="51">
        <f t="shared" si="7"/>
        <v>60</v>
      </c>
      <c r="B70" s="67"/>
      <c r="C70" s="68"/>
      <c r="D70" s="45" t="s">
        <v>43</v>
      </c>
      <c r="E70" s="45" t="s">
        <v>43</v>
      </c>
      <c r="F70" s="69"/>
      <c r="G70" s="69"/>
      <c r="I70" s="68"/>
      <c r="J70" s="68"/>
      <c r="K70" s="68"/>
      <c r="L70" s="68"/>
      <c r="M70" s="64"/>
      <c r="N70" s="71"/>
      <c r="O70" s="68"/>
      <c r="P70" s="53">
        <f t="shared" si="6"/>
        <v>60</v>
      </c>
    </row>
    <row r="71" spans="1:16">
      <c r="A71" s="51">
        <f t="shared" si="7"/>
        <v>61</v>
      </c>
      <c r="B71" s="67"/>
      <c r="C71" s="77" t="s">
        <v>110</v>
      </c>
      <c r="D71" s="56">
        <f>DATE(2000,11,17)</f>
        <v>36847</v>
      </c>
      <c r="E71" s="56">
        <f>DATE(2035,6,30)</f>
        <v>49490</v>
      </c>
      <c r="F71" s="69"/>
      <c r="G71" s="69"/>
      <c r="I71" s="68"/>
      <c r="J71" s="68"/>
      <c r="K71" s="68"/>
      <c r="L71" s="68"/>
      <c r="M71" s="64"/>
      <c r="N71" s="71"/>
      <c r="O71" s="62">
        <f>107887.08</f>
        <v>107887.08</v>
      </c>
      <c r="P71" s="53">
        <f t="shared" si="6"/>
        <v>61</v>
      </c>
    </row>
    <row r="72" spans="1:16">
      <c r="A72" s="51">
        <f t="shared" si="7"/>
        <v>62</v>
      </c>
      <c r="B72" s="67"/>
      <c r="C72" s="77" t="s">
        <v>111</v>
      </c>
      <c r="D72" s="56">
        <f>DATE(2000,11,17)</f>
        <v>36847</v>
      </c>
      <c r="E72" s="56">
        <f>DATE(2025,12,31)</f>
        <v>46022</v>
      </c>
      <c r="F72" s="69"/>
      <c r="G72" s="69"/>
      <c r="I72" s="68"/>
      <c r="J72" s="68"/>
      <c r="K72" s="68"/>
      <c r="L72" s="68"/>
      <c r="M72" s="64"/>
      <c r="N72" s="71"/>
      <c r="O72" s="62">
        <v>84083.82</v>
      </c>
      <c r="P72" s="53">
        <f t="shared" si="6"/>
        <v>62</v>
      </c>
    </row>
    <row r="73" spans="1:16">
      <c r="A73" s="51">
        <f t="shared" si="7"/>
        <v>63</v>
      </c>
      <c r="B73" s="67"/>
      <c r="C73" s="39" t="s">
        <v>112</v>
      </c>
      <c r="D73" s="56">
        <f>DATE(2016,2,18)</f>
        <v>42418</v>
      </c>
      <c r="E73" s="56">
        <f>DATE(2024,11,1)</f>
        <v>45597</v>
      </c>
      <c r="F73" s="69"/>
      <c r="G73" s="69"/>
      <c r="I73" s="68"/>
      <c r="J73" s="68"/>
      <c r="K73" s="68"/>
      <c r="L73" s="68"/>
      <c r="M73" s="64"/>
      <c r="N73" s="71"/>
      <c r="O73" s="62">
        <f>920.81*12+175.45*12</f>
        <v>13155.119999999999</v>
      </c>
      <c r="P73" s="53">
        <f t="shared" si="6"/>
        <v>63</v>
      </c>
    </row>
    <row r="74" spans="1:16">
      <c r="A74" s="51">
        <f t="shared" si="7"/>
        <v>64</v>
      </c>
      <c r="B74" s="67"/>
      <c r="C74" s="68" t="s">
        <v>113</v>
      </c>
      <c r="D74" s="56"/>
      <c r="E74" s="56"/>
      <c r="F74" s="69"/>
      <c r="G74" s="69"/>
      <c r="I74" s="68"/>
      <c r="J74" s="68"/>
      <c r="K74" s="68"/>
      <c r="L74" s="68"/>
      <c r="M74" s="64"/>
      <c r="N74" s="71"/>
      <c r="O74" s="68">
        <f>SUM(O71:O73)</f>
        <v>205126.02000000002</v>
      </c>
      <c r="P74" s="53">
        <f t="shared" si="6"/>
        <v>64</v>
      </c>
    </row>
    <row r="75" spans="1:16">
      <c r="A75" s="51">
        <f t="shared" si="7"/>
        <v>65</v>
      </c>
      <c r="D75" s="56"/>
      <c r="E75" s="56"/>
      <c r="F75" s="58"/>
      <c r="G75" s="58"/>
      <c r="I75" s="74"/>
      <c r="J75" s="62"/>
      <c r="L75" s="62"/>
      <c r="M75" s="64"/>
      <c r="N75" s="64"/>
      <c r="O75" s="62"/>
      <c r="P75" s="53">
        <f t="shared" si="6"/>
        <v>65</v>
      </c>
    </row>
    <row r="76" spans="1:16">
      <c r="A76" s="51">
        <f>A75+1</f>
        <v>66</v>
      </c>
      <c r="B76" s="78">
        <f>(B53*I53+B67*I67)/I76</f>
        <v>4.6742221868476153E-2</v>
      </c>
      <c r="C76" s="68" t="s">
        <v>15</v>
      </c>
      <c r="D76" s="56"/>
      <c r="E76" s="56"/>
      <c r="F76" s="69">
        <f>(F53*I53+F67*I67)/I76</f>
        <v>26.750240164873485</v>
      </c>
      <c r="G76" s="69">
        <f>(G53*I53+G67*I67)/I76</f>
        <v>17.636740050536417</v>
      </c>
      <c r="I76" s="68">
        <f>I53+I67</f>
        <v>9742150000</v>
      </c>
      <c r="J76" s="68">
        <f>J53+J67</f>
        <v>-117369692.33000001</v>
      </c>
      <c r="K76" s="68">
        <f>K53+K67</f>
        <v>-9149222.7200000007</v>
      </c>
      <c r="L76" s="68">
        <f>L53+L67</f>
        <v>9615631084.9500008</v>
      </c>
      <c r="M76" s="64"/>
      <c r="N76" s="71">
        <f>O76/I76</f>
        <v>4.7689635534250652E-2</v>
      </c>
      <c r="O76" s="70">
        <f>O53+O67+O74</f>
        <v>464599582.81999999</v>
      </c>
      <c r="P76" s="53">
        <f t="shared" si="6"/>
        <v>66</v>
      </c>
    </row>
    <row r="77" spans="1:16">
      <c r="A77" s="79">
        <f>A76+1</f>
        <v>67</v>
      </c>
      <c r="B77" s="80"/>
      <c r="C77" s="81"/>
      <c r="D77" s="82"/>
      <c r="E77" s="82"/>
      <c r="F77" s="83"/>
      <c r="G77" s="83"/>
      <c r="H77" s="81"/>
      <c r="I77" s="84"/>
      <c r="J77" s="85"/>
      <c r="K77" s="81"/>
      <c r="L77" s="85"/>
      <c r="M77" s="86"/>
      <c r="N77" s="86"/>
      <c r="O77" s="85"/>
      <c r="P77" s="87">
        <f t="shared" ref="P77" si="40">A77</f>
        <v>67</v>
      </c>
    </row>
    <row r="78" spans="1:16">
      <c r="D78" s="56"/>
      <c r="E78" s="56"/>
      <c r="F78" s="58"/>
      <c r="G78" s="58"/>
      <c r="I78" s="74"/>
      <c r="J78" s="62"/>
      <c r="L78" s="62"/>
      <c r="M78" s="64"/>
      <c r="N78" s="64"/>
      <c r="O78" s="62"/>
    </row>
    <row r="79" spans="1:16">
      <c r="D79" s="56"/>
      <c r="E79" s="56"/>
      <c r="F79" s="58"/>
      <c r="G79" s="58"/>
      <c r="I79" s="74"/>
      <c r="J79" s="62"/>
      <c r="L79" s="62"/>
      <c r="M79" s="64"/>
      <c r="N79" s="64"/>
      <c r="O79" s="62"/>
    </row>
    <row r="80" spans="1:16">
      <c r="D80" s="56"/>
      <c r="E80" s="56"/>
      <c r="F80" s="58"/>
      <c r="G80" s="58"/>
      <c r="I80" s="74"/>
      <c r="J80" s="62"/>
      <c r="L80" s="62"/>
      <c r="M80" s="64"/>
      <c r="N80" s="64"/>
      <c r="O80" s="62"/>
    </row>
    <row r="81" spans="1:15">
      <c r="D81" s="56"/>
      <c r="E81" s="56"/>
      <c r="F81" s="58"/>
      <c r="G81" s="58"/>
      <c r="I81" s="74"/>
      <c r="J81" s="62"/>
      <c r="L81" s="62"/>
      <c r="M81" s="64"/>
      <c r="N81" s="64"/>
      <c r="O81" s="62"/>
    </row>
    <row r="82" spans="1:15">
      <c r="D82" s="56"/>
      <c r="E82" s="56"/>
      <c r="F82" s="58"/>
      <c r="G82" s="58"/>
      <c r="I82" s="74"/>
      <c r="J82" s="62"/>
      <c r="L82" s="62"/>
      <c r="M82" s="64"/>
      <c r="N82" s="64"/>
      <c r="O82" s="62"/>
    </row>
    <row r="83" spans="1:15">
      <c r="D83" s="56"/>
      <c r="E83" s="56"/>
      <c r="F83" s="58"/>
      <c r="G83" s="58"/>
      <c r="I83" s="74"/>
      <c r="J83" s="62"/>
      <c r="L83" s="62"/>
      <c r="M83" s="64"/>
      <c r="N83" s="64"/>
      <c r="O83" s="62"/>
    </row>
    <row r="84" spans="1:15">
      <c r="A84" s="39"/>
      <c r="B84" s="39"/>
      <c r="D84" s="56"/>
      <c r="E84" s="56"/>
      <c r="F84" s="58"/>
      <c r="G84" s="58"/>
      <c r="I84" s="74"/>
      <c r="J84" s="62"/>
      <c r="L84" s="62"/>
      <c r="M84" s="64"/>
      <c r="N84" s="64"/>
      <c r="O84" s="62"/>
    </row>
    <row r="85" spans="1:15">
      <c r="A85" s="39"/>
      <c r="B85" s="39"/>
      <c r="D85" s="56"/>
      <c r="E85" s="56"/>
      <c r="F85" s="58"/>
      <c r="G85" s="58"/>
      <c r="I85" s="74"/>
      <c r="J85" s="62"/>
      <c r="L85" s="62"/>
      <c r="M85" s="64"/>
      <c r="N85" s="64"/>
      <c r="O85" s="62"/>
    </row>
    <row r="86" spans="1:15">
      <c r="A86" s="39"/>
      <c r="B86" s="39"/>
      <c r="D86" s="56"/>
      <c r="E86" s="56"/>
      <c r="F86" s="58"/>
      <c r="G86" s="58"/>
      <c r="I86" s="74"/>
      <c r="J86" s="62"/>
      <c r="L86" s="62"/>
      <c r="M86" s="64"/>
      <c r="N86" s="64"/>
      <c r="O86" s="62"/>
    </row>
    <row r="87" spans="1:15">
      <c r="A87" s="39"/>
      <c r="B87" s="39"/>
      <c r="D87" s="56"/>
      <c r="E87" s="56"/>
      <c r="F87" s="58"/>
      <c r="G87" s="58"/>
      <c r="I87" s="74"/>
      <c r="J87" s="62"/>
      <c r="L87" s="62"/>
      <c r="M87" s="64"/>
      <c r="N87" s="64"/>
      <c r="O87" s="62"/>
    </row>
    <row r="88" spans="1:15">
      <c r="A88" s="39"/>
      <c r="B88" s="39"/>
      <c r="D88" s="56"/>
      <c r="E88" s="56"/>
      <c r="F88" s="58"/>
      <c r="G88" s="58"/>
      <c r="I88" s="74"/>
      <c r="J88" s="62"/>
      <c r="L88" s="62"/>
      <c r="M88" s="64"/>
      <c r="N88" s="64"/>
      <c r="O88" s="62"/>
    </row>
    <row r="89" spans="1:15">
      <c r="A89" s="39"/>
      <c r="B89" s="39"/>
      <c r="D89" s="56"/>
      <c r="E89" s="56"/>
      <c r="F89" s="58"/>
      <c r="G89" s="58"/>
      <c r="I89" s="74"/>
      <c r="J89" s="62"/>
      <c r="L89" s="62"/>
      <c r="M89" s="64"/>
      <c r="N89" s="64"/>
      <c r="O89" s="62"/>
    </row>
    <row r="90" spans="1:15">
      <c r="A90" s="39"/>
      <c r="B90" s="39"/>
      <c r="D90" s="56"/>
      <c r="E90" s="56"/>
      <c r="F90" s="58"/>
      <c r="G90" s="58"/>
      <c r="I90" s="74"/>
      <c r="J90" s="62"/>
      <c r="L90" s="62"/>
      <c r="M90" s="64"/>
      <c r="N90" s="64"/>
      <c r="O90" s="62"/>
    </row>
    <row r="91" spans="1:15">
      <c r="A91" s="39"/>
      <c r="B91" s="39"/>
      <c r="D91" s="56"/>
      <c r="E91" s="56"/>
      <c r="F91" s="58"/>
      <c r="G91" s="58"/>
      <c r="I91" s="74"/>
      <c r="J91" s="62"/>
      <c r="L91" s="62"/>
      <c r="M91" s="64"/>
      <c r="N91" s="64"/>
      <c r="O91" s="62"/>
    </row>
    <row r="92" spans="1:15">
      <c r="A92" s="39"/>
      <c r="B92" s="39"/>
      <c r="D92" s="56"/>
      <c r="E92" s="56"/>
      <c r="F92" s="58"/>
      <c r="G92" s="58"/>
      <c r="I92" s="74"/>
      <c r="J92" s="62"/>
      <c r="L92" s="62"/>
      <c r="M92" s="64"/>
      <c r="N92" s="64"/>
      <c r="O92" s="62"/>
    </row>
    <row r="93" spans="1:15">
      <c r="A93" s="39"/>
      <c r="B93" s="39"/>
      <c r="D93" s="56"/>
      <c r="E93" s="56"/>
      <c r="F93" s="58"/>
      <c r="G93" s="58"/>
      <c r="I93" s="74"/>
      <c r="J93" s="62"/>
      <c r="L93" s="62"/>
      <c r="M93" s="64"/>
      <c r="N93" s="64"/>
      <c r="O93" s="62"/>
    </row>
    <row r="94" spans="1:15">
      <c r="A94" s="39"/>
      <c r="B94" s="39"/>
      <c r="D94" s="56"/>
      <c r="E94" s="56"/>
      <c r="F94" s="58"/>
      <c r="G94" s="58"/>
      <c r="I94" s="74"/>
      <c r="J94" s="62"/>
      <c r="L94" s="62"/>
      <c r="M94" s="64"/>
      <c r="N94" s="64"/>
      <c r="O94" s="62"/>
    </row>
    <row r="95" spans="1:15">
      <c r="A95" s="39"/>
      <c r="B95" s="39"/>
      <c r="D95" s="56"/>
      <c r="E95" s="56"/>
      <c r="F95" s="58"/>
      <c r="G95" s="58"/>
      <c r="I95" s="74"/>
      <c r="J95" s="62"/>
      <c r="L95" s="62"/>
      <c r="M95" s="64"/>
      <c r="N95" s="64"/>
      <c r="O95" s="62"/>
    </row>
    <row r="96" spans="1:15">
      <c r="A96" s="39"/>
      <c r="B96" s="39"/>
      <c r="D96" s="56"/>
      <c r="E96" s="56"/>
      <c r="F96" s="58"/>
      <c r="G96" s="58"/>
      <c r="I96" s="74"/>
      <c r="J96" s="62"/>
      <c r="L96" s="62"/>
      <c r="M96" s="64"/>
      <c r="N96" s="64"/>
      <c r="O96" s="62"/>
    </row>
    <row r="97" spans="4:15" s="39" customFormat="1">
      <c r="D97" s="56"/>
      <c r="E97" s="56"/>
      <c r="F97" s="58"/>
      <c r="G97" s="58"/>
      <c r="I97" s="74"/>
      <c r="J97" s="62"/>
      <c r="L97" s="62"/>
      <c r="M97" s="64"/>
      <c r="N97" s="64"/>
      <c r="O97" s="62"/>
    </row>
    <row r="98" spans="4:15" s="39" customFormat="1">
      <c r="D98" s="56"/>
      <c r="E98" s="56"/>
      <c r="F98" s="58"/>
      <c r="G98" s="58"/>
      <c r="I98" s="74"/>
      <c r="J98" s="62"/>
      <c r="L98" s="62"/>
      <c r="M98" s="64"/>
      <c r="N98" s="64"/>
      <c r="O98" s="62"/>
    </row>
    <row r="99" spans="4:15" s="39" customFormat="1">
      <c r="D99" s="56"/>
      <c r="E99" s="56"/>
      <c r="F99" s="58"/>
      <c r="G99" s="58"/>
      <c r="I99" s="74"/>
      <c r="J99" s="62"/>
      <c r="L99" s="62"/>
      <c r="M99" s="64"/>
      <c r="N99" s="64"/>
      <c r="O99" s="62"/>
    </row>
    <row r="100" spans="4:15" s="39" customFormat="1">
      <c r="D100" s="56"/>
      <c r="E100" s="56"/>
      <c r="F100" s="58"/>
      <c r="G100" s="58"/>
      <c r="I100" s="74"/>
      <c r="J100" s="62"/>
      <c r="L100" s="62"/>
      <c r="M100" s="64"/>
      <c r="N100" s="64"/>
      <c r="O100" s="62"/>
    </row>
    <row r="101" spans="4:15" s="39" customFormat="1">
      <c r="D101" s="56"/>
      <c r="E101" s="56"/>
      <c r="F101" s="58"/>
      <c r="G101" s="58"/>
      <c r="I101" s="74"/>
      <c r="J101" s="62"/>
      <c r="L101" s="62"/>
      <c r="M101" s="64"/>
      <c r="N101" s="64"/>
      <c r="O101" s="62"/>
    </row>
    <row r="102" spans="4:15" s="39" customFormat="1">
      <c r="D102" s="56"/>
      <c r="E102" s="56"/>
      <c r="F102" s="58"/>
      <c r="G102" s="58"/>
      <c r="I102" s="74"/>
      <c r="J102" s="62"/>
      <c r="L102" s="62"/>
      <c r="M102" s="64"/>
      <c r="N102" s="64"/>
      <c r="O102" s="62"/>
    </row>
    <row r="103" spans="4:15" s="39" customFormat="1">
      <c r="D103" s="56"/>
      <c r="E103" s="56"/>
      <c r="F103" s="58"/>
      <c r="G103" s="58"/>
      <c r="I103" s="74"/>
      <c r="J103" s="62"/>
      <c r="L103" s="62"/>
      <c r="M103" s="64"/>
      <c r="N103" s="64"/>
      <c r="O103" s="62"/>
    </row>
    <row r="104" spans="4:15" s="39" customFormat="1">
      <c r="D104" s="56"/>
      <c r="E104" s="56"/>
      <c r="F104" s="58"/>
      <c r="G104" s="58"/>
      <c r="I104" s="74"/>
      <c r="J104" s="62"/>
      <c r="L104" s="62"/>
      <c r="M104" s="64"/>
      <c r="N104" s="64"/>
      <c r="O104" s="62"/>
    </row>
    <row r="105" spans="4:15" s="39" customFormat="1">
      <c r="D105" s="56"/>
      <c r="E105" s="56"/>
      <c r="F105" s="58"/>
      <c r="G105" s="58"/>
      <c r="I105" s="74"/>
      <c r="J105" s="62"/>
      <c r="L105" s="62"/>
      <c r="M105" s="64"/>
      <c r="N105" s="64"/>
      <c r="O105" s="62"/>
    </row>
    <row r="106" spans="4:15" s="39" customFormat="1">
      <c r="D106" s="56"/>
      <c r="E106" s="56"/>
      <c r="F106" s="58"/>
      <c r="G106" s="58"/>
      <c r="I106" s="74"/>
      <c r="J106" s="62"/>
      <c r="L106" s="62"/>
      <c r="M106" s="64"/>
      <c r="N106" s="64"/>
      <c r="O106" s="62"/>
    </row>
    <row r="107" spans="4:15" s="39" customFormat="1">
      <c r="D107" s="56"/>
      <c r="E107" s="56"/>
      <c r="F107" s="58"/>
      <c r="G107" s="58"/>
      <c r="I107" s="74"/>
      <c r="J107" s="62"/>
      <c r="L107" s="62"/>
      <c r="M107" s="64"/>
      <c r="N107" s="64"/>
      <c r="O107" s="62"/>
    </row>
    <row r="108" spans="4:15" s="39" customFormat="1">
      <c r="D108" s="56"/>
      <c r="E108" s="56"/>
      <c r="F108" s="58"/>
      <c r="G108" s="58"/>
      <c r="I108" s="74"/>
      <c r="J108" s="62"/>
      <c r="L108" s="62"/>
      <c r="M108" s="64"/>
      <c r="N108" s="64"/>
      <c r="O108" s="62"/>
    </row>
    <row r="109" spans="4:15" s="39" customFormat="1">
      <c r="D109" s="56"/>
      <c r="E109" s="56"/>
      <c r="F109" s="58"/>
      <c r="G109" s="58"/>
      <c r="I109" s="74"/>
      <c r="J109" s="62"/>
      <c r="L109" s="62"/>
      <c r="M109" s="64"/>
      <c r="N109" s="64"/>
      <c r="O109" s="62"/>
    </row>
    <row r="110" spans="4:15" s="39" customFormat="1">
      <c r="D110" s="56"/>
      <c r="E110" s="56"/>
      <c r="F110" s="58"/>
      <c r="G110" s="58"/>
      <c r="I110" s="74"/>
      <c r="J110" s="62"/>
      <c r="L110" s="62"/>
      <c r="M110" s="64"/>
      <c r="N110" s="64"/>
      <c r="O110" s="62"/>
    </row>
    <row r="111" spans="4:15" s="39" customFormat="1">
      <c r="D111" s="56"/>
      <c r="E111" s="56"/>
      <c r="F111" s="58"/>
      <c r="G111" s="58"/>
      <c r="I111" s="74"/>
      <c r="J111" s="62"/>
      <c r="L111" s="62"/>
      <c r="M111" s="64"/>
      <c r="N111" s="64"/>
      <c r="O111" s="62"/>
    </row>
    <row r="112" spans="4:15" s="39" customFormat="1">
      <c r="D112" s="56"/>
      <c r="E112" s="56"/>
      <c r="F112" s="58"/>
      <c r="G112" s="58"/>
      <c r="I112" s="74"/>
      <c r="J112" s="62"/>
      <c r="L112" s="62"/>
      <c r="M112" s="64"/>
      <c r="N112" s="64"/>
      <c r="O112" s="62"/>
    </row>
    <row r="113" spans="4:15" s="39" customFormat="1">
      <c r="D113" s="56"/>
      <c r="E113" s="56"/>
      <c r="F113" s="58"/>
      <c r="G113" s="58"/>
      <c r="I113" s="74"/>
      <c r="J113" s="62"/>
      <c r="L113" s="62"/>
      <c r="M113" s="64"/>
      <c r="N113" s="64"/>
      <c r="O113" s="62"/>
    </row>
    <row r="114" spans="4:15" s="39" customFormat="1">
      <c r="D114" s="56"/>
      <c r="E114" s="56"/>
      <c r="F114" s="58"/>
      <c r="G114" s="58"/>
      <c r="I114" s="74"/>
      <c r="J114" s="62"/>
      <c r="L114" s="62"/>
      <c r="M114" s="64"/>
      <c r="N114" s="64"/>
      <c r="O114" s="62"/>
    </row>
    <row r="115" spans="4:15" s="39" customFormat="1">
      <c r="D115" s="56"/>
      <c r="E115" s="56"/>
      <c r="F115" s="58"/>
      <c r="G115" s="58"/>
      <c r="I115" s="74"/>
      <c r="J115" s="62"/>
      <c r="L115" s="62"/>
      <c r="M115" s="64"/>
      <c r="N115" s="64"/>
      <c r="O115" s="62"/>
    </row>
    <row r="116" spans="4:15" s="39" customFormat="1">
      <c r="D116" s="56"/>
      <c r="E116" s="56"/>
      <c r="F116" s="58"/>
      <c r="G116" s="58"/>
      <c r="I116" s="74"/>
      <c r="J116" s="62"/>
      <c r="L116" s="62"/>
      <c r="M116" s="64"/>
      <c r="N116" s="64"/>
      <c r="O116" s="62"/>
    </row>
    <row r="117" spans="4:15" s="39" customFormat="1">
      <c r="D117" s="56"/>
      <c r="E117" s="56"/>
      <c r="F117" s="58"/>
      <c r="G117" s="58"/>
      <c r="I117" s="74"/>
      <c r="J117" s="62"/>
      <c r="L117" s="62"/>
      <c r="M117" s="64"/>
      <c r="N117" s="64"/>
      <c r="O117" s="62"/>
    </row>
    <row r="118" spans="4:15" s="39" customFormat="1">
      <c r="D118" s="56"/>
      <c r="E118" s="56"/>
      <c r="F118" s="58"/>
      <c r="G118" s="58"/>
      <c r="I118" s="74"/>
      <c r="J118" s="62"/>
      <c r="L118" s="62"/>
      <c r="M118" s="64"/>
      <c r="N118" s="64"/>
      <c r="O118" s="62"/>
    </row>
    <row r="119" spans="4:15" s="39" customFormat="1">
      <c r="D119" s="56"/>
      <c r="E119" s="56"/>
      <c r="F119" s="58"/>
      <c r="G119" s="58"/>
      <c r="I119" s="74"/>
      <c r="J119" s="62"/>
      <c r="L119" s="62"/>
      <c r="M119" s="64"/>
      <c r="N119" s="64"/>
      <c r="O119" s="62"/>
    </row>
    <row r="120" spans="4:15" s="39" customFormat="1">
      <c r="D120" s="56"/>
      <c r="E120" s="56"/>
      <c r="F120" s="58"/>
      <c r="G120" s="58"/>
      <c r="I120" s="74"/>
      <c r="J120" s="62"/>
      <c r="L120" s="62"/>
      <c r="M120" s="64"/>
      <c r="N120" s="64"/>
      <c r="O120" s="62"/>
    </row>
    <row r="121" spans="4:15" s="39" customFormat="1">
      <c r="D121" s="56"/>
      <c r="E121" s="56"/>
      <c r="F121" s="58"/>
      <c r="G121" s="58"/>
      <c r="I121" s="74"/>
      <c r="J121" s="62"/>
      <c r="L121" s="62"/>
      <c r="M121" s="64"/>
      <c r="N121" s="64"/>
      <c r="O121" s="62"/>
    </row>
    <row r="122" spans="4:15" s="39" customFormat="1">
      <c r="D122" s="56"/>
      <c r="E122" s="56"/>
      <c r="F122" s="58"/>
      <c r="G122" s="58"/>
      <c r="I122" s="74"/>
      <c r="J122" s="62"/>
      <c r="L122" s="62"/>
      <c r="M122" s="64"/>
      <c r="N122" s="64"/>
      <c r="O122" s="62"/>
    </row>
    <row r="123" spans="4:15" s="39" customFormat="1">
      <c r="D123" s="56"/>
      <c r="E123" s="56"/>
      <c r="F123" s="58"/>
      <c r="G123" s="58"/>
      <c r="I123" s="74"/>
      <c r="J123" s="62"/>
      <c r="L123" s="62"/>
      <c r="M123" s="64"/>
      <c r="N123" s="64"/>
      <c r="O123" s="62"/>
    </row>
    <row r="124" spans="4:15" s="39" customFormat="1">
      <c r="D124" s="56"/>
      <c r="E124" s="56"/>
      <c r="F124" s="58"/>
      <c r="G124" s="58"/>
      <c r="I124" s="74"/>
      <c r="J124" s="62"/>
      <c r="L124" s="62"/>
      <c r="M124" s="64"/>
      <c r="N124" s="64"/>
      <c r="O124" s="62"/>
    </row>
    <row r="125" spans="4:15" s="39" customFormat="1">
      <c r="D125" s="56"/>
      <c r="E125" s="56"/>
      <c r="F125" s="58"/>
      <c r="G125" s="58"/>
      <c r="I125" s="74"/>
      <c r="J125" s="62"/>
      <c r="L125" s="62"/>
      <c r="M125" s="64"/>
      <c r="N125" s="64"/>
      <c r="O125" s="62"/>
    </row>
    <row r="126" spans="4:15" s="39" customFormat="1">
      <c r="D126" s="56"/>
      <c r="E126" s="56"/>
      <c r="F126" s="58"/>
      <c r="G126" s="58"/>
      <c r="I126" s="74"/>
      <c r="J126" s="62"/>
      <c r="L126" s="62"/>
      <c r="M126" s="64"/>
      <c r="N126" s="64"/>
      <c r="O126" s="62"/>
    </row>
    <row r="127" spans="4:15" s="39" customFormat="1">
      <c r="D127" s="56"/>
      <c r="E127" s="56"/>
      <c r="F127" s="58"/>
      <c r="G127" s="58"/>
      <c r="I127" s="74"/>
      <c r="J127" s="62"/>
      <c r="L127" s="62"/>
      <c r="M127" s="64"/>
      <c r="N127" s="64"/>
      <c r="O127" s="62"/>
    </row>
    <row r="128" spans="4:15" s="39" customFormat="1">
      <c r="D128" s="56"/>
      <c r="E128" s="56"/>
      <c r="F128" s="58"/>
      <c r="G128" s="58"/>
      <c r="I128" s="74"/>
      <c r="J128" s="62"/>
      <c r="L128" s="62"/>
      <c r="M128" s="64"/>
      <c r="N128" s="64"/>
      <c r="O128" s="62"/>
    </row>
    <row r="129" spans="4:15" s="39" customFormat="1">
      <c r="D129" s="56"/>
      <c r="E129" s="56"/>
      <c r="F129" s="58"/>
      <c r="G129" s="58"/>
      <c r="I129" s="74"/>
      <c r="J129" s="62"/>
      <c r="L129" s="62"/>
      <c r="M129" s="64"/>
      <c r="N129" s="64"/>
      <c r="O129" s="62"/>
    </row>
    <row r="130" spans="4:15" s="39" customFormat="1">
      <c r="D130" s="56"/>
      <c r="E130" s="56"/>
      <c r="F130" s="58"/>
      <c r="G130" s="58"/>
      <c r="I130" s="74"/>
      <c r="J130" s="62"/>
      <c r="L130" s="62"/>
      <c r="M130" s="64"/>
      <c r="N130" s="64"/>
      <c r="O130" s="62"/>
    </row>
    <row r="131" spans="4:15" s="39" customFormat="1">
      <c r="D131" s="56"/>
      <c r="E131" s="56"/>
      <c r="F131" s="58"/>
      <c r="G131" s="58"/>
      <c r="I131" s="74"/>
      <c r="J131" s="62"/>
      <c r="L131" s="62"/>
      <c r="M131" s="64"/>
      <c r="N131" s="64"/>
      <c r="O131" s="62"/>
    </row>
    <row r="132" spans="4:15" s="39" customFormat="1">
      <c r="D132" s="56"/>
      <c r="E132" s="56"/>
      <c r="F132" s="58"/>
      <c r="G132" s="58"/>
      <c r="I132" s="74"/>
      <c r="J132" s="62"/>
      <c r="L132" s="62"/>
      <c r="M132" s="64"/>
      <c r="N132" s="64"/>
      <c r="O132" s="62"/>
    </row>
    <row r="133" spans="4:15" s="39" customFormat="1">
      <c r="D133" s="56"/>
      <c r="E133" s="56"/>
      <c r="F133" s="58"/>
      <c r="G133" s="58"/>
      <c r="I133" s="74"/>
      <c r="J133" s="62"/>
      <c r="L133" s="62"/>
      <c r="M133" s="64"/>
      <c r="N133" s="64"/>
      <c r="O133" s="62"/>
    </row>
    <row r="134" spans="4:15" s="39" customFormat="1">
      <c r="D134" s="56"/>
      <c r="E134" s="56"/>
      <c r="F134" s="58"/>
      <c r="G134" s="58"/>
      <c r="I134" s="74"/>
      <c r="J134" s="62"/>
      <c r="L134" s="62"/>
      <c r="M134" s="64"/>
      <c r="N134" s="64"/>
      <c r="O134" s="62"/>
    </row>
    <row r="135" spans="4:15" s="39" customFormat="1">
      <c r="D135" s="56"/>
      <c r="E135" s="56"/>
      <c r="F135" s="58"/>
      <c r="G135" s="58"/>
      <c r="I135" s="74"/>
      <c r="J135" s="62"/>
      <c r="L135" s="62"/>
      <c r="M135" s="64"/>
      <c r="N135" s="64"/>
      <c r="O135" s="62"/>
    </row>
    <row r="136" spans="4:15" s="39" customFormat="1">
      <c r="D136" s="56"/>
      <c r="E136" s="56"/>
      <c r="F136" s="58"/>
      <c r="G136" s="58"/>
      <c r="I136" s="74"/>
      <c r="J136" s="62"/>
      <c r="L136" s="62"/>
      <c r="M136" s="64"/>
      <c r="N136" s="64"/>
      <c r="O136" s="62"/>
    </row>
    <row r="137" spans="4:15" s="39" customFormat="1">
      <c r="D137" s="56"/>
      <c r="E137" s="56"/>
      <c r="F137" s="58"/>
      <c r="G137" s="58"/>
      <c r="I137" s="74"/>
      <c r="J137" s="62"/>
      <c r="L137" s="62"/>
      <c r="M137" s="64"/>
      <c r="N137" s="64"/>
      <c r="O137" s="62"/>
    </row>
    <row r="138" spans="4:15" s="39" customFormat="1">
      <c r="D138" s="56"/>
      <c r="E138" s="56"/>
      <c r="F138" s="58"/>
      <c r="G138" s="58"/>
      <c r="I138" s="74"/>
      <c r="J138" s="62"/>
      <c r="L138" s="62"/>
      <c r="M138" s="64"/>
      <c r="N138" s="64"/>
      <c r="O138" s="62"/>
    </row>
    <row r="139" spans="4:15" s="39" customFormat="1">
      <c r="D139" s="56"/>
      <c r="E139" s="56"/>
      <c r="F139" s="58"/>
      <c r="G139" s="58"/>
      <c r="I139" s="74"/>
      <c r="J139" s="62"/>
      <c r="L139" s="62"/>
      <c r="M139" s="64"/>
      <c r="N139" s="64"/>
      <c r="O139" s="62"/>
    </row>
    <row r="140" spans="4:15" s="39" customFormat="1">
      <c r="D140" s="56"/>
      <c r="E140" s="56"/>
      <c r="F140" s="58"/>
      <c r="G140" s="58"/>
      <c r="I140" s="74"/>
      <c r="J140" s="62"/>
      <c r="L140" s="62"/>
      <c r="M140" s="64"/>
      <c r="N140" s="64"/>
      <c r="O140" s="62"/>
    </row>
    <row r="141" spans="4:15" s="39" customFormat="1">
      <c r="D141" s="56"/>
      <c r="E141" s="56"/>
      <c r="F141" s="58"/>
      <c r="G141" s="58"/>
      <c r="I141" s="74"/>
      <c r="J141" s="62"/>
      <c r="L141" s="62"/>
      <c r="M141" s="64"/>
      <c r="N141" s="64"/>
      <c r="O141" s="62"/>
    </row>
    <row r="142" spans="4:15" s="39" customFormat="1">
      <c r="D142" s="56"/>
      <c r="E142" s="56"/>
      <c r="F142" s="58"/>
      <c r="G142" s="58"/>
      <c r="I142" s="74"/>
      <c r="J142" s="62"/>
      <c r="L142" s="62"/>
      <c r="M142" s="64"/>
      <c r="N142" s="64"/>
      <c r="O142" s="62"/>
    </row>
    <row r="143" spans="4:15" s="39" customFormat="1">
      <c r="D143" s="56"/>
      <c r="E143" s="56"/>
      <c r="F143" s="58"/>
      <c r="G143" s="58"/>
      <c r="I143" s="74"/>
      <c r="J143" s="62"/>
      <c r="L143" s="62"/>
      <c r="M143" s="64"/>
      <c r="N143" s="64"/>
      <c r="O143" s="62"/>
    </row>
    <row r="144" spans="4:15" s="39" customFormat="1">
      <c r="D144" s="56"/>
      <c r="E144" s="56"/>
      <c r="F144" s="58"/>
      <c r="G144" s="58"/>
      <c r="I144" s="74"/>
      <c r="J144" s="62"/>
      <c r="L144" s="62"/>
      <c r="M144" s="64"/>
      <c r="N144" s="64"/>
      <c r="O144" s="62"/>
    </row>
    <row r="145" spans="4:15" s="39" customFormat="1">
      <c r="D145" s="56"/>
      <c r="E145" s="56"/>
      <c r="F145" s="58"/>
      <c r="G145" s="58"/>
      <c r="I145" s="74"/>
      <c r="J145" s="62"/>
      <c r="L145" s="62"/>
      <c r="M145" s="64"/>
      <c r="N145" s="64"/>
      <c r="O145" s="62"/>
    </row>
    <row r="146" spans="4:15" s="39" customFormat="1">
      <c r="D146" s="56"/>
      <c r="E146" s="56"/>
      <c r="F146" s="58"/>
      <c r="G146" s="58"/>
      <c r="I146" s="74"/>
      <c r="J146" s="62"/>
      <c r="L146" s="62"/>
      <c r="M146" s="64"/>
      <c r="N146" s="64"/>
      <c r="O146" s="62"/>
    </row>
    <row r="147" spans="4:15" s="39" customFormat="1">
      <c r="D147" s="56"/>
      <c r="E147" s="56"/>
      <c r="F147" s="58"/>
      <c r="G147" s="58"/>
      <c r="I147" s="74"/>
      <c r="J147" s="62"/>
      <c r="L147" s="62"/>
      <c r="M147" s="64"/>
      <c r="N147" s="64"/>
      <c r="O147" s="62"/>
    </row>
    <row r="148" spans="4:15" s="39" customFormat="1">
      <c r="D148" s="56"/>
      <c r="E148" s="56"/>
      <c r="F148" s="58"/>
      <c r="G148" s="58"/>
      <c r="I148" s="74"/>
      <c r="J148" s="62"/>
      <c r="L148" s="62"/>
      <c r="M148" s="64"/>
      <c r="N148" s="64"/>
      <c r="O148" s="62"/>
    </row>
    <row r="149" spans="4:15" s="39" customFormat="1">
      <c r="D149" s="56"/>
      <c r="E149" s="56"/>
      <c r="F149" s="58"/>
      <c r="G149" s="58"/>
      <c r="I149" s="74"/>
      <c r="J149" s="62"/>
      <c r="L149" s="62"/>
      <c r="M149" s="64"/>
      <c r="N149" s="64"/>
      <c r="O149" s="62"/>
    </row>
    <row r="150" spans="4:15" s="39" customFormat="1">
      <c r="D150" s="56"/>
      <c r="E150" s="56"/>
      <c r="F150" s="58"/>
      <c r="G150" s="58"/>
      <c r="I150" s="74"/>
      <c r="J150" s="62"/>
      <c r="L150" s="62"/>
      <c r="M150" s="64"/>
      <c r="N150" s="64"/>
      <c r="O150" s="62"/>
    </row>
    <row r="151" spans="4:15" s="39" customFormat="1">
      <c r="D151" s="56"/>
      <c r="E151" s="56"/>
      <c r="F151" s="58"/>
      <c r="G151" s="58"/>
      <c r="I151" s="74"/>
      <c r="J151" s="62"/>
      <c r="L151" s="62"/>
      <c r="M151" s="64"/>
      <c r="N151" s="64"/>
      <c r="O151" s="62"/>
    </row>
    <row r="152" spans="4:15" s="39" customFormat="1">
      <c r="D152" s="56"/>
      <c r="E152" s="56"/>
      <c r="F152" s="58"/>
      <c r="G152" s="58"/>
      <c r="I152" s="74"/>
      <c r="J152" s="62"/>
      <c r="L152" s="62"/>
      <c r="M152" s="64"/>
      <c r="N152" s="64"/>
      <c r="O152" s="62"/>
    </row>
    <row r="153" spans="4:15" s="39" customFormat="1">
      <c r="D153" s="56"/>
      <c r="E153" s="56"/>
      <c r="F153" s="58"/>
      <c r="G153" s="58"/>
      <c r="I153" s="74"/>
      <c r="J153" s="62"/>
      <c r="L153" s="62"/>
      <c r="M153" s="64"/>
      <c r="N153" s="64"/>
      <c r="O153" s="62"/>
    </row>
    <row r="154" spans="4:15" s="39" customFormat="1">
      <c r="D154" s="56"/>
      <c r="E154" s="56"/>
      <c r="F154" s="58"/>
      <c r="G154" s="58"/>
      <c r="I154" s="74"/>
      <c r="J154" s="62"/>
      <c r="L154" s="62"/>
      <c r="M154" s="64"/>
      <c r="N154" s="64"/>
      <c r="O154" s="62"/>
    </row>
    <row r="155" spans="4:15" s="39" customFormat="1">
      <c r="D155" s="56"/>
      <c r="E155" s="56"/>
      <c r="F155" s="58"/>
      <c r="G155" s="58"/>
      <c r="I155" s="74"/>
      <c r="J155" s="62"/>
      <c r="L155" s="62"/>
      <c r="M155" s="64"/>
      <c r="N155" s="64"/>
      <c r="O155" s="62"/>
    </row>
    <row r="156" spans="4:15" s="39" customFormat="1">
      <c r="D156" s="56"/>
      <c r="E156" s="56"/>
      <c r="F156" s="58"/>
      <c r="G156" s="58"/>
      <c r="I156" s="74"/>
      <c r="J156" s="62"/>
      <c r="L156" s="62"/>
      <c r="M156" s="64"/>
      <c r="N156" s="64"/>
      <c r="O156" s="62"/>
    </row>
    <row r="157" spans="4:15" s="39" customFormat="1">
      <c r="D157" s="56"/>
      <c r="E157" s="56"/>
      <c r="F157" s="58"/>
      <c r="G157" s="58"/>
      <c r="I157" s="74"/>
      <c r="J157" s="62"/>
      <c r="L157" s="62"/>
      <c r="M157" s="64"/>
      <c r="N157" s="64"/>
      <c r="O157" s="62"/>
    </row>
    <row r="158" spans="4:15" s="39" customFormat="1">
      <c r="D158" s="56"/>
      <c r="E158" s="56"/>
      <c r="F158" s="58"/>
      <c r="G158" s="58"/>
      <c r="I158" s="74"/>
      <c r="J158" s="62"/>
      <c r="L158" s="62"/>
      <c r="M158" s="64"/>
      <c r="N158" s="64"/>
      <c r="O158" s="62"/>
    </row>
    <row r="159" spans="4:15" s="39" customFormat="1">
      <c r="D159" s="56"/>
      <c r="E159" s="56"/>
      <c r="F159" s="58"/>
      <c r="G159" s="58"/>
      <c r="I159" s="74"/>
      <c r="J159" s="62"/>
      <c r="L159" s="62"/>
      <c r="M159" s="64"/>
      <c r="N159" s="64"/>
      <c r="O159" s="62"/>
    </row>
    <row r="160" spans="4:15" s="39" customFormat="1">
      <c r="D160" s="56"/>
      <c r="E160" s="56"/>
      <c r="F160" s="58"/>
      <c r="G160" s="58"/>
      <c r="I160" s="74"/>
      <c r="J160" s="62"/>
      <c r="L160" s="62"/>
      <c r="M160" s="64"/>
      <c r="N160" s="64"/>
      <c r="O160" s="62"/>
    </row>
    <row r="161" spans="4:15" s="39" customFormat="1">
      <c r="D161" s="56"/>
      <c r="E161" s="56"/>
      <c r="F161" s="58"/>
      <c r="G161" s="58"/>
      <c r="I161" s="74"/>
      <c r="J161" s="62"/>
      <c r="L161" s="62"/>
      <c r="M161" s="64"/>
      <c r="N161" s="64"/>
      <c r="O161" s="62"/>
    </row>
    <row r="162" spans="4:15" s="39" customFormat="1">
      <c r="D162" s="56"/>
      <c r="E162" s="56"/>
      <c r="F162" s="58"/>
      <c r="G162" s="58"/>
      <c r="I162" s="74"/>
      <c r="J162" s="62"/>
      <c r="L162" s="62"/>
      <c r="M162" s="64"/>
      <c r="N162" s="64"/>
      <c r="O162" s="62"/>
    </row>
    <row r="163" spans="4:15" s="39" customFormat="1">
      <c r="D163" s="56"/>
      <c r="E163" s="56"/>
      <c r="F163" s="58"/>
      <c r="G163" s="58"/>
      <c r="I163" s="74"/>
      <c r="J163" s="62"/>
      <c r="L163" s="62"/>
      <c r="M163" s="64"/>
      <c r="N163" s="64"/>
      <c r="O163" s="62"/>
    </row>
    <row r="164" spans="4:15" s="39" customFormat="1">
      <c r="D164" s="56"/>
      <c r="E164" s="56"/>
      <c r="F164" s="58"/>
      <c r="G164" s="58"/>
      <c r="I164" s="74"/>
      <c r="J164" s="62"/>
      <c r="L164" s="62"/>
      <c r="M164" s="64"/>
      <c r="N164" s="64"/>
      <c r="O164" s="62"/>
    </row>
    <row r="165" spans="4:15" s="39" customFormat="1">
      <c r="D165" s="56"/>
      <c r="E165" s="56"/>
      <c r="F165" s="58"/>
      <c r="G165" s="58"/>
      <c r="I165" s="74"/>
      <c r="J165" s="62"/>
      <c r="L165" s="62"/>
      <c r="M165" s="64"/>
      <c r="N165" s="64"/>
      <c r="O165" s="62"/>
    </row>
    <row r="166" spans="4:15" s="39" customFormat="1">
      <c r="D166" s="56"/>
      <c r="E166" s="56"/>
      <c r="F166" s="58"/>
      <c r="G166" s="58"/>
      <c r="I166" s="74"/>
      <c r="J166" s="62"/>
      <c r="L166" s="62"/>
      <c r="M166" s="64"/>
      <c r="N166" s="64"/>
      <c r="O166" s="62"/>
    </row>
    <row r="167" spans="4:15" s="39" customFormat="1">
      <c r="D167" s="56"/>
      <c r="E167" s="56"/>
      <c r="F167" s="58"/>
      <c r="G167" s="58"/>
      <c r="I167" s="74"/>
      <c r="J167" s="62"/>
      <c r="L167" s="62"/>
      <c r="M167" s="64"/>
      <c r="N167" s="64"/>
      <c r="O167" s="62"/>
    </row>
    <row r="168" spans="4:15" s="39" customFormat="1">
      <c r="D168" s="56"/>
      <c r="E168" s="56"/>
      <c r="F168" s="58"/>
      <c r="G168" s="58"/>
      <c r="I168" s="74"/>
      <c r="J168" s="62"/>
      <c r="L168" s="62"/>
      <c r="M168" s="64"/>
      <c r="N168" s="64"/>
      <c r="O168" s="62"/>
    </row>
    <row r="169" spans="4:15" s="39" customFormat="1">
      <c r="D169" s="56"/>
      <c r="E169" s="56"/>
      <c r="F169" s="58"/>
      <c r="G169" s="58"/>
      <c r="I169" s="74"/>
      <c r="J169" s="62"/>
      <c r="L169" s="62"/>
      <c r="M169" s="64"/>
      <c r="N169" s="64"/>
      <c r="O169" s="62"/>
    </row>
    <row r="170" spans="4:15" s="39" customFormat="1">
      <c r="D170" s="56"/>
      <c r="E170" s="56"/>
      <c r="F170" s="58"/>
      <c r="G170" s="58"/>
      <c r="I170" s="74"/>
      <c r="J170" s="62"/>
      <c r="L170" s="62"/>
      <c r="M170" s="64"/>
      <c r="N170" s="64"/>
      <c r="O170" s="62"/>
    </row>
    <row r="171" spans="4:15" s="39" customFormat="1">
      <c r="D171" s="56"/>
      <c r="E171" s="56"/>
      <c r="F171" s="58"/>
      <c r="G171" s="58"/>
      <c r="I171" s="74"/>
      <c r="J171" s="62"/>
      <c r="L171" s="62"/>
      <c r="M171" s="64"/>
      <c r="N171" s="64"/>
      <c r="O171" s="62"/>
    </row>
    <row r="172" spans="4:15" s="39" customFormat="1">
      <c r="D172" s="56"/>
      <c r="E172" s="56"/>
      <c r="F172" s="58"/>
      <c r="G172" s="58"/>
      <c r="I172" s="74"/>
      <c r="J172" s="62"/>
      <c r="L172" s="62"/>
      <c r="M172" s="64"/>
      <c r="N172" s="64"/>
      <c r="O172" s="62"/>
    </row>
    <row r="173" spans="4:15" s="39" customFormat="1">
      <c r="D173" s="56"/>
      <c r="E173" s="56"/>
      <c r="F173" s="58"/>
      <c r="G173" s="58"/>
      <c r="I173" s="74"/>
      <c r="J173" s="62"/>
      <c r="L173" s="62"/>
      <c r="M173" s="64"/>
      <c r="N173" s="64"/>
      <c r="O173" s="62"/>
    </row>
    <row r="174" spans="4:15" s="39" customFormat="1">
      <c r="D174" s="56"/>
      <c r="E174" s="56"/>
      <c r="F174" s="58"/>
      <c r="G174" s="58"/>
      <c r="I174" s="74"/>
      <c r="J174" s="62"/>
      <c r="L174" s="62"/>
      <c r="M174" s="64"/>
      <c r="N174" s="64"/>
      <c r="O174" s="62"/>
    </row>
    <row r="175" spans="4:15" s="39" customFormat="1">
      <c r="D175" s="56"/>
      <c r="E175" s="56"/>
      <c r="F175" s="58"/>
      <c r="G175" s="58"/>
      <c r="I175" s="74"/>
      <c r="J175" s="62"/>
      <c r="L175" s="62"/>
      <c r="M175" s="64"/>
      <c r="N175" s="64"/>
      <c r="O175" s="62"/>
    </row>
    <row r="176" spans="4:15" s="39" customFormat="1">
      <c r="D176" s="56"/>
      <c r="E176" s="56"/>
      <c r="F176" s="58"/>
      <c r="G176" s="58"/>
      <c r="I176" s="74"/>
      <c r="J176" s="62"/>
      <c r="L176" s="62"/>
      <c r="M176" s="64"/>
      <c r="N176" s="64"/>
      <c r="O176" s="62"/>
    </row>
    <row r="177" spans="4:15" s="39" customFormat="1">
      <c r="D177" s="56"/>
      <c r="E177" s="56"/>
      <c r="F177" s="58"/>
      <c r="G177" s="58"/>
      <c r="I177" s="74"/>
      <c r="J177" s="62"/>
      <c r="L177" s="62"/>
      <c r="M177" s="64"/>
      <c r="N177" s="64"/>
      <c r="O177" s="62"/>
    </row>
    <row r="178" spans="4:15" s="39" customFormat="1">
      <c r="D178" s="56"/>
      <c r="E178" s="56"/>
      <c r="F178" s="58"/>
      <c r="G178" s="58"/>
      <c r="I178" s="74"/>
      <c r="J178" s="62"/>
      <c r="L178" s="62"/>
      <c r="M178" s="64"/>
      <c r="N178" s="64"/>
      <c r="O178" s="62"/>
    </row>
    <row r="179" spans="4:15" s="39" customFormat="1">
      <c r="D179" s="56"/>
      <c r="E179" s="56"/>
      <c r="F179" s="58"/>
      <c r="G179" s="58"/>
      <c r="I179" s="74"/>
      <c r="J179" s="62"/>
      <c r="L179" s="62"/>
      <c r="M179" s="64"/>
      <c r="N179" s="64"/>
      <c r="O179" s="62"/>
    </row>
    <row r="180" spans="4:15" s="39" customFormat="1">
      <c r="D180" s="56"/>
      <c r="E180" s="56"/>
      <c r="F180" s="58"/>
      <c r="G180" s="58"/>
      <c r="I180" s="74"/>
      <c r="J180" s="62"/>
      <c r="L180" s="62"/>
      <c r="M180" s="64"/>
      <c r="N180" s="64"/>
      <c r="O180" s="62"/>
    </row>
    <row r="181" spans="4:15" s="39" customFormat="1">
      <c r="D181" s="56"/>
      <c r="E181" s="56"/>
      <c r="F181" s="58"/>
      <c r="G181" s="58"/>
      <c r="I181" s="74"/>
      <c r="J181" s="62"/>
      <c r="L181" s="62"/>
      <c r="M181" s="64"/>
      <c r="N181" s="64"/>
      <c r="O181" s="62"/>
    </row>
    <row r="182" spans="4:15" s="39" customFormat="1">
      <c r="D182" s="56"/>
      <c r="E182" s="56"/>
      <c r="F182" s="58"/>
      <c r="G182" s="58"/>
      <c r="I182" s="74"/>
      <c r="J182" s="62"/>
      <c r="L182" s="62"/>
      <c r="M182" s="64"/>
      <c r="N182" s="64"/>
      <c r="O182" s="62"/>
    </row>
    <row r="183" spans="4:15" s="39" customFormat="1">
      <c r="D183" s="56"/>
      <c r="E183" s="56"/>
      <c r="F183" s="58"/>
      <c r="G183" s="58"/>
      <c r="I183" s="74"/>
      <c r="J183" s="62"/>
      <c r="L183" s="62"/>
      <c r="M183" s="64"/>
      <c r="N183" s="64"/>
      <c r="O183" s="62"/>
    </row>
    <row r="184" spans="4:15" s="39" customFormat="1">
      <c r="D184" s="56"/>
      <c r="E184" s="56"/>
      <c r="F184" s="58"/>
      <c r="G184" s="58"/>
      <c r="I184" s="74"/>
      <c r="J184" s="62"/>
      <c r="L184" s="62"/>
      <c r="M184" s="64"/>
      <c r="N184" s="64"/>
      <c r="O184" s="62"/>
    </row>
    <row r="185" spans="4:15" s="39" customFormat="1">
      <c r="D185" s="56"/>
      <c r="E185" s="56"/>
      <c r="F185" s="58"/>
      <c r="G185" s="58"/>
      <c r="I185" s="74"/>
      <c r="J185" s="62"/>
      <c r="L185" s="62"/>
      <c r="M185" s="64"/>
      <c r="N185" s="64"/>
      <c r="O185" s="62"/>
    </row>
    <row r="186" spans="4:15" s="39" customFormat="1">
      <c r="D186" s="56"/>
      <c r="E186" s="56"/>
      <c r="F186" s="58"/>
      <c r="G186" s="58"/>
      <c r="I186" s="74"/>
      <c r="J186" s="62"/>
      <c r="L186" s="62"/>
      <c r="M186" s="64"/>
      <c r="N186" s="64"/>
      <c r="O186" s="62"/>
    </row>
    <row r="187" spans="4:15" s="39" customFormat="1">
      <c r="D187" s="56"/>
      <c r="E187" s="56"/>
      <c r="F187" s="58"/>
      <c r="G187" s="58"/>
      <c r="I187" s="74"/>
      <c r="J187" s="62"/>
      <c r="L187" s="62"/>
      <c r="M187" s="64"/>
      <c r="N187" s="64"/>
      <c r="O187" s="62"/>
    </row>
    <row r="188" spans="4:15" s="39" customFormat="1">
      <c r="D188" s="56"/>
      <c r="E188" s="56"/>
      <c r="F188" s="58"/>
      <c r="G188" s="58"/>
      <c r="I188" s="74"/>
      <c r="J188" s="62"/>
      <c r="L188" s="62"/>
      <c r="M188" s="64"/>
      <c r="N188" s="64"/>
      <c r="O188" s="62"/>
    </row>
    <row r="189" spans="4:15" s="39" customFormat="1">
      <c r="D189" s="56"/>
      <c r="E189" s="56"/>
      <c r="F189" s="58"/>
      <c r="G189" s="58"/>
      <c r="I189" s="74"/>
      <c r="J189" s="62"/>
      <c r="L189" s="62"/>
      <c r="M189" s="64"/>
      <c r="N189" s="64"/>
      <c r="O189" s="62"/>
    </row>
    <row r="190" spans="4:15" s="39" customFormat="1">
      <c r="D190" s="56"/>
      <c r="E190" s="56"/>
      <c r="F190" s="58"/>
      <c r="G190" s="58"/>
      <c r="I190" s="74"/>
      <c r="J190" s="62"/>
      <c r="L190" s="62"/>
      <c r="M190" s="64"/>
      <c r="N190" s="64"/>
      <c r="O190" s="62"/>
    </row>
    <row r="191" spans="4:15" s="39" customFormat="1">
      <c r="D191" s="56"/>
      <c r="E191" s="56"/>
      <c r="F191" s="58"/>
      <c r="G191" s="58"/>
      <c r="I191" s="74"/>
      <c r="J191" s="62"/>
      <c r="L191" s="62"/>
      <c r="M191" s="64"/>
      <c r="N191" s="64"/>
      <c r="O191" s="62"/>
    </row>
    <row r="192" spans="4:15" s="39" customFormat="1">
      <c r="D192" s="56"/>
      <c r="E192" s="56"/>
      <c r="F192" s="58"/>
      <c r="G192" s="58"/>
      <c r="I192" s="74"/>
      <c r="J192" s="62"/>
      <c r="L192" s="62"/>
      <c r="M192" s="64"/>
      <c r="N192" s="64"/>
      <c r="O192" s="62"/>
    </row>
    <row r="193" spans="4:15" s="39" customFormat="1">
      <c r="D193" s="56"/>
      <c r="E193" s="56"/>
      <c r="F193" s="58"/>
      <c r="G193" s="58"/>
      <c r="I193" s="74"/>
      <c r="J193" s="62"/>
      <c r="L193" s="62"/>
      <c r="M193" s="64"/>
      <c r="N193" s="64"/>
      <c r="O193" s="62"/>
    </row>
    <row r="194" spans="4:15" s="39" customFormat="1">
      <c r="D194" s="56"/>
      <c r="E194" s="56"/>
      <c r="F194" s="58"/>
      <c r="G194" s="58"/>
      <c r="I194" s="74"/>
      <c r="J194" s="62"/>
      <c r="L194" s="62"/>
      <c r="M194" s="64"/>
      <c r="N194" s="64"/>
      <c r="O194" s="62"/>
    </row>
    <row r="195" spans="4:15" s="39" customFormat="1">
      <c r="D195" s="56"/>
      <c r="E195" s="56"/>
      <c r="F195" s="58"/>
      <c r="G195" s="58"/>
      <c r="I195" s="74"/>
      <c r="J195" s="62"/>
      <c r="L195" s="62"/>
      <c r="M195" s="64"/>
      <c r="N195" s="64"/>
      <c r="O195" s="62"/>
    </row>
    <row r="196" spans="4:15" s="39" customFormat="1">
      <c r="D196" s="56"/>
      <c r="E196" s="56"/>
      <c r="F196" s="58"/>
      <c r="G196" s="58"/>
      <c r="I196" s="74"/>
      <c r="J196" s="62"/>
      <c r="L196" s="62"/>
      <c r="M196" s="64"/>
      <c r="N196" s="64"/>
      <c r="O196" s="62"/>
    </row>
    <row r="197" spans="4:15" s="39" customFormat="1">
      <c r="D197" s="56"/>
      <c r="E197" s="56"/>
      <c r="F197" s="58"/>
      <c r="G197" s="58"/>
      <c r="I197" s="74"/>
      <c r="J197" s="62"/>
      <c r="L197" s="62"/>
      <c r="M197" s="64"/>
      <c r="N197" s="64"/>
      <c r="O197" s="62"/>
    </row>
    <row r="198" spans="4:15" s="39" customFormat="1">
      <c r="D198" s="56"/>
      <c r="E198" s="56"/>
      <c r="F198" s="58"/>
      <c r="G198" s="58"/>
      <c r="I198" s="74"/>
      <c r="J198" s="62"/>
      <c r="L198" s="62"/>
      <c r="M198" s="64"/>
      <c r="N198" s="64"/>
      <c r="O198" s="62"/>
    </row>
    <row r="199" spans="4:15" s="39" customFormat="1">
      <c r="D199" s="56"/>
      <c r="E199" s="56"/>
      <c r="F199" s="58"/>
      <c r="G199" s="58"/>
      <c r="I199" s="74"/>
      <c r="J199" s="62"/>
      <c r="L199" s="62"/>
      <c r="M199" s="64"/>
      <c r="N199" s="64"/>
      <c r="O199" s="62"/>
    </row>
    <row r="200" spans="4:15" s="39" customFormat="1">
      <c r="D200" s="56"/>
      <c r="E200" s="56"/>
      <c r="F200" s="58"/>
      <c r="G200" s="58"/>
      <c r="I200" s="74"/>
      <c r="J200" s="62"/>
      <c r="L200" s="62"/>
      <c r="M200" s="64"/>
      <c r="N200" s="64"/>
      <c r="O200" s="62"/>
    </row>
    <row r="201" spans="4:15" s="39" customFormat="1">
      <c r="D201" s="56"/>
      <c r="E201" s="56"/>
      <c r="F201" s="58"/>
      <c r="G201" s="58"/>
      <c r="I201" s="74"/>
      <c r="J201" s="62"/>
      <c r="L201" s="62"/>
      <c r="M201" s="64"/>
      <c r="N201" s="64"/>
      <c r="O201" s="62"/>
    </row>
    <row r="202" spans="4:15" s="39" customFormat="1">
      <c r="D202" s="56"/>
      <c r="E202" s="56"/>
      <c r="F202" s="58"/>
      <c r="G202" s="58"/>
      <c r="I202" s="74"/>
      <c r="J202" s="62"/>
      <c r="L202" s="62"/>
      <c r="M202" s="64"/>
      <c r="N202" s="64"/>
      <c r="O202" s="62"/>
    </row>
    <row r="203" spans="4:15" s="39" customFormat="1">
      <c r="D203" s="56"/>
      <c r="E203" s="56"/>
      <c r="F203" s="58"/>
      <c r="G203" s="58"/>
      <c r="I203" s="74"/>
      <c r="J203" s="62"/>
      <c r="L203" s="62"/>
      <c r="M203" s="64"/>
      <c r="N203" s="64"/>
      <c r="O203" s="62"/>
    </row>
    <row r="204" spans="4:15" s="39" customFormat="1">
      <c r="D204" s="56"/>
      <c r="E204" s="56"/>
      <c r="F204" s="58"/>
      <c r="G204" s="58"/>
      <c r="I204" s="74"/>
      <c r="J204" s="62"/>
      <c r="L204" s="62"/>
      <c r="M204" s="64"/>
      <c r="N204" s="64"/>
      <c r="O204" s="62"/>
    </row>
    <row r="205" spans="4:15" s="39" customFormat="1">
      <c r="D205" s="56"/>
      <c r="E205" s="56"/>
      <c r="F205" s="58"/>
      <c r="G205" s="58"/>
      <c r="I205" s="74"/>
      <c r="J205" s="62"/>
      <c r="L205" s="62"/>
      <c r="M205" s="64"/>
      <c r="N205" s="64"/>
      <c r="O205" s="62"/>
    </row>
    <row r="206" spans="4:15" s="39" customFormat="1">
      <c r="D206" s="56"/>
      <c r="E206" s="56"/>
      <c r="F206" s="58"/>
      <c r="G206" s="58"/>
      <c r="I206" s="74"/>
      <c r="J206" s="62"/>
      <c r="L206" s="62"/>
      <c r="M206" s="64"/>
      <c r="N206" s="64"/>
      <c r="O206" s="62"/>
    </row>
    <row r="207" spans="4:15" s="39" customFormat="1">
      <c r="D207" s="56"/>
      <c r="E207" s="56"/>
      <c r="F207" s="58"/>
      <c r="G207" s="58"/>
      <c r="I207" s="74"/>
      <c r="J207" s="62"/>
      <c r="L207" s="62"/>
      <c r="M207" s="64"/>
      <c r="N207" s="64"/>
      <c r="O207" s="62"/>
    </row>
    <row r="208" spans="4:15" s="39" customFormat="1">
      <c r="D208" s="56"/>
      <c r="E208" s="56"/>
      <c r="F208" s="58"/>
      <c r="G208" s="58"/>
      <c r="I208" s="74"/>
      <c r="J208" s="62"/>
      <c r="L208" s="62"/>
      <c r="M208" s="64"/>
      <c r="N208" s="64"/>
      <c r="O208" s="62"/>
    </row>
    <row r="209" spans="4:15" s="39" customFormat="1">
      <c r="D209" s="56"/>
      <c r="E209" s="56"/>
      <c r="F209" s="58"/>
      <c r="G209" s="58"/>
      <c r="I209" s="74"/>
      <c r="J209" s="62"/>
      <c r="L209" s="62"/>
      <c r="M209" s="64"/>
      <c r="N209" s="64"/>
      <c r="O209" s="62"/>
    </row>
    <row r="210" spans="4:15" s="39" customFormat="1">
      <c r="D210" s="56"/>
      <c r="E210" s="56"/>
      <c r="F210" s="58"/>
      <c r="G210" s="58"/>
      <c r="I210" s="74"/>
      <c r="J210" s="62"/>
      <c r="L210" s="62"/>
      <c r="M210" s="64"/>
      <c r="N210" s="64"/>
      <c r="O210" s="62"/>
    </row>
    <row r="211" spans="4:15" s="39" customFormat="1">
      <c r="D211" s="56"/>
      <c r="E211" s="56"/>
      <c r="F211" s="58"/>
      <c r="G211" s="58"/>
      <c r="I211" s="74"/>
      <c r="J211" s="62"/>
      <c r="L211" s="62"/>
      <c r="M211" s="64"/>
      <c r="N211" s="64"/>
      <c r="O211" s="62"/>
    </row>
    <row r="212" spans="4:15" s="39" customFormat="1">
      <c r="D212" s="56"/>
      <c r="E212" s="56"/>
      <c r="F212" s="58"/>
      <c r="G212" s="58"/>
      <c r="I212" s="74"/>
      <c r="J212" s="62"/>
      <c r="L212" s="62"/>
      <c r="M212" s="64"/>
      <c r="N212" s="64"/>
      <c r="O212" s="62"/>
    </row>
    <row r="213" spans="4:15" s="39" customFormat="1">
      <c r="D213" s="56"/>
      <c r="E213" s="56"/>
      <c r="F213" s="58"/>
      <c r="G213" s="58"/>
      <c r="I213" s="74"/>
      <c r="J213" s="62"/>
      <c r="L213" s="62"/>
      <c r="M213" s="64"/>
      <c r="N213" s="64"/>
      <c r="O213" s="62"/>
    </row>
    <row r="214" spans="4:15" s="39" customFormat="1">
      <c r="D214" s="56"/>
      <c r="E214" s="56"/>
      <c r="F214" s="58"/>
      <c r="G214" s="58"/>
      <c r="I214" s="74"/>
      <c r="J214" s="62"/>
      <c r="L214" s="62"/>
      <c r="M214" s="64"/>
      <c r="N214" s="64"/>
      <c r="O214" s="62"/>
    </row>
    <row r="215" spans="4:15" s="39" customFormat="1">
      <c r="D215" s="56"/>
      <c r="E215" s="56"/>
      <c r="F215" s="58"/>
      <c r="G215" s="58"/>
      <c r="I215" s="74"/>
      <c r="J215" s="62"/>
      <c r="L215" s="62"/>
      <c r="M215" s="64"/>
      <c r="N215" s="64"/>
      <c r="O215" s="62"/>
    </row>
    <row r="216" spans="4:15" s="39" customFormat="1">
      <c r="D216" s="56"/>
      <c r="E216" s="56"/>
      <c r="F216" s="58"/>
      <c r="G216" s="58"/>
      <c r="I216" s="74"/>
      <c r="J216" s="62"/>
      <c r="L216" s="62"/>
      <c r="M216" s="64"/>
      <c r="N216" s="64"/>
      <c r="O216" s="62"/>
    </row>
    <row r="217" spans="4:15" s="39" customFormat="1">
      <c r="D217" s="56"/>
      <c r="E217" s="56"/>
      <c r="F217" s="58"/>
      <c r="G217" s="58"/>
      <c r="I217" s="74"/>
      <c r="J217" s="62"/>
      <c r="L217" s="62"/>
      <c r="M217" s="64"/>
      <c r="N217" s="64"/>
      <c r="O217" s="62"/>
    </row>
    <row r="218" spans="4:15" s="39" customFormat="1">
      <c r="D218" s="56"/>
      <c r="E218" s="56"/>
      <c r="F218" s="58"/>
      <c r="G218" s="58"/>
      <c r="I218" s="74"/>
      <c r="J218" s="62"/>
      <c r="L218" s="62"/>
      <c r="M218" s="64"/>
      <c r="N218" s="64"/>
      <c r="O218" s="62"/>
    </row>
    <row r="219" spans="4:15" s="39" customFormat="1">
      <c r="D219" s="56"/>
      <c r="E219" s="56"/>
      <c r="F219" s="58"/>
      <c r="G219" s="58"/>
      <c r="I219" s="74"/>
      <c r="J219" s="62"/>
      <c r="L219" s="62"/>
      <c r="M219" s="64"/>
      <c r="N219" s="64"/>
      <c r="O219" s="62"/>
    </row>
    <row r="220" spans="4:15" s="39" customFormat="1">
      <c r="D220" s="56"/>
      <c r="E220" s="56"/>
      <c r="F220" s="58"/>
      <c r="G220" s="58"/>
      <c r="I220" s="74"/>
      <c r="J220" s="62"/>
      <c r="L220" s="62"/>
      <c r="M220" s="64"/>
      <c r="N220" s="64"/>
      <c r="O220" s="62"/>
    </row>
    <row r="221" spans="4:15" s="39" customFormat="1">
      <c r="D221" s="56"/>
      <c r="E221" s="56"/>
      <c r="F221" s="58"/>
      <c r="G221" s="58"/>
      <c r="I221" s="74"/>
      <c r="J221" s="62"/>
      <c r="L221" s="62"/>
      <c r="M221" s="64"/>
      <c r="N221" s="64"/>
      <c r="O221" s="62"/>
    </row>
    <row r="222" spans="4:15" s="39" customFormat="1">
      <c r="D222" s="56"/>
      <c r="E222" s="56"/>
      <c r="F222" s="58"/>
      <c r="G222" s="58"/>
      <c r="I222" s="74"/>
      <c r="J222" s="62"/>
      <c r="L222" s="62"/>
      <c r="M222" s="64"/>
      <c r="N222" s="64"/>
      <c r="O222" s="62"/>
    </row>
    <row r="223" spans="4:15" s="39" customFormat="1">
      <c r="D223" s="56"/>
      <c r="E223" s="56"/>
      <c r="F223" s="58"/>
      <c r="G223" s="58"/>
      <c r="I223" s="74"/>
      <c r="J223" s="62"/>
      <c r="L223" s="62"/>
      <c r="M223" s="64"/>
      <c r="N223" s="64"/>
      <c r="O223" s="62"/>
    </row>
    <row r="224" spans="4:15" s="39" customFormat="1">
      <c r="D224" s="56"/>
      <c r="E224" s="56"/>
      <c r="F224" s="58"/>
      <c r="G224" s="58"/>
      <c r="I224" s="74"/>
      <c r="J224" s="62"/>
      <c r="L224" s="62"/>
      <c r="M224" s="64"/>
      <c r="N224" s="64"/>
      <c r="O224" s="62"/>
    </row>
    <row r="225" spans="4:15" s="39" customFormat="1">
      <c r="D225" s="56"/>
      <c r="E225" s="56"/>
      <c r="F225" s="58"/>
      <c r="G225" s="58"/>
      <c r="I225" s="74"/>
      <c r="J225" s="62"/>
      <c r="L225" s="62"/>
      <c r="M225" s="64"/>
      <c r="N225" s="64"/>
      <c r="O225" s="62"/>
    </row>
    <row r="226" spans="4:15" s="39" customFormat="1">
      <c r="D226" s="56"/>
      <c r="E226" s="56"/>
      <c r="F226" s="58"/>
      <c r="G226" s="58"/>
      <c r="I226" s="74"/>
      <c r="J226" s="62"/>
      <c r="L226" s="62"/>
      <c r="M226" s="64"/>
      <c r="N226" s="64"/>
      <c r="O226" s="62"/>
    </row>
    <row r="227" spans="4:15" s="39" customFormat="1">
      <c r="D227" s="56"/>
      <c r="E227" s="56"/>
      <c r="F227" s="58"/>
      <c r="G227" s="58"/>
      <c r="I227" s="74"/>
      <c r="J227" s="62"/>
      <c r="L227" s="62"/>
      <c r="M227" s="64"/>
      <c r="N227" s="64"/>
      <c r="O227" s="62"/>
    </row>
    <row r="228" spans="4:15" s="39" customFormat="1">
      <c r="D228" s="56"/>
      <c r="E228" s="56"/>
      <c r="F228" s="58"/>
      <c r="G228" s="58"/>
      <c r="I228" s="74"/>
      <c r="J228" s="62"/>
      <c r="L228" s="62"/>
      <c r="M228" s="64"/>
      <c r="N228" s="64"/>
      <c r="O228" s="62"/>
    </row>
    <row r="229" spans="4:15" s="39" customFormat="1">
      <c r="D229" s="56"/>
      <c r="E229" s="56"/>
      <c r="F229" s="58"/>
      <c r="G229" s="58"/>
      <c r="I229" s="74"/>
      <c r="J229" s="62"/>
      <c r="L229" s="62"/>
      <c r="M229" s="64"/>
      <c r="N229" s="64"/>
      <c r="O229" s="62"/>
    </row>
    <row r="230" spans="4:15" s="39" customFormat="1">
      <c r="D230" s="56"/>
      <c r="E230" s="56"/>
      <c r="F230" s="58"/>
      <c r="G230" s="58"/>
      <c r="I230" s="74"/>
      <c r="J230" s="62"/>
      <c r="L230" s="62"/>
      <c r="M230" s="64"/>
      <c r="N230" s="64"/>
      <c r="O230" s="62"/>
    </row>
    <row r="231" spans="4:15" s="39" customFormat="1">
      <c r="D231" s="56"/>
      <c r="E231" s="56"/>
      <c r="F231" s="58"/>
      <c r="G231" s="58"/>
      <c r="I231" s="74"/>
      <c r="J231" s="62"/>
      <c r="L231" s="62"/>
      <c r="M231" s="64"/>
      <c r="N231" s="64"/>
      <c r="O231" s="62"/>
    </row>
    <row r="232" spans="4:15" s="39" customFormat="1">
      <c r="D232" s="56"/>
      <c r="E232" s="56"/>
      <c r="F232" s="58"/>
      <c r="G232" s="58"/>
      <c r="I232" s="74"/>
      <c r="J232" s="62"/>
      <c r="L232" s="62"/>
      <c r="M232" s="64"/>
      <c r="N232" s="64"/>
      <c r="O232" s="62"/>
    </row>
    <row r="233" spans="4:15" s="39" customFormat="1">
      <c r="D233" s="56"/>
      <c r="E233" s="56"/>
      <c r="F233" s="58"/>
      <c r="G233" s="58"/>
      <c r="I233" s="74"/>
      <c r="J233" s="62"/>
      <c r="L233" s="62"/>
      <c r="M233" s="64"/>
      <c r="N233" s="64"/>
      <c r="O233" s="62"/>
    </row>
    <row r="234" spans="4:15" s="39" customFormat="1">
      <c r="D234" s="56"/>
      <c r="E234" s="56"/>
      <c r="F234" s="58"/>
      <c r="G234" s="58"/>
      <c r="I234" s="74"/>
      <c r="J234" s="62"/>
      <c r="L234" s="62"/>
      <c r="M234" s="64"/>
      <c r="N234" s="64"/>
      <c r="O234" s="62"/>
    </row>
    <row r="235" spans="4:15" s="39" customFormat="1">
      <c r="D235" s="56"/>
      <c r="E235" s="56"/>
      <c r="F235" s="58"/>
      <c r="G235" s="58"/>
      <c r="I235" s="74"/>
      <c r="J235" s="62"/>
      <c r="L235" s="62"/>
      <c r="M235" s="64"/>
      <c r="N235" s="64"/>
      <c r="O235" s="62"/>
    </row>
    <row r="236" spans="4:15" s="39" customFormat="1">
      <c r="D236" s="56"/>
      <c r="E236" s="56"/>
      <c r="F236" s="58"/>
      <c r="G236" s="58"/>
      <c r="I236" s="74"/>
      <c r="J236" s="62"/>
      <c r="L236" s="62"/>
      <c r="M236" s="64"/>
      <c r="N236" s="64"/>
      <c r="O236" s="62"/>
    </row>
    <row r="237" spans="4:15" s="39" customFormat="1">
      <c r="D237" s="56"/>
      <c r="E237" s="56"/>
      <c r="F237" s="58"/>
      <c r="G237" s="58"/>
      <c r="I237" s="74"/>
      <c r="J237" s="62"/>
      <c r="L237" s="62"/>
      <c r="M237" s="64"/>
      <c r="N237" s="64"/>
      <c r="O237" s="62"/>
    </row>
    <row r="238" spans="4:15" s="39" customFormat="1">
      <c r="D238" s="56"/>
      <c r="E238" s="56"/>
      <c r="F238" s="58"/>
      <c r="G238" s="58"/>
      <c r="I238" s="74"/>
      <c r="J238" s="62"/>
      <c r="L238" s="62"/>
      <c r="M238" s="64"/>
      <c r="N238" s="64"/>
      <c r="O238" s="62"/>
    </row>
    <row r="239" spans="4:15" s="39" customFormat="1">
      <c r="D239" s="56"/>
      <c r="E239" s="56"/>
      <c r="F239" s="58"/>
      <c r="G239" s="58"/>
      <c r="I239" s="74"/>
      <c r="J239" s="62"/>
      <c r="L239" s="62"/>
      <c r="M239" s="64"/>
      <c r="N239" s="64"/>
      <c r="O239" s="62"/>
    </row>
    <row r="240" spans="4:15" s="39" customFormat="1">
      <c r="D240" s="56"/>
      <c r="E240" s="56"/>
      <c r="F240" s="58"/>
      <c r="G240" s="58"/>
      <c r="I240" s="74"/>
      <c r="J240" s="62"/>
      <c r="L240" s="62"/>
      <c r="M240" s="64"/>
      <c r="N240" s="64"/>
      <c r="O240" s="62"/>
    </row>
    <row r="241" spans="4:15" s="39" customFormat="1">
      <c r="D241" s="56"/>
      <c r="E241" s="56"/>
      <c r="F241" s="58"/>
      <c r="G241" s="58"/>
      <c r="I241" s="74"/>
      <c r="J241" s="62"/>
      <c r="L241" s="62"/>
      <c r="M241" s="64"/>
      <c r="N241" s="64"/>
      <c r="O241" s="62"/>
    </row>
    <row r="242" spans="4:15" s="39" customFormat="1">
      <c r="D242" s="56"/>
      <c r="E242" s="56"/>
      <c r="F242" s="58"/>
      <c r="G242" s="58"/>
      <c r="I242" s="74"/>
      <c r="J242" s="62"/>
      <c r="L242" s="62"/>
      <c r="M242" s="64"/>
      <c r="N242" s="64"/>
      <c r="O242" s="62"/>
    </row>
    <row r="243" spans="4:15" s="39" customFormat="1">
      <c r="D243" s="56"/>
      <c r="E243" s="56"/>
      <c r="F243" s="58"/>
      <c r="G243" s="58"/>
      <c r="I243" s="74"/>
      <c r="J243" s="62"/>
      <c r="L243" s="62"/>
      <c r="M243" s="64"/>
      <c r="N243" s="64"/>
      <c r="O243" s="62"/>
    </row>
    <row r="244" spans="4:15" s="39" customFormat="1">
      <c r="D244" s="56"/>
      <c r="E244" s="56"/>
      <c r="F244" s="58"/>
      <c r="G244" s="58"/>
      <c r="I244" s="74"/>
      <c r="J244" s="62"/>
      <c r="L244" s="62"/>
      <c r="M244" s="64"/>
      <c r="N244" s="64"/>
      <c r="O244" s="62"/>
    </row>
    <row r="245" spans="4:15" s="39" customFormat="1">
      <c r="D245" s="56"/>
      <c r="E245" s="56"/>
      <c r="F245" s="58"/>
      <c r="G245" s="58"/>
      <c r="I245" s="74"/>
      <c r="J245" s="62"/>
      <c r="L245" s="62"/>
      <c r="M245" s="64"/>
      <c r="N245" s="64"/>
      <c r="O245" s="62"/>
    </row>
    <row r="246" spans="4:15" s="39" customFormat="1">
      <c r="D246" s="56"/>
      <c r="E246" s="56"/>
      <c r="F246" s="58"/>
      <c r="G246" s="58"/>
      <c r="I246" s="74"/>
      <c r="J246" s="62"/>
      <c r="L246" s="62"/>
      <c r="M246" s="64"/>
      <c r="N246" s="64"/>
      <c r="O246" s="62"/>
    </row>
    <row r="247" spans="4:15" s="39" customFormat="1">
      <c r="D247" s="56"/>
      <c r="E247" s="56"/>
      <c r="F247" s="58"/>
      <c r="G247" s="58"/>
      <c r="I247" s="74"/>
      <c r="J247" s="62"/>
      <c r="L247" s="62"/>
      <c r="M247" s="64"/>
      <c r="N247" s="64"/>
      <c r="O247" s="62"/>
    </row>
    <row r="248" spans="4:15" s="39" customFormat="1">
      <c r="D248" s="56"/>
      <c r="E248" s="56"/>
      <c r="F248" s="58"/>
      <c r="G248" s="58"/>
      <c r="I248" s="74"/>
      <c r="J248" s="62"/>
      <c r="L248" s="62"/>
      <c r="M248" s="64"/>
      <c r="N248" s="64"/>
      <c r="O248" s="62"/>
    </row>
    <row r="249" spans="4:15" s="39" customFormat="1">
      <c r="D249" s="56"/>
      <c r="E249" s="56"/>
      <c r="F249" s="58"/>
      <c r="G249" s="58"/>
      <c r="I249" s="74"/>
      <c r="J249" s="62"/>
      <c r="L249" s="62"/>
      <c r="M249" s="64"/>
      <c r="N249" s="64"/>
      <c r="O249" s="62"/>
    </row>
    <row r="250" spans="4:15" s="39" customFormat="1">
      <c r="D250" s="56"/>
      <c r="E250" s="56"/>
      <c r="F250" s="58"/>
      <c r="G250" s="58"/>
      <c r="I250" s="74"/>
      <c r="J250" s="62"/>
      <c r="L250" s="62"/>
      <c r="M250" s="64"/>
      <c r="N250" s="64"/>
      <c r="O250" s="62"/>
    </row>
    <row r="251" spans="4:15" s="39" customFormat="1">
      <c r="D251" s="56"/>
      <c r="E251" s="56"/>
      <c r="F251" s="58"/>
      <c r="G251" s="58"/>
      <c r="I251" s="74"/>
      <c r="J251" s="62"/>
      <c r="L251" s="62"/>
      <c r="M251" s="64"/>
      <c r="N251" s="64"/>
      <c r="O251" s="62"/>
    </row>
    <row r="252" spans="4:15" s="39" customFormat="1">
      <c r="D252" s="56"/>
      <c r="E252" s="56"/>
      <c r="F252" s="58"/>
      <c r="G252" s="58"/>
      <c r="I252" s="74"/>
      <c r="J252" s="62"/>
      <c r="L252" s="62"/>
      <c r="M252" s="64"/>
      <c r="N252" s="64"/>
      <c r="O252" s="62"/>
    </row>
    <row r="253" spans="4:15" s="39" customFormat="1">
      <c r="D253" s="56"/>
      <c r="E253" s="56"/>
      <c r="F253" s="58"/>
      <c r="G253" s="58"/>
      <c r="I253" s="74"/>
      <c r="J253" s="62"/>
      <c r="L253" s="62"/>
      <c r="M253" s="64"/>
      <c r="N253" s="64"/>
      <c r="O253" s="62"/>
    </row>
    <row r="254" spans="4:15" s="39" customFormat="1">
      <c r="D254" s="56"/>
      <c r="E254" s="56"/>
      <c r="F254" s="58"/>
      <c r="G254" s="58"/>
      <c r="I254" s="74"/>
      <c r="J254" s="62"/>
      <c r="L254" s="62"/>
      <c r="M254" s="64"/>
      <c r="N254" s="64"/>
      <c r="O254" s="62"/>
    </row>
    <row r="255" spans="4:15" s="39" customFormat="1">
      <c r="D255" s="56"/>
      <c r="E255" s="56"/>
      <c r="F255" s="58"/>
      <c r="G255" s="58"/>
      <c r="I255" s="74"/>
      <c r="J255" s="62"/>
      <c r="L255" s="62"/>
      <c r="M255" s="64"/>
      <c r="N255" s="64"/>
      <c r="O255" s="62"/>
    </row>
    <row r="256" spans="4:15" s="39" customFormat="1">
      <c r="D256" s="56"/>
      <c r="E256" s="56"/>
      <c r="F256" s="58"/>
      <c r="G256" s="58"/>
      <c r="I256" s="74"/>
      <c r="J256" s="62"/>
      <c r="L256" s="62"/>
      <c r="M256" s="64"/>
      <c r="N256" s="64"/>
      <c r="O256" s="62"/>
    </row>
    <row r="257" spans="4:15" s="39" customFormat="1">
      <c r="D257" s="56"/>
      <c r="E257" s="56"/>
      <c r="F257" s="58"/>
      <c r="G257" s="58"/>
      <c r="I257" s="74"/>
      <c r="J257" s="62"/>
      <c r="L257" s="62"/>
      <c r="M257" s="64"/>
      <c r="N257" s="64"/>
      <c r="O257" s="62"/>
    </row>
    <row r="258" spans="4:15" s="39" customFormat="1">
      <c r="D258" s="56"/>
      <c r="E258" s="56"/>
      <c r="F258" s="58"/>
      <c r="G258" s="58"/>
      <c r="I258" s="74"/>
      <c r="J258" s="62"/>
      <c r="L258" s="62"/>
      <c r="M258" s="64"/>
      <c r="N258" s="64"/>
      <c r="O258" s="62"/>
    </row>
    <row r="259" spans="4:15" s="39" customFormat="1">
      <c r="D259" s="56"/>
      <c r="E259" s="56"/>
      <c r="F259" s="58"/>
      <c r="G259" s="58"/>
      <c r="I259" s="74"/>
      <c r="J259" s="62"/>
      <c r="L259" s="62"/>
      <c r="M259" s="64"/>
      <c r="N259" s="64"/>
      <c r="O259" s="62"/>
    </row>
    <row r="260" spans="4:15" s="39" customFormat="1">
      <c r="D260" s="56"/>
      <c r="E260" s="56"/>
      <c r="F260" s="58"/>
      <c r="G260" s="58"/>
      <c r="I260" s="74"/>
      <c r="J260" s="62"/>
      <c r="L260" s="62"/>
      <c r="M260" s="64"/>
      <c r="N260" s="64"/>
      <c r="O260" s="62"/>
    </row>
    <row r="261" spans="4:15" s="39" customFormat="1">
      <c r="D261" s="56"/>
      <c r="E261" s="56"/>
      <c r="F261" s="58"/>
      <c r="G261" s="58"/>
      <c r="I261" s="74"/>
      <c r="J261" s="62"/>
      <c r="L261" s="62"/>
      <c r="M261" s="64"/>
      <c r="N261" s="64"/>
      <c r="O261" s="62"/>
    </row>
    <row r="262" spans="4:15" s="39" customFormat="1">
      <c r="D262" s="56"/>
      <c r="E262" s="56"/>
      <c r="F262" s="58"/>
      <c r="G262" s="58"/>
      <c r="I262" s="74"/>
      <c r="J262" s="62"/>
      <c r="L262" s="62"/>
      <c r="M262" s="64"/>
      <c r="N262" s="64"/>
      <c r="O262" s="62"/>
    </row>
    <row r="263" spans="4:15" s="39" customFormat="1">
      <c r="D263" s="56"/>
      <c r="E263" s="56"/>
      <c r="F263" s="58"/>
      <c r="G263" s="58"/>
      <c r="I263" s="74"/>
      <c r="J263" s="62"/>
      <c r="L263" s="62"/>
      <c r="M263" s="64"/>
      <c r="N263" s="64"/>
      <c r="O263" s="62"/>
    </row>
    <row r="264" spans="4:15" s="39" customFormat="1">
      <c r="D264" s="56"/>
      <c r="E264" s="56"/>
      <c r="F264" s="58"/>
      <c r="G264" s="58"/>
      <c r="I264" s="74"/>
      <c r="J264" s="62"/>
      <c r="L264" s="62"/>
      <c r="M264" s="64"/>
      <c r="N264" s="64"/>
      <c r="O264" s="62"/>
    </row>
    <row r="265" spans="4:15" s="39" customFormat="1">
      <c r="D265" s="56"/>
      <c r="E265" s="56"/>
      <c r="F265" s="58"/>
      <c r="G265" s="58"/>
      <c r="I265" s="74"/>
      <c r="J265" s="62"/>
      <c r="L265" s="62"/>
      <c r="M265" s="64"/>
      <c r="N265" s="64"/>
      <c r="O265" s="62"/>
    </row>
    <row r="266" spans="4:15" s="39" customFormat="1">
      <c r="D266" s="56"/>
      <c r="E266" s="56"/>
      <c r="F266" s="58"/>
      <c r="G266" s="58"/>
      <c r="I266" s="74"/>
      <c r="J266" s="62"/>
      <c r="L266" s="62"/>
      <c r="M266" s="64"/>
      <c r="N266" s="64"/>
      <c r="O266" s="62"/>
    </row>
    <row r="267" spans="4:15" s="39" customFormat="1">
      <c r="D267" s="56"/>
      <c r="E267" s="56"/>
      <c r="F267" s="58"/>
      <c r="G267" s="58"/>
      <c r="I267" s="74"/>
      <c r="J267" s="62"/>
      <c r="L267" s="62"/>
      <c r="M267" s="64"/>
      <c r="N267" s="64"/>
      <c r="O267" s="62"/>
    </row>
    <row r="268" spans="4:15" s="39" customFormat="1">
      <c r="D268" s="56"/>
      <c r="E268" s="56"/>
      <c r="F268" s="58"/>
      <c r="G268" s="58"/>
      <c r="I268" s="74"/>
      <c r="J268" s="62"/>
      <c r="L268" s="62"/>
      <c r="M268" s="64"/>
      <c r="N268" s="64"/>
      <c r="O268" s="62"/>
    </row>
    <row r="269" spans="4:15" s="39" customFormat="1">
      <c r="D269" s="56"/>
      <c r="E269" s="56"/>
      <c r="F269" s="58"/>
      <c r="G269" s="58"/>
      <c r="I269" s="74"/>
      <c r="J269" s="62"/>
      <c r="L269" s="62"/>
      <c r="M269" s="64"/>
      <c r="N269" s="64"/>
      <c r="O269" s="62"/>
    </row>
    <row r="270" spans="4:15" s="39" customFormat="1">
      <c r="D270" s="56"/>
      <c r="E270" s="56"/>
      <c r="F270" s="58"/>
      <c r="G270" s="58"/>
      <c r="I270" s="74"/>
      <c r="J270" s="62"/>
      <c r="L270" s="62"/>
      <c r="M270" s="64"/>
      <c r="N270" s="64"/>
      <c r="O270" s="62"/>
    </row>
    <row r="271" spans="4:15" s="39" customFormat="1">
      <c r="D271" s="56"/>
      <c r="E271" s="56"/>
      <c r="F271" s="58"/>
      <c r="G271" s="58"/>
      <c r="I271" s="74"/>
      <c r="J271" s="62"/>
      <c r="L271" s="62"/>
      <c r="M271" s="64"/>
      <c r="N271" s="64"/>
      <c r="O271" s="62"/>
    </row>
    <row r="272" spans="4:15" s="39" customFormat="1">
      <c r="D272" s="56"/>
      <c r="E272" s="56"/>
      <c r="F272" s="58"/>
      <c r="G272" s="58"/>
      <c r="I272" s="74"/>
      <c r="J272" s="62"/>
      <c r="L272" s="62"/>
      <c r="M272" s="64"/>
      <c r="N272" s="64"/>
      <c r="O272" s="62"/>
    </row>
    <row r="273" spans="4:15" s="39" customFormat="1">
      <c r="D273" s="56"/>
      <c r="E273" s="56"/>
      <c r="F273" s="58"/>
      <c r="G273" s="58"/>
      <c r="I273" s="74"/>
      <c r="J273" s="62"/>
      <c r="L273" s="62"/>
      <c r="M273" s="64"/>
      <c r="N273" s="64"/>
      <c r="O273" s="62"/>
    </row>
    <row r="274" spans="4:15" s="39" customFormat="1">
      <c r="D274" s="56"/>
      <c r="E274" s="56"/>
      <c r="F274" s="58"/>
      <c r="G274" s="58"/>
      <c r="I274" s="74"/>
      <c r="J274" s="62"/>
      <c r="L274" s="62"/>
      <c r="M274" s="64"/>
      <c r="N274" s="64"/>
      <c r="O274" s="62"/>
    </row>
    <row r="275" spans="4:15" s="39" customFormat="1">
      <c r="D275" s="56"/>
      <c r="E275" s="56"/>
      <c r="F275" s="58"/>
      <c r="G275" s="58"/>
      <c r="I275" s="74"/>
      <c r="J275" s="62"/>
      <c r="L275" s="62"/>
      <c r="M275" s="64"/>
      <c r="N275" s="64"/>
      <c r="O275" s="62"/>
    </row>
    <row r="276" spans="4:15" s="39" customFormat="1">
      <c r="D276" s="56"/>
      <c r="E276" s="56"/>
      <c r="F276" s="58"/>
      <c r="G276" s="58"/>
      <c r="I276" s="74"/>
      <c r="J276" s="62"/>
      <c r="L276" s="62"/>
      <c r="M276" s="64"/>
      <c r="N276" s="64"/>
      <c r="O276" s="62"/>
    </row>
    <row r="277" spans="4:15" s="39" customFormat="1">
      <c r="D277" s="56"/>
      <c r="E277" s="56"/>
      <c r="F277" s="58"/>
      <c r="G277" s="58"/>
      <c r="I277" s="74"/>
      <c r="J277" s="62"/>
      <c r="L277" s="62"/>
      <c r="M277" s="64"/>
      <c r="N277" s="64"/>
      <c r="O277" s="62"/>
    </row>
    <row r="278" spans="4:15" s="39" customFormat="1">
      <c r="D278" s="56"/>
      <c r="E278" s="56"/>
      <c r="F278" s="58"/>
      <c r="G278" s="58"/>
      <c r="I278" s="74"/>
      <c r="J278" s="62"/>
      <c r="L278" s="62"/>
      <c r="M278" s="64"/>
      <c r="N278" s="64"/>
      <c r="O278" s="62"/>
    </row>
    <row r="279" spans="4:15" s="39" customFormat="1">
      <c r="D279" s="56"/>
      <c r="E279" s="56"/>
      <c r="F279" s="58"/>
      <c r="G279" s="58"/>
      <c r="I279" s="74"/>
      <c r="J279" s="62"/>
      <c r="L279" s="62"/>
      <c r="M279" s="64"/>
      <c r="N279" s="64"/>
      <c r="O279" s="62"/>
    </row>
    <row r="280" spans="4:15" s="39" customFormat="1">
      <c r="D280" s="56"/>
      <c r="E280" s="56"/>
      <c r="F280" s="58"/>
      <c r="G280" s="58"/>
      <c r="I280" s="74"/>
      <c r="J280" s="62"/>
      <c r="L280" s="62"/>
      <c r="M280" s="64"/>
      <c r="N280" s="64"/>
      <c r="O280" s="62"/>
    </row>
    <row r="281" spans="4:15" s="39" customFormat="1">
      <c r="D281" s="56"/>
      <c r="E281" s="56"/>
      <c r="F281" s="58"/>
      <c r="G281" s="58"/>
      <c r="I281" s="74"/>
      <c r="J281" s="62"/>
      <c r="L281" s="62"/>
      <c r="M281" s="64"/>
      <c r="N281" s="64"/>
      <c r="O281" s="62"/>
    </row>
    <row r="282" spans="4:15" s="39" customFormat="1">
      <c r="D282" s="56"/>
      <c r="E282" s="56"/>
      <c r="F282" s="58"/>
      <c r="G282" s="58"/>
      <c r="I282" s="74"/>
      <c r="J282" s="62"/>
      <c r="L282" s="62"/>
      <c r="M282" s="64"/>
      <c r="N282" s="64"/>
      <c r="O282" s="62"/>
    </row>
    <row r="283" spans="4:15" s="39" customFormat="1">
      <c r="D283" s="56"/>
      <c r="E283" s="56"/>
      <c r="F283" s="58"/>
      <c r="G283" s="58"/>
      <c r="I283" s="74"/>
      <c r="J283" s="62"/>
      <c r="L283" s="62"/>
      <c r="M283" s="64"/>
      <c r="N283" s="64"/>
      <c r="O283" s="62"/>
    </row>
    <row r="284" spans="4:15" s="39" customFormat="1">
      <c r="D284" s="56"/>
      <c r="E284" s="56"/>
      <c r="F284" s="58"/>
      <c r="G284" s="58"/>
      <c r="I284" s="74"/>
      <c r="J284" s="62"/>
      <c r="L284" s="62"/>
      <c r="M284" s="64"/>
      <c r="N284" s="64"/>
      <c r="O284" s="62"/>
    </row>
    <row r="285" spans="4:15" s="39" customFormat="1">
      <c r="D285" s="56"/>
      <c r="E285" s="56"/>
      <c r="F285" s="58"/>
      <c r="G285" s="58"/>
      <c r="I285" s="74"/>
      <c r="J285" s="62"/>
      <c r="L285" s="62"/>
      <c r="M285" s="64"/>
      <c r="N285" s="64"/>
      <c r="O285" s="62"/>
    </row>
    <row r="286" spans="4:15" s="39" customFormat="1">
      <c r="D286" s="56"/>
      <c r="E286" s="56"/>
      <c r="F286" s="58"/>
      <c r="G286" s="58"/>
      <c r="I286" s="74"/>
      <c r="J286" s="62"/>
      <c r="L286" s="62"/>
      <c r="M286" s="64"/>
      <c r="N286" s="64"/>
      <c r="O286" s="62"/>
    </row>
    <row r="287" spans="4:15" s="39" customFormat="1">
      <c r="D287" s="56"/>
      <c r="E287" s="56"/>
      <c r="F287" s="58"/>
      <c r="G287" s="58"/>
      <c r="I287" s="74"/>
      <c r="J287" s="62"/>
      <c r="L287" s="62"/>
      <c r="M287" s="64"/>
      <c r="N287" s="64"/>
      <c r="O287" s="62"/>
    </row>
    <row r="288" spans="4:15" s="39" customFormat="1">
      <c r="D288" s="56"/>
      <c r="E288" s="56"/>
      <c r="F288" s="58"/>
      <c r="G288" s="58"/>
      <c r="I288" s="74"/>
      <c r="J288" s="62"/>
      <c r="L288" s="62"/>
      <c r="M288" s="64"/>
      <c r="N288" s="64"/>
      <c r="O288" s="62"/>
    </row>
    <row r="289" spans="4:15" s="39" customFormat="1">
      <c r="D289" s="56"/>
      <c r="E289" s="56"/>
      <c r="F289" s="58"/>
      <c r="G289" s="58"/>
      <c r="I289" s="74"/>
      <c r="J289" s="62"/>
      <c r="L289" s="62"/>
      <c r="M289" s="64"/>
      <c r="N289" s="64"/>
      <c r="O289" s="62"/>
    </row>
    <row r="290" spans="4:15" s="39" customFormat="1">
      <c r="D290" s="56"/>
      <c r="E290" s="56"/>
      <c r="F290" s="58"/>
      <c r="G290" s="58"/>
      <c r="I290" s="74"/>
      <c r="J290" s="62"/>
      <c r="L290" s="62"/>
      <c r="M290" s="64"/>
      <c r="N290" s="64"/>
      <c r="O290" s="62"/>
    </row>
    <row r="291" spans="4:15" s="39" customFormat="1">
      <c r="D291" s="56"/>
      <c r="E291" s="56"/>
      <c r="F291" s="58"/>
      <c r="G291" s="58"/>
      <c r="I291" s="74"/>
      <c r="J291" s="62"/>
      <c r="L291" s="62"/>
      <c r="M291" s="64"/>
      <c r="N291" s="64"/>
      <c r="O291" s="62"/>
    </row>
    <row r="292" spans="4:15" s="39" customFormat="1">
      <c r="D292" s="56"/>
      <c r="E292" s="56"/>
      <c r="F292" s="58"/>
      <c r="G292" s="58"/>
      <c r="I292" s="74"/>
      <c r="J292" s="62"/>
      <c r="L292" s="62"/>
      <c r="M292" s="64"/>
      <c r="N292" s="64"/>
      <c r="O292" s="62"/>
    </row>
    <row r="293" spans="4:15" s="39" customFormat="1">
      <c r="D293" s="56"/>
      <c r="E293" s="56"/>
      <c r="F293" s="58"/>
      <c r="G293" s="58"/>
      <c r="I293" s="74"/>
      <c r="J293" s="62"/>
      <c r="L293" s="62"/>
      <c r="M293" s="64"/>
      <c r="N293" s="64"/>
      <c r="O293" s="62"/>
    </row>
    <row r="294" spans="4:15" s="39" customFormat="1">
      <c r="D294" s="56"/>
      <c r="E294" s="56"/>
      <c r="F294" s="58"/>
      <c r="G294" s="58"/>
      <c r="I294" s="74"/>
      <c r="J294" s="62"/>
      <c r="L294" s="62"/>
      <c r="M294" s="64"/>
      <c r="N294" s="64"/>
      <c r="O294" s="62"/>
    </row>
    <row r="295" spans="4:15" s="39" customFormat="1">
      <c r="D295" s="56"/>
      <c r="E295" s="56"/>
      <c r="F295" s="58"/>
      <c r="G295" s="58"/>
      <c r="I295" s="74"/>
      <c r="J295" s="62"/>
      <c r="L295" s="62"/>
      <c r="M295" s="64"/>
      <c r="N295" s="64"/>
      <c r="O295" s="62"/>
    </row>
    <row r="296" spans="4:15" s="39" customFormat="1">
      <c r="D296" s="56"/>
      <c r="E296" s="56"/>
      <c r="F296" s="58"/>
      <c r="G296" s="58"/>
      <c r="I296" s="74"/>
      <c r="J296" s="62"/>
      <c r="L296" s="62"/>
      <c r="M296" s="64"/>
      <c r="N296" s="64"/>
      <c r="O296" s="62"/>
    </row>
    <row r="297" spans="4:15" s="39" customFormat="1">
      <c r="D297" s="56"/>
      <c r="E297" s="56"/>
      <c r="F297" s="58"/>
      <c r="G297" s="58"/>
      <c r="I297" s="74"/>
      <c r="J297" s="62"/>
      <c r="L297" s="62"/>
      <c r="M297" s="64"/>
      <c r="N297" s="64"/>
      <c r="O297" s="62"/>
    </row>
    <row r="298" spans="4:15" s="39" customFormat="1">
      <c r="D298" s="56"/>
      <c r="E298" s="56"/>
      <c r="F298" s="58"/>
      <c r="G298" s="58"/>
      <c r="I298" s="74"/>
      <c r="J298" s="62"/>
      <c r="L298" s="62"/>
      <c r="M298" s="64"/>
      <c r="N298" s="64"/>
      <c r="O298" s="62"/>
    </row>
    <row r="299" spans="4:15" s="39" customFormat="1">
      <c r="D299" s="56"/>
      <c r="E299" s="56"/>
      <c r="F299" s="58"/>
      <c r="G299" s="58"/>
      <c r="I299" s="74"/>
      <c r="J299" s="62"/>
      <c r="L299" s="62"/>
      <c r="M299" s="64"/>
      <c r="N299" s="64"/>
      <c r="O299" s="62"/>
    </row>
    <row r="300" spans="4:15" s="39" customFormat="1">
      <c r="D300" s="56"/>
      <c r="E300" s="56"/>
      <c r="F300" s="58"/>
      <c r="G300" s="58"/>
      <c r="I300" s="74"/>
      <c r="J300" s="62"/>
      <c r="L300" s="62"/>
      <c r="M300" s="64"/>
      <c r="N300" s="64"/>
      <c r="O300" s="62"/>
    </row>
    <row r="301" spans="4:15" s="39" customFormat="1">
      <c r="D301" s="56"/>
      <c r="E301" s="56"/>
      <c r="F301" s="58"/>
      <c r="G301" s="58"/>
      <c r="I301" s="74"/>
      <c r="J301" s="62"/>
      <c r="L301" s="62"/>
      <c r="M301" s="64"/>
      <c r="N301" s="64"/>
      <c r="O301" s="62"/>
    </row>
    <row r="302" spans="4:15" s="39" customFormat="1">
      <c r="D302" s="56"/>
      <c r="E302" s="56"/>
      <c r="F302" s="58"/>
      <c r="G302" s="58"/>
      <c r="I302" s="74"/>
      <c r="J302" s="62"/>
      <c r="L302" s="62"/>
      <c r="M302" s="64"/>
      <c r="N302" s="64"/>
      <c r="O302" s="62"/>
    </row>
    <row r="303" spans="4:15" s="39" customFormat="1">
      <c r="D303" s="56"/>
      <c r="E303" s="56"/>
      <c r="F303" s="58"/>
      <c r="G303" s="58"/>
      <c r="I303" s="74"/>
      <c r="J303" s="62"/>
      <c r="L303" s="62"/>
      <c r="M303" s="64"/>
      <c r="N303" s="64"/>
      <c r="O303" s="62"/>
    </row>
    <row r="304" spans="4:15" s="39" customFormat="1">
      <c r="D304" s="56"/>
      <c r="E304" s="56"/>
      <c r="F304" s="58"/>
      <c r="G304" s="58"/>
      <c r="I304" s="74"/>
      <c r="J304" s="62"/>
      <c r="L304" s="62"/>
      <c r="M304" s="64"/>
      <c r="N304" s="64"/>
      <c r="O304" s="62"/>
    </row>
    <row r="305" spans="4:15" s="39" customFormat="1">
      <c r="D305" s="56"/>
      <c r="E305" s="56"/>
      <c r="F305" s="58"/>
      <c r="G305" s="58"/>
      <c r="I305" s="74"/>
      <c r="J305" s="62"/>
      <c r="L305" s="62"/>
      <c r="M305" s="64"/>
      <c r="N305" s="64"/>
      <c r="O305" s="62"/>
    </row>
    <row r="306" spans="4:15" s="39" customFormat="1">
      <c r="D306" s="56"/>
      <c r="E306" s="56"/>
      <c r="F306" s="58"/>
      <c r="G306" s="58"/>
      <c r="I306" s="74"/>
      <c r="J306" s="62"/>
      <c r="L306" s="62"/>
      <c r="M306" s="64"/>
      <c r="N306" s="64"/>
      <c r="O306" s="62"/>
    </row>
    <row r="307" spans="4:15" s="39" customFormat="1">
      <c r="D307" s="56"/>
      <c r="E307" s="56"/>
      <c r="F307" s="58"/>
      <c r="G307" s="58"/>
      <c r="I307" s="74"/>
      <c r="J307" s="62"/>
      <c r="L307" s="62"/>
      <c r="M307" s="64"/>
      <c r="N307" s="64"/>
      <c r="O307" s="62"/>
    </row>
    <row r="308" spans="4:15" s="39" customFormat="1">
      <c r="D308" s="56"/>
      <c r="E308" s="56"/>
      <c r="F308" s="58"/>
      <c r="G308" s="58"/>
      <c r="I308" s="74"/>
      <c r="J308" s="62"/>
      <c r="L308" s="62"/>
      <c r="M308" s="64"/>
      <c r="N308" s="64"/>
      <c r="O308" s="62"/>
    </row>
    <row r="309" spans="4:15" s="39" customFormat="1">
      <c r="D309" s="56"/>
      <c r="E309" s="56"/>
      <c r="F309" s="58"/>
      <c r="G309" s="58"/>
      <c r="I309" s="74"/>
      <c r="J309" s="62"/>
      <c r="L309" s="62"/>
      <c r="M309" s="64"/>
      <c r="N309" s="64"/>
      <c r="O309" s="62"/>
    </row>
    <row r="310" spans="4:15" s="39" customFormat="1">
      <c r="D310" s="56"/>
      <c r="E310" s="56"/>
      <c r="F310" s="58"/>
      <c r="G310" s="58"/>
      <c r="I310" s="74"/>
      <c r="J310" s="62"/>
      <c r="L310" s="62"/>
      <c r="M310" s="64"/>
      <c r="N310" s="64"/>
      <c r="O310" s="62"/>
    </row>
    <row r="311" spans="4:15" s="39" customFormat="1">
      <c r="D311" s="56"/>
      <c r="E311" s="56"/>
      <c r="F311" s="58"/>
      <c r="G311" s="58"/>
      <c r="I311" s="74"/>
      <c r="J311" s="62"/>
      <c r="L311" s="62"/>
      <c r="M311" s="64"/>
      <c r="N311" s="64"/>
      <c r="O311" s="62"/>
    </row>
    <row r="312" spans="4:15" s="39" customFormat="1">
      <c r="D312" s="56"/>
      <c r="E312" s="56"/>
      <c r="F312" s="58"/>
      <c r="G312" s="58"/>
      <c r="I312" s="74"/>
      <c r="J312" s="62"/>
      <c r="L312" s="62"/>
      <c r="M312" s="64"/>
      <c r="N312" s="64"/>
      <c r="O312" s="62"/>
    </row>
    <row r="313" spans="4:15" s="39" customFormat="1">
      <c r="D313" s="56"/>
      <c r="E313" s="56"/>
      <c r="F313" s="58"/>
      <c r="G313" s="58"/>
      <c r="I313" s="74"/>
      <c r="J313" s="62"/>
      <c r="L313" s="62"/>
      <c r="M313" s="64"/>
      <c r="N313" s="64"/>
      <c r="O313" s="62"/>
    </row>
    <row r="314" spans="4:15" s="39" customFormat="1">
      <c r="D314" s="56"/>
      <c r="E314" s="56"/>
      <c r="F314" s="58"/>
      <c r="G314" s="58"/>
      <c r="I314" s="74"/>
      <c r="J314" s="62"/>
      <c r="L314" s="62"/>
      <c r="M314" s="64"/>
      <c r="N314" s="64"/>
      <c r="O314" s="62"/>
    </row>
    <row r="315" spans="4:15" s="39" customFormat="1">
      <c r="D315" s="56"/>
      <c r="E315" s="56"/>
      <c r="F315" s="58"/>
      <c r="G315" s="58"/>
      <c r="I315" s="74"/>
      <c r="J315" s="62"/>
      <c r="L315" s="62"/>
      <c r="M315" s="64"/>
      <c r="N315" s="64"/>
      <c r="O315" s="62"/>
    </row>
    <row r="316" spans="4:15" s="39" customFormat="1">
      <c r="D316" s="56"/>
      <c r="E316" s="56"/>
      <c r="F316" s="58"/>
      <c r="G316" s="58"/>
      <c r="I316" s="74"/>
      <c r="J316" s="62"/>
      <c r="L316" s="62"/>
      <c r="M316" s="64"/>
      <c r="N316" s="64"/>
      <c r="O316" s="62"/>
    </row>
    <row r="317" spans="4:15" s="39" customFormat="1">
      <c r="D317" s="56"/>
      <c r="E317" s="56"/>
      <c r="F317" s="58"/>
      <c r="G317" s="58"/>
      <c r="I317" s="74"/>
      <c r="J317" s="62"/>
      <c r="L317" s="62"/>
      <c r="M317" s="64"/>
      <c r="N317" s="64"/>
      <c r="O317" s="62"/>
    </row>
    <row r="318" spans="4:15" s="39" customFormat="1">
      <c r="D318" s="56"/>
      <c r="E318" s="56"/>
      <c r="F318" s="58"/>
      <c r="G318" s="58"/>
      <c r="I318" s="74"/>
      <c r="J318" s="62"/>
      <c r="L318" s="62"/>
      <c r="M318" s="64"/>
      <c r="N318" s="64"/>
      <c r="O318" s="62"/>
    </row>
    <row r="319" spans="4:15" s="39" customFormat="1">
      <c r="D319" s="56"/>
      <c r="E319" s="56"/>
      <c r="F319" s="58"/>
      <c r="G319" s="58"/>
      <c r="I319" s="74"/>
      <c r="J319" s="62"/>
      <c r="L319" s="62"/>
      <c r="M319" s="64"/>
      <c r="N319" s="64"/>
      <c r="O319" s="62"/>
    </row>
    <row r="320" spans="4:15" s="39" customFormat="1">
      <c r="D320" s="56"/>
      <c r="E320" s="56"/>
      <c r="F320" s="58"/>
      <c r="G320" s="58"/>
      <c r="I320" s="74"/>
      <c r="J320" s="62"/>
      <c r="L320" s="62"/>
      <c r="M320" s="64"/>
      <c r="N320" s="64"/>
      <c r="O320" s="62"/>
    </row>
    <row r="321" spans="4:15" s="39" customFormat="1">
      <c r="D321" s="56"/>
      <c r="E321" s="56"/>
      <c r="F321" s="58"/>
      <c r="G321" s="58"/>
      <c r="I321" s="74"/>
      <c r="J321" s="62"/>
      <c r="L321" s="62"/>
      <c r="M321" s="64"/>
      <c r="N321" s="64"/>
      <c r="O321" s="62"/>
    </row>
    <row r="322" spans="4:15" s="39" customFormat="1">
      <c r="D322" s="56"/>
      <c r="E322" s="56"/>
      <c r="F322" s="58"/>
      <c r="G322" s="58"/>
      <c r="I322" s="74"/>
      <c r="J322" s="62"/>
      <c r="L322" s="62"/>
      <c r="M322" s="64"/>
      <c r="N322" s="64"/>
      <c r="O322" s="62"/>
    </row>
    <row r="323" spans="4:15" s="39" customFormat="1">
      <c r="D323" s="56"/>
      <c r="E323" s="56"/>
      <c r="F323" s="58"/>
      <c r="G323" s="58"/>
      <c r="I323" s="74"/>
      <c r="J323" s="62"/>
      <c r="L323" s="62"/>
      <c r="M323" s="64"/>
      <c r="N323" s="64"/>
      <c r="O323" s="62"/>
    </row>
    <row r="324" spans="4:15" s="39" customFormat="1">
      <c r="D324" s="56"/>
      <c r="E324" s="56"/>
      <c r="F324" s="58"/>
      <c r="G324" s="58"/>
      <c r="I324" s="74"/>
      <c r="J324" s="62"/>
      <c r="L324" s="62"/>
      <c r="M324" s="64"/>
      <c r="N324" s="64"/>
      <c r="O324" s="62"/>
    </row>
    <row r="325" spans="4:15" s="39" customFormat="1">
      <c r="D325" s="56"/>
      <c r="E325" s="56"/>
      <c r="F325" s="58"/>
      <c r="G325" s="58"/>
      <c r="I325" s="74"/>
      <c r="J325" s="62"/>
      <c r="L325" s="62"/>
      <c r="M325" s="64"/>
      <c r="N325" s="64"/>
      <c r="O325" s="62"/>
    </row>
    <row r="326" spans="4:15" s="39" customFormat="1">
      <c r="D326" s="56"/>
      <c r="E326" s="56"/>
      <c r="F326" s="58"/>
      <c r="G326" s="58"/>
      <c r="I326" s="74"/>
      <c r="J326" s="62"/>
      <c r="L326" s="62"/>
      <c r="M326" s="64"/>
      <c r="N326" s="64"/>
      <c r="O326" s="62"/>
    </row>
    <row r="327" spans="4:15" s="39" customFormat="1">
      <c r="D327" s="56"/>
      <c r="E327" s="56"/>
      <c r="F327" s="58"/>
      <c r="G327" s="58"/>
      <c r="I327" s="74"/>
      <c r="J327" s="62"/>
      <c r="L327" s="62"/>
      <c r="M327" s="64"/>
      <c r="N327" s="64"/>
      <c r="O327" s="62"/>
    </row>
    <row r="328" spans="4:15" s="39" customFormat="1">
      <c r="D328" s="56"/>
      <c r="E328" s="56"/>
      <c r="F328" s="58"/>
      <c r="G328" s="58"/>
      <c r="I328" s="74"/>
      <c r="J328" s="62"/>
      <c r="L328" s="62"/>
      <c r="M328" s="64"/>
      <c r="N328" s="64"/>
      <c r="O328" s="62"/>
    </row>
    <row r="329" spans="4:15" s="39" customFormat="1">
      <c r="D329" s="56"/>
      <c r="E329" s="56"/>
      <c r="F329" s="58"/>
      <c r="G329" s="58"/>
      <c r="I329" s="74"/>
      <c r="J329" s="62"/>
      <c r="L329" s="62"/>
      <c r="M329" s="64"/>
      <c r="N329" s="64"/>
      <c r="O329" s="62"/>
    </row>
    <row r="330" spans="4:15" s="39" customFormat="1">
      <c r="D330" s="56"/>
      <c r="E330" s="56"/>
      <c r="F330" s="58"/>
      <c r="G330" s="58"/>
      <c r="I330" s="74"/>
      <c r="J330" s="62"/>
      <c r="L330" s="62"/>
      <c r="M330" s="64"/>
      <c r="N330" s="64"/>
      <c r="O330" s="62"/>
    </row>
    <row r="331" spans="4:15" s="39" customFormat="1">
      <c r="D331" s="56"/>
      <c r="E331" s="56"/>
      <c r="F331" s="58"/>
      <c r="G331" s="58"/>
      <c r="I331" s="74"/>
      <c r="J331" s="62"/>
      <c r="L331" s="62"/>
      <c r="M331" s="64"/>
      <c r="N331" s="64"/>
      <c r="O331" s="62"/>
    </row>
    <row r="332" spans="4:15" s="39" customFormat="1">
      <c r="D332" s="56"/>
      <c r="E332" s="56"/>
      <c r="F332" s="58"/>
      <c r="G332" s="58"/>
      <c r="I332" s="74"/>
      <c r="J332" s="62"/>
      <c r="L332" s="62"/>
      <c r="M332" s="64"/>
      <c r="N332" s="64"/>
      <c r="O332" s="62"/>
    </row>
    <row r="333" spans="4:15" s="39" customFormat="1">
      <c r="D333" s="56"/>
      <c r="E333" s="56"/>
      <c r="F333" s="58"/>
      <c r="G333" s="58"/>
      <c r="I333" s="74"/>
      <c r="J333" s="62"/>
      <c r="L333" s="62"/>
      <c r="M333" s="64"/>
      <c r="N333" s="64"/>
      <c r="O333" s="62"/>
    </row>
    <row r="334" spans="4:15" s="39" customFormat="1">
      <c r="D334" s="56"/>
      <c r="E334" s="56"/>
      <c r="F334" s="58"/>
      <c r="G334" s="58"/>
      <c r="I334" s="74"/>
      <c r="J334" s="62"/>
      <c r="L334" s="62"/>
      <c r="M334" s="64"/>
      <c r="N334" s="64"/>
      <c r="O334" s="62"/>
    </row>
    <row r="335" spans="4:15" s="39" customFormat="1">
      <c r="D335" s="56"/>
      <c r="E335" s="56"/>
      <c r="F335" s="58"/>
      <c r="G335" s="58"/>
      <c r="I335" s="74"/>
      <c r="J335" s="62"/>
      <c r="L335" s="62"/>
      <c r="M335" s="64"/>
      <c r="N335" s="64"/>
      <c r="O335" s="62"/>
    </row>
    <row r="336" spans="4:15" s="39" customFormat="1">
      <c r="D336" s="56"/>
      <c r="E336" s="56"/>
      <c r="F336" s="58"/>
      <c r="G336" s="58"/>
      <c r="I336" s="74"/>
      <c r="J336" s="62"/>
      <c r="L336" s="62"/>
      <c r="M336" s="64"/>
      <c r="N336" s="64"/>
      <c r="O336" s="62"/>
    </row>
    <row r="337" spans="4:15" s="39" customFormat="1">
      <c r="D337" s="56"/>
      <c r="E337" s="56"/>
      <c r="F337" s="58"/>
      <c r="G337" s="58"/>
      <c r="I337" s="74"/>
      <c r="J337" s="62"/>
      <c r="L337" s="62"/>
      <c r="M337" s="64"/>
      <c r="N337" s="64"/>
      <c r="O337" s="62"/>
    </row>
    <row r="338" spans="4:15" s="39" customFormat="1">
      <c r="D338" s="56"/>
      <c r="E338" s="56"/>
      <c r="F338" s="58"/>
      <c r="G338" s="58"/>
      <c r="I338" s="74"/>
      <c r="J338" s="62"/>
      <c r="L338" s="62"/>
      <c r="M338" s="64"/>
      <c r="N338" s="64"/>
      <c r="O338" s="62"/>
    </row>
    <row r="339" spans="4:15" s="39" customFormat="1">
      <c r="D339" s="56"/>
      <c r="E339" s="56"/>
      <c r="F339" s="58"/>
      <c r="G339" s="58"/>
      <c r="I339" s="74"/>
      <c r="J339" s="62"/>
      <c r="L339" s="62"/>
      <c r="M339" s="64"/>
      <c r="N339" s="64"/>
      <c r="O339" s="62"/>
    </row>
    <row r="340" spans="4:15" s="39" customFormat="1">
      <c r="D340" s="56"/>
      <c r="E340" s="56"/>
      <c r="F340" s="58"/>
      <c r="G340" s="58"/>
      <c r="I340" s="74"/>
      <c r="J340" s="62"/>
      <c r="L340" s="62"/>
      <c r="M340" s="64"/>
      <c r="N340" s="64"/>
      <c r="O340" s="62"/>
    </row>
    <row r="341" spans="4:15" s="39" customFormat="1">
      <c r="D341" s="56"/>
      <c r="E341" s="56"/>
      <c r="F341" s="58"/>
      <c r="G341" s="58"/>
      <c r="I341" s="74"/>
      <c r="J341" s="62"/>
      <c r="L341" s="62"/>
      <c r="M341" s="64"/>
      <c r="N341" s="64"/>
      <c r="O341" s="62"/>
    </row>
    <row r="342" spans="4:15" s="39" customFormat="1">
      <c r="D342" s="56"/>
      <c r="E342" s="56"/>
      <c r="F342" s="58"/>
      <c r="G342" s="58"/>
      <c r="I342" s="74"/>
      <c r="J342" s="62"/>
      <c r="L342" s="62"/>
      <c r="M342" s="64"/>
      <c r="N342" s="64"/>
      <c r="O342" s="62"/>
    </row>
    <row r="343" spans="4:15" s="39" customFormat="1">
      <c r="D343" s="56"/>
      <c r="E343" s="56"/>
      <c r="F343" s="58"/>
      <c r="G343" s="58"/>
      <c r="I343" s="74"/>
      <c r="J343" s="62"/>
      <c r="L343" s="62"/>
      <c r="M343" s="64"/>
      <c r="N343" s="64"/>
      <c r="O343" s="62"/>
    </row>
    <row r="344" spans="4:15" s="39" customFormat="1">
      <c r="D344" s="56"/>
      <c r="E344" s="56"/>
      <c r="F344" s="58"/>
      <c r="G344" s="58"/>
      <c r="I344" s="74"/>
      <c r="J344" s="62"/>
      <c r="L344" s="62"/>
      <c r="M344" s="64"/>
      <c r="N344" s="64"/>
      <c r="O344" s="62"/>
    </row>
    <row r="345" spans="4:15" s="39" customFormat="1">
      <c r="D345" s="56"/>
      <c r="E345" s="56"/>
      <c r="F345" s="58"/>
      <c r="G345" s="58"/>
      <c r="I345" s="74"/>
      <c r="J345" s="62"/>
      <c r="L345" s="62"/>
      <c r="M345" s="64"/>
      <c r="N345" s="64"/>
      <c r="O345" s="62"/>
    </row>
    <row r="346" spans="4:15" s="39" customFormat="1">
      <c r="D346" s="56"/>
      <c r="E346" s="56"/>
      <c r="F346" s="58"/>
      <c r="G346" s="58"/>
      <c r="I346" s="74"/>
      <c r="J346" s="62"/>
      <c r="L346" s="62"/>
      <c r="M346" s="64"/>
      <c r="N346" s="64"/>
      <c r="O346" s="62"/>
    </row>
    <row r="347" spans="4:15" s="39" customFormat="1">
      <c r="D347" s="56"/>
      <c r="E347" s="56"/>
      <c r="F347" s="58"/>
      <c r="G347" s="58"/>
      <c r="I347" s="74"/>
      <c r="J347" s="62"/>
      <c r="L347" s="62"/>
      <c r="M347" s="64"/>
      <c r="N347" s="64"/>
      <c r="O347" s="62"/>
    </row>
    <row r="348" spans="4:15" s="39" customFormat="1">
      <c r="D348" s="56"/>
      <c r="E348" s="56"/>
      <c r="F348" s="58"/>
      <c r="G348" s="58"/>
      <c r="I348" s="74"/>
      <c r="J348" s="62"/>
      <c r="L348" s="62"/>
      <c r="M348" s="64"/>
      <c r="N348" s="64"/>
      <c r="O348" s="62"/>
    </row>
    <row r="349" spans="4:15" s="39" customFormat="1">
      <c r="D349" s="56"/>
      <c r="E349" s="56"/>
      <c r="F349" s="58"/>
      <c r="G349" s="58"/>
      <c r="I349" s="74"/>
      <c r="J349" s="62"/>
      <c r="L349" s="62"/>
      <c r="M349" s="64"/>
      <c r="N349" s="64"/>
      <c r="O349" s="62"/>
    </row>
    <row r="350" spans="4:15" s="39" customFormat="1">
      <c r="D350" s="56"/>
      <c r="E350" s="56"/>
      <c r="F350" s="58"/>
      <c r="G350" s="58"/>
      <c r="I350" s="74"/>
      <c r="J350" s="62"/>
      <c r="L350" s="62"/>
      <c r="M350" s="64"/>
      <c r="N350" s="64"/>
      <c r="O350" s="62"/>
    </row>
    <row r="351" spans="4:15" s="39" customFormat="1">
      <c r="D351" s="56"/>
      <c r="E351" s="56"/>
      <c r="F351" s="58"/>
      <c r="G351" s="58"/>
      <c r="I351" s="74"/>
      <c r="J351" s="62"/>
      <c r="L351" s="62"/>
      <c r="M351" s="64"/>
      <c r="N351" s="64"/>
      <c r="O351" s="62"/>
    </row>
    <row r="352" spans="4:15" s="39" customFormat="1">
      <c r="D352" s="56"/>
      <c r="E352" s="56"/>
      <c r="F352" s="58"/>
      <c r="G352" s="58"/>
      <c r="I352" s="74"/>
      <c r="J352" s="62"/>
      <c r="L352" s="62"/>
      <c r="M352" s="64"/>
      <c r="N352" s="64"/>
      <c r="O352" s="62"/>
    </row>
    <row r="353" spans="4:15" s="39" customFormat="1">
      <c r="D353" s="56"/>
      <c r="E353" s="56"/>
      <c r="F353" s="58"/>
      <c r="G353" s="58"/>
      <c r="I353" s="74"/>
      <c r="J353" s="62"/>
      <c r="L353" s="62"/>
      <c r="M353" s="64"/>
      <c r="N353" s="64"/>
      <c r="O353" s="62"/>
    </row>
    <row r="354" spans="4:15" s="39" customFormat="1">
      <c r="D354" s="56"/>
      <c r="E354" s="56"/>
      <c r="F354" s="58"/>
      <c r="G354" s="58"/>
      <c r="I354" s="74"/>
      <c r="J354" s="62"/>
      <c r="L354" s="62"/>
      <c r="M354" s="64"/>
      <c r="N354" s="64"/>
      <c r="O354" s="62"/>
    </row>
    <row r="355" spans="4:15" s="39" customFormat="1">
      <c r="D355" s="56"/>
      <c r="E355" s="56"/>
      <c r="F355" s="58"/>
      <c r="G355" s="58"/>
      <c r="I355" s="74"/>
      <c r="J355" s="62"/>
      <c r="L355" s="62"/>
      <c r="M355" s="64"/>
      <c r="N355" s="64"/>
      <c r="O355" s="62"/>
    </row>
    <row r="356" spans="4:15" s="39" customFormat="1">
      <c r="D356" s="56"/>
      <c r="E356" s="56"/>
      <c r="F356" s="58"/>
      <c r="G356" s="58"/>
      <c r="I356" s="74"/>
      <c r="J356" s="62"/>
      <c r="L356" s="62"/>
      <c r="M356" s="64"/>
      <c r="N356" s="64"/>
      <c r="O356" s="62"/>
    </row>
    <row r="357" spans="4:15" s="39" customFormat="1">
      <c r="D357" s="56"/>
      <c r="E357" s="56"/>
      <c r="F357" s="58"/>
      <c r="G357" s="58"/>
      <c r="I357" s="74"/>
      <c r="J357" s="62"/>
      <c r="L357" s="62"/>
      <c r="M357" s="64"/>
      <c r="N357" s="64"/>
      <c r="O357" s="62"/>
    </row>
    <row r="358" spans="4:15" s="39" customFormat="1">
      <c r="D358" s="56"/>
      <c r="E358" s="56"/>
      <c r="F358" s="58"/>
      <c r="G358" s="58"/>
      <c r="I358" s="74"/>
      <c r="J358" s="62"/>
      <c r="L358" s="62"/>
      <c r="M358" s="64"/>
      <c r="N358" s="64"/>
      <c r="O358" s="62"/>
    </row>
    <row r="359" spans="4:15" s="39" customFormat="1">
      <c r="D359" s="56"/>
      <c r="E359" s="56"/>
      <c r="F359" s="58"/>
      <c r="G359" s="58"/>
      <c r="I359" s="74"/>
      <c r="J359" s="62"/>
      <c r="L359" s="62"/>
      <c r="M359" s="64"/>
      <c r="N359" s="64"/>
      <c r="O359" s="62"/>
    </row>
    <row r="360" spans="4:15" s="39" customFormat="1">
      <c r="D360" s="56"/>
      <c r="E360" s="56"/>
      <c r="F360" s="58"/>
      <c r="G360" s="58"/>
      <c r="I360" s="74"/>
      <c r="J360" s="62"/>
      <c r="L360" s="62"/>
      <c r="M360" s="64"/>
      <c r="N360" s="64"/>
      <c r="O360" s="62"/>
    </row>
    <row r="361" spans="4:15" s="39" customFormat="1">
      <c r="D361" s="56"/>
      <c r="E361" s="56"/>
      <c r="F361" s="58"/>
      <c r="G361" s="58"/>
      <c r="I361" s="74"/>
      <c r="J361" s="62"/>
      <c r="L361" s="62"/>
      <c r="M361" s="64"/>
      <c r="N361" s="64"/>
      <c r="O361" s="62"/>
    </row>
    <row r="362" spans="4:15" s="39" customFormat="1">
      <c r="D362" s="56"/>
      <c r="E362" s="56"/>
      <c r="F362" s="58"/>
      <c r="G362" s="58"/>
      <c r="I362" s="74"/>
      <c r="J362" s="62"/>
      <c r="L362" s="62"/>
      <c r="M362" s="64"/>
      <c r="N362" s="64"/>
      <c r="O362" s="62"/>
    </row>
    <row r="363" spans="4:15" s="39" customFormat="1">
      <c r="D363" s="56"/>
      <c r="E363" s="56"/>
      <c r="F363" s="58"/>
      <c r="G363" s="58"/>
      <c r="I363" s="74"/>
      <c r="J363" s="62"/>
      <c r="L363" s="62"/>
      <c r="M363" s="64"/>
      <c r="N363" s="64"/>
      <c r="O363" s="62"/>
    </row>
    <row r="364" spans="4:15" s="39" customFormat="1">
      <c r="D364" s="56"/>
      <c r="E364" s="56"/>
      <c r="F364" s="58"/>
      <c r="G364" s="58"/>
      <c r="I364" s="74"/>
      <c r="J364" s="62"/>
      <c r="L364" s="62"/>
      <c r="M364" s="64"/>
      <c r="N364" s="64"/>
      <c r="O364" s="62"/>
    </row>
    <row r="365" spans="4:15" s="39" customFormat="1">
      <c r="D365" s="56"/>
      <c r="E365" s="56"/>
      <c r="F365" s="58"/>
      <c r="G365" s="58"/>
      <c r="I365" s="74"/>
      <c r="J365" s="62"/>
      <c r="L365" s="62"/>
      <c r="M365" s="64"/>
      <c r="N365" s="64"/>
      <c r="O365" s="62"/>
    </row>
    <row r="366" spans="4:15" s="39" customFormat="1">
      <c r="D366" s="56"/>
      <c r="E366" s="56"/>
      <c r="F366" s="58"/>
      <c r="G366" s="58"/>
      <c r="I366" s="74"/>
      <c r="J366" s="62"/>
      <c r="L366" s="62"/>
      <c r="M366" s="64"/>
      <c r="N366" s="64"/>
      <c r="O366" s="62"/>
    </row>
    <row r="367" spans="4:15" s="39" customFormat="1">
      <c r="D367" s="56"/>
      <c r="E367" s="56"/>
      <c r="F367" s="58"/>
      <c r="G367" s="58"/>
      <c r="I367" s="74"/>
      <c r="J367" s="62"/>
      <c r="L367" s="62"/>
      <c r="M367" s="64"/>
      <c r="N367" s="64"/>
      <c r="O367" s="62"/>
    </row>
    <row r="368" spans="4:15" s="39" customFormat="1">
      <c r="D368" s="56"/>
      <c r="E368" s="56"/>
      <c r="F368" s="58"/>
      <c r="G368" s="58"/>
      <c r="I368" s="74"/>
      <c r="J368" s="62"/>
      <c r="L368" s="62"/>
      <c r="M368" s="64"/>
      <c r="N368" s="64"/>
      <c r="O368" s="62"/>
    </row>
    <row r="369" spans="4:15" s="39" customFormat="1">
      <c r="D369" s="56"/>
      <c r="E369" s="56"/>
      <c r="F369" s="58"/>
      <c r="G369" s="58"/>
      <c r="I369" s="74"/>
      <c r="J369" s="62"/>
      <c r="L369" s="62"/>
      <c r="M369" s="64"/>
      <c r="N369" s="64"/>
      <c r="O369" s="62"/>
    </row>
    <row r="370" spans="4:15" s="39" customFormat="1">
      <c r="D370" s="56"/>
      <c r="E370" s="56"/>
      <c r="F370" s="58"/>
      <c r="G370" s="58"/>
      <c r="I370" s="74"/>
      <c r="J370" s="62"/>
      <c r="L370" s="62"/>
      <c r="M370" s="64"/>
      <c r="N370" s="64"/>
      <c r="O370" s="62"/>
    </row>
    <row r="371" spans="4:15" s="39" customFormat="1">
      <c r="D371" s="56"/>
      <c r="E371" s="56"/>
      <c r="F371" s="58"/>
      <c r="G371" s="58"/>
      <c r="I371" s="74"/>
      <c r="J371" s="62"/>
      <c r="L371" s="62"/>
      <c r="M371" s="64"/>
      <c r="N371" s="64"/>
      <c r="O371" s="62"/>
    </row>
    <row r="372" spans="4:15" s="39" customFormat="1">
      <c r="D372" s="56"/>
      <c r="E372" s="56"/>
      <c r="F372" s="58"/>
      <c r="G372" s="58"/>
      <c r="I372" s="74"/>
      <c r="J372" s="62"/>
      <c r="L372" s="62"/>
      <c r="M372" s="64"/>
      <c r="N372" s="64"/>
      <c r="O372" s="62"/>
    </row>
    <row r="373" spans="4:15" s="39" customFormat="1">
      <c r="D373" s="56"/>
      <c r="E373" s="56"/>
      <c r="F373" s="58"/>
      <c r="G373" s="58"/>
      <c r="I373" s="74"/>
      <c r="J373" s="62"/>
      <c r="L373" s="62"/>
      <c r="M373" s="64"/>
      <c r="N373" s="64"/>
      <c r="O373" s="62"/>
    </row>
    <row r="374" spans="4:15" s="39" customFormat="1">
      <c r="D374" s="56"/>
      <c r="E374" s="56"/>
      <c r="F374" s="58"/>
      <c r="G374" s="58"/>
      <c r="I374" s="74"/>
      <c r="J374" s="62"/>
      <c r="L374" s="62"/>
      <c r="M374" s="64"/>
      <c r="N374" s="64"/>
      <c r="O374" s="62"/>
    </row>
    <row r="375" spans="4:15" s="39" customFormat="1">
      <c r="D375" s="56"/>
      <c r="E375" s="56"/>
      <c r="F375" s="58"/>
      <c r="G375" s="58"/>
      <c r="I375" s="74"/>
      <c r="J375" s="62"/>
      <c r="L375" s="62"/>
      <c r="M375" s="64"/>
      <c r="N375" s="64"/>
      <c r="O375" s="62"/>
    </row>
    <row r="376" spans="4:15" s="39" customFormat="1">
      <c r="D376" s="56"/>
      <c r="E376" s="56"/>
      <c r="F376" s="58"/>
      <c r="G376" s="58"/>
      <c r="I376" s="74"/>
      <c r="J376" s="62"/>
      <c r="L376" s="62"/>
      <c r="M376" s="64"/>
      <c r="N376" s="64"/>
      <c r="O376" s="62"/>
    </row>
    <row r="377" spans="4:15" s="39" customFormat="1">
      <c r="D377" s="56"/>
      <c r="E377" s="56"/>
      <c r="F377" s="58"/>
      <c r="G377" s="58"/>
      <c r="I377" s="74"/>
      <c r="J377" s="62"/>
      <c r="L377" s="62"/>
      <c r="M377" s="64"/>
      <c r="N377" s="64"/>
      <c r="O377" s="62"/>
    </row>
    <row r="378" spans="4:15" s="39" customFormat="1">
      <c r="D378" s="56"/>
      <c r="E378" s="56"/>
      <c r="F378" s="58"/>
      <c r="G378" s="58"/>
      <c r="I378" s="74"/>
      <c r="J378" s="62"/>
      <c r="L378" s="62"/>
      <c r="M378" s="64"/>
      <c r="N378" s="64"/>
      <c r="O378" s="62"/>
    </row>
    <row r="379" spans="4:15" s="39" customFormat="1">
      <c r="D379" s="56"/>
      <c r="E379" s="56"/>
      <c r="F379" s="58"/>
      <c r="G379" s="58"/>
      <c r="I379" s="74"/>
      <c r="J379" s="62"/>
      <c r="L379" s="62"/>
      <c r="M379" s="64"/>
      <c r="N379" s="64"/>
      <c r="O379" s="62"/>
    </row>
    <row r="380" spans="4:15" s="39" customFormat="1">
      <c r="D380" s="56"/>
      <c r="E380" s="56"/>
      <c r="F380" s="58"/>
      <c r="G380" s="58"/>
      <c r="I380" s="74"/>
      <c r="J380" s="62"/>
      <c r="L380" s="62"/>
      <c r="M380" s="64"/>
      <c r="N380" s="64"/>
      <c r="O380" s="62"/>
    </row>
    <row r="381" spans="4:15" s="39" customFormat="1">
      <c r="D381" s="56"/>
      <c r="E381" s="56"/>
      <c r="F381" s="58"/>
      <c r="G381" s="58"/>
      <c r="I381" s="74"/>
      <c r="J381" s="62"/>
      <c r="L381" s="62"/>
      <c r="M381" s="64"/>
      <c r="N381" s="64"/>
      <c r="O381" s="62"/>
    </row>
    <row r="382" spans="4:15" s="39" customFormat="1">
      <c r="D382" s="56"/>
      <c r="E382" s="56"/>
      <c r="F382" s="58"/>
      <c r="G382" s="58"/>
      <c r="I382" s="74"/>
      <c r="J382" s="62"/>
      <c r="L382" s="62"/>
      <c r="M382" s="64"/>
      <c r="N382" s="64"/>
      <c r="O382" s="62"/>
    </row>
    <row r="383" spans="4:15" s="39" customFormat="1">
      <c r="D383" s="56"/>
      <c r="E383" s="56"/>
      <c r="F383" s="58"/>
      <c r="G383" s="58"/>
      <c r="I383" s="74"/>
      <c r="J383" s="62"/>
      <c r="L383" s="62"/>
      <c r="M383" s="64"/>
      <c r="N383" s="64"/>
      <c r="O383" s="62"/>
    </row>
    <row r="384" spans="4:15" s="39" customFormat="1">
      <c r="D384" s="56"/>
      <c r="E384" s="56"/>
      <c r="F384" s="58"/>
      <c r="G384" s="58"/>
      <c r="I384" s="74"/>
      <c r="J384" s="62"/>
      <c r="L384" s="62"/>
      <c r="M384" s="64"/>
      <c r="N384" s="64"/>
      <c r="O384" s="62"/>
    </row>
    <row r="385" spans="4:15" s="39" customFormat="1">
      <c r="D385" s="56"/>
      <c r="E385" s="56"/>
      <c r="F385" s="58"/>
      <c r="G385" s="58"/>
      <c r="I385" s="74"/>
      <c r="J385" s="62"/>
      <c r="L385" s="62"/>
      <c r="M385" s="64"/>
      <c r="N385" s="64"/>
      <c r="O385" s="62"/>
    </row>
    <row r="386" spans="4:15" s="39" customFormat="1">
      <c r="D386" s="56"/>
      <c r="E386" s="56"/>
      <c r="F386" s="58"/>
      <c r="G386" s="58"/>
      <c r="I386" s="74"/>
      <c r="J386" s="62"/>
      <c r="L386" s="62"/>
      <c r="M386" s="64"/>
      <c r="N386" s="64"/>
      <c r="O386" s="62"/>
    </row>
    <row r="387" spans="4:15" s="39" customFormat="1">
      <c r="D387" s="56"/>
      <c r="E387" s="56"/>
      <c r="F387" s="58"/>
      <c r="G387" s="58"/>
      <c r="I387" s="74"/>
      <c r="J387" s="62"/>
      <c r="L387" s="62"/>
      <c r="M387" s="64"/>
      <c r="N387" s="64"/>
      <c r="O387" s="62"/>
    </row>
    <row r="388" spans="4:15" s="39" customFormat="1">
      <c r="D388" s="56"/>
      <c r="E388" s="56"/>
      <c r="F388" s="58"/>
      <c r="G388" s="58"/>
      <c r="I388" s="74"/>
      <c r="J388" s="62"/>
      <c r="L388" s="62"/>
      <c r="M388" s="64"/>
      <c r="N388" s="64"/>
      <c r="O388" s="62"/>
    </row>
    <row r="389" spans="4:15" s="39" customFormat="1">
      <c r="D389" s="56"/>
      <c r="E389" s="56"/>
      <c r="F389" s="58"/>
      <c r="G389" s="58"/>
      <c r="I389" s="74"/>
      <c r="J389" s="62"/>
      <c r="L389" s="62"/>
      <c r="M389" s="64"/>
      <c r="N389" s="64"/>
      <c r="O389" s="62"/>
    </row>
    <row r="390" spans="4:15" s="39" customFormat="1">
      <c r="D390" s="56"/>
      <c r="E390" s="56"/>
      <c r="F390" s="58"/>
      <c r="G390" s="58"/>
      <c r="I390" s="74"/>
      <c r="J390" s="62"/>
      <c r="L390" s="62"/>
      <c r="M390" s="64"/>
      <c r="N390" s="64"/>
      <c r="O390" s="62"/>
    </row>
    <row r="391" spans="4:15" s="39" customFormat="1">
      <c r="D391" s="56"/>
      <c r="E391" s="56"/>
      <c r="F391" s="58"/>
      <c r="G391" s="58"/>
      <c r="I391" s="74"/>
      <c r="J391" s="62"/>
      <c r="L391" s="62"/>
      <c r="M391" s="64"/>
      <c r="N391" s="64"/>
      <c r="O391" s="62"/>
    </row>
    <row r="392" spans="4:15" s="39" customFormat="1">
      <c r="D392" s="56"/>
      <c r="E392" s="56"/>
      <c r="F392" s="58"/>
      <c r="G392" s="58"/>
      <c r="I392" s="74"/>
      <c r="J392" s="62"/>
      <c r="L392" s="62"/>
      <c r="M392" s="64"/>
      <c r="N392" s="64"/>
      <c r="O392" s="62"/>
    </row>
    <row r="393" spans="4:15" s="39" customFormat="1">
      <c r="D393" s="56"/>
      <c r="E393" s="56"/>
      <c r="F393" s="58"/>
      <c r="G393" s="58"/>
      <c r="I393" s="74"/>
      <c r="J393" s="62"/>
      <c r="L393" s="62"/>
      <c r="M393" s="64"/>
      <c r="N393" s="64"/>
      <c r="O393" s="62"/>
    </row>
    <row r="394" spans="4:15" s="39" customFormat="1">
      <c r="D394" s="56"/>
      <c r="E394" s="56"/>
      <c r="F394" s="58"/>
      <c r="G394" s="58"/>
      <c r="I394" s="74"/>
      <c r="J394" s="62"/>
      <c r="L394" s="62"/>
      <c r="M394" s="64"/>
      <c r="N394" s="64"/>
      <c r="O394" s="62"/>
    </row>
    <row r="395" spans="4:15" s="39" customFormat="1">
      <c r="D395" s="56"/>
      <c r="E395" s="56"/>
      <c r="F395" s="58"/>
      <c r="G395" s="58"/>
      <c r="I395" s="74"/>
      <c r="J395" s="62"/>
      <c r="L395" s="62"/>
      <c r="M395" s="64"/>
      <c r="N395" s="64"/>
      <c r="O395" s="62"/>
    </row>
    <row r="396" spans="4:15" s="39" customFormat="1">
      <c r="D396" s="56"/>
      <c r="E396" s="56"/>
      <c r="F396" s="58"/>
      <c r="G396" s="58"/>
      <c r="I396" s="74"/>
      <c r="J396" s="62"/>
      <c r="L396" s="62"/>
      <c r="M396" s="64"/>
      <c r="N396" s="64"/>
      <c r="O396" s="62"/>
    </row>
    <row r="397" spans="4:15" s="39" customFormat="1">
      <c r="D397" s="56"/>
      <c r="E397" s="56"/>
      <c r="F397" s="58"/>
      <c r="G397" s="58"/>
      <c r="I397" s="74"/>
      <c r="J397" s="62"/>
      <c r="L397" s="62"/>
      <c r="M397" s="64"/>
      <c r="N397" s="64"/>
      <c r="O397" s="62"/>
    </row>
    <row r="398" spans="4:15" s="39" customFormat="1">
      <c r="D398" s="56"/>
      <c r="E398" s="56"/>
      <c r="F398" s="58"/>
      <c r="G398" s="58"/>
      <c r="I398" s="74"/>
      <c r="J398" s="62"/>
      <c r="L398" s="62"/>
      <c r="M398" s="64"/>
      <c r="N398" s="64"/>
      <c r="O398" s="62"/>
    </row>
    <row r="399" spans="4:15" s="39" customFormat="1">
      <c r="D399" s="56"/>
      <c r="E399" s="56"/>
      <c r="F399" s="58"/>
      <c r="G399" s="58"/>
      <c r="I399" s="74"/>
      <c r="J399" s="62"/>
      <c r="L399" s="62"/>
      <c r="M399" s="64"/>
      <c r="N399" s="64"/>
      <c r="O399" s="62"/>
    </row>
    <row r="400" spans="4:15" s="39" customFormat="1">
      <c r="D400" s="56"/>
      <c r="E400" s="56"/>
      <c r="F400" s="58"/>
      <c r="G400" s="58"/>
      <c r="I400" s="74"/>
      <c r="J400" s="62"/>
      <c r="L400" s="62"/>
      <c r="M400" s="64"/>
      <c r="N400" s="64"/>
      <c r="O400" s="62"/>
    </row>
    <row r="401" spans="4:15" s="39" customFormat="1">
      <c r="D401" s="56"/>
      <c r="E401" s="56"/>
      <c r="F401" s="58"/>
      <c r="G401" s="58"/>
      <c r="I401" s="74"/>
      <c r="J401" s="62"/>
      <c r="L401" s="62"/>
      <c r="M401" s="64"/>
      <c r="N401" s="64"/>
      <c r="O401" s="62"/>
    </row>
    <row r="402" spans="4:15" s="39" customFormat="1">
      <c r="D402" s="56"/>
      <c r="E402" s="56"/>
      <c r="F402" s="58"/>
      <c r="G402" s="58"/>
      <c r="I402" s="74"/>
      <c r="J402" s="62"/>
      <c r="L402" s="62"/>
      <c r="M402" s="64"/>
      <c r="N402" s="64"/>
      <c r="O402" s="62"/>
    </row>
    <row r="403" spans="4:15" s="39" customFormat="1">
      <c r="D403" s="56"/>
      <c r="E403" s="56"/>
      <c r="F403" s="58"/>
      <c r="G403" s="58"/>
      <c r="I403" s="74"/>
      <c r="J403" s="62"/>
      <c r="L403" s="62"/>
      <c r="M403" s="64"/>
      <c r="N403" s="64"/>
      <c r="O403" s="62"/>
    </row>
    <row r="404" spans="4:15" s="39" customFormat="1">
      <c r="D404" s="56"/>
      <c r="E404" s="56"/>
      <c r="F404" s="58"/>
      <c r="G404" s="58"/>
      <c r="I404" s="74"/>
      <c r="J404" s="62"/>
      <c r="L404" s="62"/>
      <c r="M404" s="64"/>
      <c r="N404" s="64"/>
      <c r="O404" s="62"/>
    </row>
    <row r="405" spans="4:15" s="39" customFormat="1">
      <c r="D405" s="56"/>
      <c r="E405" s="56"/>
      <c r="F405" s="58"/>
      <c r="G405" s="58"/>
      <c r="I405" s="74"/>
      <c r="J405" s="62"/>
      <c r="L405" s="62"/>
      <c r="M405" s="64"/>
      <c r="N405" s="64"/>
      <c r="O405" s="62"/>
    </row>
    <row r="406" spans="4:15" s="39" customFormat="1">
      <c r="D406" s="56"/>
      <c r="E406" s="56"/>
      <c r="F406" s="58"/>
      <c r="G406" s="58"/>
      <c r="I406" s="74"/>
      <c r="J406" s="62"/>
      <c r="L406" s="62"/>
      <c r="M406" s="64"/>
      <c r="N406" s="64"/>
      <c r="O406" s="62"/>
    </row>
    <row r="407" spans="4:15" s="39" customFormat="1">
      <c r="D407" s="56"/>
      <c r="E407" s="56"/>
      <c r="F407" s="58"/>
      <c r="G407" s="58"/>
      <c r="I407" s="74"/>
      <c r="J407" s="62"/>
      <c r="L407" s="62"/>
      <c r="M407" s="64"/>
      <c r="N407" s="64"/>
      <c r="O407" s="62"/>
    </row>
    <row r="408" spans="4:15" s="39" customFormat="1">
      <c r="D408" s="56"/>
      <c r="E408" s="56"/>
      <c r="F408" s="58"/>
      <c r="G408" s="58"/>
      <c r="I408" s="74"/>
      <c r="J408" s="62"/>
      <c r="L408" s="62"/>
      <c r="M408" s="64"/>
      <c r="N408" s="64"/>
      <c r="O408" s="62"/>
    </row>
    <row r="409" spans="4:15" s="39" customFormat="1">
      <c r="D409" s="56"/>
      <c r="E409" s="56"/>
      <c r="F409" s="58"/>
      <c r="G409" s="58"/>
      <c r="I409" s="74"/>
      <c r="J409" s="62"/>
      <c r="L409" s="62"/>
      <c r="M409" s="64"/>
      <c r="N409" s="64"/>
      <c r="O409" s="62"/>
    </row>
    <row r="410" spans="4:15" s="39" customFormat="1">
      <c r="D410" s="56"/>
      <c r="E410" s="56"/>
      <c r="F410" s="58"/>
      <c r="G410" s="58"/>
      <c r="I410" s="74"/>
      <c r="J410" s="62"/>
      <c r="L410" s="62"/>
      <c r="M410" s="64"/>
      <c r="N410" s="64"/>
      <c r="O410" s="62"/>
    </row>
    <row r="411" spans="4:15" s="39" customFormat="1">
      <c r="D411" s="56"/>
      <c r="E411" s="56"/>
      <c r="F411" s="58"/>
      <c r="G411" s="58"/>
      <c r="I411" s="74"/>
      <c r="J411" s="62"/>
      <c r="L411" s="62"/>
      <c r="M411" s="64"/>
      <c r="N411" s="64"/>
      <c r="O411" s="62"/>
    </row>
    <row r="412" spans="4:15" s="39" customFormat="1">
      <c r="D412" s="56"/>
      <c r="E412" s="56"/>
      <c r="F412" s="58"/>
      <c r="G412" s="58"/>
      <c r="I412" s="74"/>
      <c r="J412" s="62"/>
      <c r="L412" s="62"/>
      <c r="M412" s="64"/>
      <c r="N412" s="64"/>
      <c r="O412" s="62"/>
    </row>
    <row r="413" spans="4:15" s="39" customFormat="1">
      <c r="D413" s="56"/>
      <c r="E413" s="56"/>
      <c r="F413" s="58"/>
      <c r="G413" s="58"/>
      <c r="I413" s="74"/>
      <c r="J413" s="62"/>
      <c r="L413" s="62"/>
      <c r="M413" s="64"/>
      <c r="N413" s="64"/>
      <c r="O413" s="62"/>
    </row>
    <row r="414" spans="4:15" s="39" customFormat="1">
      <c r="D414" s="56"/>
      <c r="E414" s="56"/>
      <c r="F414" s="58"/>
      <c r="G414" s="58"/>
      <c r="I414" s="74"/>
      <c r="J414" s="62"/>
      <c r="L414" s="62"/>
      <c r="M414" s="64"/>
      <c r="N414" s="64"/>
      <c r="O414" s="62"/>
    </row>
    <row r="415" spans="4:15" s="39" customFormat="1">
      <c r="D415" s="56"/>
      <c r="E415" s="56"/>
      <c r="F415" s="58"/>
      <c r="G415" s="58"/>
      <c r="I415" s="74"/>
      <c r="J415" s="62"/>
      <c r="L415" s="62"/>
      <c r="M415" s="64"/>
      <c r="N415" s="64"/>
      <c r="O415" s="62"/>
    </row>
    <row r="416" spans="4:15" s="39" customFormat="1">
      <c r="D416" s="56"/>
      <c r="E416" s="56"/>
      <c r="F416" s="58"/>
      <c r="G416" s="58"/>
      <c r="I416" s="74"/>
      <c r="J416" s="62"/>
      <c r="L416" s="62"/>
      <c r="M416" s="64"/>
      <c r="N416" s="64"/>
      <c r="O416" s="62"/>
    </row>
    <row r="417" spans="1:15">
      <c r="A417" s="39"/>
      <c r="B417" s="39"/>
      <c r="D417" s="56"/>
      <c r="E417" s="56"/>
      <c r="F417" s="58"/>
      <c r="G417" s="58"/>
      <c r="I417" s="74"/>
      <c r="J417" s="62"/>
      <c r="L417" s="62"/>
      <c r="M417" s="64"/>
      <c r="N417" s="64"/>
      <c r="O417" s="62"/>
    </row>
    <row r="418" spans="1:15">
      <c r="A418" s="39"/>
      <c r="B418" s="39"/>
      <c r="D418" s="56"/>
      <c r="E418" s="56"/>
      <c r="F418" s="58"/>
      <c r="G418" s="58"/>
      <c r="I418" s="74"/>
      <c r="J418" s="62"/>
      <c r="L418" s="62"/>
      <c r="M418" s="64"/>
      <c r="N418" s="64"/>
      <c r="O418" s="62"/>
    </row>
    <row r="419" spans="1:15">
      <c r="A419" s="39"/>
      <c r="B419" s="39"/>
      <c r="D419" s="56"/>
      <c r="E419" s="56"/>
      <c r="F419" s="58"/>
      <c r="G419" s="58"/>
      <c r="I419" s="74"/>
      <c r="J419" s="62"/>
      <c r="L419" s="62"/>
      <c r="M419" s="64"/>
      <c r="N419" s="64"/>
      <c r="O419" s="62"/>
    </row>
    <row r="420" spans="1:15">
      <c r="A420" s="39"/>
      <c r="B420" s="39"/>
      <c r="D420" s="56"/>
      <c r="E420" s="56"/>
      <c r="F420" s="58"/>
      <c r="G420" s="58"/>
      <c r="I420" s="74"/>
      <c r="J420" s="62"/>
      <c r="L420" s="62"/>
      <c r="M420" s="64"/>
      <c r="N420" s="64"/>
      <c r="O420" s="62"/>
    </row>
    <row r="421" spans="1:15">
      <c r="A421" s="39"/>
      <c r="B421" s="39"/>
      <c r="D421" s="56"/>
      <c r="E421" s="56"/>
      <c r="F421" s="58"/>
      <c r="G421" s="58"/>
      <c r="I421" s="74"/>
      <c r="J421" s="62"/>
      <c r="L421" s="62"/>
      <c r="M421" s="64"/>
      <c r="N421" s="64"/>
      <c r="O421" s="62"/>
    </row>
    <row r="422" spans="1:15">
      <c r="A422" s="39"/>
      <c r="B422" s="39"/>
      <c r="D422" s="56"/>
      <c r="E422" s="56"/>
      <c r="F422" s="58"/>
      <c r="G422" s="58"/>
      <c r="I422" s="74"/>
      <c r="J422" s="62"/>
      <c r="L422" s="62"/>
      <c r="M422" s="64"/>
      <c r="N422" s="64"/>
      <c r="O422" s="62"/>
    </row>
    <row r="423" spans="1:15">
      <c r="A423" s="39"/>
      <c r="B423" s="39"/>
      <c r="D423" s="56"/>
      <c r="E423" s="56"/>
      <c r="F423" s="58"/>
      <c r="G423" s="58"/>
      <c r="I423" s="74"/>
      <c r="J423" s="62"/>
      <c r="L423" s="62"/>
      <c r="M423" s="64"/>
      <c r="N423" s="64"/>
      <c r="O423" s="62"/>
    </row>
    <row r="424" spans="1:15">
      <c r="A424" s="39"/>
      <c r="B424" s="39"/>
      <c r="D424" s="56"/>
      <c r="E424" s="56"/>
      <c r="F424" s="58"/>
      <c r="G424" s="58"/>
      <c r="I424" s="74"/>
      <c r="J424" s="62"/>
      <c r="L424" s="62"/>
      <c r="M424" s="64"/>
      <c r="N424" s="64"/>
      <c r="O424" s="62"/>
    </row>
    <row r="425" spans="1:15">
      <c r="A425" s="39"/>
      <c r="B425" s="39"/>
      <c r="D425" s="56"/>
      <c r="E425" s="56"/>
      <c r="F425" s="58"/>
      <c r="G425" s="58"/>
      <c r="I425" s="74"/>
      <c r="J425" s="62"/>
      <c r="L425" s="62"/>
      <c r="M425" s="64"/>
      <c r="N425" s="64"/>
      <c r="O425" s="62"/>
    </row>
    <row r="426" spans="1:15">
      <c r="A426" s="39"/>
      <c r="B426" s="39"/>
      <c r="D426" s="56"/>
      <c r="E426" s="56"/>
      <c r="F426" s="58"/>
      <c r="G426" s="58"/>
      <c r="I426" s="74"/>
      <c r="J426" s="62"/>
      <c r="L426" s="62"/>
      <c r="M426" s="64"/>
      <c r="N426" s="64"/>
      <c r="O426" s="62"/>
    </row>
    <row r="427" spans="1:15">
      <c r="A427" s="39"/>
      <c r="B427" s="39"/>
      <c r="D427" s="56"/>
      <c r="E427" s="56"/>
      <c r="F427" s="58"/>
      <c r="G427" s="58"/>
      <c r="I427" s="74"/>
      <c r="J427" s="62"/>
      <c r="L427" s="62"/>
      <c r="M427" s="64"/>
      <c r="N427" s="64"/>
      <c r="O427" s="62"/>
    </row>
  </sheetData>
  <mergeCells count="6">
    <mergeCell ref="H7:I7"/>
    <mergeCell ref="A1:P1"/>
    <mergeCell ref="A2:P2"/>
    <mergeCell ref="A3:P3"/>
    <mergeCell ref="A4:P4"/>
    <mergeCell ref="L6:M6"/>
  </mergeCells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66ED3-4DDE-4BED-A744-3505976CA3B3}">
  <sheetPr transitionEvaluation="1" transitionEntry="1">
    <pageSetUpPr fitToPage="1"/>
  </sheetPr>
  <dimension ref="A1:R428"/>
  <sheetViews>
    <sheetView defaultGridColor="0" colorId="22" zoomScale="87" zoomScaleNormal="87" workbookViewId="0">
      <pane ySplit="10" topLeftCell="A47" activePane="bottomLeft" state="frozen"/>
      <selection pane="bottomLeft" activeCell="I91" sqref="I91"/>
    </sheetView>
  </sheetViews>
  <sheetFormatPr defaultColWidth="9.7109375" defaultRowHeight="12.75"/>
  <cols>
    <col min="1" max="1" width="5.5703125" style="52" customWidth="1"/>
    <col min="2" max="2" width="10.28515625" style="52" bestFit="1" customWidth="1"/>
    <col min="3" max="3" width="32.42578125" style="39" bestFit="1" customWidth="1"/>
    <col min="4" max="4" width="10.5703125" style="52" bestFit="1" customWidth="1"/>
    <col min="5" max="5" width="10.85546875" style="52" bestFit="1" customWidth="1"/>
    <col min="6" max="7" width="6.42578125" style="52" bestFit="1" customWidth="1"/>
    <col min="8" max="8" width="14.140625" style="39" bestFit="1" customWidth="1"/>
    <col min="9" max="9" width="14.85546875" style="39" customWidth="1"/>
    <col min="10" max="10" width="13.28515625" style="39" bestFit="1" customWidth="1"/>
    <col min="11" max="11" width="14.7109375" style="39" bestFit="1" customWidth="1"/>
    <col min="12" max="12" width="16.5703125" style="39" customWidth="1"/>
    <col min="13" max="13" width="11.28515625" style="39" customWidth="1"/>
    <col min="14" max="14" width="11" style="39" bestFit="1" customWidth="1"/>
    <col min="15" max="15" width="14.5703125" style="39" bestFit="1" customWidth="1"/>
    <col min="16" max="16" width="5.42578125" style="39" bestFit="1" customWidth="1"/>
    <col min="17" max="17" width="12" style="39" bestFit="1" customWidth="1"/>
    <col min="18" max="18" width="13.7109375" style="39" bestFit="1" customWidth="1"/>
    <col min="19" max="16384" width="9.7109375" style="39"/>
  </cols>
  <sheetData>
    <row r="1" spans="1:16" ht="15.75" customHeight="1">
      <c r="A1" s="143" t="str">
        <f>[3]Summary!A1</f>
        <v>PACIFICORP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.75" customHeight="1">
      <c r="A2" s="146" t="str">
        <f>[3]Summary!A2</f>
        <v>Electric Operations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15.75" customHeight="1">
      <c r="A3" s="146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15.75">
      <c r="A4" s="149">
        <f>[3]Summary!A4</f>
        <v>44834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4" customFormat="1" ht="11.25">
      <c r="A5" s="40"/>
      <c r="B5" s="41"/>
      <c r="C5" s="42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3"/>
    </row>
    <row r="6" spans="1:16">
      <c r="A6" s="40"/>
      <c r="B6" s="45"/>
      <c r="C6" s="46"/>
      <c r="D6" s="45"/>
      <c r="E6" s="45"/>
      <c r="F6" s="45"/>
      <c r="G6" s="45"/>
      <c r="H6" s="47"/>
      <c r="I6" s="47"/>
      <c r="J6" s="46"/>
      <c r="K6" s="46"/>
      <c r="L6" s="142" t="s">
        <v>23</v>
      </c>
      <c r="M6" s="142"/>
      <c r="O6" s="44"/>
      <c r="P6" s="43"/>
    </row>
    <row r="7" spans="1:16">
      <c r="A7" s="40"/>
      <c r="B7" s="45"/>
      <c r="C7" s="46"/>
      <c r="D7" s="45"/>
      <c r="E7" s="45"/>
      <c r="F7" s="45"/>
      <c r="G7" s="45"/>
      <c r="H7" s="142" t="s">
        <v>24</v>
      </c>
      <c r="I7" s="142"/>
      <c r="J7" s="46"/>
      <c r="K7" s="46"/>
      <c r="L7" s="45" t="s">
        <v>25</v>
      </c>
      <c r="M7" s="45" t="s">
        <v>26</v>
      </c>
      <c r="O7" s="44"/>
      <c r="P7" s="43"/>
    </row>
    <row r="8" spans="1:16">
      <c r="A8" s="40" t="s">
        <v>27</v>
      </c>
      <c r="B8" s="45" t="s">
        <v>28</v>
      </c>
      <c r="C8" s="46" t="s">
        <v>29</v>
      </c>
      <c r="D8" s="45" t="s">
        <v>30</v>
      </c>
      <c r="E8" s="45" t="s">
        <v>31</v>
      </c>
      <c r="F8" s="45" t="s">
        <v>32</v>
      </c>
      <c r="G8" s="45"/>
      <c r="H8" s="45" t="s">
        <v>33</v>
      </c>
      <c r="I8" s="45" t="s">
        <v>34</v>
      </c>
      <c r="J8" s="45" t="s">
        <v>30</v>
      </c>
      <c r="K8" s="45" t="s">
        <v>35</v>
      </c>
      <c r="L8" s="45" t="s">
        <v>36</v>
      </c>
      <c r="M8" s="45" t="s">
        <v>37</v>
      </c>
      <c r="N8" s="45" t="s">
        <v>38</v>
      </c>
      <c r="O8" s="45" t="s">
        <v>39</v>
      </c>
      <c r="P8" s="43" t="s">
        <v>27</v>
      </c>
    </row>
    <row r="9" spans="1:16">
      <c r="A9" s="40" t="s">
        <v>40</v>
      </c>
      <c r="B9" s="45" t="s">
        <v>41</v>
      </c>
      <c r="C9" s="45" t="s">
        <v>42</v>
      </c>
      <c r="D9" s="45" t="s">
        <v>43</v>
      </c>
      <c r="E9" s="45" t="s">
        <v>43</v>
      </c>
      <c r="F9" s="45" t="s">
        <v>44</v>
      </c>
      <c r="G9" s="45" t="s">
        <v>45</v>
      </c>
      <c r="H9" s="45" t="s">
        <v>46</v>
      </c>
      <c r="I9" s="45" t="s">
        <v>47</v>
      </c>
      <c r="J9" s="45" t="s">
        <v>48</v>
      </c>
      <c r="K9" s="45" t="s">
        <v>48</v>
      </c>
      <c r="L9" s="45" t="s">
        <v>49</v>
      </c>
      <c r="M9" s="45" t="s">
        <v>49</v>
      </c>
      <c r="N9" s="45" t="s">
        <v>50</v>
      </c>
      <c r="O9" s="45" t="s">
        <v>51</v>
      </c>
      <c r="P9" s="43" t="s">
        <v>40</v>
      </c>
    </row>
    <row r="10" spans="1:16">
      <c r="A10" s="48"/>
      <c r="B10" s="49" t="s">
        <v>52</v>
      </c>
      <c r="C10" s="49" t="s">
        <v>53</v>
      </c>
      <c r="D10" s="49" t="s">
        <v>54</v>
      </c>
      <c r="E10" s="49" t="s">
        <v>55</v>
      </c>
      <c r="F10" s="49" t="s">
        <v>56</v>
      </c>
      <c r="G10" s="49" t="s">
        <v>57</v>
      </c>
      <c r="H10" s="49" t="s">
        <v>58</v>
      </c>
      <c r="I10" s="49" t="s">
        <v>59</v>
      </c>
      <c r="J10" s="49" t="s">
        <v>60</v>
      </c>
      <c r="K10" s="49" t="s">
        <v>61</v>
      </c>
      <c r="L10" s="49" t="s">
        <v>62</v>
      </c>
      <c r="M10" s="49" t="s">
        <v>63</v>
      </c>
      <c r="N10" s="49" t="s">
        <v>64</v>
      </c>
      <c r="O10" s="49" t="s">
        <v>65</v>
      </c>
      <c r="P10" s="50"/>
    </row>
    <row r="11" spans="1:16">
      <c r="A11" s="51">
        <v>1</v>
      </c>
      <c r="P11" s="53">
        <f>A11</f>
        <v>1</v>
      </c>
    </row>
    <row r="12" spans="1:16">
      <c r="A12" s="51">
        <f>A11+1</f>
        <v>2</v>
      </c>
      <c r="C12" s="54" t="s">
        <v>66</v>
      </c>
      <c r="D12" s="55"/>
      <c r="E12" s="56"/>
      <c r="P12" s="53">
        <f>A12</f>
        <v>2</v>
      </c>
    </row>
    <row r="13" spans="1:16">
      <c r="A13" s="51">
        <f>A12+1</f>
        <v>3</v>
      </c>
      <c r="B13" s="57">
        <v>2.9499999999999998E-2</v>
      </c>
      <c r="C13" s="39" t="s">
        <v>67</v>
      </c>
      <c r="D13" s="56">
        <f>DATE(2013,6,6)</f>
        <v>41431</v>
      </c>
      <c r="E13" s="56">
        <f>DATE(2023,6,1)</f>
        <v>45078</v>
      </c>
      <c r="F13" s="58">
        <f t="shared" ref="F13:F30" si="0">YEARFRAC(D13,E13)</f>
        <v>9.9861111111111107</v>
      </c>
      <c r="G13" s="58">
        <f t="shared" ref="G13:G30" si="1">YEARFRAC($A$4,E13)</f>
        <v>0.6694444444444444</v>
      </c>
      <c r="H13" s="59">
        <v>300000000</v>
      </c>
      <c r="I13" s="60">
        <v>300000000</v>
      </c>
      <c r="J13" s="61">
        <f>-1350000-900000-494850.25-14501.29</f>
        <v>-2759351.54</v>
      </c>
      <c r="K13" s="61">
        <v>0</v>
      </c>
      <c r="L13" s="62">
        <f t="shared" ref="L13" si="2">SUM(I13:K13)</f>
        <v>297240648.45999998</v>
      </c>
      <c r="M13" s="63">
        <f t="shared" ref="M13:M30" si="3">L13/I13*100</f>
        <v>99.080216153333325</v>
      </c>
      <c r="N13" s="64">
        <f t="shared" ref="N13:N25" si="4">ROUND(YIELD(D13,E13,B13,M13,100,2,0),5)</f>
        <v>3.058E-2</v>
      </c>
      <c r="O13" s="39">
        <f t="shared" ref="O13:O30" si="5">ROUND(N13,5)*I13</f>
        <v>9174000</v>
      </c>
      <c r="P13" s="53">
        <f t="shared" ref="P13:P76" si="6">A13</f>
        <v>3</v>
      </c>
    </row>
    <row r="14" spans="1:16">
      <c r="A14" s="51">
        <f t="shared" ref="A14:A76" si="7">A13+1</f>
        <v>4</v>
      </c>
      <c r="B14" s="57">
        <v>3.5999999999999997E-2</v>
      </c>
      <c r="C14" s="39" t="s">
        <v>68</v>
      </c>
      <c r="D14" s="56">
        <f>DATE(2014,3,13)</f>
        <v>41711</v>
      </c>
      <c r="E14" s="56">
        <f>DATE(2024,4,1)</f>
        <v>45383</v>
      </c>
      <c r="F14" s="58">
        <f t="shared" si="0"/>
        <v>10.050000000000001</v>
      </c>
      <c r="G14" s="58">
        <f t="shared" si="1"/>
        <v>1.5027777777777778</v>
      </c>
      <c r="H14" s="59">
        <v>425000000</v>
      </c>
      <c r="I14" s="60">
        <v>425000000</v>
      </c>
      <c r="J14" s="61">
        <f>-255000-2635000-710164.21</f>
        <v>-3600164.21</v>
      </c>
      <c r="K14" s="61">
        <f>-1756408.34-183498.35-3167.83</f>
        <v>-1943074.5200000003</v>
      </c>
      <c r="L14" s="62">
        <f t="shared" ref="L14" si="8">SUM(I14:K14)</f>
        <v>419456761.27000004</v>
      </c>
      <c r="M14" s="63">
        <f t="shared" si="3"/>
        <v>98.695708534117657</v>
      </c>
      <c r="N14" s="64">
        <f t="shared" si="4"/>
        <v>3.7569999999999999E-2</v>
      </c>
      <c r="O14" s="39">
        <f t="shared" si="5"/>
        <v>15967250</v>
      </c>
      <c r="P14" s="53">
        <f t="shared" si="6"/>
        <v>4</v>
      </c>
    </row>
    <row r="15" spans="1:16">
      <c r="A15" s="51">
        <f t="shared" si="7"/>
        <v>5</v>
      </c>
      <c r="B15" s="57">
        <v>3.3500000000000002E-2</v>
      </c>
      <c r="C15" s="39" t="s">
        <v>69</v>
      </c>
      <c r="D15" s="56">
        <f>DATE(2015,6,19)</f>
        <v>42174</v>
      </c>
      <c r="E15" s="56">
        <f>DATE(2025,7,1)</f>
        <v>45839</v>
      </c>
      <c r="F15" s="58">
        <f t="shared" si="0"/>
        <v>10.033333333333333</v>
      </c>
      <c r="G15" s="58">
        <f t="shared" si="1"/>
        <v>2.7527777777777778</v>
      </c>
      <c r="H15" s="59">
        <v>250000000</v>
      </c>
      <c r="I15" s="60">
        <v>250000000</v>
      </c>
      <c r="J15" s="61">
        <f>-320000-1625000-496421.02</f>
        <v>-2441421.02</v>
      </c>
      <c r="K15" s="61">
        <v>0</v>
      </c>
      <c r="L15" s="62">
        <f t="shared" ref="L15" si="9">SUM(I15:K15)</f>
        <v>247558578.97999999</v>
      </c>
      <c r="M15" s="63">
        <f t="shared" si="3"/>
        <v>99.023431591999994</v>
      </c>
      <c r="N15" s="64">
        <f t="shared" si="4"/>
        <v>3.4660000000000003E-2</v>
      </c>
      <c r="O15" s="39">
        <f t="shared" si="5"/>
        <v>8665000</v>
      </c>
      <c r="P15" s="53">
        <f t="shared" si="6"/>
        <v>5</v>
      </c>
    </row>
    <row r="16" spans="1:16">
      <c r="A16" s="51">
        <f t="shared" si="7"/>
        <v>6</v>
      </c>
      <c r="B16" s="57">
        <v>3.5000000000000003E-2</v>
      </c>
      <c r="C16" s="39" t="s">
        <v>70</v>
      </c>
      <c r="D16" s="56">
        <f>DATE(2019,3,1)</f>
        <v>43525</v>
      </c>
      <c r="E16" s="56">
        <f>DATE(2029,6,15)</f>
        <v>47284</v>
      </c>
      <c r="F16" s="58">
        <f>YEARFRAC(D16,E16)</f>
        <v>10.28888888888889</v>
      </c>
      <c r="G16" s="58">
        <f>YEARFRAC($A$4,E16)</f>
        <v>6.708333333333333</v>
      </c>
      <c r="H16" s="59">
        <v>400000000</v>
      </c>
      <c r="I16" s="60">
        <v>400000000</v>
      </c>
      <c r="J16" s="61">
        <f>-740000-1700000-59986.3-374194.58</f>
        <v>-2874180.88</v>
      </c>
      <c r="K16" s="61">
        <v>0</v>
      </c>
      <c r="L16" s="62">
        <f>SUM(I16:K16)</f>
        <v>397125819.12</v>
      </c>
      <c r="M16" s="63">
        <f>L16/I16*100</f>
        <v>99.281454780000004</v>
      </c>
      <c r="N16" s="64">
        <f>ROUND(YIELD(D16,E16,B16,M16,100,2,0),5)</f>
        <v>3.5839999999999997E-2</v>
      </c>
      <c r="O16" s="39">
        <f>ROUND(N16,5)*I16</f>
        <v>14335999.999999998</v>
      </c>
      <c r="P16" s="53">
        <f t="shared" si="6"/>
        <v>6</v>
      </c>
    </row>
    <row r="17" spans="1:18">
      <c r="A17" s="51">
        <f t="shared" si="7"/>
        <v>7</v>
      </c>
      <c r="B17" s="57">
        <v>2.7E-2</v>
      </c>
      <c r="C17" s="39" t="s">
        <v>71</v>
      </c>
      <c r="D17" s="56">
        <f>DATE(2020,4,8)</f>
        <v>43929</v>
      </c>
      <c r="E17" s="56">
        <f>DATE(2030,9,15)</f>
        <v>47741</v>
      </c>
      <c r="F17" s="58">
        <f>YEARFRAC(D17,E17)</f>
        <v>10.436111111111112</v>
      </c>
      <c r="G17" s="58">
        <f>YEARFRAC($A$4,E17)</f>
        <v>7.958333333333333</v>
      </c>
      <c r="H17" s="59">
        <v>400000000</v>
      </c>
      <c r="I17" s="60">
        <v>400000000</v>
      </c>
      <c r="J17" s="61">
        <f>-720000-1700000-65400.39-391165.2-225.58</f>
        <v>-2876791.1700000004</v>
      </c>
      <c r="K17" s="61">
        <v>0</v>
      </c>
      <c r="L17" s="62">
        <f>SUM(I17:K17)</f>
        <v>397123208.82999998</v>
      </c>
      <c r="M17" s="63">
        <f>L17/I17*100</f>
        <v>99.280802207500003</v>
      </c>
      <c r="N17" s="64">
        <f>ROUND(YIELD(D17,E17,B17,M17,100,2,0),5)</f>
        <v>2.7799999999999998E-2</v>
      </c>
      <c r="O17" s="39">
        <f>ROUND(N17,5)*I17</f>
        <v>11120000</v>
      </c>
      <c r="P17" s="53">
        <f t="shared" si="6"/>
        <v>7</v>
      </c>
    </row>
    <row r="18" spans="1:18">
      <c r="A18" s="51">
        <f t="shared" si="7"/>
        <v>8</v>
      </c>
      <c r="B18" s="57">
        <v>7.6999999999999999E-2</v>
      </c>
      <c r="C18" s="39" t="s">
        <v>72</v>
      </c>
      <c r="D18" s="56">
        <f>DATE(2001,11,21)</f>
        <v>37216</v>
      </c>
      <c r="E18" s="56">
        <f>DATE(2031,11,15)</f>
        <v>48167</v>
      </c>
      <c r="F18" s="58">
        <f t="shared" si="0"/>
        <v>29.983333333333334</v>
      </c>
      <c r="G18" s="58">
        <f t="shared" si="1"/>
        <v>9.125</v>
      </c>
      <c r="H18" s="59">
        <v>300000000</v>
      </c>
      <c r="I18" s="60">
        <v>300000000</v>
      </c>
      <c r="J18" s="61">
        <f>-2625000-864000-212309.65</f>
        <v>-3701309.65</v>
      </c>
      <c r="K18" s="61">
        <v>0</v>
      </c>
      <c r="L18" s="62">
        <f t="shared" ref="L18:L26" si="10">SUM(I18:K18)</f>
        <v>296298690.35000002</v>
      </c>
      <c r="M18" s="63">
        <f t="shared" si="3"/>
        <v>98.766230116666677</v>
      </c>
      <c r="N18" s="64">
        <f t="shared" si="4"/>
        <v>7.8070000000000001E-2</v>
      </c>
      <c r="O18" s="39">
        <f t="shared" si="5"/>
        <v>23421000</v>
      </c>
      <c r="P18" s="53">
        <f t="shared" si="6"/>
        <v>8</v>
      </c>
      <c r="R18" s="65"/>
    </row>
    <row r="19" spans="1:18">
      <c r="A19" s="51">
        <f t="shared" si="7"/>
        <v>9</v>
      </c>
      <c r="B19" s="57">
        <v>5.8999999999999997E-2</v>
      </c>
      <c r="C19" s="39" t="s">
        <v>73</v>
      </c>
      <c r="D19" s="56">
        <f>DATE(2004,8,24)</f>
        <v>38223</v>
      </c>
      <c r="E19" s="56">
        <f>DATE(2034,8,15)</f>
        <v>49171</v>
      </c>
      <c r="F19" s="58">
        <f t="shared" si="0"/>
        <v>29.975000000000001</v>
      </c>
      <c r="G19" s="58">
        <f t="shared" si="1"/>
        <v>11.875</v>
      </c>
      <c r="H19" s="59">
        <v>200000000</v>
      </c>
      <c r="I19" s="60">
        <v>200000000</v>
      </c>
      <c r="J19" s="61">
        <f>-722000-1750000-142365.3</f>
        <v>-2614365.2999999998</v>
      </c>
      <c r="K19" s="61">
        <v>0</v>
      </c>
      <c r="L19" s="62">
        <f t="shared" si="10"/>
        <v>197385634.69999999</v>
      </c>
      <c r="M19" s="63">
        <f t="shared" si="3"/>
        <v>98.692817349999999</v>
      </c>
      <c r="N19" s="64">
        <f t="shared" si="4"/>
        <v>5.994E-2</v>
      </c>
      <c r="O19" s="39">
        <f t="shared" si="5"/>
        <v>11988000</v>
      </c>
      <c r="P19" s="53">
        <f t="shared" si="6"/>
        <v>9</v>
      </c>
      <c r="R19" s="65"/>
    </row>
    <row r="20" spans="1:18">
      <c r="A20" s="51">
        <f t="shared" si="7"/>
        <v>10</v>
      </c>
      <c r="B20" s="57">
        <v>5.2499999999999998E-2</v>
      </c>
      <c r="C20" s="39" t="s">
        <v>74</v>
      </c>
      <c r="D20" s="56">
        <f>DATE(2005,6,8)</f>
        <v>38511</v>
      </c>
      <c r="E20" s="56">
        <f>DATE(2035,6,15)</f>
        <v>49475</v>
      </c>
      <c r="F20" s="58">
        <f t="shared" si="0"/>
        <v>30.019444444444446</v>
      </c>
      <c r="G20" s="58">
        <f t="shared" si="1"/>
        <v>12.708333333333334</v>
      </c>
      <c r="H20" s="59">
        <v>300000000</v>
      </c>
      <c r="I20" s="60">
        <v>300000000</v>
      </c>
      <c r="J20" s="61">
        <f>-1080000-2625000-287020.96</f>
        <v>-3992020.96</v>
      </c>
      <c r="K20" s="61">
        <v>-1295995.2</v>
      </c>
      <c r="L20" s="62">
        <f t="shared" si="10"/>
        <v>294711983.84000003</v>
      </c>
      <c r="M20" s="63">
        <f t="shared" si="3"/>
        <v>98.237327946666682</v>
      </c>
      <c r="N20" s="64">
        <f t="shared" si="4"/>
        <v>5.3690000000000002E-2</v>
      </c>
      <c r="O20" s="39">
        <f t="shared" si="5"/>
        <v>16107000</v>
      </c>
      <c r="P20" s="53">
        <f t="shared" si="6"/>
        <v>10</v>
      </c>
    </row>
    <row r="21" spans="1:18">
      <c r="A21" s="51">
        <f t="shared" si="7"/>
        <v>11</v>
      </c>
      <c r="B21" s="57">
        <v>6.0999999999999999E-2</v>
      </c>
      <c r="C21" s="39" t="s">
        <v>75</v>
      </c>
      <c r="D21" s="56">
        <f>DATE(2006,8,10)</f>
        <v>38939</v>
      </c>
      <c r="E21" s="56">
        <f>DATE(2036,8,1)</f>
        <v>49888</v>
      </c>
      <c r="F21" s="58">
        <f t="shared" si="0"/>
        <v>29.975000000000001</v>
      </c>
      <c r="G21" s="58">
        <f t="shared" si="1"/>
        <v>13.83611111111111</v>
      </c>
      <c r="H21" s="59">
        <v>350000000</v>
      </c>
      <c r="I21" s="60">
        <v>350000000</v>
      </c>
      <c r="J21" s="61">
        <f>-1141000-2450000-457880.81</f>
        <v>-4048880.81</v>
      </c>
      <c r="K21" s="61">
        <v>0</v>
      </c>
      <c r="L21" s="62">
        <f t="shared" si="10"/>
        <v>345951119.19</v>
      </c>
      <c r="M21" s="63">
        <f t="shared" si="3"/>
        <v>98.843176911428571</v>
      </c>
      <c r="N21" s="64">
        <f t="shared" si="4"/>
        <v>6.1850000000000002E-2</v>
      </c>
      <c r="O21" s="39">
        <f t="shared" si="5"/>
        <v>21647500</v>
      </c>
      <c r="P21" s="53">
        <f t="shared" si="6"/>
        <v>11</v>
      </c>
    </row>
    <row r="22" spans="1:18">
      <c r="A22" s="51">
        <f t="shared" si="7"/>
        <v>12</v>
      </c>
      <c r="B22" s="57">
        <v>5.7500000000000002E-2</v>
      </c>
      <c r="C22" s="39" t="s">
        <v>76</v>
      </c>
      <c r="D22" s="56">
        <f>DATE(2007,3,14)</f>
        <v>39155</v>
      </c>
      <c r="E22" s="56">
        <f>DATE(2037,4,1)</f>
        <v>50131</v>
      </c>
      <c r="F22" s="58">
        <f t="shared" si="0"/>
        <v>30.047222222222221</v>
      </c>
      <c r="G22" s="58">
        <f t="shared" si="1"/>
        <v>14.502777777777778</v>
      </c>
      <c r="H22" s="59">
        <v>600000000</v>
      </c>
      <c r="I22" s="60">
        <v>600000000</v>
      </c>
      <c r="J22" s="61">
        <f>-24000-589216.14</f>
        <v>-613216.14</v>
      </c>
      <c r="K22" s="61">
        <v>0</v>
      </c>
      <c r="L22" s="62">
        <f t="shared" si="10"/>
        <v>599386783.86000001</v>
      </c>
      <c r="M22" s="63">
        <f t="shared" si="3"/>
        <v>99.897797310000001</v>
      </c>
      <c r="N22" s="64">
        <f t="shared" si="4"/>
        <v>5.7570000000000003E-2</v>
      </c>
      <c r="O22" s="39">
        <f t="shared" si="5"/>
        <v>34542000</v>
      </c>
      <c r="P22" s="53">
        <f t="shared" si="6"/>
        <v>12</v>
      </c>
    </row>
    <row r="23" spans="1:18">
      <c r="A23" s="51">
        <f t="shared" si="7"/>
        <v>13</v>
      </c>
      <c r="B23" s="57">
        <v>6.25E-2</v>
      </c>
      <c r="C23" s="39" t="s">
        <v>77</v>
      </c>
      <c r="D23" s="56">
        <f>DATE(2007,10,3)</f>
        <v>39358</v>
      </c>
      <c r="E23" s="56">
        <f>DATE(2037,10,15)</f>
        <v>50328</v>
      </c>
      <c r="F23" s="58">
        <f t="shared" si="0"/>
        <v>30.033333333333335</v>
      </c>
      <c r="G23" s="58">
        <f t="shared" si="1"/>
        <v>15.041666666666666</v>
      </c>
      <c r="H23" s="59">
        <v>600000000</v>
      </c>
      <c r="I23" s="60">
        <v>600000000</v>
      </c>
      <c r="J23" s="61">
        <f>-750000-4650000-477281.03</f>
        <v>-5877281.0300000003</v>
      </c>
      <c r="K23" s="61">
        <v>0</v>
      </c>
      <c r="L23" s="62">
        <f t="shared" si="10"/>
        <v>594122718.97000003</v>
      </c>
      <c r="M23" s="63">
        <f t="shared" si="3"/>
        <v>99.020453161666666</v>
      </c>
      <c r="N23" s="64">
        <f t="shared" si="4"/>
        <v>6.3229999999999995E-2</v>
      </c>
      <c r="O23" s="39">
        <f t="shared" si="5"/>
        <v>37938000</v>
      </c>
      <c r="P23" s="53">
        <f t="shared" si="6"/>
        <v>13</v>
      </c>
    </row>
    <row r="24" spans="1:18">
      <c r="A24" s="51">
        <f t="shared" si="7"/>
        <v>14</v>
      </c>
      <c r="B24" s="57">
        <v>6.3500000000000001E-2</v>
      </c>
      <c r="C24" s="39" t="s">
        <v>78</v>
      </c>
      <c r="D24" s="56">
        <f>DATE(2008,7,17)</f>
        <v>39646</v>
      </c>
      <c r="E24" s="56">
        <f>DATE(2038,7,15)</f>
        <v>50601</v>
      </c>
      <c r="F24" s="58">
        <f t="shared" si="0"/>
        <v>29.994444444444444</v>
      </c>
      <c r="G24" s="58">
        <f t="shared" si="1"/>
        <v>15.791666666666666</v>
      </c>
      <c r="H24" s="59">
        <v>300000000</v>
      </c>
      <c r="I24" s="60">
        <v>300000000</v>
      </c>
      <c r="J24" s="61">
        <f>-1671000-2100000-189957.54-375</f>
        <v>-3961332.54</v>
      </c>
      <c r="K24" s="61">
        <v>0</v>
      </c>
      <c r="L24" s="62">
        <f t="shared" si="10"/>
        <v>296038667.45999998</v>
      </c>
      <c r="M24" s="63">
        <f t="shared" si="3"/>
        <v>98.679555820000004</v>
      </c>
      <c r="N24" s="64">
        <f t="shared" si="4"/>
        <v>6.4500000000000002E-2</v>
      </c>
      <c r="O24" s="39">
        <f t="shared" si="5"/>
        <v>19350000</v>
      </c>
      <c r="P24" s="53">
        <f t="shared" si="6"/>
        <v>14</v>
      </c>
    </row>
    <row r="25" spans="1:18">
      <c r="A25" s="51">
        <f t="shared" si="7"/>
        <v>15</v>
      </c>
      <c r="B25" s="57">
        <v>0.06</v>
      </c>
      <c r="C25" s="39" t="s">
        <v>79</v>
      </c>
      <c r="D25" s="56">
        <f>DATE(2009,1,8)</f>
        <v>39821</v>
      </c>
      <c r="E25" s="56">
        <f>DATE(2039,1,15)</f>
        <v>50785</v>
      </c>
      <c r="F25" s="58">
        <f t="shared" si="0"/>
        <v>30.019444444444446</v>
      </c>
      <c r="G25" s="58">
        <f t="shared" si="1"/>
        <v>16.291666666666668</v>
      </c>
      <c r="H25" s="59">
        <v>650000000</v>
      </c>
      <c r="I25" s="60">
        <v>650000000</v>
      </c>
      <c r="J25" s="61">
        <f>-6175000-5687500-436184.72-11002.1</f>
        <v>-12309686.82</v>
      </c>
      <c r="K25" s="61">
        <v>0</v>
      </c>
      <c r="L25" s="62">
        <f t="shared" si="10"/>
        <v>637690313.17999995</v>
      </c>
      <c r="M25" s="63">
        <f t="shared" si="3"/>
        <v>98.106202027692305</v>
      </c>
      <c r="N25" s="64">
        <f t="shared" si="4"/>
        <v>6.139E-2</v>
      </c>
      <c r="O25" s="39">
        <f t="shared" si="5"/>
        <v>39903500</v>
      </c>
      <c r="P25" s="53">
        <f t="shared" si="6"/>
        <v>15</v>
      </c>
    </row>
    <row r="26" spans="1:18">
      <c r="A26" s="51">
        <f t="shared" si="7"/>
        <v>16</v>
      </c>
      <c r="B26" s="57">
        <v>4.1000000000000002E-2</v>
      </c>
      <c r="C26" s="39" t="s">
        <v>80</v>
      </c>
      <c r="D26" s="56">
        <f>DATE(2012,1,6)</f>
        <v>40914</v>
      </c>
      <c r="E26" s="56">
        <f>DATE(2042,2,1)</f>
        <v>51898</v>
      </c>
      <c r="F26" s="58">
        <f t="shared" si="0"/>
        <v>30.069444444444443</v>
      </c>
      <c r="G26" s="58">
        <f t="shared" si="1"/>
        <v>19.336111111111112</v>
      </c>
      <c r="H26" s="59">
        <v>300000000</v>
      </c>
      <c r="I26" s="60">
        <v>300000000</v>
      </c>
      <c r="J26" s="61">
        <f>-2400000-987000-337549.42-361.51</f>
        <v>-3724910.9299999997</v>
      </c>
      <c r="K26" s="61">
        <v>0</v>
      </c>
      <c r="L26" s="62">
        <f t="shared" si="10"/>
        <v>296275089.06999999</v>
      </c>
      <c r="M26" s="63">
        <f t="shared" si="3"/>
        <v>98.758363023333331</v>
      </c>
      <c r="N26" s="64">
        <f>ROUND(YIELD(D26,E26,B26,M26,100,2,0),5)</f>
        <v>4.1730000000000003E-2</v>
      </c>
      <c r="O26" s="39">
        <f t="shared" si="5"/>
        <v>12519000.000000002</v>
      </c>
      <c r="P26" s="53">
        <f t="shared" si="6"/>
        <v>16</v>
      </c>
    </row>
    <row r="27" spans="1:18">
      <c r="A27" s="51">
        <f t="shared" si="7"/>
        <v>17</v>
      </c>
      <c r="B27" s="57">
        <v>4.1250000000000002E-2</v>
      </c>
      <c r="C27" s="39" t="s">
        <v>81</v>
      </c>
      <c r="D27" s="56">
        <f>DATE(2018,7,13)</f>
        <v>43294</v>
      </c>
      <c r="E27" s="56">
        <f>DATE(2049,1,15)</f>
        <v>54438</v>
      </c>
      <c r="F27" s="58">
        <f t="shared" si="0"/>
        <v>30.505555555555556</v>
      </c>
      <c r="G27" s="58">
        <f t="shared" si="1"/>
        <v>26.291666666666668</v>
      </c>
      <c r="H27" s="59">
        <v>600000000</v>
      </c>
      <c r="I27" s="60">
        <v>600000000</v>
      </c>
      <c r="J27" s="61">
        <f>-1344000-4800000-86899.03-753185.56</f>
        <v>-6984084.5899999999</v>
      </c>
      <c r="K27" s="61">
        <v>0</v>
      </c>
      <c r="L27" s="62">
        <f t="shared" ref="L27" si="11">SUM(I27:K27)</f>
        <v>593015915.40999997</v>
      </c>
      <c r="M27" s="63">
        <f t="shared" si="3"/>
        <v>98.83598590166666</v>
      </c>
      <c r="N27" s="64">
        <f>ROUND(YIELD(D27,E27,B27,M27,100,2,0),5)</f>
        <v>4.1930000000000002E-2</v>
      </c>
      <c r="O27" s="39">
        <f t="shared" si="5"/>
        <v>25158000</v>
      </c>
      <c r="P27" s="53">
        <f t="shared" si="6"/>
        <v>17</v>
      </c>
    </row>
    <row r="28" spans="1:18">
      <c r="A28" s="51">
        <f t="shared" si="7"/>
        <v>18</v>
      </c>
      <c r="B28" s="57">
        <v>4.1500000000000002E-2</v>
      </c>
      <c r="C28" s="39" t="s">
        <v>82</v>
      </c>
      <c r="D28" s="56">
        <f>DATE(2019,3,1)</f>
        <v>43525</v>
      </c>
      <c r="E28" s="56">
        <f>DATE(2050,2,15)</f>
        <v>54834</v>
      </c>
      <c r="F28" s="58">
        <f t="shared" si="0"/>
        <v>30.955555555555556</v>
      </c>
      <c r="G28" s="58">
        <f t="shared" si="1"/>
        <v>27.375</v>
      </c>
      <c r="H28" s="59">
        <v>600000000</v>
      </c>
      <c r="I28" s="60">
        <v>600000000</v>
      </c>
      <c r="J28" s="61">
        <f>-2790000-4500000-89979.46-558791.88</f>
        <v>-7938771.3399999999</v>
      </c>
      <c r="K28" s="61">
        <v>0</v>
      </c>
      <c r="L28" s="62">
        <f t="shared" ref="L28:L29" si="12">SUM(I28:K28)</f>
        <v>592061228.65999997</v>
      </c>
      <c r="M28" s="63">
        <f t="shared" si="3"/>
        <v>98.676871443333326</v>
      </c>
      <c r="N28" s="64">
        <f>ROUND(YIELD(D28,E28,B28,M28,100,2,0),5)</f>
        <v>4.2270000000000002E-2</v>
      </c>
      <c r="O28" s="39">
        <f t="shared" si="5"/>
        <v>25362000</v>
      </c>
      <c r="P28" s="53">
        <f t="shared" si="6"/>
        <v>18</v>
      </c>
    </row>
    <row r="29" spans="1:18">
      <c r="A29" s="51">
        <f t="shared" si="7"/>
        <v>19</v>
      </c>
      <c r="B29" s="57">
        <v>3.3000000000000002E-2</v>
      </c>
      <c r="C29" s="39" t="s">
        <v>83</v>
      </c>
      <c r="D29" s="56">
        <f>DATE(2020,4,8)</f>
        <v>43929</v>
      </c>
      <c r="E29" s="56">
        <f>DATE(2051,3,15)</f>
        <v>55227</v>
      </c>
      <c r="F29" s="58">
        <f t="shared" si="0"/>
        <v>30.93611111111111</v>
      </c>
      <c r="G29" s="58">
        <f t="shared" si="1"/>
        <v>28.458333333333332</v>
      </c>
      <c r="H29" s="59">
        <v>600000000</v>
      </c>
      <c r="I29" s="60">
        <v>600000000</v>
      </c>
      <c r="J29" s="61">
        <f>-4944000-4500000-98100.59-585497.81-338.37</f>
        <v>-10127936.77</v>
      </c>
      <c r="K29" s="61">
        <v>0</v>
      </c>
      <c r="L29" s="62">
        <f t="shared" si="12"/>
        <v>589872063.23000002</v>
      </c>
      <c r="M29" s="63">
        <f t="shared" si="3"/>
        <v>98.31201053833334</v>
      </c>
      <c r="N29" s="64">
        <f>ROUND(YIELD(D29,E29,B29,M29,100,2,0),5)</f>
        <v>3.388E-2</v>
      </c>
      <c r="O29" s="39">
        <f t="shared" si="5"/>
        <v>20328000</v>
      </c>
      <c r="P29" s="53">
        <f t="shared" si="6"/>
        <v>19</v>
      </c>
    </row>
    <row r="30" spans="1:18">
      <c r="A30" s="51">
        <f t="shared" si="7"/>
        <v>20</v>
      </c>
      <c r="B30" s="57">
        <v>2.9000000000000001E-2</v>
      </c>
      <c r="C30" s="39" t="s">
        <v>84</v>
      </c>
      <c r="D30" s="56">
        <f>DATE(2021,7,9)</f>
        <v>44386</v>
      </c>
      <c r="E30" s="56">
        <f>DATE(2052,6,15)</f>
        <v>55685</v>
      </c>
      <c r="F30" s="58">
        <f t="shared" si="0"/>
        <v>30.933333333333334</v>
      </c>
      <c r="G30" s="58">
        <f t="shared" si="1"/>
        <v>29.708333333333332</v>
      </c>
      <c r="H30" s="59">
        <v>1000000000</v>
      </c>
      <c r="I30" s="60">
        <v>1000000000</v>
      </c>
      <c r="J30" s="61">
        <f>-7670000-7500000-38616.9-1150-850357.1-537750-1500</f>
        <v>-16599374</v>
      </c>
      <c r="K30" s="61">
        <v>0</v>
      </c>
      <c r="L30" s="62">
        <f t="shared" ref="L30" si="13">SUM(I30:K30)</f>
        <v>983400626</v>
      </c>
      <c r="M30" s="63">
        <f t="shared" si="3"/>
        <v>98.340062599999996</v>
      </c>
      <c r="N30" s="64">
        <f>ROUND(YIELD(D30,E30,B30,M30,100,2,0),5)</f>
        <v>2.9819999999999999E-2</v>
      </c>
      <c r="O30" s="39">
        <f t="shared" si="5"/>
        <v>29820000</v>
      </c>
      <c r="P30" s="53">
        <f t="shared" si="6"/>
        <v>20</v>
      </c>
      <c r="R30" s="66"/>
    </row>
    <row r="31" spans="1:18">
      <c r="A31" s="51">
        <f t="shared" si="7"/>
        <v>21</v>
      </c>
      <c r="B31" s="67">
        <f>SUMPRODUCT(B13:B30,I13:I30)/I31</f>
        <v>4.5275229357798166E-2</v>
      </c>
      <c r="C31" s="68" t="s">
        <v>86</v>
      </c>
      <c r="D31" s="56"/>
      <c r="E31" s="56"/>
      <c r="F31" s="69">
        <f>SUMPRODUCT(F13:F30,I13:I30)/I31</f>
        <v>25.994410465511383</v>
      </c>
      <c r="G31" s="69">
        <f>SUMPRODUCT(G13:G30,I13:I30)/I31</f>
        <v>17.003049609242272</v>
      </c>
      <c r="I31" s="70">
        <f>SUM(I13:I30)</f>
        <v>8175000000</v>
      </c>
      <c r="J31" s="70">
        <f>SUM(J13:J30)</f>
        <v>-97045079.700000003</v>
      </c>
      <c r="K31" s="70">
        <f>SUM(K13:K30)</f>
        <v>-3239069.72</v>
      </c>
      <c r="L31" s="70">
        <f>SUM(L13:L30)</f>
        <v>8074715850.5799999</v>
      </c>
      <c r="N31" s="71">
        <f>O31/I31</f>
        <v>4.6158562691131499E-2</v>
      </c>
      <c r="O31" s="68">
        <f>SUM(O13:O30)</f>
        <v>377346250</v>
      </c>
      <c r="P31" s="53">
        <f t="shared" si="6"/>
        <v>21</v>
      </c>
    </row>
    <row r="32" spans="1:18">
      <c r="A32" s="51">
        <f t="shared" si="7"/>
        <v>22</v>
      </c>
      <c r="B32" s="67"/>
      <c r="C32" s="68"/>
      <c r="D32" s="56"/>
      <c r="E32" s="56"/>
      <c r="F32" s="69"/>
      <c r="G32" s="69"/>
      <c r="I32" s="70"/>
      <c r="J32" s="70"/>
      <c r="K32" s="70"/>
      <c r="L32" s="70"/>
      <c r="N32" s="71"/>
      <c r="O32" s="68"/>
      <c r="P32" s="53">
        <f t="shared" si="6"/>
        <v>22</v>
      </c>
    </row>
    <row r="33" spans="1:16">
      <c r="A33" s="51">
        <f t="shared" si="7"/>
        <v>23</v>
      </c>
      <c r="B33" s="72">
        <v>8.0800000000000011E-2</v>
      </c>
      <c r="C33" s="39" t="s">
        <v>117</v>
      </c>
      <c r="D33" s="56">
        <f>DATE(1992,10,15)</f>
        <v>33892</v>
      </c>
      <c r="E33" s="56">
        <f>DATE(2022,10,14)</f>
        <v>44848</v>
      </c>
      <c r="F33" s="58">
        <f t="shared" ref="F33:F36" si="14">YEARFRAC(D33,E33)</f>
        <v>29.997222222222224</v>
      </c>
      <c r="G33" s="58">
        <f t="shared" ref="G33:G36" si="15">YEARFRAC($A$4,E33)</f>
        <v>3.888888888888889E-2</v>
      </c>
      <c r="H33" s="61">
        <v>25000000</v>
      </c>
      <c r="I33" s="73">
        <v>25000000</v>
      </c>
      <c r="J33" s="61">
        <f>-(187500+5213.19+389.01+5020.33+817.12+632.85+1373.38+1781.11+1740.22+293.04+193.58+52.82+39.25+226.58+19.75+283.19+249.43-5634.37)</f>
        <v>-200190.47999999998</v>
      </c>
      <c r="K33" s="61">
        <f>-(942395.61+1119231.5)</f>
        <v>-2061627.1099999999</v>
      </c>
      <c r="L33" s="61">
        <f t="shared" ref="L33:L36" si="16">SUM(I33:K33)</f>
        <v>22738182.41</v>
      </c>
      <c r="M33" s="63">
        <f t="shared" ref="M33:M36" si="17">L33/I33*100</f>
        <v>90.952729640000001</v>
      </c>
      <c r="N33" s="64">
        <f t="shared" ref="N33:N36" si="18">ROUND(YIELD(D33,E33,B33,M33,100,2,0),5)</f>
        <v>8.9529999999999998E-2</v>
      </c>
      <c r="O33" s="39">
        <f t="shared" ref="O33:O36" si="19">ROUND(N33,5)*I33</f>
        <v>2238250</v>
      </c>
      <c r="P33" s="53">
        <f t="shared" si="6"/>
        <v>23</v>
      </c>
    </row>
    <row r="34" spans="1:16">
      <c r="A34" s="51">
        <f t="shared" si="7"/>
        <v>24</v>
      </c>
      <c r="B34" s="72">
        <v>8.0800000000000011E-2</v>
      </c>
      <c r="C34" s="39" t="s">
        <v>117</v>
      </c>
      <c r="D34" s="56">
        <f>DATE(1992,10,15)</f>
        <v>33892</v>
      </c>
      <c r="E34" s="56">
        <f>DATE(2022,10,14)</f>
        <v>44848</v>
      </c>
      <c r="F34" s="58">
        <f t="shared" si="14"/>
        <v>29.997222222222224</v>
      </c>
      <c r="G34" s="58">
        <f t="shared" si="15"/>
        <v>3.888888888888889E-2</v>
      </c>
      <c r="H34" s="61">
        <v>26000000</v>
      </c>
      <c r="I34" s="73">
        <v>26000000</v>
      </c>
      <c r="J34" s="61">
        <f>-(195000+5421.72+404.57+5221.14+849.8+658.16+1428.31+1852.35+1809.83+304.76+201.32+54.93+40.82+235.65+20.54+294.52+259.41-5859.74)</f>
        <v>-208198.09000000003</v>
      </c>
      <c r="K34" s="61">
        <v>-2938981.15</v>
      </c>
      <c r="L34" s="61">
        <f t="shared" si="16"/>
        <v>22852820.760000002</v>
      </c>
      <c r="M34" s="63">
        <f t="shared" si="17"/>
        <v>87.895464461538467</v>
      </c>
      <c r="N34" s="64">
        <f t="shared" si="18"/>
        <v>9.2829999999999996E-2</v>
      </c>
      <c r="O34" s="39">
        <f t="shared" si="19"/>
        <v>2413580</v>
      </c>
      <c r="P34" s="53">
        <f t="shared" si="6"/>
        <v>24</v>
      </c>
    </row>
    <row r="35" spans="1:16">
      <c r="A35" s="51">
        <f t="shared" si="7"/>
        <v>25</v>
      </c>
      <c r="B35" s="72">
        <v>8.2299999999999998E-2</v>
      </c>
      <c r="C35" s="39" t="s">
        <v>87</v>
      </c>
      <c r="D35" s="56">
        <f>DATE(1993,1,29)</f>
        <v>33998</v>
      </c>
      <c r="E35" s="56">
        <f>DATE(2023,1,20)</f>
        <v>44946</v>
      </c>
      <c r="F35" s="58">
        <f t="shared" si="14"/>
        <v>29.975000000000001</v>
      </c>
      <c r="G35" s="58">
        <f t="shared" si="15"/>
        <v>0.30555555555555558</v>
      </c>
      <c r="H35" s="61">
        <v>4000000</v>
      </c>
      <c r="I35" s="73">
        <v>4000000</v>
      </c>
      <c r="J35" s="61">
        <f>-(30000+130.74+101.26+219.74+284.98+278.44+46.89+30.97+8.45+6.28+36.25+3.16+45.31+39.91-901.5)+81560</f>
        <v>51229.119999999995</v>
      </c>
      <c r="K35" s="61">
        <v>-88988.58</v>
      </c>
      <c r="L35" s="61">
        <f t="shared" si="16"/>
        <v>3962240.54</v>
      </c>
      <c r="M35" s="63">
        <f t="shared" si="17"/>
        <v>99.056013500000006</v>
      </c>
      <c r="N35" s="64">
        <f t="shared" si="18"/>
        <v>8.3159999999999998E-2</v>
      </c>
      <c r="O35" s="39">
        <f t="shared" si="19"/>
        <v>332640</v>
      </c>
      <c r="P35" s="53">
        <f t="shared" si="6"/>
        <v>25</v>
      </c>
    </row>
    <row r="36" spans="1:16">
      <c r="A36" s="51">
        <f t="shared" si="7"/>
        <v>26</v>
      </c>
      <c r="B36" s="72">
        <v>8.2299999999999998E-2</v>
      </c>
      <c r="C36" s="39" t="s">
        <v>87</v>
      </c>
      <c r="D36" s="56">
        <f>DATE(1993,1,20)</f>
        <v>33989</v>
      </c>
      <c r="E36" s="56">
        <f>DATE(2023,1,20)</f>
        <v>44946</v>
      </c>
      <c r="F36" s="58">
        <f t="shared" si="14"/>
        <v>30</v>
      </c>
      <c r="G36" s="58">
        <f t="shared" si="15"/>
        <v>0.30555555555555558</v>
      </c>
      <c r="H36" s="61">
        <v>5000000</v>
      </c>
      <c r="I36" s="73">
        <v>5000000</v>
      </c>
      <c r="J36" s="61">
        <f>-(37500+163.42+126.57+274.68+356.22+348.04+58.61+38.71+10.56+7.85+45.32+3.95+56.64+49.89-1126.87)</f>
        <v>-37913.589999999989</v>
      </c>
      <c r="K36" s="61">
        <v>-335843.38</v>
      </c>
      <c r="L36" s="61">
        <f t="shared" si="16"/>
        <v>4626243.03</v>
      </c>
      <c r="M36" s="63">
        <f t="shared" si="17"/>
        <v>92.524860599999997</v>
      </c>
      <c r="N36" s="64">
        <f t="shared" si="18"/>
        <v>8.9510000000000006E-2</v>
      </c>
      <c r="O36" s="39">
        <f t="shared" si="19"/>
        <v>447550.00000000006</v>
      </c>
      <c r="P36" s="53">
        <f t="shared" si="6"/>
        <v>26</v>
      </c>
    </row>
    <row r="37" spans="1:16">
      <c r="A37" s="51">
        <f t="shared" si="7"/>
        <v>27</v>
      </c>
      <c r="B37" s="67">
        <f>SUMPRODUCT(B33:B36,I33:I36)/I37</f>
        <v>8.1025000000000014E-2</v>
      </c>
      <c r="C37" s="68" t="s">
        <v>88</v>
      </c>
      <c r="D37" s="56"/>
      <c r="E37" s="56"/>
      <c r="F37" s="69">
        <f>SUMPRODUCT(F33:F36,I33:I36)/I37</f>
        <v>29.995972222222225</v>
      </c>
      <c r="G37" s="69">
        <f>SUMPRODUCT(G33:G36,I33:I36)/I37</f>
        <v>7.8888888888888897E-2</v>
      </c>
      <c r="I37" s="70">
        <f>SUM(I33:I36)</f>
        <v>60000000</v>
      </c>
      <c r="J37" s="70">
        <f>SUM(J33:J36)</f>
        <v>-395073.04</v>
      </c>
      <c r="K37" s="70">
        <f>SUM(K33:K36)</f>
        <v>-5425440.2199999997</v>
      </c>
      <c r="L37" s="70">
        <f>SUM(L33:L36)</f>
        <v>54179486.740000002</v>
      </c>
      <c r="N37" s="71">
        <f>O37/I37</f>
        <v>9.0533666666666665E-2</v>
      </c>
      <c r="O37" s="68">
        <f>SUM(O33:O36)</f>
        <v>5432020</v>
      </c>
      <c r="P37" s="53">
        <f t="shared" si="6"/>
        <v>27</v>
      </c>
    </row>
    <row r="38" spans="1:16">
      <c r="A38" s="51">
        <f t="shared" si="7"/>
        <v>28</v>
      </c>
      <c r="D38" s="56"/>
      <c r="E38" s="56"/>
      <c r="F38" s="58"/>
      <c r="G38" s="58"/>
      <c r="I38" s="74"/>
      <c r="J38" s="62"/>
      <c r="L38" s="62"/>
      <c r="M38" s="64"/>
      <c r="N38" s="64"/>
      <c r="P38" s="53">
        <f t="shared" si="6"/>
        <v>28</v>
      </c>
    </row>
    <row r="39" spans="1:16">
      <c r="A39" s="51">
        <f t="shared" si="7"/>
        <v>29</v>
      </c>
      <c r="B39" s="72">
        <v>7.2599999999999998E-2</v>
      </c>
      <c r="C39" s="39" t="s">
        <v>89</v>
      </c>
      <c r="D39" s="56">
        <f>DATE(1993,7,22)</f>
        <v>34172</v>
      </c>
      <c r="E39" s="56">
        <f>DATE(2023,7,21)</f>
        <v>45128</v>
      </c>
      <c r="F39" s="58">
        <f t="shared" ref="F39:F48" si="20">YEARFRAC(D39,E39)</f>
        <v>29.997222222222224</v>
      </c>
      <c r="G39" s="58">
        <f t="shared" ref="G39:G48" si="21">YEARFRAC($A$4,E39)</f>
        <v>0.80833333333333335</v>
      </c>
      <c r="H39" s="61">
        <v>11000000</v>
      </c>
      <c r="I39" s="73">
        <v>11000000</v>
      </c>
      <c r="J39" s="61">
        <v>-100622</v>
      </c>
      <c r="K39" s="61">
        <v>-589062</v>
      </c>
      <c r="L39" s="61">
        <f t="shared" ref="L39:L48" si="22">SUM(I39:K39)</f>
        <v>10310316</v>
      </c>
      <c r="M39" s="63">
        <f t="shared" ref="M39:M48" si="23">L39/I39*100</f>
        <v>93.73014545454545</v>
      </c>
      <c r="N39" s="64">
        <f t="shared" ref="N39:N48" si="24">ROUND(YIELD(D39,E39,B39,M39,100,2,0),5)</f>
        <v>7.8039999999999998E-2</v>
      </c>
      <c r="O39" s="39">
        <f t="shared" ref="O39:O48" si="25">ROUND(N39,5)*I39</f>
        <v>858440</v>
      </c>
      <c r="P39" s="53">
        <f t="shared" si="6"/>
        <v>29</v>
      </c>
    </row>
    <row r="40" spans="1:16">
      <c r="A40" s="51">
        <f t="shared" si="7"/>
        <v>30</v>
      </c>
      <c r="B40" s="72">
        <v>7.2599999999999998E-2</v>
      </c>
      <c r="C40" s="39" t="s">
        <v>89</v>
      </c>
      <c r="D40" s="56">
        <f>DATE(1993,7,22)</f>
        <v>34172</v>
      </c>
      <c r="E40" s="56">
        <f>DATE(2023,7,21)</f>
        <v>45128</v>
      </c>
      <c r="F40" s="58">
        <f t="shared" si="20"/>
        <v>29.997222222222224</v>
      </c>
      <c r="G40" s="58">
        <f t="shared" si="21"/>
        <v>0.80833333333333335</v>
      </c>
      <c r="H40" s="61">
        <v>27000000</v>
      </c>
      <c r="I40" s="73">
        <v>27000000</v>
      </c>
      <c r="J40" s="61">
        <v>-246981</v>
      </c>
      <c r="K40" s="61">
        <v>-1445879.9</v>
      </c>
      <c r="L40" s="61">
        <f t="shared" si="22"/>
        <v>25307139.100000001</v>
      </c>
      <c r="M40" s="63">
        <f t="shared" si="23"/>
        <v>93.730144814814821</v>
      </c>
      <c r="N40" s="64">
        <f t="shared" si="24"/>
        <v>7.8039999999999998E-2</v>
      </c>
      <c r="O40" s="39">
        <f t="shared" si="25"/>
        <v>2107080</v>
      </c>
      <c r="P40" s="53">
        <f t="shared" si="6"/>
        <v>30</v>
      </c>
    </row>
    <row r="41" spans="1:16">
      <c r="A41" s="51">
        <f t="shared" si="7"/>
        <v>31</v>
      </c>
      <c r="B41" s="72">
        <v>7.2300000000000003E-2</v>
      </c>
      <c r="C41" s="39" t="s">
        <v>90</v>
      </c>
      <c r="D41" s="56">
        <f>DATE(1993,8,16)</f>
        <v>34197</v>
      </c>
      <c r="E41" s="56">
        <f>DATE(2023,8,16)</f>
        <v>45154</v>
      </c>
      <c r="F41" s="58">
        <f t="shared" si="20"/>
        <v>30</v>
      </c>
      <c r="G41" s="58">
        <f t="shared" si="21"/>
        <v>0.87777777777777777</v>
      </c>
      <c r="H41" s="61">
        <v>15000000</v>
      </c>
      <c r="I41" s="73">
        <v>15000000</v>
      </c>
      <c r="J41" s="61">
        <v>-137211</v>
      </c>
      <c r="K41" s="61">
        <f>-504373+235749</f>
        <v>-268624</v>
      </c>
      <c r="L41" s="61">
        <f t="shared" si="22"/>
        <v>14594165</v>
      </c>
      <c r="M41" s="63">
        <f t="shared" si="23"/>
        <v>97.29443333333333</v>
      </c>
      <c r="N41" s="64">
        <f t="shared" si="24"/>
        <v>7.4569999999999997E-2</v>
      </c>
      <c r="O41" s="39">
        <f t="shared" si="25"/>
        <v>1118550</v>
      </c>
      <c r="P41" s="53">
        <f t="shared" si="6"/>
        <v>31</v>
      </c>
    </row>
    <row r="42" spans="1:16">
      <c r="A42" s="51">
        <f t="shared" si="7"/>
        <v>32</v>
      </c>
      <c r="B42" s="72">
        <v>7.2400000000000006E-2</v>
      </c>
      <c r="C42" s="39" t="s">
        <v>90</v>
      </c>
      <c r="D42" s="56">
        <f>DATE(1993,8,16)</f>
        <v>34197</v>
      </c>
      <c r="E42" s="56">
        <f>DATE(2023,8,16)</f>
        <v>45154</v>
      </c>
      <c r="F42" s="58">
        <f t="shared" si="20"/>
        <v>30</v>
      </c>
      <c r="G42" s="58">
        <f t="shared" si="21"/>
        <v>0.87777777777777777</v>
      </c>
      <c r="H42" s="61">
        <v>30000000</v>
      </c>
      <c r="I42" s="73">
        <v>30000000</v>
      </c>
      <c r="J42" s="61">
        <v>-274423</v>
      </c>
      <c r="K42" s="61">
        <f>-1008746+471498</f>
        <v>-537248</v>
      </c>
      <c r="L42" s="61">
        <f t="shared" si="22"/>
        <v>29188329</v>
      </c>
      <c r="M42" s="63">
        <f t="shared" si="23"/>
        <v>97.294430000000006</v>
      </c>
      <c r="N42" s="64">
        <f t="shared" si="24"/>
        <v>7.467E-2</v>
      </c>
      <c r="O42" s="39">
        <f t="shared" si="25"/>
        <v>2240100</v>
      </c>
      <c r="P42" s="53">
        <f t="shared" si="6"/>
        <v>32</v>
      </c>
    </row>
    <row r="43" spans="1:16">
      <c r="A43" s="51">
        <f t="shared" si="7"/>
        <v>33</v>
      </c>
      <c r="B43" s="72">
        <v>6.7500000000000004E-2</v>
      </c>
      <c r="C43" s="39" t="s">
        <v>91</v>
      </c>
      <c r="D43" s="56">
        <f>DATE(1993,9,14)</f>
        <v>34226</v>
      </c>
      <c r="E43" s="56">
        <f>DATE(2023,9,14)</f>
        <v>45183</v>
      </c>
      <c r="F43" s="58">
        <f t="shared" si="20"/>
        <v>30</v>
      </c>
      <c r="G43" s="58">
        <f t="shared" si="21"/>
        <v>0.9555555555555556</v>
      </c>
      <c r="H43" s="61">
        <v>2000000</v>
      </c>
      <c r="I43" s="73">
        <v>2000000</v>
      </c>
      <c r="J43" s="61">
        <v>-15300</v>
      </c>
      <c r="K43" s="61">
        <v>0</v>
      </c>
      <c r="L43" s="61">
        <f t="shared" si="22"/>
        <v>1984700</v>
      </c>
      <c r="M43" s="63">
        <f t="shared" si="23"/>
        <v>99.234999999999999</v>
      </c>
      <c r="N43" s="64">
        <f t="shared" si="24"/>
        <v>6.8099999999999994E-2</v>
      </c>
      <c r="O43" s="39">
        <f t="shared" si="25"/>
        <v>136200</v>
      </c>
      <c r="P43" s="53">
        <f t="shared" si="6"/>
        <v>33</v>
      </c>
    </row>
    <row r="44" spans="1:16">
      <c r="A44" s="51">
        <f t="shared" si="7"/>
        <v>34</v>
      </c>
      <c r="B44" s="72">
        <v>6.720000000000001E-2</v>
      </c>
      <c r="C44" s="39" t="s">
        <v>91</v>
      </c>
      <c r="D44" s="56">
        <f>DATE(1993,9,14)</f>
        <v>34226</v>
      </c>
      <c r="E44" s="56">
        <f>DATE(2023,9,14)</f>
        <v>45183</v>
      </c>
      <c r="F44" s="58">
        <f t="shared" si="20"/>
        <v>30</v>
      </c>
      <c r="G44" s="58">
        <f t="shared" si="21"/>
        <v>0.9555555555555556</v>
      </c>
      <c r="H44" s="61">
        <v>2000000</v>
      </c>
      <c r="I44" s="73">
        <v>2000000</v>
      </c>
      <c r="J44" s="61">
        <v>-15300</v>
      </c>
      <c r="K44" s="61">
        <v>0</v>
      </c>
      <c r="L44" s="61">
        <f t="shared" si="22"/>
        <v>1984700</v>
      </c>
      <c r="M44" s="63">
        <f t="shared" si="23"/>
        <v>99.234999999999999</v>
      </c>
      <c r="N44" s="64">
        <f t="shared" si="24"/>
        <v>6.7799999999999999E-2</v>
      </c>
      <c r="O44" s="39">
        <f t="shared" si="25"/>
        <v>135600</v>
      </c>
      <c r="P44" s="53">
        <f t="shared" si="6"/>
        <v>34</v>
      </c>
    </row>
    <row r="45" spans="1:16">
      <c r="A45" s="51">
        <f t="shared" si="7"/>
        <v>35</v>
      </c>
      <c r="B45" s="72">
        <v>6.7500000000000004E-2</v>
      </c>
      <c r="C45" s="39" t="s">
        <v>91</v>
      </c>
      <c r="D45" s="56">
        <f>DATE(1993,9,14)</f>
        <v>34226</v>
      </c>
      <c r="E45" s="56">
        <f>DATE(2023,9,14)</f>
        <v>45183</v>
      </c>
      <c r="F45" s="58">
        <f t="shared" si="20"/>
        <v>30</v>
      </c>
      <c r="G45" s="58">
        <f t="shared" si="21"/>
        <v>0.9555555555555556</v>
      </c>
      <c r="H45" s="61">
        <v>5000000</v>
      </c>
      <c r="I45" s="73">
        <v>5000000</v>
      </c>
      <c r="J45" s="61">
        <v>-38250</v>
      </c>
      <c r="K45" s="61">
        <f>-64156+29987</f>
        <v>-34169</v>
      </c>
      <c r="L45" s="61">
        <f t="shared" si="22"/>
        <v>4927581</v>
      </c>
      <c r="M45" s="63">
        <f t="shared" si="23"/>
        <v>98.55162</v>
      </c>
      <c r="N45" s="64">
        <f t="shared" si="24"/>
        <v>6.8650000000000003E-2</v>
      </c>
      <c r="O45" s="39">
        <f t="shared" si="25"/>
        <v>343250</v>
      </c>
      <c r="P45" s="53">
        <f t="shared" si="6"/>
        <v>35</v>
      </c>
    </row>
    <row r="46" spans="1:16">
      <c r="A46" s="51">
        <f t="shared" si="7"/>
        <v>36</v>
      </c>
      <c r="B46" s="72">
        <v>6.7500000000000004E-2</v>
      </c>
      <c r="C46" s="39" t="s">
        <v>92</v>
      </c>
      <c r="D46" s="56">
        <f>DATE(1993,10,26)</f>
        <v>34268</v>
      </c>
      <c r="E46" s="56">
        <f>DATE(2023,10,26)</f>
        <v>45225</v>
      </c>
      <c r="F46" s="58">
        <f t="shared" si="20"/>
        <v>30</v>
      </c>
      <c r="G46" s="58">
        <f t="shared" si="21"/>
        <v>1.0722222222222222</v>
      </c>
      <c r="H46" s="61">
        <v>12000000</v>
      </c>
      <c r="I46" s="73">
        <v>12000000</v>
      </c>
      <c r="J46" s="61">
        <v>-91396</v>
      </c>
      <c r="K46" s="61">
        <v>0</v>
      </c>
      <c r="L46" s="61">
        <f t="shared" si="22"/>
        <v>11908604</v>
      </c>
      <c r="M46" s="63">
        <f t="shared" si="23"/>
        <v>99.238366666666664</v>
      </c>
      <c r="N46" s="64">
        <f t="shared" si="24"/>
        <v>6.8099999999999994E-2</v>
      </c>
      <c r="O46" s="39">
        <f t="shared" si="25"/>
        <v>817199.99999999988</v>
      </c>
      <c r="P46" s="53">
        <f t="shared" si="6"/>
        <v>36</v>
      </c>
    </row>
    <row r="47" spans="1:16">
      <c r="A47" s="51">
        <f t="shared" si="7"/>
        <v>37</v>
      </c>
      <c r="B47" s="72">
        <v>6.7500000000000004E-2</v>
      </c>
      <c r="C47" s="39" t="s">
        <v>92</v>
      </c>
      <c r="D47" s="56">
        <f t="shared" ref="D47:D48" si="26">DATE(1993,10,26)</f>
        <v>34268</v>
      </c>
      <c r="E47" s="56">
        <f>DATE(2023,10,26)</f>
        <v>45225</v>
      </c>
      <c r="F47" s="58">
        <f t="shared" si="20"/>
        <v>30</v>
      </c>
      <c r="G47" s="58">
        <f t="shared" si="21"/>
        <v>1.0722222222222222</v>
      </c>
      <c r="H47" s="61">
        <v>16000000</v>
      </c>
      <c r="I47" s="73">
        <v>16000000</v>
      </c>
      <c r="J47" s="61">
        <v>-121861</v>
      </c>
      <c r="K47" s="61">
        <v>0</v>
      </c>
      <c r="L47" s="61">
        <f t="shared" si="22"/>
        <v>15878139</v>
      </c>
      <c r="M47" s="63">
        <f t="shared" si="23"/>
        <v>99.238368749999992</v>
      </c>
      <c r="N47" s="64">
        <f t="shared" si="24"/>
        <v>6.8099999999999994E-2</v>
      </c>
      <c r="O47" s="39">
        <f t="shared" si="25"/>
        <v>1089600</v>
      </c>
      <c r="P47" s="53">
        <f t="shared" si="6"/>
        <v>37</v>
      </c>
    </row>
    <row r="48" spans="1:16">
      <c r="A48" s="51">
        <f t="shared" si="7"/>
        <v>38</v>
      </c>
      <c r="B48" s="72">
        <v>6.7500000000000004E-2</v>
      </c>
      <c r="C48" s="39" t="s">
        <v>92</v>
      </c>
      <c r="D48" s="56">
        <f t="shared" si="26"/>
        <v>34268</v>
      </c>
      <c r="E48" s="56">
        <f>DATE(2023,10,26)</f>
        <v>45225</v>
      </c>
      <c r="F48" s="58">
        <f t="shared" si="20"/>
        <v>30</v>
      </c>
      <c r="G48" s="58">
        <f t="shared" si="21"/>
        <v>1.0722222222222222</v>
      </c>
      <c r="H48" s="61">
        <v>20000000</v>
      </c>
      <c r="I48" s="73">
        <v>20000000</v>
      </c>
      <c r="J48" s="61">
        <v>-152326</v>
      </c>
      <c r="K48" s="61">
        <v>0</v>
      </c>
      <c r="L48" s="61">
        <f t="shared" si="22"/>
        <v>19847674</v>
      </c>
      <c r="M48" s="63">
        <f t="shared" si="23"/>
        <v>99.238370000000003</v>
      </c>
      <c r="N48" s="64">
        <f t="shared" si="24"/>
        <v>6.8099999999999994E-2</v>
      </c>
      <c r="O48" s="39">
        <f t="shared" si="25"/>
        <v>1361999.9999999998</v>
      </c>
      <c r="P48" s="53">
        <f t="shared" si="6"/>
        <v>38</v>
      </c>
    </row>
    <row r="49" spans="1:16">
      <c r="A49" s="51">
        <f t="shared" si="7"/>
        <v>39</v>
      </c>
      <c r="B49" s="67">
        <f>SUMPRODUCT(B39:B48,I39:I48)/I49</f>
        <v>7.0444285714285709E-2</v>
      </c>
      <c r="C49" s="68" t="s">
        <v>93</v>
      </c>
      <c r="D49" s="56"/>
      <c r="E49" s="56"/>
      <c r="F49" s="69">
        <f>SUMPRODUCT(F39:F48,I39:I48)/I49</f>
        <v>29.999246031746033</v>
      </c>
      <c r="G49" s="69">
        <f>SUMPRODUCT(G39:G48,I39:I48)/I49</f>
        <v>0.93059523809523792</v>
      </c>
      <c r="I49" s="70">
        <f>SUM(I39:I48)</f>
        <v>140000000</v>
      </c>
      <c r="J49" s="70">
        <f>SUM(J39:J48)</f>
        <v>-1193670</v>
      </c>
      <c r="K49" s="70">
        <f>SUM(K39:K48)</f>
        <v>-2874982.9</v>
      </c>
      <c r="L49" s="70">
        <f>SUM(L39:L48)</f>
        <v>135931347.09999999</v>
      </c>
      <c r="N49" s="71">
        <f>O49/I49</f>
        <v>7.2914428571428574E-2</v>
      </c>
      <c r="O49" s="68">
        <f>SUM(O39:O48)</f>
        <v>10208020</v>
      </c>
      <c r="P49" s="53">
        <f t="shared" si="6"/>
        <v>39</v>
      </c>
    </row>
    <row r="50" spans="1:16">
      <c r="A50" s="51">
        <f t="shared" si="7"/>
        <v>40</v>
      </c>
      <c r="D50" s="56"/>
      <c r="E50" s="56"/>
      <c r="F50" s="58"/>
      <c r="G50" s="58"/>
      <c r="I50" s="74"/>
      <c r="J50" s="62"/>
      <c r="L50" s="62"/>
      <c r="M50" s="64"/>
      <c r="N50" s="64"/>
      <c r="P50" s="53">
        <f t="shared" si="6"/>
        <v>40</v>
      </c>
    </row>
    <row r="51" spans="1:16">
      <c r="A51" s="51">
        <f t="shared" si="7"/>
        <v>41</v>
      </c>
      <c r="B51" s="72">
        <v>6.7100000000000007E-2</v>
      </c>
      <c r="C51" s="39" t="s">
        <v>94</v>
      </c>
      <c r="D51" s="56">
        <f>DATE(1996,1,23)</f>
        <v>35087</v>
      </c>
      <c r="E51" s="56">
        <f>DATE(2026,1,15)</f>
        <v>46037</v>
      </c>
      <c r="F51" s="58">
        <f>YEARFRAC(D51,E51)</f>
        <v>29.977777777777778</v>
      </c>
      <c r="G51" s="58">
        <f>YEARFRAC($A$4,E51)</f>
        <v>3.2916666666666665</v>
      </c>
      <c r="H51" s="61">
        <v>100000000</v>
      </c>
      <c r="I51" s="73">
        <v>100000000</v>
      </c>
      <c r="J51" s="61">
        <f>(I51*-0.00875)-1238.49-2843.43-5000-1895.25-10252.38-2112.63-6124.41</f>
        <v>-904466.5900000002</v>
      </c>
      <c r="K51" s="61">
        <v>0</v>
      </c>
      <c r="L51" s="61">
        <f>SUM(I51:K51)</f>
        <v>99095533.409999996</v>
      </c>
      <c r="M51" s="63">
        <f>L51/I51*100</f>
        <v>99.095533409999987</v>
      </c>
      <c r="N51" s="64">
        <f>ROUND(YIELD(D51,E51,B51,M51,100,2,0),5)</f>
        <v>6.7809999999999995E-2</v>
      </c>
      <c r="O51" s="61">
        <f>ROUND(N51,5)*I51</f>
        <v>6780999.9999999991</v>
      </c>
      <c r="P51" s="53">
        <f t="shared" si="6"/>
        <v>41</v>
      </c>
    </row>
    <row r="52" spans="1:16">
      <c r="A52" s="51">
        <f t="shared" si="7"/>
        <v>42</v>
      </c>
      <c r="B52" s="67">
        <f>SUMPRODUCT(B51:B51,I51:I51)/I52</f>
        <v>6.7100000000000007E-2</v>
      </c>
      <c r="C52" s="68" t="s">
        <v>95</v>
      </c>
      <c r="D52" s="56"/>
      <c r="E52" s="56"/>
      <c r="F52" s="69">
        <f>SUMPRODUCT(F51:F51,I51:I51)/I52</f>
        <v>29.977777777777778</v>
      </c>
      <c r="G52" s="69">
        <f>SUMPRODUCT(G51:G51,I51:I51)/I52</f>
        <v>3.2916666666666661</v>
      </c>
      <c r="I52" s="68">
        <f>SUM(I51:I51)</f>
        <v>100000000</v>
      </c>
      <c r="J52" s="68">
        <f>SUM(J51:J51)</f>
        <v>-904466.5900000002</v>
      </c>
      <c r="K52" s="68">
        <f>SUM(K51:K51)</f>
        <v>0</v>
      </c>
      <c r="L52" s="68">
        <f>SUM(L51:L51)</f>
        <v>99095533.409999996</v>
      </c>
      <c r="M52" s="64"/>
      <c r="N52" s="71">
        <f>O52/I52</f>
        <v>6.7809999999999995E-2</v>
      </c>
      <c r="O52" s="68">
        <f>SUM(O51:O51)</f>
        <v>6780999.9999999991</v>
      </c>
      <c r="P52" s="53">
        <f t="shared" si="6"/>
        <v>42</v>
      </c>
    </row>
    <row r="53" spans="1:16">
      <c r="A53" s="51">
        <f t="shared" si="7"/>
        <v>43</v>
      </c>
      <c r="D53" s="56"/>
      <c r="E53" s="56"/>
      <c r="F53" s="58"/>
      <c r="G53" s="58"/>
      <c r="I53" s="74"/>
      <c r="J53" s="62"/>
      <c r="L53" s="62"/>
      <c r="M53" s="64"/>
      <c r="N53" s="64"/>
      <c r="P53" s="53">
        <f t="shared" si="6"/>
        <v>43</v>
      </c>
    </row>
    <row r="54" spans="1:16">
      <c r="A54" s="51">
        <f t="shared" si="7"/>
        <v>44</v>
      </c>
      <c r="B54" s="67">
        <f>(+B31*I31+B37*I37+B49*I49+B52*I52)/I54</f>
        <v>4.6201616519174038E-2</v>
      </c>
      <c r="C54" s="68" t="s">
        <v>96</v>
      </c>
      <c r="D54" s="56"/>
      <c r="E54" s="56"/>
      <c r="F54" s="69">
        <f>(+F31*I31+F37*I37+F49*I49+F52*I52)/I54</f>
        <v>26.135898066207801</v>
      </c>
      <c r="G54" s="69">
        <f>(+G31*I31+G37*I37+G49*I49+G52*I52)/I54</f>
        <v>16.455942641756803</v>
      </c>
      <c r="I54" s="68">
        <f>+I31+I37+I49+I52</f>
        <v>8475000000</v>
      </c>
      <c r="J54" s="68">
        <f>+J31+J37+J49+J52</f>
        <v>-99538289.330000013</v>
      </c>
      <c r="K54" s="68">
        <f>+K31+K37+K49+K52</f>
        <v>-11539492.84</v>
      </c>
      <c r="L54" s="68">
        <f>+L31+L37+L49+L52</f>
        <v>8363922217.8299999</v>
      </c>
      <c r="M54" s="64"/>
      <c r="N54" s="71">
        <f>O54/I54</f>
        <v>4.7170181710914451E-2</v>
      </c>
      <c r="O54" s="68">
        <f>+O31+O37+O49+O52</f>
        <v>399767290</v>
      </c>
      <c r="P54" s="53">
        <f t="shared" si="6"/>
        <v>44</v>
      </c>
    </row>
    <row r="55" spans="1:16">
      <c r="A55" s="51">
        <f t="shared" si="7"/>
        <v>45</v>
      </c>
      <c r="D55" s="56"/>
      <c r="E55" s="56"/>
      <c r="F55" s="58"/>
      <c r="G55" s="58"/>
      <c r="I55" s="74"/>
      <c r="J55" s="62"/>
      <c r="L55" s="62"/>
      <c r="M55" s="64"/>
      <c r="N55" s="64"/>
      <c r="O55" s="62"/>
      <c r="P55" s="53">
        <f t="shared" si="6"/>
        <v>45</v>
      </c>
    </row>
    <row r="56" spans="1:16">
      <c r="A56" s="51">
        <f t="shared" si="7"/>
        <v>46</v>
      </c>
      <c r="C56" s="54" t="s">
        <v>97</v>
      </c>
      <c r="D56" s="56"/>
      <c r="E56" s="56"/>
      <c r="F56" s="58"/>
      <c r="G56" s="58"/>
      <c r="I56" s="74"/>
      <c r="J56" s="62"/>
      <c r="L56" s="62"/>
      <c r="M56" s="64"/>
      <c r="N56" s="64"/>
      <c r="O56" s="62"/>
      <c r="P56" s="53">
        <f t="shared" si="6"/>
        <v>46</v>
      </c>
    </row>
    <row r="57" spans="1:16">
      <c r="A57" s="51">
        <f t="shared" si="7"/>
        <v>47</v>
      </c>
      <c r="B57" s="75">
        <v>2.7984473773626374E-2</v>
      </c>
      <c r="C57" s="39" t="s">
        <v>98</v>
      </c>
      <c r="D57" s="56">
        <f>DATE(1994,11,17)</f>
        <v>34655</v>
      </c>
      <c r="E57" s="56">
        <f>DATE(2024,11,1)</f>
        <v>45597</v>
      </c>
      <c r="F57" s="58">
        <f t="shared" ref="F57:F62" si="27">YEARFRAC(D57,E57)</f>
        <v>29.955555555555556</v>
      </c>
      <c r="G57" s="58">
        <f t="shared" ref="G57:G62" si="28">YEARFRAC($A$4,E57)</f>
        <v>2.0861111111111112</v>
      </c>
      <c r="H57" s="61">
        <v>8190000</v>
      </c>
      <c r="I57" s="73">
        <v>8190000</v>
      </c>
      <c r="J57" s="61">
        <f>-183929-93.65-9.49-32.4-20274.2-5147.2+527.73-555.55-263.72-0.15</f>
        <v>-209777.62999999998</v>
      </c>
      <c r="K57" s="61">
        <f>(-86323)</f>
        <v>-86323</v>
      </c>
      <c r="L57" s="61">
        <f t="shared" ref="L57:L62" si="29">SUM(I57:K57)</f>
        <v>7893899.3700000001</v>
      </c>
      <c r="M57" s="63">
        <f t="shared" ref="M57:M62" si="30">L57/I57*100</f>
        <v>96.384607692307682</v>
      </c>
      <c r="N57" s="64">
        <f t="shared" ref="N57:N62" si="31">ROUND(YIELD(D57,E57,B57,M57,100,4,1),5)</f>
        <v>2.981E-2</v>
      </c>
      <c r="O57" s="62">
        <f t="shared" ref="O57:O62" si="32">ROUND(N57,5)*I57</f>
        <v>244143.9</v>
      </c>
      <c r="P57" s="53">
        <f t="shared" si="6"/>
        <v>47</v>
      </c>
    </row>
    <row r="58" spans="1:16">
      <c r="A58" s="51">
        <f t="shared" si="7"/>
        <v>48</v>
      </c>
      <c r="B58" s="75">
        <v>2.8957342725569952E-2</v>
      </c>
      <c r="C58" s="39" t="s">
        <v>99</v>
      </c>
      <c r="D58" s="56">
        <f>DATE(1994,11,17)</f>
        <v>34655</v>
      </c>
      <c r="E58" s="56">
        <f>DATE(2024,11,1)</f>
        <v>45597</v>
      </c>
      <c r="F58" s="58">
        <f t="shared" si="27"/>
        <v>29.955555555555556</v>
      </c>
      <c r="G58" s="58">
        <f t="shared" si="28"/>
        <v>2.0861111111111112</v>
      </c>
      <c r="H58" s="61">
        <v>121940000</v>
      </c>
      <c r="I58" s="73">
        <v>121940000</v>
      </c>
      <c r="J58" s="61">
        <f>-2969452-1956.29-141.25-481.71-301860.26-92.38+3920.28-2222.23-1959.09-1.04</f>
        <v>-3274245.9699999997</v>
      </c>
      <c r="K58" s="61">
        <f>(-1935450)+9683</f>
        <v>-1925767</v>
      </c>
      <c r="L58" s="61">
        <f t="shared" si="29"/>
        <v>116739987.03</v>
      </c>
      <c r="M58" s="63">
        <f t="shared" si="30"/>
        <v>95.735597039527647</v>
      </c>
      <c r="N58" s="64">
        <f t="shared" si="31"/>
        <v>3.1150000000000001E-2</v>
      </c>
      <c r="O58" s="62">
        <f t="shared" si="32"/>
        <v>3798431</v>
      </c>
      <c r="P58" s="53">
        <f t="shared" si="6"/>
        <v>48</v>
      </c>
    </row>
    <row r="59" spans="1:16">
      <c r="A59" s="51">
        <f t="shared" si="7"/>
        <v>49</v>
      </c>
      <c r="B59" s="75">
        <v>2.907611964435591E-2</v>
      </c>
      <c r="C59" s="39" t="s">
        <v>100</v>
      </c>
      <c r="D59" s="56">
        <f>DATE(1994,11,17)</f>
        <v>34655</v>
      </c>
      <c r="E59" s="56">
        <f>DATE(2024,11,1)</f>
        <v>45597</v>
      </c>
      <c r="F59" s="58">
        <f t="shared" si="27"/>
        <v>29.955555555555556</v>
      </c>
      <c r="G59" s="58">
        <f t="shared" si="28"/>
        <v>2.0861111111111112</v>
      </c>
      <c r="H59" s="61">
        <v>15060000</v>
      </c>
      <c r="I59" s="73">
        <v>15060000</v>
      </c>
      <c r="J59" s="61">
        <f>-375570-172.07-17.44-59.52-37280.76-9466.37+527.73-555.56-263.72-0.15</f>
        <v>-422857.86000000004</v>
      </c>
      <c r="K59" s="61">
        <f>(-92641)+11214</f>
        <v>-81427</v>
      </c>
      <c r="L59" s="61">
        <f t="shared" si="29"/>
        <v>14555715.140000001</v>
      </c>
      <c r="M59" s="63">
        <f t="shared" si="30"/>
        <v>96.651494953519261</v>
      </c>
      <c r="N59" s="64">
        <f t="shared" si="31"/>
        <v>3.0790000000000001E-2</v>
      </c>
      <c r="O59" s="62">
        <f t="shared" si="32"/>
        <v>463697.4</v>
      </c>
      <c r="P59" s="53">
        <f t="shared" si="6"/>
        <v>49</v>
      </c>
    </row>
    <row r="60" spans="1:16">
      <c r="A60" s="51">
        <f t="shared" si="7"/>
        <v>50</v>
      </c>
      <c r="B60" s="75">
        <v>2.8320704408466603E-2</v>
      </c>
      <c r="C60" s="39" t="s">
        <v>101</v>
      </c>
      <c r="D60" s="56">
        <f>DATE(1994,11,17)</f>
        <v>34655</v>
      </c>
      <c r="E60" s="56">
        <f>DATE(2024,11,1)</f>
        <v>45597</v>
      </c>
      <c r="F60" s="58">
        <f t="shared" si="27"/>
        <v>29.955555555555556</v>
      </c>
      <c r="G60" s="58">
        <f t="shared" si="28"/>
        <v>2.0861111111111112</v>
      </c>
      <c r="H60" s="61">
        <v>21260000</v>
      </c>
      <c r="I60" s="73">
        <v>21260000</v>
      </c>
      <c r="J60" s="61">
        <f>-412545-242.74-24.63-31480.09-52628.74-13360.33+18.88+678.51-555.55-339.07-0.18</f>
        <v>-510478.94</v>
      </c>
      <c r="K60" s="61">
        <f>(-88352)</f>
        <v>-88352</v>
      </c>
      <c r="L60" s="61">
        <f t="shared" si="29"/>
        <v>20661169.059999999</v>
      </c>
      <c r="M60" s="63">
        <f t="shared" si="30"/>
        <v>97.183297554092178</v>
      </c>
      <c r="N60" s="64">
        <f t="shared" si="31"/>
        <v>2.9739999999999999E-2</v>
      </c>
      <c r="O60" s="62">
        <f t="shared" si="32"/>
        <v>632272.4</v>
      </c>
      <c r="P60" s="53">
        <f t="shared" si="6"/>
        <v>50</v>
      </c>
    </row>
    <row r="61" spans="1:16">
      <c r="A61" s="51">
        <f t="shared" si="7"/>
        <v>51</v>
      </c>
      <c r="B61" s="75">
        <v>2.9784205890566039E-2</v>
      </c>
      <c r="C61" s="39" t="s">
        <v>102</v>
      </c>
      <c r="D61" s="56">
        <f>DATE(1995,11,17)</f>
        <v>35020</v>
      </c>
      <c r="E61" s="56">
        <f>DATE(2025,11,1)</f>
        <v>45962</v>
      </c>
      <c r="F61" s="58">
        <f t="shared" si="27"/>
        <v>29.955555555555556</v>
      </c>
      <c r="G61" s="58">
        <f t="shared" si="28"/>
        <v>3.0861111111111112</v>
      </c>
      <c r="H61" s="61">
        <v>5300000</v>
      </c>
      <c r="I61" s="73">
        <f>5300000</f>
        <v>5300000</v>
      </c>
      <c r="J61" s="61">
        <f>-4020.01-32463.14-26670.88-14633.18-53933.24-322.71</f>
        <v>-132043.15999999997</v>
      </c>
      <c r="K61" s="61">
        <v>0</v>
      </c>
      <c r="L61" s="61">
        <f t="shared" si="29"/>
        <v>5167956.84</v>
      </c>
      <c r="M61" s="63">
        <f t="shared" si="30"/>
        <v>97.508619622641504</v>
      </c>
      <c r="N61" s="64">
        <f t="shared" si="31"/>
        <v>3.1060000000000001E-2</v>
      </c>
      <c r="O61" s="62">
        <f t="shared" si="32"/>
        <v>164618</v>
      </c>
      <c r="P61" s="53">
        <f t="shared" si="6"/>
        <v>51</v>
      </c>
    </row>
    <row r="62" spans="1:16">
      <c r="A62" s="51">
        <f t="shared" si="7"/>
        <v>52</v>
      </c>
      <c r="B62" s="75">
        <v>2.8814632854545458E-2</v>
      </c>
      <c r="C62" s="39" t="s">
        <v>103</v>
      </c>
      <c r="D62" s="56">
        <f>DATE(1995,11,17)</f>
        <v>35020</v>
      </c>
      <c r="E62" s="56">
        <f>DATE(2025,11,1)</f>
        <v>45962</v>
      </c>
      <c r="F62" s="58">
        <f t="shared" si="27"/>
        <v>29.955555555555556</v>
      </c>
      <c r="G62" s="58">
        <f t="shared" si="28"/>
        <v>3.0861111111111112</v>
      </c>
      <c r="H62" s="61">
        <v>22000000</v>
      </c>
      <c r="I62" s="73">
        <f>22000000</f>
        <v>22000000</v>
      </c>
      <c r="J62" s="61">
        <f>-9071.1-129640.11-189217.86-14682.77-4950-56377.22-322.71</f>
        <v>-404261.76999999996</v>
      </c>
      <c r="K62" s="61">
        <v>0</v>
      </c>
      <c r="L62" s="61">
        <f t="shared" si="29"/>
        <v>21595738.23</v>
      </c>
      <c r="M62" s="63">
        <f t="shared" si="30"/>
        <v>98.162446500000001</v>
      </c>
      <c r="N62" s="64">
        <f t="shared" si="31"/>
        <v>2.9739999999999999E-2</v>
      </c>
      <c r="O62" s="62">
        <f t="shared" si="32"/>
        <v>654280</v>
      </c>
      <c r="P62" s="53">
        <f t="shared" si="6"/>
        <v>52</v>
      </c>
    </row>
    <row r="63" spans="1:16">
      <c r="A63" s="51">
        <f t="shared" si="7"/>
        <v>53</v>
      </c>
      <c r="B63" s="67">
        <f>SUMPRODUCT(B57:B62,I57:I62)/I63</f>
        <v>2.8862007554838712E-2</v>
      </c>
      <c r="C63" s="68" t="s">
        <v>104</v>
      </c>
      <c r="D63" s="56"/>
      <c r="E63" s="56"/>
      <c r="F63" s="69">
        <f>SUMPRODUCT(F57:F62,I57:I62)/I63</f>
        <v>29.955555555555563</v>
      </c>
      <c r="G63" s="69">
        <f>SUMPRODUCT(G57:G62,I57:I62)/I63</f>
        <v>2.2270143369175628</v>
      </c>
      <c r="I63" s="68">
        <f>SUM(I57:I62)</f>
        <v>193750000</v>
      </c>
      <c r="J63" s="68">
        <f>SUM(J57:J62)</f>
        <v>-4953665.3299999991</v>
      </c>
      <c r="K63" s="68">
        <f>SUM(K57:K62)</f>
        <v>-2181869</v>
      </c>
      <c r="L63" s="68">
        <f>SUM(L57:L62)</f>
        <v>186614465.67000002</v>
      </c>
      <c r="M63" s="64"/>
      <c r="N63" s="71">
        <f>O63/I63</f>
        <v>3.0748091354838712E-2</v>
      </c>
      <c r="O63" s="68">
        <f>SUM(O57:O62)</f>
        <v>5957442.7000000002</v>
      </c>
      <c r="P63" s="53">
        <f t="shared" si="6"/>
        <v>53</v>
      </c>
    </row>
    <row r="64" spans="1:16">
      <c r="A64" s="51">
        <f t="shared" si="7"/>
        <v>54</v>
      </c>
      <c r="D64" s="56"/>
      <c r="E64" s="56"/>
      <c r="F64" s="58"/>
      <c r="G64" s="58"/>
      <c r="I64" s="74"/>
      <c r="J64" s="62"/>
      <c r="L64" s="62"/>
      <c r="M64" s="64"/>
      <c r="N64" s="64"/>
      <c r="O64" s="62"/>
      <c r="P64" s="53">
        <f t="shared" si="6"/>
        <v>54</v>
      </c>
    </row>
    <row r="65" spans="1:16">
      <c r="A65" s="51">
        <f t="shared" si="7"/>
        <v>55</v>
      </c>
      <c r="B65" s="75">
        <v>3.3469594940983609E-2</v>
      </c>
      <c r="C65" s="61" t="s">
        <v>105</v>
      </c>
      <c r="D65" s="56">
        <f>DATE(1995,12,14)</f>
        <v>35047</v>
      </c>
      <c r="E65" s="56">
        <f>DATE(2025,11,1)</f>
        <v>45962</v>
      </c>
      <c r="F65" s="58">
        <f t="shared" ref="F65" si="33">YEARFRAC(D65,E65)</f>
        <v>29.880555555555556</v>
      </c>
      <c r="G65" s="58">
        <f t="shared" ref="G65" si="34">YEARFRAC($A$4,E65)</f>
        <v>3.0861111111111112</v>
      </c>
      <c r="H65" s="61">
        <v>24400000</v>
      </c>
      <c r="I65" s="76">
        <f>24400000</f>
        <v>24400000</v>
      </c>
      <c r="J65" s="61">
        <f>-19002.27-120150.79-10722.63-6607.3-58895.72-9621.24</f>
        <v>-224999.94999999998</v>
      </c>
      <c r="K65" s="61">
        <v>-428469.14</v>
      </c>
      <c r="L65" s="61">
        <f t="shared" ref="L65" si="35">SUM(I65:K65)</f>
        <v>23746530.91</v>
      </c>
      <c r="M65" s="63">
        <f t="shared" ref="M65" si="36">L65/I65*100</f>
        <v>97.321847991803281</v>
      </c>
      <c r="N65" s="64">
        <f t="shared" ref="N65" si="37">ROUND(YIELD(D65,E65,B65,M65,100,4,1),5)</f>
        <v>3.492E-2</v>
      </c>
      <c r="O65" s="62">
        <f t="shared" ref="O65" si="38">ROUND(N65,5)*I65</f>
        <v>852048</v>
      </c>
      <c r="P65" s="53">
        <f t="shared" si="6"/>
        <v>55</v>
      </c>
    </row>
    <row r="66" spans="1:16">
      <c r="A66" s="51">
        <f t="shared" si="7"/>
        <v>56</v>
      </c>
      <c r="B66" s="67">
        <f>SUMPRODUCT(B65:B65,I65:I65)/I66</f>
        <v>3.3469594940983609E-2</v>
      </c>
      <c r="C66" s="68" t="s">
        <v>106</v>
      </c>
      <c r="D66" s="56"/>
      <c r="E66" s="56"/>
      <c r="F66" s="69">
        <f>SUMPRODUCT(F65:F65,I65:I65)/I66</f>
        <v>29.880555555555556</v>
      </c>
      <c r="G66" s="69">
        <f>SUMPRODUCT(G65:G65,I65:I65)/I66</f>
        <v>3.0861111111111112</v>
      </c>
      <c r="I66" s="68">
        <f>SUM(I65:I65)</f>
        <v>24400000</v>
      </c>
      <c r="J66" s="68">
        <f>SUM(J65:J65)</f>
        <v>-224999.94999999998</v>
      </c>
      <c r="K66" s="68">
        <f>SUM(K65:K65)</f>
        <v>-428469.14</v>
      </c>
      <c r="L66" s="68">
        <f>SUM(L65:L65)</f>
        <v>23746530.91</v>
      </c>
      <c r="M66" s="64"/>
      <c r="N66" s="71">
        <f>O66/I66</f>
        <v>3.492E-2</v>
      </c>
      <c r="O66" s="68">
        <f>SUM(O65:O65)</f>
        <v>852048</v>
      </c>
      <c r="P66" s="53">
        <f t="shared" si="6"/>
        <v>56</v>
      </c>
    </row>
    <row r="67" spans="1:16">
      <c r="A67" s="51">
        <f t="shared" si="7"/>
        <v>57</v>
      </c>
      <c r="D67" s="56"/>
      <c r="E67" s="56"/>
      <c r="F67" s="58"/>
      <c r="G67" s="58"/>
      <c r="I67" s="74"/>
      <c r="J67" s="62"/>
      <c r="L67" s="62"/>
      <c r="M67" s="64"/>
      <c r="N67" s="64"/>
      <c r="O67" s="62"/>
      <c r="P67" s="53">
        <f t="shared" si="6"/>
        <v>57</v>
      </c>
    </row>
    <row r="68" spans="1:16">
      <c r="A68" s="51">
        <f t="shared" si="7"/>
        <v>58</v>
      </c>
      <c r="B68" s="67">
        <f>(B63*I63+B66*I66)/I68</f>
        <v>2.9377364567086867E-2</v>
      </c>
      <c r="C68" s="68" t="s">
        <v>107</v>
      </c>
      <c r="D68" s="56"/>
      <c r="E68" s="56"/>
      <c r="F68" s="69">
        <f>(F63*I63+F66*I66)/I68</f>
        <v>29.947166832200072</v>
      </c>
      <c r="G68" s="69">
        <f>(G63*I63+G66*I66)/I68</f>
        <v>2.3231040059082693</v>
      </c>
      <c r="I68" s="68">
        <f>I63+I66</f>
        <v>218150000</v>
      </c>
      <c r="J68" s="68">
        <f>J63+J66</f>
        <v>-5178665.2799999993</v>
      </c>
      <c r="K68" s="68">
        <f>K63+K66</f>
        <v>-2610338.14</v>
      </c>
      <c r="L68" s="68">
        <f>L63+L66</f>
        <v>210360996.58000001</v>
      </c>
      <c r="M68" s="64"/>
      <c r="N68" s="71">
        <f>O68/I68</f>
        <v>3.1214717854687143E-2</v>
      </c>
      <c r="O68" s="68">
        <f>O63+O66</f>
        <v>6809490.7000000002</v>
      </c>
      <c r="P68" s="53">
        <f t="shared" si="6"/>
        <v>58</v>
      </c>
    </row>
    <row r="69" spans="1:16">
      <c r="A69" s="51">
        <f t="shared" si="7"/>
        <v>59</v>
      </c>
      <c r="B69" s="67"/>
      <c r="C69" s="68"/>
      <c r="D69" s="56"/>
      <c r="E69" s="56"/>
      <c r="F69" s="69"/>
      <c r="G69" s="69"/>
      <c r="I69" s="68"/>
      <c r="J69" s="68"/>
      <c r="K69" s="68"/>
      <c r="L69" s="68"/>
      <c r="M69" s="64"/>
      <c r="N69" s="71"/>
      <c r="O69" s="68"/>
      <c r="P69" s="53">
        <f t="shared" si="6"/>
        <v>59</v>
      </c>
    </row>
    <row r="70" spans="1:16">
      <c r="A70" s="51">
        <f t="shared" si="7"/>
        <v>60</v>
      </c>
      <c r="B70" s="67"/>
      <c r="C70" s="68"/>
      <c r="D70" s="45" t="s">
        <v>108</v>
      </c>
      <c r="E70" s="45" t="s">
        <v>109</v>
      </c>
      <c r="F70" s="69"/>
      <c r="G70" s="69"/>
      <c r="I70" s="68"/>
      <c r="J70" s="68"/>
      <c r="K70" s="68"/>
      <c r="L70" s="68"/>
      <c r="M70" s="64"/>
      <c r="N70" s="71"/>
      <c r="O70" s="68"/>
      <c r="P70" s="53">
        <f t="shared" si="6"/>
        <v>60</v>
      </c>
    </row>
    <row r="71" spans="1:16">
      <c r="A71" s="51">
        <f t="shared" si="7"/>
        <v>61</v>
      </c>
      <c r="B71" s="67"/>
      <c r="C71" s="68"/>
      <c r="D71" s="45" t="s">
        <v>43</v>
      </c>
      <c r="E71" s="45" t="s">
        <v>43</v>
      </c>
      <c r="F71" s="69"/>
      <c r="G71" s="69"/>
      <c r="I71" s="68"/>
      <c r="J71" s="68"/>
      <c r="K71" s="68"/>
      <c r="L71" s="68"/>
      <c r="M71" s="64"/>
      <c r="N71" s="71"/>
      <c r="O71" s="68"/>
      <c r="P71" s="53">
        <f t="shared" si="6"/>
        <v>61</v>
      </c>
    </row>
    <row r="72" spans="1:16">
      <c r="A72" s="51">
        <f t="shared" si="7"/>
        <v>62</v>
      </c>
      <c r="B72" s="67"/>
      <c r="C72" s="77" t="s">
        <v>110</v>
      </c>
      <c r="D72" s="56">
        <f>DATE(2000,11,17)</f>
        <v>36847</v>
      </c>
      <c r="E72" s="56">
        <f>DATE(2035,6,30)</f>
        <v>49490</v>
      </c>
      <c r="F72" s="69"/>
      <c r="G72" s="69"/>
      <c r="I72" s="68"/>
      <c r="J72" s="68"/>
      <c r="K72" s="68"/>
      <c r="L72" s="68"/>
      <c r="M72" s="64"/>
      <c r="N72" s="71"/>
      <c r="O72" s="62">
        <f>107887.08</f>
        <v>107887.08</v>
      </c>
      <c r="P72" s="53">
        <f t="shared" si="6"/>
        <v>62</v>
      </c>
    </row>
    <row r="73" spans="1:16">
      <c r="A73" s="51">
        <f t="shared" si="7"/>
        <v>63</v>
      </c>
      <c r="B73" s="67"/>
      <c r="C73" s="77" t="s">
        <v>111</v>
      </c>
      <c r="D73" s="56">
        <f>DATE(2000,11,17)</f>
        <v>36847</v>
      </c>
      <c r="E73" s="56">
        <f>DATE(2025,12,31)</f>
        <v>46022</v>
      </c>
      <c r="F73" s="69"/>
      <c r="G73" s="69"/>
      <c r="I73" s="68"/>
      <c r="J73" s="68"/>
      <c r="K73" s="68"/>
      <c r="L73" s="68"/>
      <c r="M73" s="64"/>
      <c r="N73" s="71"/>
      <c r="O73" s="62">
        <v>84083.82</v>
      </c>
      <c r="P73" s="53">
        <f t="shared" si="6"/>
        <v>63</v>
      </c>
    </row>
    <row r="74" spans="1:16">
      <c r="A74" s="51">
        <f t="shared" si="7"/>
        <v>64</v>
      </c>
      <c r="B74" s="67"/>
      <c r="C74" s="39" t="s">
        <v>112</v>
      </c>
      <c r="D74" s="56">
        <f>DATE(2016,2,18)</f>
        <v>42418</v>
      </c>
      <c r="E74" s="56">
        <f>DATE(2024,11,1)</f>
        <v>45597</v>
      </c>
      <c r="F74" s="69"/>
      <c r="G74" s="69"/>
      <c r="I74" s="68"/>
      <c r="J74" s="68"/>
      <c r="K74" s="68"/>
      <c r="L74" s="68"/>
      <c r="M74" s="64"/>
      <c r="N74" s="71"/>
      <c r="O74" s="62">
        <f>920.81*12+175.45*12</f>
        <v>13155.119999999999</v>
      </c>
      <c r="P74" s="53">
        <f t="shared" si="6"/>
        <v>64</v>
      </c>
    </row>
    <row r="75" spans="1:16">
      <c r="A75" s="51">
        <f t="shared" si="7"/>
        <v>65</v>
      </c>
      <c r="B75" s="67"/>
      <c r="C75" s="68" t="s">
        <v>113</v>
      </c>
      <c r="D75" s="56"/>
      <c r="E75" s="56"/>
      <c r="F75" s="69"/>
      <c r="G75" s="69"/>
      <c r="I75" s="68"/>
      <c r="J75" s="68"/>
      <c r="K75" s="68"/>
      <c r="L75" s="68"/>
      <c r="M75" s="64"/>
      <c r="N75" s="71"/>
      <c r="O75" s="68">
        <f>SUM(O72:O74)</f>
        <v>205126.02000000002</v>
      </c>
      <c r="P75" s="53">
        <f t="shared" si="6"/>
        <v>65</v>
      </c>
    </row>
    <row r="76" spans="1:16">
      <c r="A76" s="51">
        <f t="shared" si="7"/>
        <v>66</v>
      </c>
      <c r="D76" s="56"/>
      <c r="E76" s="56"/>
      <c r="F76" s="58"/>
      <c r="G76" s="58"/>
      <c r="I76" s="74"/>
      <c r="J76" s="62"/>
      <c r="L76" s="62"/>
      <c r="M76" s="64"/>
      <c r="N76" s="64"/>
      <c r="O76" s="62"/>
      <c r="P76" s="53">
        <f t="shared" si="6"/>
        <v>66</v>
      </c>
    </row>
    <row r="77" spans="1:16">
      <c r="A77" s="51">
        <f>A76+1</f>
        <v>67</v>
      </c>
      <c r="B77" s="78">
        <f>(B54*I54+B68*I68)/I77</f>
        <v>4.5779420817575904E-2</v>
      </c>
      <c r="C77" s="68" t="s">
        <v>15</v>
      </c>
      <c r="D77" s="56"/>
      <c r="E77" s="56"/>
      <c r="F77" s="69">
        <f>(F54*I54+F68*I68)/I77</f>
        <v>26.231539839477701</v>
      </c>
      <c r="G77" s="69">
        <f>(G54*I54+G68*I68)/I77</f>
        <v>16.101286533394433</v>
      </c>
      <c r="I77" s="68">
        <f>I54+I68</f>
        <v>8693150000</v>
      </c>
      <c r="J77" s="68">
        <f>J54+J68</f>
        <v>-104716954.61000001</v>
      </c>
      <c r="K77" s="68">
        <f>K54+K68</f>
        <v>-14149830.98</v>
      </c>
      <c r="L77" s="68">
        <f>L54+L68</f>
        <v>8574283214.4099998</v>
      </c>
      <c r="M77" s="64"/>
      <c r="N77" s="71">
        <f>O77/I77</f>
        <v>4.6793384069065871E-2</v>
      </c>
      <c r="O77" s="70">
        <f>O54+O68+O75</f>
        <v>406781906.71999997</v>
      </c>
      <c r="P77" s="53">
        <f t="shared" ref="P77:P78" si="39">A77</f>
        <v>67</v>
      </c>
    </row>
    <row r="78" spans="1:16">
      <c r="A78" s="79">
        <f>A77+1</f>
        <v>68</v>
      </c>
      <c r="B78" s="80"/>
      <c r="C78" s="81"/>
      <c r="D78" s="82"/>
      <c r="E78" s="82"/>
      <c r="F78" s="83"/>
      <c r="G78" s="83"/>
      <c r="H78" s="81"/>
      <c r="I78" s="84"/>
      <c r="J78" s="85"/>
      <c r="K78" s="81"/>
      <c r="L78" s="85"/>
      <c r="M78" s="86"/>
      <c r="N78" s="86"/>
      <c r="O78" s="85"/>
      <c r="P78" s="87">
        <f t="shared" si="39"/>
        <v>68</v>
      </c>
    </row>
    <row r="79" spans="1:16">
      <c r="D79" s="56"/>
      <c r="E79" s="56"/>
      <c r="F79" s="58"/>
      <c r="G79" s="58"/>
      <c r="I79" s="74"/>
      <c r="J79" s="62"/>
      <c r="L79" s="62"/>
      <c r="M79" s="64"/>
      <c r="N79" s="64"/>
      <c r="O79" s="62"/>
    </row>
    <row r="80" spans="1:16">
      <c r="D80" s="56"/>
      <c r="E80" s="56"/>
      <c r="F80" s="58"/>
      <c r="G80" s="58"/>
      <c r="I80" s="74"/>
      <c r="J80" s="62"/>
      <c r="L80" s="62"/>
      <c r="M80" s="64"/>
      <c r="N80" s="64"/>
      <c r="O80" s="62"/>
    </row>
    <row r="81" spans="1:15">
      <c r="D81" s="56"/>
      <c r="E81" s="56"/>
      <c r="F81" s="58"/>
      <c r="G81" s="58"/>
      <c r="I81" s="74"/>
      <c r="J81" s="62"/>
      <c r="L81" s="62"/>
      <c r="M81" s="64"/>
      <c r="N81" s="64"/>
      <c r="O81" s="62"/>
    </row>
    <row r="82" spans="1:15">
      <c r="D82" s="56"/>
      <c r="E82" s="56"/>
      <c r="F82" s="58"/>
      <c r="G82" s="58"/>
      <c r="I82" s="74"/>
      <c r="J82" s="62"/>
      <c r="L82" s="62"/>
      <c r="M82" s="64"/>
      <c r="N82" s="64"/>
      <c r="O82" s="62"/>
    </row>
    <row r="83" spans="1:15">
      <c r="D83" s="56"/>
      <c r="E83" s="56"/>
      <c r="F83" s="58"/>
      <c r="G83" s="58"/>
      <c r="I83" s="74"/>
      <c r="J83" s="62"/>
      <c r="L83" s="62"/>
      <c r="M83" s="64"/>
      <c r="N83" s="64"/>
      <c r="O83" s="62"/>
    </row>
    <row r="84" spans="1:15">
      <c r="D84" s="56"/>
      <c r="E84" s="56"/>
      <c r="F84" s="58"/>
      <c r="G84" s="58"/>
      <c r="I84" s="74"/>
      <c r="J84" s="62"/>
      <c r="L84" s="62"/>
      <c r="M84" s="64"/>
      <c r="N84" s="64"/>
      <c r="O84" s="62"/>
    </row>
    <row r="85" spans="1:15">
      <c r="A85" s="39"/>
      <c r="B85" s="39"/>
      <c r="D85" s="56"/>
      <c r="E85" s="56"/>
      <c r="F85" s="58"/>
      <c r="G85" s="58"/>
      <c r="I85" s="74"/>
      <c r="J85" s="62"/>
      <c r="L85" s="62"/>
      <c r="M85" s="64"/>
      <c r="N85" s="64"/>
      <c r="O85" s="62"/>
    </row>
    <row r="86" spans="1:15">
      <c r="A86" s="39"/>
      <c r="B86" s="39"/>
      <c r="D86" s="56"/>
      <c r="E86" s="56"/>
      <c r="F86" s="58"/>
      <c r="G86" s="58"/>
      <c r="I86" s="74"/>
      <c r="J86" s="62"/>
      <c r="L86" s="62"/>
      <c r="M86" s="64"/>
      <c r="N86" s="64"/>
      <c r="O86" s="62"/>
    </row>
    <row r="87" spans="1:15">
      <c r="A87" s="39"/>
      <c r="B87" s="39"/>
      <c r="D87" s="56"/>
      <c r="E87" s="56"/>
      <c r="F87" s="58"/>
      <c r="G87" s="58"/>
      <c r="I87" s="74"/>
      <c r="J87" s="62"/>
      <c r="L87" s="62"/>
      <c r="M87" s="64"/>
      <c r="N87" s="64"/>
      <c r="O87" s="62"/>
    </row>
    <row r="88" spans="1:15">
      <c r="A88" s="39"/>
      <c r="B88" s="39"/>
      <c r="D88" s="56"/>
      <c r="E88" s="56"/>
      <c r="F88" s="58"/>
      <c r="G88" s="58"/>
      <c r="I88" s="74"/>
      <c r="J88" s="62"/>
      <c r="L88" s="62"/>
      <c r="M88" s="64"/>
      <c r="N88" s="64"/>
      <c r="O88" s="62"/>
    </row>
    <row r="89" spans="1:15">
      <c r="A89" s="39"/>
      <c r="B89" s="39"/>
      <c r="D89" s="56"/>
      <c r="E89" s="56"/>
      <c r="F89" s="58"/>
      <c r="G89" s="58"/>
      <c r="I89" s="74"/>
      <c r="J89" s="62"/>
      <c r="L89" s="62"/>
      <c r="M89" s="64"/>
      <c r="N89" s="64"/>
      <c r="O89" s="62"/>
    </row>
    <row r="90" spans="1:15">
      <c r="A90" s="39"/>
      <c r="B90" s="39"/>
      <c r="D90" s="56"/>
      <c r="E90" s="56"/>
      <c r="F90" s="58"/>
      <c r="G90" s="58"/>
      <c r="I90" s="74"/>
      <c r="J90" s="62"/>
      <c r="L90" s="62"/>
      <c r="M90" s="64"/>
      <c r="N90" s="64"/>
      <c r="O90" s="62"/>
    </row>
    <row r="91" spans="1:15">
      <c r="A91" s="39"/>
      <c r="B91" s="39"/>
      <c r="D91" s="56"/>
      <c r="E91" s="56"/>
      <c r="F91" s="58"/>
      <c r="G91" s="58"/>
      <c r="I91" s="74"/>
      <c r="J91" s="62"/>
      <c r="L91" s="62"/>
      <c r="M91" s="64"/>
      <c r="N91" s="64"/>
      <c r="O91" s="62"/>
    </row>
    <row r="92" spans="1:15">
      <c r="A92" s="39"/>
      <c r="B92" s="39"/>
      <c r="D92" s="56"/>
      <c r="E92" s="56"/>
      <c r="F92" s="58"/>
      <c r="G92" s="58"/>
      <c r="I92" s="74"/>
      <c r="J92" s="62"/>
      <c r="L92" s="62"/>
      <c r="M92" s="64"/>
      <c r="N92" s="64"/>
      <c r="O92" s="62"/>
    </row>
    <row r="93" spans="1:15">
      <c r="A93" s="39"/>
      <c r="B93" s="39"/>
      <c r="D93" s="56"/>
      <c r="E93" s="56"/>
      <c r="F93" s="58"/>
      <c r="G93" s="58"/>
      <c r="I93" s="74"/>
      <c r="J93" s="62"/>
      <c r="L93" s="62"/>
      <c r="M93" s="64"/>
      <c r="N93" s="64"/>
      <c r="O93" s="62"/>
    </row>
    <row r="94" spans="1:15">
      <c r="A94" s="39"/>
      <c r="B94" s="39"/>
      <c r="D94" s="56"/>
      <c r="E94" s="56"/>
      <c r="F94" s="58"/>
      <c r="G94" s="58"/>
      <c r="I94" s="74"/>
      <c r="J94" s="62"/>
      <c r="L94" s="62"/>
      <c r="M94" s="64"/>
      <c r="N94" s="64"/>
      <c r="O94" s="62"/>
    </row>
    <row r="95" spans="1:15">
      <c r="A95" s="39"/>
      <c r="B95" s="39"/>
      <c r="D95" s="56"/>
      <c r="E95" s="56"/>
      <c r="F95" s="58"/>
      <c r="G95" s="58"/>
      <c r="I95" s="74"/>
      <c r="J95" s="62"/>
      <c r="L95" s="62"/>
      <c r="M95" s="64"/>
      <c r="N95" s="64"/>
      <c r="O95" s="62"/>
    </row>
    <row r="96" spans="1:15">
      <c r="A96" s="39"/>
      <c r="B96" s="39"/>
      <c r="D96" s="56"/>
      <c r="E96" s="56"/>
      <c r="F96" s="58"/>
      <c r="G96" s="58"/>
      <c r="I96" s="74"/>
      <c r="J96" s="62"/>
      <c r="L96" s="62"/>
      <c r="M96" s="64"/>
      <c r="N96" s="64"/>
      <c r="O96" s="62"/>
    </row>
    <row r="97" spans="4:15" s="39" customFormat="1">
      <c r="D97" s="56"/>
      <c r="E97" s="56"/>
      <c r="F97" s="58"/>
      <c r="G97" s="58"/>
      <c r="I97" s="74"/>
      <c r="J97" s="62"/>
      <c r="L97" s="62"/>
      <c r="M97" s="64"/>
      <c r="N97" s="64"/>
      <c r="O97" s="62"/>
    </row>
    <row r="98" spans="4:15" s="39" customFormat="1">
      <c r="D98" s="56"/>
      <c r="E98" s="56"/>
      <c r="F98" s="58"/>
      <c r="G98" s="58"/>
      <c r="I98" s="74"/>
      <c r="J98" s="62"/>
      <c r="L98" s="62"/>
      <c r="M98" s="64"/>
      <c r="N98" s="64"/>
      <c r="O98" s="62"/>
    </row>
    <row r="99" spans="4:15" s="39" customFormat="1">
      <c r="D99" s="56"/>
      <c r="E99" s="56"/>
      <c r="F99" s="58"/>
      <c r="G99" s="58"/>
      <c r="I99" s="74"/>
      <c r="J99" s="62"/>
      <c r="L99" s="62"/>
      <c r="M99" s="64"/>
      <c r="N99" s="64"/>
      <c r="O99" s="62"/>
    </row>
    <row r="100" spans="4:15" s="39" customFormat="1">
      <c r="D100" s="56"/>
      <c r="E100" s="56"/>
      <c r="F100" s="58"/>
      <c r="G100" s="58"/>
      <c r="I100" s="74"/>
      <c r="J100" s="62"/>
      <c r="L100" s="62"/>
      <c r="M100" s="64"/>
      <c r="N100" s="64"/>
      <c r="O100" s="62"/>
    </row>
    <row r="101" spans="4:15" s="39" customFormat="1">
      <c r="D101" s="56"/>
      <c r="E101" s="56"/>
      <c r="F101" s="58"/>
      <c r="G101" s="58"/>
      <c r="I101" s="74"/>
      <c r="J101" s="62"/>
      <c r="L101" s="62"/>
      <c r="M101" s="64"/>
      <c r="N101" s="64"/>
      <c r="O101" s="62"/>
    </row>
    <row r="102" spans="4:15" s="39" customFormat="1">
      <c r="D102" s="56"/>
      <c r="E102" s="56"/>
      <c r="F102" s="58"/>
      <c r="G102" s="58"/>
      <c r="I102" s="74"/>
      <c r="J102" s="62"/>
      <c r="L102" s="62"/>
      <c r="M102" s="64"/>
      <c r="N102" s="64"/>
      <c r="O102" s="62"/>
    </row>
    <row r="103" spans="4:15" s="39" customFormat="1">
      <c r="D103" s="56"/>
      <c r="E103" s="56"/>
      <c r="F103" s="58"/>
      <c r="G103" s="58"/>
      <c r="I103" s="74"/>
      <c r="J103" s="62"/>
      <c r="L103" s="62"/>
      <c r="M103" s="64"/>
      <c r="N103" s="64"/>
      <c r="O103" s="62"/>
    </row>
    <row r="104" spans="4:15" s="39" customFormat="1">
      <c r="D104" s="56"/>
      <c r="E104" s="56"/>
      <c r="F104" s="58"/>
      <c r="G104" s="58"/>
      <c r="I104" s="74"/>
      <c r="J104" s="62"/>
      <c r="L104" s="62"/>
      <c r="M104" s="64"/>
      <c r="N104" s="64"/>
      <c r="O104" s="62"/>
    </row>
    <row r="105" spans="4:15" s="39" customFormat="1">
      <c r="D105" s="56"/>
      <c r="E105" s="56"/>
      <c r="F105" s="58"/>
      <c r="G105" s="58"/>
      <c r="I105" s="74"/>
      <c r="J105" s="62"/>
      <c r="L105" s="62"/>
      <c r="M105" s="64"/>
      <c r="N105" s="64"/>
      <c r="O105" s="62"/>
    </row>
    <row r="106" spans="4:15" s="39" customFormat="1">
      <c r="D106" s="56"/>
      <c r="E106" s="56"/>
      <c r="F106" s="58"/>
      <c r="G106" s="58"/>
      <c r="I106" s="74"/>
      <c r="J106" s="62"/>
      <c r="L106" s="62"/>
      <c r="M106" s="64"/>
      <c r="N106" s="64"/>
      <c r="O106" s="62"/>
    </row>
    <row r="107" spans="4:15" s="39" customFormat="1">
      <c r="D107" s="56"/>
      <c r="E107" s="56"/>
      <c r="F107" s="58"/>
      <c r="G107" s="58"/>
      <c r="I107" s="74"/>
      <c r="J107" s="62"/>
      <c r="L107" s="62"/>
      <c r="M107" s="64"/>
      <c r="N107" s="64"/>
      <c r="O107" s="62"/>
    </row>
    <row r="108" spans="4:15" s="39" customFormat="1">
      <c r="D108" s="56"/>
      <c r="E108" s="56"/>
      <c r="F108" s="58"/>
      <c r="G108" s="58"/>
      <c r="I108" s="74"/>
      <c r="J108" s="62"/>
      <c r="L108" s="62"/>
      <c r="M108" s="64"/>
      <c r="N108" s="64"/>
      <c r="O108" s="62"/>
    </row>
    <row r="109" spans="4:15" s="39" customFormat="1">
      <c r="D109" s="56"/>
      <c r="E109" s="56"/>
      <c r="F109" s="58"/>
      <c r="G109" s="58"/>
      <c r="I109" s="74"/>
      <c r="J109" s="62"/>
      <c r="L109" s="62"/>
      <c r="M109" s="64"/>
      <c r="N109" s="64"/>
      <c r="O109" s="62"/>
    </row>
    <row r="110" spans="4:15" s="39" customFormat="1">
      <c r="D110" s="56"/>
      <c r="E110" s="56"/>
      <c r="F110" s="58"/>
      <c r="G110" s="58"/>
      <c r="I110" s="74"/>
      <c r="J110" s="62"/>
      <c r="L110" s="62"/>
      <c r="M110" s="64"/>
      <c r="N110" s="64"/>
      <c r="O110" s="62"/>
    </row>
    <row r="111" spans="4:15" s="39" customFormat="1">
      <c r="D111" s="56"/>
      <c r="E111" s="56"/>
      <c r="F111" s="58"/>
      <c r="G111" s="58"/>
      <c r="I111" s="74"/>
      <c r="J111" s="62"/>
      <c r="L111" s="62"/>
      <c r="M111" s="64"/>
      <c r="N111" s="64"/>
      <c r="O111" s="62"/>
    </row>
    <row r="112" spans="4:15" s="39" customFormat="1">
      <c r="D112" s="56"/>
      <c r="E112" s="56"/>
      <c r="F112" s="58"/>
      <c r="G112" s="58"/>
      <c r="I112" s="74"/>
      <c r="J112" s="62"/>
      <c r="L112" s="62"/>
      <c r="M112" s="64"/>
      <c r="N112" s="64"/>
      <c r="O112" s="62"/>
    </row>
    <row r="113" spans="4:15" s="39" customFormat="1">
      <c r="D113" s="56"/>
      <c r="E113" s="56"/>
      <c r="F113" s="58"/>
      <c r="G113" s="58"/>
      <c r="I113" s="74"/>
      <c r="J113" s="62"/>
      <c r="L113" s="62"/>
      <c r="M113" s="64"/>
      <c r="N113" s="64"/>
      <c r="O113" s="62"/>
    </row>
    <row r="114" spans="4:15" s="39" customFormat="1">
      <c r="D114" s="56"/>
      <c r="E114" s="56"/>
      <c r="F114" s="58"/>
      <c r="G114" s="58"/>
      <c r="I114" s="74"/>
      <c r="J114" s="62"/>
      <c r="L114" s="62"/>
      <c r="M114" s="64"/>
      <c r="N114" s="64"/>
      <c r="O114" s="62"/>
    </row>
    <row r="115" spans="4:15" s="39" customFormat="1">
      <c r="D115" s="56"/>
      <c r="E115" s="56"/>
      <c r="F115" s="58"/>
      <c r="G115" s="58"/>
      <c r="I115" s="74"/>
      <c r="J115" s="62"/>
      <c r="L115" s="62"/>
      <c r="M115" s="64"/>
      <c r="N115" s="64"/>
      <c r="O115" s="62"/>
    </row>
    <row r="116" spans="4:15" s="39" customFormat="1">
      <c r="D116" s="56"/>
      <c r="E116" s="56"/>
      <c r="F116" s="58"/>
      <c r="G116" s="58"/>
      <c r="I116" s="74"/>
      <c r="J116" s="62"/>
      <c r="L116" s="62"/>
      <c r="M116" s="64"/>
      <c r="N116" s="64"/>
      <c r="O116" s="62"/>
    </row>
    <row r="117" spans="4:15" s="39" customFormat="1">
      <c r="D117" s="56"/>
      <c r="E117" s="56"/>
      <c r="F117" s="58"/>
      <c r="G117" s="58"/>
      <c r="I117" s="74"/>
      <c r="J117" s="62"/>
      <c r="L117" s="62"/>
      <c r="M117" s="64"/>
      <c r="N117" s="64"/>
      <c r="O117" s="62"/>
    </row>
    <row r="118" spans="4:15" s="39" customFormat="1">
      <c r="D118" s="56"/>
      <c r="E118" s="56"/>
      <c r="F118" s="58"/>
      <c r="G118" s="58"/>
      <c r="I118" s="74"/>
      <c r="J118" s="62"/>
      <c r="L118" s="62"/>
      <c r="M118" s="64"/>
      <c r="N118" s="64"/>
      <c r="O118" s="62"/>
    </row>
    <row r="119" spans="4:15" s="39" customFormat="1">
      <c r="D119" s="56"/>
      <c r="E119" s="56"/>
      <c r="F119" s="58"/>
      <c r="G119" s="58"/>
      <c r="I119" s="74"/>
      <c r="J119" s="62"/>
      <c r="L119" s="62"/>
      <c r="M119" s="64"/>
      <c r="N119" s="64"/>
      <c r="O119" s="62"/>
    </row>
    <row r="120" spans="4:15" s="39" customFormat="1">
      <c r="D120" s="56"/>
      <c r="E120" s="56"/>
      <c r="F120" s="58"/>
      <c r="G120" s="58"/>
      <c r="I120" s="74"/>
      <c r="J120" s="62"/>
      <c r="L120" s="62"/>
      <c r="M120" s="64"/>
      <c r="N120" s="64"/>
      <c r="O120" s="62"/>
    </row>
    <row r="121" spans="4:15" s="39" customFormat="1">
      <c r="D121" s="56"/>
      <c r="E121" s="56"/>
      <c r="F121" s="58"/>
      <c r="G121" s="58"/>
      <c r="I121" s="74"/>
      <c r="J121" s="62"/>
      <c r="L121" s="62"/>
      <c r="M121" s="64"/>
      <c r="N121" s="64"/>
      <c r="O121" s="62"/>
    </row>
    <row r="122" spans="4:15" s="39" customFormat="1">
      <c r="D122" s="56"/>
      <c r="E122" s="56"/>
      <c r="F122" s="58"/>
      <c r="G122" s="58"/>
      <c r="I122" s="74"/>
      <c r="J122" s="62"/>
      <c r="L122" s="62"/>
      <c r="M122" s="64"/>
      <c r="N122" s="64"/>
      <c r="O122" s="62"/>
    </row>
    <row r="123" spans="4:15" s="39" customFormat="1">
      <c r="D123" s="56"/>
      <c r="E123" s="56"/>
      <c r="F123" s="58"/>
      <c r="G123" s="58"/>
      <c r="I123" s="74"/>
      <c r="J123" s="62"/>
      <c r="L123" s="62"/>
      <c r="M123" s="64"/>
      <c r="N123" s="64"/>
      <c r="O123" s="62"/>
    </row>
    <row r="124" spans="4:15" s="39" customFormat="1">
      <c r="D124" s="56"/>
      <c r="E124" s="56"/>
      <c r="F124" s="58"/>
      <c r="G124" s="58"/>
      <c r="I124" s="74"/>
      <c r="J124" s="62"/>
      <c r="L124" s="62"/>
      <c r="M124" s="64"/>
      <c r="N124" s="64"/>
      <c r="O124" s="62"/>
    </row>
    <row r="125" spans="4:15" s="39" customFormat="1">
      <c r="D125" s="56"/>
      <c r="E125" s="56"/>
      <c r="F125" s="58"/>
      <c r="G125" s="58"/>
      <c r="I125" s="74"/>
      <c r="J125" s="62"/>
      <c r="L125" s="62"/>
      <c r="M125" s="64"/>
      <c r="N125" s="64"/>
      <c r="O125" s="62"/>
    </row>
    <row r="126" spans="4:15" s="39" customFormat="1">
      <c r="D126" s="56"/>
      <c r="E126" s="56"/>
      <c r="F126" s="58"/>
      <c r="G126" s="58"/>
      <c r="I126" s="74"/>
      <c r="J126" s="62"/>
      <c r="L126" s="62"/>
      <c r="M126" s="64"/>
      <c r="N126" s="64"/>
      <c r="O126" s="62"/>
    </row>
    <row r="127" spans="4:15" s="39" customFormat="1">
      <c r="D127" s="56"/>
      <c r="E127" s="56"/>
      <c r="F127" s="58"/>
      <c r="G127" s="58"/>
      <c r="I127" s="74"/>
      <c r="J127" s="62"/>
      <c r="L127" s="62"/>
      <c r="M127" s="64"/>
      <c r="N127" s="64"/>
      <c r="O127" s="62"/>
    </row>
    <row r="128" spans="4:15" s="39" customFormat="1">
      <c r="D128" s="56"/>
      <c r="E128" s="56"/>
      <c r="F128" s="58"/>
      <c r="G128" s="58"/>
      <c r="I128" s="74"/>
      <c r="J128" s="62"/>
      <c r="L128" s="62"/>
      <c r="M128" s="64"/>
      <c r="N128" s="64"/>
      <c r="O128" s="62"/>
    </row>
    <row r="129" spans="4:15" s="39" customFormat="1">
      <c r="D129" s="56"/>
      <c r="E129" s="56"/>
      <c r="F129" s="58"/>
      <c r="G129" s="58"/>
      <c r="I129" s="74"/>
      <c r="J129" s="62"/>
      <c r="L129" s="62"/>
      <c r="M129" s="64"/>
      <c r="N129" s="64"/>
      <c r="O129" s="62"/>
    </row>
    <row r="130" spans="4:15" s="39" customFormat="1">
      <c r="D130" s="56"/>
      <c r="E130" s="56"/>
      <c r="F130" s="58"/>
      <c r="G130" s="58"/>
      <c r="I130" s="74"/>
      <c r="J130" s="62"/>
      <c r="L130" s="62"/>
      <c r="M130" s="64"/>
      <c r="N130" s="64"/>
      <c r="O130" s="62"/>
    </row>
    <row r="131" spans="4:15" s="39" customFormat="1">
      <c r="D131" s="56"/>
      <c r="E131" s="56"/>
      <c r="F131" s="58"/>
      <c r="G131" s="58"/>
      <c r="I131" s="74"/>
      <c r="J131" s="62"/>
      <c r="L131" s="62"/>
      <c r="M131" s="64"/>
      <c r="N131" s="64"/>
      <c r="O131" s="62"/>
    </row>
    <row r="132" spans="4:15" s="39" customFormat="1">
      <c r="D132" s="56"/>
      <c r="E132" s="56"/>
      <c r="F132" s="58"/>
      <c r="G132" s="58"/>
      <c r="I132" s="74"/>
      <c r="J132" s="62"/>
      <c r="L132" s="62"/>
      <c r="M132" s="64"/>
      <c r="N132" s="64"/>
      <c r="O132" s="62"/>
    </row>
    <row r="133" spans="4:15" s="39" customFormat="1">
      <c r="D133" s="56"/>
      <c r="E133" s="56"/>
      <c r="F133" s="58"/>
      <c r="G133" s="58"/>
      <c r="I133" s="74"/>
      <c r="J133" s="62"/>
      <c r="L133" s="62"/>
      <c r="M133" s="64"/>
      <c r="N133" s="64"/>
      <c r="O133" s="62"/>
    </row>
    <row r="134" spans="4:15" s="39" customFormat="1">
      <c r="D134" s="56"/>
      <c r="E134" s="56"/>
      <c r="F134" s="58"/>
      <c r="G134" s="58"/>
      <c r="I134" s="74"/>
      <c r="J134" s="62"/>
      <c r="L134" s="62"/>
      <c r="M134" s="64"/>
      <c r="N134" s="64"/>
      <c r="O134" s="62"/>
    </row>
    <row r="135" spans="4:15" s="39" customFormat="1">
      <c r="D135" s="56"/>
      <c r="E135" s="56"/>
      <c r="F135" s="58"/>
      <c r="G135" s="58"/>
      <c r="I135" s="74"/>
      <c r="J135" s="62"/>
      <c r="L135" s="62"/>
      <c r="M135" s="64"/>
      <c r="N135" s="64"/>
      <c r="O135" s="62"/>
    </row>
    <row r="136" spans="4:15" s="39" customFormat="1">
      <c r="D136" s="56"/>
      <c r="E136" s="56"/>
      <c r="F136" s="58"/>
      <c r="G136" s="58"/>
      <c r="I136" s="74"/>
      <c r="J136" s="62"/>
      <c r="L136" s="62"/>
      <c r="M136" s="64"/>
      <c r="N136" s="64"/>
      <c r="O136" s="62"/>
    </row>
    <row r="137" spans="4:15" s="39" customFormat="1">
      <c r="D137" s="56"/>
      <c r="E137" s="56"/>
      <c r="F137" s="58"/>
      <c r="G137" s="58"/>
      <c r="I137" s="74"/>
      <c r="J137" s="62"/>
      <c r="L137" s="62"/>
      <c r="M137" s="64"/>
      <c r="N137" s="64"/>
      <c r="O137" s="62"/>
    </row>
    <row r="138" spans="4:15" s="39" customFormat="1">
      <c r="D138" s="56"/>
      <c r="E138" s="56"/>
      <c r="F138" s="58"/>
      <c r="G138" s="58"/>
      <c r="I138" s="74"/>
      <c r="J138" s="62"/>
      <c r="L138" s="62"/>
      <c r="M138" s="64"/>
      <c r="N138" s="64"/>
      <c r="O138" s="62"/>
    </row>
    <row r="139" spans="4:15" s="39" customFormat="1">
      <c r="D139" s="56"/>
      <c r="E139" s="56"/>
      <c r="F139" s="58"/>
      <c r="G139" s="58"/>
      <c r="I139" s="74"/>
      <c r="J139" s="62"/>
      <c r="L139" s="62"/>
      <c r="M139" s="64"/>
      <c r="N139" s="64"/>
      <c r="O139" s="62"/>
    </row>
    <row r="140" spans="4:15" s="39" customFormat="1">
      <c r="D140" s="56"/>
      <c r="E140" s="56"/>
      <c r="F140" s="58"/>
      <c r="G140" s="58"/>
      <c r="I140" s="74"/>
      <c r="J140" s="62"/>
      <c r="L140" s="62"/>
      <c r="M140" s="64"/>
      <c r="N140" s="64"/>
      <c r="O140" s="62"/>
    </row>
    <row r="141" spans="4:15" s="39" customFormat="1">
      <c r="D141" s="56"/>
      <c r="E141" s="56"/>
      <c r="F141" s="58"/>
      <c r="G141" s="58"/>
      <c r="I141" s="74"/>
      <c r="J141" s="62"/>
      <c r="L141" s="62"/>
      <c r="M141" s="64"/>
      <c r="N141" s="64"/>
      <c r="O141" s="62"/>
    </row>
    <row r="142" spans="4:15" s="39" customFormat="1">
      <c r="D142" s="56"/>
      <c r="E142" s="56"/>
      <c r="F142" s="58"/>
      <c r="G142" s="58"/>
      <c r="I142" s="74"/>
      <c r="J142" s="62"/>
      <c r="L142" s="62"/>
      <c r="M142" s="64"/>
      <c r="N142" s="64"/>
      <c r="O142" s="62"/>
    </row>
    <row r="143" spans="4:15" s="39" customFormat="1">
      <c r="D143" s="56"/>
      <c r="E143" s="56"/>
      <c r="F143" s="58"/>
      <c r="G143" s="58"/>
      <c r="I143" s="74"/>
      <c r="J143" s="62"/>
      <c r="L143" s="62"/>
      <c r="M143" s="64"/>
      <c r="N143" s="64"/>
      <c r="O143" s="62"/>
    </row>
    <row r="144" spans="4:15" s="39" customFormat="1">
      <c r="D144" s="56"/>
      <c r="E144" s="56"/>
      <c r="F144" s="58"/>
      <c r="G144" s="58"/>
      <c r="I144" s="74"/>
      <c r="J144" s="62"/>
      <c r="L144" s="62"/>
      <c r="M144" s="64"/>
      <c r="N144" s="64"/>
      <c r="O144" s="62"/>
    </row>
    <row r="145" spans="4:15" s="39" customFormat="1">
      <c r="D145" s="56"/>
      <c r="E145" s="56"/>
      <c r="F145" s="58"/>
      <c r="G145" s="58"/>
      <c r="I145" s="74"/>
      <c r="J145" s="62"/>
      <c r="L145" s="62"/>
      <c r="M145" s="64"/>
      <c r="N145" s="64"/>
      <c r="O145" s="62"/>
    </row>
    <row r="146" spans="4:15" s="39" customFormat="1">
      <c r="D146" s="56"/>
      <c r="E146" s="56"/>
      <c r="F146" s="58"/>
      <c r="G146" s="58"/>
      <c r="I146" s="74"/>
      <c r="J146" s="62"/>
      <c r="L146" s="62"/>
      <c r="M146" s="64"/>
      <c r="N146" s="64"/>
      <c r="O146" s="62"/>
    </row>
    <row r="147" spans="4:15" s="39" customFormat="1">
      <c r="D147" s="56"/>
      <c r="E147" s="56"/>
      <c r="F147" s="58"/>
      <c r="G147" s="58"/>
      <c r="I147" s="74"/>
      <c r="J147" s="62"/>
      <c r="L147" s="62"/>
      <c r="M147" s="64"/>
      <c r="N147" s="64"/>
      <c r="O147" s="62"/>
    </row>
    <row r="148" spans="4:15" s="39" customFormat="1">
      <c r="D148" s="56"/>
      <c r="E148" s="56"/>
      <c r="F148" s="58"/>
      <c r="G148" s="58"/>
      <c r="I148" s="74"/>
      <c r="J148" s="62"/>
      <c r="L148" s="62"/>
      <c r="M148" s="64"/>
      <c r="N148" s="64"/>
      <c r="O148" s="62"/>
    </row>
    <row r="149" spans="4:15" s="39" customFormat="1">
      <c r="D149" s="56"/>
      <c r="E149" s="56"/>
      <c r="F149" s="58"/>
      <c r="G149" s="58"/>
      <c r="I149" s="74"/>
      <c r="J149" s="62"/>
      <c r="L149" s="62"/>
      <c r="M149" s="64"/>
      <c r="N149" s="64"/>
      <c r="O149" s="62"/>
    </row>
    <row r="150" spans="4:15" s="39" customFormat="1">
      <c r="D150" s="56"/>
      <c r="E150" s="56"/>
      <c r="F150" s="58"/>
      <c r="G150" s="58"/>
      <c r="I150" s="74"/>
      <c r="J150" s="62"/>
      <c r="L150" s="62"/>
      <c r="M150" s="64"/>
      <c r="N150" s="64"/>
      <c r="O150" s="62"/>
    </row>
    <row r="151" spans="4:15" s="39" customFormat="1">
      <c r="D151" s="56"/>
      <c r="E151" s="56"/>
      <c r="F151" s="58"/>
      <c r="G151" s="58"/>
      <c r="I151" s="74"/>
      <c r="J151" s="62"/>
      <c r="L151" s="62"/>
      <c r="M151" s="64"/>
      <c r="N151" s="64"/>
      <c r="O151" s="62"/>
    </row>
    <row r="152" spans="4:15" s="39" customFormat="1">
      <c r="D152" s="56"/>
      <c r="E152" s="56"/>
      <c r="F152" s="58"/>
      <c r="G152" s="58"/>
      <c r="I152" s="74"/>
      <c r="J152" s="62"/>
      <c r="L152" s="62"/>
      <c r="M152" s="64"/>
      <c r="N152" s="64"/>
      <c r="O152" s="62"/>
    </row>
    <row r="153" spans="4:15" s="39" customFormat="1">
      <c r="D153" s="56"/>
      <c r="E153" s="56"/>
      <c r="F153" s="58"/>
      <c r="G153" s="58"/>
      <c r="I153" s="74"/>
      <c r="J153" s="62"/>
      <c r="L153" s="62"/>
      <c r="M153" s="64"/>
      <c r="N153" s="64"/>
      <c r="O153" s="62"/>
    </row>
    <row r="154" spans="4:15" s="39" customFormat="1">
      <c r="D154" s="56"/>
      <c r="E154" s="56"/>
      <c r="F154" s="58"/>
      <c r="G154" s="58"/>
      <c r="I154" s="74"/>
      <c r="J154" s="62"/>
      <c r="L154" s="62"/>
      <c r="M154" s="64"/>
      <c r="N154" s="64"/>
      <c r="O154" s="62"/>
    </row>
    <row r="155" spans="4:15" s="39" customFormat="1">
      <c r="D155" s="56"/>
      <c r="E155" s="56"/>
      <c r="F155" s="58"/>
      <c r="G155" s="58"/>
      <c r="I155" s="74"/>
      <c r="J155" s="62"/>
      <c r="L155" s="62"/>
      <c r="M155" s="64"/>
      <c r="N155" s="64"/>
      <c r="O155" s="62"/>
    </row>
    <row r="156" spans="4:15" s="39" customFormat="1">
      <c r="D156" s="56"/>
      <c r="E156" s="56"/>
      <c r="F156" s="58"/>
      <c r="G156" s="58"/>
      <c r="I156" s="74"/>
      <c r="J156" s="62"/>
      <c r="L156" s="62"/>
      <c r="M156" s="64"/>
      <c r="N156" s="64"/>
      <c r="O156" s="62"/>
    </row>
    <row r="157" spans="4:15" s="39" customFormat="1">
      <c r="D157" s="56"/>
      <c r="E157" s="56"/>
      <c r="F157" s="58"/>
      <c r="G157" s="58"/>
      <c r="I157" s="74"/>
      <c r="J157" s="62"/>
      <c r="L157" s="62"/>
      <c r="M157" s="64"/>
      <c r="N157" s="64"/>
      <c r="O157" s="62"/>
    </row>
    <row r="158" spans="4:15" s="39" customFormat="1">
      <c r="D158" s="56"/>
      <c r="E158" s="56"/>
      <c r="F158" s="58"/>
      <c r="G158" s="58"/>
      <c r="I158" s="74"/>
      <c r="J158" s="62"/>
      <c r="L158" s="62"/>
      <c r="M158" s="64"/>
      <c r="N158" s="64"/>
      <c r="O158" s="62"/>
    </row>
    <row r="159" spans="4:15" s="39" customFormat="1">
      <c r="D159" s="56"/>
      <c r="E159" s="56"/>
      <c r="F159" s="58"/>
      <c r="G159" s="58"/>
      <c r="I159" s="74"/>
      <c r="J159" s="62"/>
      <c r="L159" s="62"/>
      <c r="M159" s="64"/>
      <c r="N159" s="64"/>
      <c r="O159" s="62"/>
    </row>
    <row r="160" spans="4:15" s="39" customFormat="1">
      <c r="D160" s="56"/>
      <c r="E160" s="56"/>
      <c r="F160" s="58"/>
      <c r="G160" s="58"/>
      <c r="I160" s="74"/>
      <c r="J160" s="62"/>
      <c r="L160" s="62"/>
      <c r="M160" s="64"/>
      <c r="N160" s="64"/>
      <c r="O160" s="62"/>
    </row>
    <row r="161" spans="4:15" s="39" customFormat="1">
      <c r="D161" s="56"/>
      <c r="E161" s="56"/>
      <c r="F161" s="58"/>
      <c r="G161" s="58"/>
      <c r="I161" s="74"/>
      <c r="J161" s="62"/>
      <c r="L161" s="62"/>
      <c r="M161" s="64"/>
      <c r="N161" s="64"/>
      <c r="O161" s="62"/>
    </row>
    <row r="162" spans="4:15" s="39" customFormat="1">
      <c r="D162" s="56"/>
      <c r="E162" s="56"/>
      <c r="F162" s="58"/>
      <c r="G162" s="58"/>
      <c r="I162" s="74"/>
      <c r="J162" s="62"/>
      <c r="L162" s="62"/>
      <c r="M162" s="64"/>
      <c r="N162" s="64"/>
      <c r="O162" s="62"/>
    </row>
    <row r="163" spans="4:15" s="39" customFormat="1">
      <c r="D163" s="56"/>
      <c r="E163" s="56"/>
      <c r="F163" s="58"/>
      <c r="G163" s="58"/>
      <c r="I163" s="74"/>
      <c r="J163" s="62"/>
      <c r="L163" s="62"/>
      <c r="M163" s="64"/>
      <c r="N163" s="64"/>
      <c r="O163" s="62"/>
    </row>
    <row r="164" spans="4:15" s="39" customFormat="1">
      <c r="D164" s="56"/>
      <c r="E164" s="56"/>
      <c r="F164" s="58"/>
      <c r="G164" s="58"/>
      <c r="I164" s="74"/>
      <c r="J164" s="62"/>
      <c r="L164" s="62"/>
      <c r="M164" s="64"/>
      <c r="N164" s="64"/>
      <c r="O164" s="62"/>
    </row>
    <row r="165" spans="4:15" s="39" customFormat="1">
      <c r="D165" s="56"/>
      <c r="E165" s="56"/>
      <c r="F165" s="58"/>
      <c r="G165" s="58"/>
      <c r="I165" s="74"/>
      <c r="J165" s="62"/>
      <c r="L165" s="62"/>
      <c r="M165" s="64"/>
      <c r="N165" s="64"/>
      <c r="O165" s="62"/>
    </row>
    <row r="166" spans="4:15" s="39" customFormat="1">
      <c r="D166" s="56"/>
      <c r="E166" s="56"/>
      <c r="F166" s="58"/>
      <c r="G166" s="58"/>
      <c r="I166" s="74"/>
      <c r="J166" s="62"/>
      <c r="L166" s="62"/>
      <c r="M166" s="64"/>
      <c r="N166" s="64"/>
      <c r="O166" s="62"/>
    </row>
    <row r="167" spans="4:15" s="39" customFormat="1">
      <c r="D167" s="56"/>
      <c r="E167" s="56"/>
      <c r="F167" s="58"/>
      <c r="G167" s="58"/>
      <c r="I167" s="74"/>
      <c r="J167" s="62"/>
      <c r="L167" s="62"/>
      <c r="M167" s="64"/>
      <c r="N167" s="64"/>
      <c r="O167" s="62"/>
    </row>
    <row r="168" spans="4:15" s="39" customFormat="1">
      <c r="D168" s="56"/>
      <c r="E168" s="56"/>
      <c r="F168" s="58"/>
      <c r="G168" s="58"/>
      <c r="I168" s="74"/>
      <c r="J168" s="62"/>
      <c r="L168" s="62"/>
      <c r="M168" s="64"/>
      <c r="N168" s="64"/>
      <c r="O168" s="62"/>
    </row>
    <row r="169" spans="4:15" s="39" customFormat="1">
      <c r="D169" s="56"/>
      <c r="E169" s="56"/>
      <c r="F169" s="58"/>
      <c r="G169" s="58"/>
      <c r="I169" s="74"/>
      <c r="J169" s="62"/>
      <c r="L169" s="62"/>
      <c r="M169" s="64"/>
      <c r="N169" s="64"/>
      <c r="O169" s="62"/>
    </row>
    <row r="170" spans="4:15" s="39" customFormat="1">
      <c r="D170" s="56"/>
      <c r="E170" s="56"/>
      <c r="F170" s="58"/>
      <c r="G170" s="58"/>
      <c r="I170" s="74"/>
      <c r="J170" s="62"/>
      <c r="L170" s="62"/>
      <c r="M170" s="64"/>
      <c r="N170" s="64"/>
      <c r="O170" s="62"/>
    </row>
    <row r="171" spans="4:15" s="39" customFormat="1">
      <c r="D171" s="56"/>
      <c r="E171" s="56"/>
      <c r="F171" s="58"/>
      <c r="G171" s="58"/>
      <c r="I171" s="74"/>
      <c r="J171" s="62"/>
      <c r="L171" s="62"/>
      <c r="M171" s="64"/>
      <c r="N171" s="64"/>
      <c r="O171" s="62"/>
    </row>
    <row r="172" spans="4:15" s="39" customFormat="1">
      <c r="D172" s="56"/>
      <c r="E172" s="56"/>
      <c r="F172" s="58"/>
      <c r="G172" s="58"/>
      <c r="I172" s="74"/>
      <c r="J172" s="62"/>
      <c r="L172" s="62"/>
      <c r="M172" s="64"/>
      <c r="N172" s="64"/>
      <c r="O172" s="62"/>
    </row>
    <row r="173" spans="4:15" s="39" customFormat="1">
      <c r="D173" s="56"/>
      <c r="E173" s="56"/>
      <c r="F173" s="58"/>
      <c r="G173" s="58"/>
      <c r="I173" s="74"/>
      <c r="J173" s="62"/>
      <c r="L173" s="62"/>
      <c r="M173" s="64"/>
      <c r="N173" s="64"/>
      <c r="O173" s="62"/>
    </row>
    <row r="174" spans="4:15" s="39" customFormat="1">
      <c r="D174" s="56"/>
      <c r="E174" s="56"/>
      <c r="F174" s="58"/>
      <c r="G174" s="58"/>
      <c r="I174" s="74"/>
      <c r="J174" s="62"/>
      <c r="L174" s="62"/>
      <c r="M174" s="64"/>
      <c r="N174" s="64"/>
      <c r="O174" s="62"/>
    </row>
    <row r="175" spans="4:15" s="39" customFormat="1">
      <c r="D175" s="56"/>
      <c r="E175" s="56"/>
      <c r="F175" s="58"/>
      <c r="G175" s="58"/>
      <c r="I175" s="74"/>
      <c r="J175" s="62"/>
      <c r="L175" s="62"/>
      <c r="M175" s="64"/>
      <c r="N175" s="64"/>
      <c r="O175" s="62"/>
    </row>
    <row r="176" spans="4:15" s="39" customFormat="1">
      <c r="D176" s="56"/>
      <c r="E176" s="56"/>
      <c r="F176" s="58"/>
      <c r="G176" s="58"/>
      <c r="I176" s="74"/>
      <c r="J176" s="62"/>
      <c r="L176" s="62"/>
      <c r="M176" s="64"/>
      <c r="N176" s="64"/>
      <c r="O176" s="62"/>
    </row>
    <row r="177" spans="4:15" s="39" customFormat="1">
      <c r="D177" s="56"/>
      <c r="E177" s="56"/>
      <c r="F177" s="58"/>
      <c r="G177" s="58"/>
      <c r="I177" s="74"/>
      <c r="J177" s="62"/>
      <c r="L177" s="62"/>
      <c r="M177" s="64"/>
      <c r="N177" s="64"/>
      <c r="O177" s="62"/>
    </row>
    <row r="178" spans="4:15" s="39" customFormat="1">
      <c r="D178" s="56"/>
      <c r="E178" s="56"/>
      <c r="F178" s="58"/>
      <c r="G178" s="58"/>
      <c r="I178" s="74"/>
      <c r="J178" s="62"/>
      <c r="L178" s="62"/>
      <c r="M178" s="64"/>
      <c r="N178" s="64"/>
      <c r="O178" s="62"/>
    </row>
    <row r="179" spans="4:15" s="39" customFormat="1">
      <c r="D179" s="56"/>
      <c r="E179" s="56"/>
      <c r="F179" s="58"/>
      <c r="G179" s="58"/>
      <c r="I179" s="74"/>
      <c r="J179" s="62"/>
      <c r="L179" s="62"/>
      <c r="M179" s="64"/>
      <c r="N179" s="64"/>
      <c r="O179" s="62"/>
    </row>
    <row r="180" spans="4:15" s="39" customFormat="1">
      <c r="D180" s="56"/>
      <c r="E180" s="56"/>
      <c r="F180" s="58"/>
      <c r="G180" s="58"/>
      <c r="I180" s="74"/>
      <c r="J180" s="62"/>
      <c r="L180" s="62"/>
      <c r="M180" s="64"/>
      <c r="N180" s="64"/>
      <c r="O180" s="62"/>
    </row>
    <row r="181" spans="4:15" s="39" customFormat="1">
      <c r="D181" s="56"/>
      <c r="E181" s="56"/>
      <c r="F181" s="58"/>
      <c r="G181" s="58"/>
      <c r="I181" s="74"/>
      <c r="J181" s="62"/>
      <c r="L181" s="62"/>
      <c r="M181" s="64"/>
      <c r="N181" s="64"/>
      <c r="O181" s="62"/>
    </row>
    <row r="182" spans="4:15" s="39" customFormat="1">
      <c r="D182" s="56"/>
      <c r="E182" s="56"/>
      <c r="F182" s="58"/>
      <c r="G182" s="58"/>
      <c r="I182" s="74"/>
      <c r="J182" s="62"/>
      <c r="L182" s="62"/>
      <c r="M182" s="64"/>
      <c r="N182" s="64"/>
      <c r="O182" s="62"/>
    </row>
    <row r="183" spans="4:15" s="39" customFormat="1">
      <c r="D183" s="56"/>
      <c r="E183" s="56"/>
      <c r="F183" s="58"/>
      <c r="G183" s="58"/>
      <c r="I183" s="74"/>
      <c r="J183" s="62"/>
      <c r="L183" s="62"/>
      <c r="M183" s="64"/>
      <c r="N183" s="64"/>
      <c r="O183" s="62"/>
    </row>
    <row r="184" spans="4:15" s="39" customFormat="1">
      <c r="D184" s="56"/>
      <c r="E184" s="56"/>
      <c r="F184" s="58"/>
      <c r="G184" s="58"/>
      <c r="I184" s="74"/>
      <c r="J184" s="62"/>
      <c r="L184" s="62"/>
      <c r="M184" s="64"/>
      <c r="N184" s="64"/>
      <c r="O184" s="62"/>
    </row>
    <row r="185" spans="4:15" s="39" customFormat="1">
      <c r="D185" s="56"/>
      <c r="E185" s="56"/>
      <c r="F185" s="58"/>
      <c r="G185" s="58"/>
      <c r="I185" s="74"/>
      <c r="J185" s="62"/>
      <c r="L185" s="62"/>
      <c r="M185" s="64"/>
      <c r="N185" s="64"/>
      <c r="O185" s="62"/>
    </row>
    <row r="186" spans="4:15" s="39" customFormat="1">
      <c r="D186" s="56"/>
      <c r="E186" s="56"/>
      <c r="F186" s="58"/>
      <c r="G186" s="58"/>
      <c r="I186" s="74"/>
      <c r="J186" s="62"/>
      <c r="L186" s="62"/>
      <c r="M186" s="64"/>
      <c r="N186" s="64"/>
      <c r="O186" s="62"/>
    </row>
    <row r="187" spans="4:15" s="39" customFormat="1">
      <c r="D187" s="56"/>
      <c r="E187" s="56"/>
      <c r="F187" s="58"/>
      <c r="G187" s="58"/>
      <c r="I187" s="74"/>
      <c r="J187" s="62"/>
      <c r="L187" s="62"/>
      <c r="M187" s="64"/>
      <c r="N187" s="64"/>
      <c r="O187" s="62"/>
    </row>
    <row r="188" spans="4:15" s="39" customFormat="1">
      <c r="D188" s="56"/>
      <c r="E188" s="56"/>
      <c r="F188" s="58"/>
      <c r="G188" s="58"/>
      <c r="I188" s="74"/>
      <c r="J188" s="62"/>
      <c r="L188" s="62"/>
      <c r="M188" s="64"/>
      <c r="N188" s="64"/>
      <c r="O188" s="62"/>
    </row>
    <row r="189" spans="4:15" s="39" customFormat="1">
      <c r="D189" s="56"/>
      <c r="E189" s="56"/>
      <c r="F189" s="58"/>
      <c r="G189" s="58"/>
      <c r="I189" s="74"/>
      <c r="J189" s="62"/>
      <c r="L189" s="62"/>
      <c r="M189" s="64"/>
      <c r="N189" s="64"/>
      <c r="O189" s="62"/>
    </row>
    <row r="190" spans="4:15" s="39" customFormat="1">
      <c r="D190" s="56"/>
      <c r="E190" s="56"/>
      <c r="F190" s="58"/>
      <c r="G190" s="58"/>
      <c r="I190" s="74"/>
      <c r="J190" s="62"/>
      <c r="L190" s="62"/>
      <c r="M190" s="64"/>
      <c r="N190" s="64"/>
      <c r="O190" s="62"/>
    </row>
    <row r="191" spans="4:15" s="39" customFormat="1">
      <c r="D191" s="56"/>
      <c r="E191" s="56"/>
      <c r="F191" s="58"/>
      <c r="G191" s="58"/>
      <c r="I191" s="74"/>
      <c r="J191" s="62"/>
      <c r="L191" s="62"/>
      <c r="M191" s="64"/>
      <c r="N191" s="64"/>
      <c r="O191" s="62"/>
    </row>
    <row r="192" spans="4:15" s="39" customFormat="1">
      <c r="D192" s="56"/>
      <c r="E192" s="56"/>
      <c r="F192" s="58"/>
      <c r="G192" s="58"/>
      <c r="I192" s="74"/>
      <c r="J192" s="62"/>
      <c r="L192" s="62"/>
      <c r="M192" s="64"/>
      <c r="N192" s="64"/>
      <c r="O192" s="62"/>
    </row>
    <row r="193" spans="4:15" s="39" customFormat="1">
      <c r="D193" s="56"/>
      <c r="E193" s="56"/>
      <c r="F193" s="58"/>
      <c r="G193" s="58"/>
      <c r="I193" s="74"/>
      <c r="J193" s="62"/>
      <c r="L193" s="62"/>
      <c r="M193" s="64"/>
      <c r="N193" s="64"/>
      <c r="O193" s="62"/>
    </row>
    <row r="194" spans="4:15" s="39" customFormat="1">
      <c r="D194" s="56"/>
      <c r="E194" s="56"/>
      <c r="F194" s="58"/>
      <c r="G194" s="58"/>
      <c r="I194" s="74"/>
      <c r="J194" s="62"/>
      <c r="L194" s="62"/>
      <c r="M194" s="64"/>
      <c r="N194" s="64"/>
      <c r="O194" s="62"/>
    </row>
    <row r="195" spans="4:15" s="39" customFormat="1">
      <c r="D195" s="56"/>
      <c r="E195" s="56"/>
      <c r="F195" s="58"/>
      <c r="G195" s="58"/>
      <c r="I195" s="74"/>
      <c r="J195" s="62"/>
      <c r="L195" s="62"/>
      <c r="M195" s="64"/>
      <c r="N195" s="64"/>
      <c r="O195" s="62"/>
    </row>
    <row r="196" spans="4:15" s="39" customFormat="1">
      <c r="D196" s="56"/>
      <c r="E196" s="56"/>
      <c r="F196" s="58"/>
      <c r="G196" s="58"/>
      <c r="I196" s="74"/>
      <c r="J196" s="62"/>
      <c r="L196" s="62"/>
      <c r="M196" s="64"/>
      <c r="N196" s="64"/>
      <c r="O196" s="62"/>
    </row>
    <row r="197" spans="4:15" s="39" customFormat="1">
      <c r="D197" s="56"/>
      <c r="E197" s="56"/>
      <c r="F197" s="58"/>
      <c r="G197" s="58"/>
      <c r="I197" s="74"/>
      <c r="J197" s="62"/>
      <c r="L197" s="62"/>
      <c r="M197" s="64"/>
      <c r="N197" s="64"/>
      <c r="O197" s="62"/>
    </row>
    <row r="198" spans="4:15" s="39" customFormat="1">
      <c r="D198" s="56"/>
      <c r="E198" s="56"/>
      <c r="F198" s="58"/>
      <c r="G198" s="58"/>
      <c r="I198" s="74"/>
      <c r="J198" s="62"/>
      <c r="L198" s="62"/>
      <c r="M198" s="64"/>
      <c r="N198" s="64"/>
      <c r="O198" s="62"/>
    </row>
    <row r="199" spans="4:15" s="39" customFormat="1">
      <c r="D199" s="56"/>
      <c r="E199" s="56"/>
      <c r="F199" s="58"/>
      <c r="G199" s="58"/>
      <c r="I199" s="74"/>
      <c r="J199" s="62"/>
      <c r="L199" s="62"/>
      <c r="M199" s="64"/>
      <c r="N199" s="64"/>
      <c r="O199" s="62"/>
    </row>
    <row r="200" spans="4:15" s="39" customFormat="1">
      <c r="D200" s="56"/>
      <c r="E200" s="56"/>
      <c r="F200" s="58"/>
      <c r="G200" s="58"/>
      <c r="I200" s="74"/>
      <c r="J200" s="62"/>
      <c r="L200" s="62"/>
      <c r="M200" s="64"/>
      <c r="N200" s="64"/>
      <c r="O200" s="62"/>
    </row>
    <row r="201" spans="4:15" s="39" customFormat="1">
      <c r="D201" s="56"/>
      <c r="E201" s="56"/>
      <c r="F201" s="58"/>
      <c r="G201" s="58"/>
      <c r="I201" s="74"/>
      <c r="J201" s="62"/>
      <c r="L201" s="62"/>
      <c r="M201" s="64"/>
      <c r="N201" s="64"/>
      <c r="O201" s="62"/>
    </row>
    <row r="202" spans="4:15" s="39" customFormat="1">
      <c r="D202" s="56"/>
      <c r="E202" s="56"/>
      <c r="F202" s="58"/>
      <c r="G202" s="58"/>
      <c r="I202" s="74"/>
      <c r="J202" s="62"/>
      <c r="L202" s="62"/>
      <c r="M202" s="64"/>
      <c r="N202" s="64"/>
      <c r="O202" s="62"/>
    </row>
    <row r="203" spans="4:15" s="39" customFormat="1">
      <c r="D203" s="56"/>
      <c r="E203" s="56"/>
      <c r="F203" s="58"/>
      <c r="G203" s="58"/>
      <c r="I203" s="74"/>
      <c r="J203" s="62"/>
      <c r="L203" s="62"/>
      <c r="M203" s="64"/>
      <c r="N203" s="64"/>
      <c r="O203" s="62"/>
    </row>
    <row r="204" spans="4:15" s="39" customFormat="1">
      <c r="D204" s="56"/>
      <c r="E204" s="56"/>
      <c r="F204" s="58"/>
      <c r="G204" s="58"/>
      <c r="I204" s="74"/>
      <c r="J204" s="62"/>
      <c r="L204" s="62"/>
      <c r="M204" s="64"/>
      <c r="N204" s="64"/>
      <c r="O204" s="62"/>
    </row>
    <row r="205" spans="4:15" s="39" customFormat="1">
      <c r="D205" s="56"/>
      <c r="E205" s="56"/>
      <c r="F205" s="58"/>
      <c r="G205" s="58"/>
      <c r="I205" s="74"/>
      <c r="J205" s="62"/>
      <c r="L205" s="62"/>
      <c r="M205" s="64"/>
      <c r="N205" s="64"/>
      <c r="O205" s="62"/>
    </row>
    <row r="206" spans="4:15" s="39" customFormat="1">
      <c r="D206" s="56"/>
      <c r="E206" s="56"/>
      <c r="F206" s="58"/>
      <c r="G206" s="58"/>
      <c r="I206" s="74"/>
      <c r="J206" s="62"/>
      <c r="L206" s="62"/>
      <c r="M206" s="64"/>
      <c r="N206" s="64"/>
      <c r="O206" s="62"/>
    </row>
    <row r="207" spans="4:15" s="39" customFormat="1">
      <c r="D207" s="56"/>
      <c r="E207" s="56"/>
      <c r="F207" s="58"/>
      <c r="G207" s="58"/>
      <c r="I207" s="74"/>
      <c r="J207" s="62"/>
      <c r="L207" s="62"/>
      <c r="M207" s="64"/>
      <c r="N207" s="64"/>
      <c r="O207" s="62"/>
    </row>
    <row r="208" spans="4:15" s="39" customFormat="1">
      <c r="D208" s="56"/>
      <c r="E208" s="56"/>
      <c r="F208" s="58"/>
      <c r="G208" s="58"/>
      <c r="I208" s="74"/>
      <c r="J208" s="62"/>
      <c r="L208" s="62"/>
      <c r="M208" s="64"/>
      <c r="N208" s="64"/>
      <c r="O208" s="62"/>
    </row>
    <row r="209" spans="4:15" s="39" customFormat="1">
      <c r="D209" s="56"/>
      <c r="E209" s="56"/>
      <c r="F209" s="58"/>
      <c r="G209" s="58"/>
      <c r="I209" s="74"/>
      <c r="J209" s="62"/>
      <c r="L209" s="62"/>
      <c r="M209" s="64"/>
      <c r="N209" s="64"/>
      <c r="O209" s="62"/>
    </row>
    <row r="210" spans="4:15" s="39" customFormat="1">
      <c r="D210" s="56"/>
      <c r="E210" s="56"/>
      <c r="F210" s="58"/>
      <c r="G210" s="58"/>
      <c r="I210" s="74"/>
      <c r="J210" s="62"/>
      <c r="L210" s="62"/>
      <c r="M210" s="64"/>
      <c r="N210" s="64"/>
      <c r="O210" s="62"/>
    </row>
    <row r="211" spans="4:15" s="39" customFormat="1">
      <c r="D211" s="56"/>
      <c r="E211" s="56"/>
      <c r="F211" s="58"/>
      <c r="G211" s="58"/>
      <c r="I211" s="74"/>
      <c r="J211" s="62"/>
      <c r="L211" s="62"/>
      <c r="M211" s="64"/>
      <c r="N211" s="64"/>
      <c r="O211" s="62"/>
    </row>
    <row r="212" spans="4:15" s="39" customFormat="1">
      <c r="D212" s="56"/>
      <c r="E212" s="56"/>
      <c r="F212" s="58"/>
      <c r="G212" s="58"/>
      <c r="I212" s="74"/>
      <c r="J212" s="62"/>
      <c r="L212" s="62"/>
      <c r="M212" s="64"/>
      <c r="N212" s="64"/>
      <c r="O212" s="62"/>
    </row>
    <row r="213" spans="4:15" s="39" customFormat="1">
      <c r="D213" s="56"/>
      <c r="E213" s="56"/>
      <c r="F213" s="58"/>
      <c r="G213" s="58"/>
      <c r="I213" s="74"/>
      <c r="J213" s="62"/>
      <c r="L213" s="62"/>
      <c r="M213" s="64"/>
      <c r="N213" s="64"/>
      <c r="O213" s="62"/>
    </row>
    <row r="214" spans="4:15" s="39" customFormat="1">
      <c r="D214" s="56"/>
      <c r="E214" s="56"/>
      <c r="F214" s="58"/>
      <c r="G214" s="58"/>
      <c r="I214" s="74"/>
      <c r="J214" s="62"/>
      <c r="L214" s="62"/>
      <c r="M214" s="64"/>
      <c r="N214" s="64"/>
      <c r="O214" s="62"/>
    </row>
    <row r="215" spans="4:15" s="39" customFormat="1">
      <c r="D215" s="56"/>
      <c r="E215" s="56"/>
      <c r="F215" s="58"/>
      <c r="G215" s="58"/>
      <c r="I215" s="74"/>
      <c r="J215" s="62"/>
      <c r="L215" s="62"/>
      <c r="M215" s="64"/>
      <c r="N215" s="64"/>
      <c r="O215" s="62"/>
    </row>
    <row r="216" spans="4:15" s="39" customFormat="1">
      <c r="D216" s="56"/>
      <c r="E216" s="56"/>
      <c r="F216" s="58"/>
      <c r="G216" s="58"/>
      <c r="I216" s="74"/>
      <c r="J216" s="62"/>
      <c r="L216" s="62"/>
      <c r="M216" s="64"/>
      <c r="N216" s="64"/>
      <c r="O216" s="62"/>
    </row>
    <row r="217" spans="4:15" s="39" customFormat="1">
      <c r="D217" s="56"/>
      <c r="E217" s="56"/>
      <c r="F217" s="58"/>
      <c r="G217" s="58"/>
      <c r="I217" s="74"/>
      <c r="J217" s="62"/>
      <c r="L217" s="62"/>
      <c r="M217" s="64"/>
      <c r="N217" s="64"/>
      <c r="O217" s="62"/>
    </row>
    <row r="218" spans="4:15" s="39" customFormat="1">
      <c r="D218" s="56"/>
      <c r="E218" s="56"/>
      <c r="F218" s="58"/>
      <c r="G218" s="58"/>
      <c r="I218" s="74"/>
      <c r="J218" s="62"/>
      <c r="L218" s="62"/>
      <c r="M218" s="64"/>
      <c r="N218" s="64"/>
      <c r="O218" s="62"/>
    </row>
    <row r="219" spans="4:15" s="39" customFormat="1">
      <c r="D219" s="56"/>
      <c r="E219" s="56"/>
      <c r="F219" s="58"/>
      <c r="G219" s="58"/>
      <c r="I219" s="74"/>
      <c r="J219" s="62"/>
      <c r="L219" s="62"/>
      <c r="M219" s="64"/>
      <c r="N219" s="64"/>
      <c r="O219" s="62"/>
    </row>
    <row r="220" spans="4:15" s="39" customFormat="1">
      <c r="D220" s="56"/>
      <c r="E220" s="56"/>
      <c r="F220" s="58"/>
      <c r="G220" s="58"/>
      <c r="I220" s="74"/>
      <c r="J220" s="62"/>
      <c r="L220" s="62"/>
      <c r="M220" s="64"/>
      <c r="N220" s="64"/>
      <c r="O220" s="62"/>
    </row>
    <row r="221" spans="4:15" s="39" customFormat="1">
      <c r="D221" s="56"/>
      <c r="E221" s="56"/>
      <c r="F221" s="58"/>
      <c r="G221" s="58"/>
      <c r="I221" s="74"/>
      <c r="J221" s="62"/>
      <c r="L221" s="62"/>
      <c r="M221" s="64"/>
      <c r="N221" s="64"/>
      <c r="O221" s="62"/>
    </row>
    <row r="222" spans="4:15" s="39" customFormat="1">
      <c r="D222" s="56"/>
      <c r="E222" s="56"/>
      <c r="F222" s="58"/>
      <c r="G222" s="58"/>
      <c r="I222" s="74"/>
      <c r="J222" s="62"/>
      <c r="L222" s="62"/>
      <c r="M222" s="64"/>
      <c r="N222" s="64"/>
      <c r="O222" s="62"/>
    </row>
    <row r="223" spans="4:15" s="39" customFormat="1">
      <c r="D223" s="56"/>
      <c r="E223" s="56"/>
      <c r="F223" s="58"/>
      <c r="G223" s="58"/>
      <c r="I223" s="74"/>
      <c r="J223" s="62"/>
      <c r="L223" s="62"/>
      <c r="M223" s="64"/>
      <c r="N223" s="64"/>
      <c r="O223" s="62"/>
    </row>
    <row r="224" spans="4:15" s="39" customFormat="1">
      <c r="D224" s="56"/>
      <c r="E224" s="56"/>
      <c r="F224" s="58"/>
      <c r="G224" s="58"/>
      <c r="I224" s="74"/>
      <c r="J224" s="62"/>
      <c r="L224" s="62"/>
      <c r="M224" s="64"/>
      <c r="N224" s="64"/>
      <c r="O224" s="62"/>
    </row>
    <row r="225" spans="4:15" s="39" customFormat="1">
      <c r="D225" s="56"/>
      <c r="E225" s="56"/>
      <c r="F225" s="58"/>
      <c r="G225" s="58"/>
      <c r="I225" s="74"/>
      <c r="J225" s="62"/>
      <c r="L225" s="62"/>
      <c r="M225" s="64"/>
      <c r="N225" s="64"/>
      <c r="O225" s="62"/>
    </row>
    <row r="226" spans="4:15" s="39" customFormat="1">
      <c r="D226" s="56"/>
      <c r="E226" s="56"/>
      <c r="F226" s="58"/>
      <c r="G226" s="58"/>
      <c r="I226" s="74"/>
      <c r="J226" s="62"/>
      <c r="L226" s="62"/>
      <c r="M226" s="64"/>
      <c r="N226" s="64"/>
      <c r="O226" s="62"/>
    </row>
    <row r="227" spans="4:15" s="39" customFormat="1">
      <c r="D227" s="56"/>
      <c r="E227" s="56"/>
      <c r="F227" s="58"/>
      <c r="G227" s="58"/>
      <c r="I227" s="74"/>
      <c r="J227" s="62"/>
      <c r="L227" s="62"/>
      <c r="M227" s="64"/>
      <c r="N227" s="64"/>
      <c r="O227" s="62"/>
    </row>
    <row r="228" spans="4:15" s="39" customFormat="1">
      <c r="D228" s="56"/>
      <c r="E228" s="56"/>
      <c r="F228" s="58"/>
      <c r="G228" s="58"/>
      <c r="I228" s="74"/>
      <c r="J228" s="62"/>
      <c r="L228" s="62"/>
      <c r="M228" s="64"/>
      <c r="N228" s="64"/>
      <c r="O228" s="62"/>
    </row>
    <row r="229" spans="4:15" s="39" customFormat="1">
      <c r="D229" s="56"/>
      <c r="E229" s="56"/>
      <c r="F229" s="58"/>
      <c r="G229" s="58"/>
      <c r="I229" s="74"/>
      <c r="J229" s="62"/>
      <c r="L229" s="62"/>
      <c r="M229" s="64"/>
      <c r="N229" s="64"/>
      <c r="O229" s="62"/>
    </row>
    <row r="230" spans="4:15" s="39" customFormat="1">
      <c r="D230" s="56"/>
      <c r="E230" s="56"/>
      <c r="F230" s="58"/>
      <c r="G230" s="58"/>
      <c r="I230" s="74"/>
      <c r="J230" s="62"/>
      <c r="L230" s="62"/>
      <c r="M230" s="64"/>
      <c r="N230" s="64"/>
      <c r="O230" s="62"/>
    </row>
    <row r="231" spans="4:15" s="39" customFormat="1">
      <c r="D231" s="56"/>
      <c r="E231" s="56"/>
      <c r="F231" s="58"/>
      <c r="G231" s="58"/>
      <c r="I231" s="74"/>
      <c r="J231" s="62"/>
      <c r="L231" s="62"/>
      <c r="M231" s="64"/>
      <c r="N231" s="64"/>
      <c r="O231" s="62"/>
    </row>
    <row r="232" spans="4:15" s="39" customFormat="1">
      <c r="D232" s="56"/>
      <c r="E232" s="56"/>
      <c r="F232" s="58"/>
      <c r="G232" s="58"/>
      <c r="I232" s="74"/>
      <c r="J232" s="62"/>
      <c r="L232" s="62"/>
      <c r="M232" s="64"/>
      <c r="N232" s="64"/>
      <c r="O232" s="62"/>
    </row>
    <row r="233" spans="4:15" s="39" customFormat="1">
      <c r="D233" s="56"/>
      <c r="E233" s="56"/>
      <c r="F233" s="58"/>
      <c r="G233" s="58"/>
      <c r="I233" s="74"/>
      <c r="J233" s="62"/>
      <c r="L233" s="62"/>
      <c r="M233" s="64"/>
      <c r="N233" s="64"/>
      <c r="O233" s="62"/>
    </row>
    <row r="234" spans="4:15" s="39" customFormat="1">
      <c r="D234" s="56"/>
      <c r="E234" s="56"/>
      <c r="F234" s="58"/>
      <c r="G234" s="58"/>
      <c r="I234" s="74"/>
      <c r="J234" s="62"/>
      <c r="L234" s="62"/>
      <c r="M234" s="64"/>
      <c r="N234" s="64"/>
      <c r="O234" s="62"/>
    </row>
    <row r="235" spans="4:15" s="39" customFormat="1">
      <c r="D235" s="56"/>
      <c r="E235" s="56"/>
      <c r="F235" s="58"/>
      <c r="G235" s="58"/>
      <c r="I235" s="74"/>
      <c r="J235" s="62"/>
      <c r="L235" s="62"/>
      <c r="M235" s="64"/>
      <c r="N235" s="64"/>
      <c r="O235" s="62"/>
    </row>
    <row r="236" spans="4:15" s="39" customFormat="1">
      <c r="D236" s="56"/>
      <c r="E236" s="56"/>
      <c r="F236" s="58"/>
      <c r="G236" s="58"/>
      <c r="I236" s="74"/>
      <c r="J236" s="62"/>
      <c r="L236" s="62"/>
      <c r="M236" s="64"/>
      <c r="N236" s="64"/>
      <c r="O236" s="62"/>
    </row>
    <row r="237" spans="4:15" s="39" customFormat="1">
      <c r="D237" s="56"/>
      <c r="E237" s="56"/>
      <c r="F237" s="58"/>
      <c r="G237" s="58"/>
      <c r="I237" s="74"/>
      <c r="J237" s="62"/>
      <c r="L237" s="62"/>
      <c r="M237" s="64"/>
      <c r="N237" s="64"/>
      <c r="O237" s="62"/>
    </row>
    <row r="238" spans="4:15" s="39" customFormat="1">
      <c r="D238" s="56"/>
      <c r="E238" s="56"/>
      <c r="F238" s="58"/>
      <c r="G238" s="58"/>
      <c r="I238" s="74"/>
      <c r="J238" s="62"/>
      <c r="L238" s="62"/>
      <c r="M238" s="64"/>
      <c r="N238" s="64"/>
      <c r="O238" s="62"/>
    </row>
    <row r="239" spans="4:15" s="39" customFormat="1">
      <c r="D239" s="56"/>
      <c r="E239" s="56"/>
      <c r="F239" s="58"/>
      <c r="G239" s="58"/>
      <c r="I239" s="74"/>
      <c r="J239" s="62"/>
      <c r="L239" s="62"/>
      <c r="M239" s="64"/>
      <c r="N239" s="64"/>
      <c r="O239" s="62"/>
    </row>
    <row r="240" spans="4:15" s="39" customFormat="1">
      <c r="D240" s="56"/>
      <c r="E240" s="56"/>
      <c r="F240" s="58"/>
      <c r="G240" s="58"/>
      <c r="I240" s="74"/>
      <c r="J240" s="62"/>
      <c r="L240" s="62"/>
      <c r="M240" s="64"/>
      <c r="N240" s="64"/>
      <c r="O240" s="62"/>
    </row>
    <row r="241" spans="4:15" s="39" customFormat="1">
      <c r="D241" s="56"/>
      <c r="E241" s="56"/>
      <c r="F241" s="58"/>
      <c r="G241" s="58"/>
      <c r="I241" s="74"/>
      <c r="J241" s="62"/>
      <c r="L241" s="62"/>
      <c r="M241" s="64"/>
      <c r="N241" s="64"/>
      <c r="O241" s="62"/>
    </row>
    <row r="242" spans="4:15" s="39" customFormat="1">
      <c r="D242" s="56"/>
      <c r="E242" s="56"/>
      <c r="F242" s="58"/>
      <c r="G242" s="58"/>
      <c r="I242" s="74"/>
      <c r="J242" s="62"/>
      <c r="L242" s="62"/>
      <c r="M242" s="64"/>
      <c r="N242" s="64"/>
      <c r="O242" s="62"/>
    </row>
    <row r="243" spans="4:15" s="39" customFormat="1">
      <c r="D243" s="56"/>
      <c r="E243" s="56"/>
      <c r="F243" s="58"/>
      <c r="G243" s="58"/>
      <c r="I243" s="74"/>
      <c r="J243" s="62"/>
      <c r="L243" s="62"/>
      <c r="M243" s="64"/>
      <c r="N243" s="64"/>
      <c r="O243" s="62"/>
    </row>
    <row r="244" spans="4:15" s="39" customFormat="1">
      <c r="D244" s="56"/>
      <c r="E244" s="56"/>
      <c r="F244" s="58"/>
      <c r="G244" s="58"/>
      <c r="I244" s="74"/>
      <c r="J244" s="62"/>
      <c r="L244" s="62"/>
      <c r="M244" s="64"/>
      <c r="N244" s="64"/>
      <c r="O244" s="62"/>
    </row>
    <row r="245" spans="4:15" s="39" customFormat="1">
      <c r="D245" s="56"/>
      <c r="E245" s="56"/>
      <c r="F245" s="58"/>
      <c r="G245" s="58"/>
      <c r="I245" s="74"/>
      <c r="J245" s="62"/>
      <c r="L245" s="62"/>
      <c r="M245" s="64"/>
      <c r="N245" s="64"/>
      <c r="O245" s="62"/>
    </row>
    <row r="246" spans="4:15" s="39" customFormat="1">
      <c r="D246" s="56"/>
      <c r="E246" s="56"/>
      <c r="F246" s="58"/>
      <c r="G246" s="58"/>
      <c r="I246" s="74"/>
      <c r="J246" s="62"/>
      <c r="L246" s="62"/>
      <c r="M246" s="64"/>
      <c r="N246" s="64"/>
      <c r="O246" s="62"/>
    </row>
    <row r="247" spans="4:15" s="39" customFormat="1">
      <c r="D247" s="56"/>
      <c r="E247" s="56"/>
      <c r="F247" s="58"/>
      <c r="G247" s="58"/>
      <c r="I247" s="74"/>
      <c r="J247" s="62"/>
      <c r="L247" s="62"/>
      <c r="M247" s="64"/>
      <c r="N247" s="64"/>
      <c r="O247" s="62"/>
    </row>
    <row r="248" spans="4:15" s="39" customFormat="1">
      <c r="D248" s="56"/>
      <c r="E248" s="56"/>
      <c r="F248" s="58"/>
      <c r="G248" s="58"/>
      <c r="I248" s="74"/>
      <c r="J248" s="62"/>
      <c r="L248" s="62"/>
      <c r="M248" s="64"/>
      <c r="N248" s="64"/>
      <c r="O248" s="62"/>
    </row>
    <row r="249" spans="4:15" s="39" customFormat="1">
      <c r="D249" s="56"/>
      <c r="E249" s="56"/>
      <c r="F249" s="58"/>
      <c r="G249" s="58"/>
      <c r="I249" s="74"/>
      <c r="J249" s="62"/>
      <c r="L249" s="62"/>
      <c r="M249" s="64"/>
      <c r="N249" s="64"/>
      <c r="O249" s="62"/>
    </row>
    <row r="250" spans="4:15" s="39" customFormat="1">
      <c r="D250" s="56"/>
      <c r="E250" s="56"/>
      <c r="F250" s="58"/>
      <c r="G250" s="58"/>
      <c r="I250" s="74"/>
      <c r="J250" s="62"/>
      <c r="L250" s="62"/>
      <c r="M250" s="64"/>
      <c r="N250" s="64"/>
      <c r="O250" s="62"/>
    </row>
    <row r="251" spans="4:15" s="39" customFormat="1">
      <c r="D251" s="56"/>
      <c r="E251" s="56"/>
      <c r="F251" s="58"/>
      <c r="G251" s="58"/>
      <c r="I251" s="74"/>
      <c r="J251" s="62"/>
      <c r="L251" s="62"/>
      <c r="M251" s="64"/>
      <c r="N251" s="64"/>
      <c r="O251" s="62"/>
    </row>
    <row r="252" spans="4:15" s="39" customFormat="1">
      <c r="D252" s="56"/>
      <c r="E252" s="56"/>
      <c r="F252" s="58"/>
      <c r="G252" s="58"/>
      <c r="I252" s="74"/>
      <c r="J252" s="62"/>
      <c r="L252" s="62"/>
      <c r="M252" s="64"/>
      <c r="N252" s="64"/>
      <c r="O252" s="62"/>
    </row>
    <row r="253" spans="4:15" s="39" customFormat="1">
      <c r="D253" s="56"/>
      <c r="E253" s="56"/>
      <c r="F253" s="58"/>
      <c r="G253" s="58"/>
      <c r="I253" s="74"/>
      <c r="J253" s="62"/>
      <c r="L253" s="62"/>
      <c r="M253" s="64"/>
      <c r="N253" s="64"/>
      <c r="O253" s="62"/>
    </row>
    <row r="254" spans="4:15" s="39" customFormat="1">
      <c r="D254" s="56"/>
      <c r="E254" s="56"/>
      <c r="F254" s="58"/>
      <c r="G254" s="58"/>
      <c r="I254" s="74"/>
      <c r="J254" s="62"/>
      <c r="L254" s="62"/>
      <c r="M254" s="64"/>
      <c r="N254" s="64"/>
      <c r="O254" s="62"/>
    </row>
    <row r="255" spans="4:15" s="39" customFormat="1">
      <c r="D255" s="56"/>
      <c r="E255" s="56"/>
      <c r="F255" s="58"/>
      <c r="G255" s="58"/>
      <c r="I255" s="74"/>
      <c r="J255" s="62"/>
      <c r="L255" s="62"/>
      <c r="M255" s="64"/>
      <c r="N255" s="64"/>
      <c r="O255" s="62"/>
    </row>
    <row r="256" spans="4:15" s="39" customFormat="1">
      <c r="D256" s="56"/>
      <c r="E256" s="56"/>
      <c r="F256" s="58"/>
      <c r="G256" s="58"/>
      <c r="I256" s="74"/>
      <c r="J256" s="62"/>
      <c r="L256" s="62"/>
      <c r="M256" s="64"/>
      <c r="N256" s="64"/>
      <c r="O256" s="62"/>
    </row>
    <row r="257" spans="4:15" s="39" customFormat="1">
      <c r="D257" s="56"/>
      <c r="E257" s="56"/>
      <c r="F257" s="58"/>
      <c r="G257" s="58"/>
      <c r="I257" s="74"/>
      <c r="J257" s="62"/>
      <c r="L257" s="62"/>
      <c r="M257" s="64"/>
      <c r="N257" s="64"/>
      <c r="O257" s="62"/>
    </row>
    <row r="258" spans="4:15" s="39" customFormat="1">
      <c r="D258" s="56"/>
      <c r="E258" s="56"/>
      <c r="F258" s="58"/>
      <c r="G258" s="58"/>
      <c r="I258" s="74"/>
      <c r="J258" s="62"/>
      <c r="L258" s="62"/>
      <c r="M258" s="64"/>
      <c r="N258" s="64"/>
      <c r="O258" s="62"/>
    </row>
    <row r="259" spans="4:15" s="39" customFormat="1">
      <c r="D259" s="56"/>
      <c r="E259" s="56"/>
      <c r="F259" s="58"/>
      <c r="G259" s="58"/>
      <c r="I259" s="74"/>
      <c r="J259" s="62"/>
      <c r="L259" s="62"/>
      <c r="M259" s="64"/>
      <c r="N259" s="64"/>
      <c r="O259" s="62"/>
    </row>
    <row r="260" spans="4:15" s="39" customFormat="1">
      <c r="D260" s="56"/>
      <c r="E260" s="56"/>
      <c r="F260" s="58"/>
      <c r="G260" s="58"/>
      <c r="I260" s="74"/>
      <c r="J260" s="62"/>
      <c r="L260" s="62"/>
      <c r="M260" s="64"/>
      <c r="N260" s="64"/>
      <c r="O260" s="62"/>
    </row>
    <row r="261" spans="4:15" s="39" customFormat="1">
      <c r="D261" s="56"/>
      <c r="E261" s="56"/>
      <c r="F261" s="58"/>
      <c r="G261" s="58"/>
      <c r="I261" s="74"/>
      <c r="J261" s="62"/>
      <c r="L261" s="62"/>
      <c r="M261" s="64"/>
      <c r="N261" s="64"/>
      <c r="O261" s="62"/>
    </row>
    <row r="262" spans="4:15" s="39" customFormat="1">
      <c r="D262" s="56"/>
      <c r="E262" s="56"/>
      <c r="F262" s="58"/>
      <c r="G262" s="58"/>
      <c r="I262" s="74"/>
      <c r="J262" s="62"/>
      <c r="L262" s="62"/>
      <c r="M262" s="64"/>
      <c r="N262" s="64"/>
      <c r="O262" s="62"/>
    </row>
    <row r="263" spans="4:15" s="39" customFormat="1">
      <c r="D263" s="56"/>
      <c r="E263" s="56"/>
      <c r="F263" s="58"/>
      <c r="G263" s="58"/>
      <c r="I263" s="74"/>
      <c r="J263" s="62"/>
      <c r="L263" s="62"/>
      <c r="M263" s="64"/>
      <c r="N263" s="64"/>
      <c r="O263" s="62"/>
    </row>
    <row r="264" spans="4:15" s="39" customFormat="1">
      <c r="D264" s="56"/>
      <c r="E264" s="56"/>
      <c r="F264" s="58"/>
      <c r="G264" s="58"/>
      <c r="I264" s="74"/>
      <c r="J264" s="62"/>
      <c r="L264" s="62"/>
      <c r="M264" s="64"/>
      <c r="N264" s="64"/>
      <c r="O264" s="62"/>
    </row>
    <row r="265" spans="4:15" s="39" customFormat="1">
      <c r="D265" s="56"/>
      <c r="E265" s="56"/>
      <c r="F265" s="58"/>
      <c r="G265" s="58"/>
      <c r="I265" s="74"/>
      <c r="J265" s="62"/>
      <c r="L265" s="62"/>
      <c r="M265" s="64"/>
      <c r="N265" s="64"/>
      <c r="O265" s="62"/>
    </row>
    <row r="266" spans="4:15" s="39" customFormat="1">
      <c r="D266" s="56"/>
      <c r="E266" s="56"/>
      <c r="F266" s="58"/>
      <c r="G266" s="58"/>
      <c r="I266" s="74"/>
      <c r="J266" s="62"/>
      <c r="L266" s="62"/>
      <c r="M266" s="64"/>
      <c r="N266" s="64"/>
      <c r="O266" s="62"/>
    </row>
    <row r="267" spans="4:15" s="39" customFormat="1">
      <c r="D267" s="56"/>
      <c r="E267" s="56"/>
      <c r="F267" s="58"/>
      <c r="G267" s="58"/>
      <c r="I267" s="74"/>
      <c r="J267" s="62"/>
      <c r="L267" s="62"/>
      <c r="M267" s="64"/>
      <c r="N267" s="64"/>
      <c r="O267" s="62"/>
    </row>
    <row r="268" spans="4:15" s="39" customFormat="1">
      <c r="D268" s="56"/>
      <c r="E268" s="56"/>
      <c r="F268" s="58"/>
      <c r="G268" s="58"/>
      <c r="I268" s="74"/>
      <c r="J268" s="62"/>
      <c r="L268" s="62"/>
      <c r="M268" s="64"/>
      <c r="N268" s="64"/>
      <c r="O268" s="62"/>
    </row>
    <row r="269" spans="4:15" s="39" customFormat="1">
      <c r="D269" s="56"/>
      <c r="E269" s="56"/>
      <c r="F269" s="58"/>
      <c r="G269" s="58"/>
      <c r="I269" s="74"/>
      <c r="J269" s="62"/>
      <c r="L269" s="62"/>
      <c r="M269" s="64"/>
      <c r="N269" s="64"/>
      <c r="O269" s="62"/>
    </row>
    <row r="270" spans="4:15" s="39" customFormat="1">
      <c r="D270" s="56"/>
      <c r="E270" s="56"/>
      <c r="F270" s="58"/>
      <c r="G270" s="58"/>
      <c r="I270" s="74"/>
      <c r="J270" s="62"/>
      <c r="L270" s="62"/>
      <c r="M270" s="64"/>
      <c r="N270" s="64"/>
      <c r="O270" s="62"/>
    </row>
    <row r="271" spans="4:15" s="39" customFormat="1">
      <c r="D271" s="56"/>
      <c r="E271" s="56"/>
      <c r="F271" s="58"/>
      <c r="G271" s="58"/>
      <c r="I271" s="74"/>
      <c r="J271" s="62"/>
      <c r="L271" s="62"/>
      <c r="M271" s="64"/>
      <c r="N271" s="64"/>
      <c r="O271" s="62"/>
    </row>
    <row r="272" spans="4:15" s="39" customFormat="1">
      <c r="D272" s="56"/>
      <c r="E272" s="56"/>
      <c r="F272" s="58"/>
      <c r="G272" s="58"/>
      <c r="I272" s="74"/>
      <c r="J272" s="62"/>
      <c r="L272" s="62"/>
      <c r="M272" s="64"/>
      <c r="N272" s="64"/>
      <c r="O272" s="62"/>
    </row>
    <row r="273" spans="4:15" s="39" customFormat="1">
      <c r="D273" s="56"/>
      <c r="E273" s="56"/>
      <c r="F273" s="58"/>
      <c r="G273" s="58"/>
      <c r="I273" s="74"/>
      <c r="J273" s="62"/>
      <c r="L273" s="62"/>
      <c r="M273" s="64"/>
      <c r="N273" s="64"/>
      <c r="O273" s="62"/>
    </row>
    <row r="274" spans="4:15" s="39" customFormat="1">
      <c r="D274" s="56"/>
      <c r="E274" s="56"/>
      <c r="F274" s="58"/>
      <c r="G274" s="58"/>
      <c r="I274" s="74"/>
      <c r="J274" s="62"/>
      <c r="L274" s="62"/>
      <c r="M274" s="64"/>
      <c r="N274" s="64"/>
      <c r="O274" s="62"/>
    </row>
    <row r="275" spans="4:15" s="39" customFormat="1">
      <c r="D275" s="56"/>
      <c r="E275" s="56"/>
      <c r="F275" s="58"/>
      <c r="G275" s="58"/>
      <c r="I275" s="74"/>
      <c r="J275" s="62"/>
      <c r="L275" s="62"/>
      <c r="M275" s="64"/>
      <c r="N275" s="64"/>
      <c r="O275" s="62"/>
    </row>
    <row r="276" spans="4:15" s="39" customFormat="1">
      <c r="D276" s="56"/>
      <c r="E276" s="56"/>
      <c r="F276" s="58"/>
      <c r="G276" s="58"/>
      <c r="I276" s="74"/>
      <c r="J276" s="62"/>
      <c r="L276" s="62"/>
      <c r="M276" s="64"/>
      <c r="N276" s="64"/>
      <c r="O276" s="62"/>
    </row>
    <row r="277" spans="4:15" s="39" customFormat="1">
      <c r="D277" s="56"/>
      <c r="E277" s="56"/>
      <c r="F277" s="58"/>
      <c r="G277" s="58"/>
      <c r="I277" s="74"/>
      <c r="J277" s="62"/>
      <c r="L277" s="62"/>
      <c r="M277" s="64"/>
      <c r="N277" s="64"/>
      <c r="O277" s="62"/>
    </row>
    <row r="278" spans="4:15" s="39" customFormat="1">
      <c r="D278" s="56"/>
      <c r="E278" s="56"/>
      <c r="F278" s="58"/>
      <c r="G278" s="58"/>
      <c r="I278" s="74"/>
      <c r="J278" s="62"/>
      <c r="L278" s="62"/>
      <c r="M278" s="64"/>
      <c r="N278" s="64"/>
      <c r="O278" s="62"/>
    </row>
    <row r="279" spans="4:15" s="39" customFormat="1">
      <c r="D279" s="56"/>
      <c r="E279" s="56"/>
      <c r="F279" s="58"/>
      <c r="G279" s="58"/>
      <c r="I279" s="74"/>
      <c r="J279" s="62"/>
      <c r="L279" s="62"/>
      <c r="M279" s="64"/>
      <c r="N279" s="64"/>
      <c r="O279" s="62"/>
    </row>
    <row r="280" spans="4:15" s="39" customFormat="1">
      <c r="D280" s="56"/>
      <c r="E280" s="56"/>
      <c r="F280" s="58"/>
      <c r="G280" s="58"/>
      <c r="I280" s="74"/>
      <c r="J280" s="62"/>
      <c r="L280" s="62"/>
      <c r="M280" s="64"/>
      <c r="N280" s="64"/>
      <c r="O280" s="62"/>
    </row>
    <row r="281" spans="4:15" s="39" customFormat="1">
      <c r="D281" s="56"/>
      <c r="E281" s="56"/>
      <c r="F281" s="58"/>
      <c r="G281" s="58"/>
      <c r="I281" s="74"/>
      <c r="J281" s="62"/>
      <c r="L281" s="62"/>
      <c r="M281" s="64"/>
      <c r="N281" s="64"/>
      <c r="O281" s="62"/>
    </row>
    <row r="282" spans="4:15" s="39" customFormat="1">
      <c r="D282" s="56"/>
      <c r="E282" s="56"/>
      <c r="F282" s="58"/>
      <c r="G282" s="58"/>
      <c r="I282" s="74"/>
      <c r="J282" s="62"/>
      <c r="L282" s="62"/>
      <c r="M282" s="64"/>
      <c r="N282" s="64"/>
      <c r="O282" s="62"/>
    </row>
    <row r="283" spans="4:15" s="39" customFormat="1">
      <c r="D283" s="56"/>
      <c r="E283" s="56"/>
      <c r="F283" s="58"/>
      <c r="G283" s="58"/>
      <c r="I283" s="74"/>
      <c r="J283" s="62"/>
      <c r="L283" s="62"/>
      <c r="M283" s="64"/>
      <c r="N283" s="64"/>
      <c r="O283" s="62"/>
    </row>
    <row r="284" spans="4:15" s="39" customFormat="1">
      <c r="D284" s="56"/>
      <c r="E284" s="56"/>
      <c r="F284" s="58"/>
      <c r="G284" s="58"/>
      <c r="I284" s="74"/>
      <c r="J284" s="62"/>
      <c r="L284" s="62"/>
      <c r="M284" s="64"/>
      <c r="N284" s="64"/>
      <c r="O284" s="62"/>
    </row>
    <row r="285" spans="4:15" s="39" customFormat="1">
      <c r="D285" s="56"/>
      <c r="E285" s="56"/>
      <c r="F285" s="58"/>
      <c r="G285" s="58"/>
      <c r="I285" s="74"/>
      <c r="J285" s="62"/>
      <c r="L285" s="62"/>
      <c r="M285" s="64"/>
      <c r="N285" s="64"/>
      <c r="O285" s="62"/>
    </row>
    <row r="286" spans="4:15" s="39" customFormat="1">
      <c r="D286" s="56"/>
      <c r="E286" s="56"/>
      <c r="F286" s="58"/>
      <c r="G286" s="58"/>
      <c r="I286" s="74"/>
      <c r="J286" s="62"/>
      <c r="L286" s="62"/>
      <c r="M286" s="64"/>
      <c r="N286" s="64"/>
      <c r="O286" s="62"/>
    </row>
    <row r="287" spans="4:15" s="39" customFormat="1">
      <c r="D287" s="56"/>
      <c r="E287" s="56"/>
      <c r="F287" s="58"/>
      <c r="G287" s="58"/>
      <c r="I287" s="74"/>
      <c r="J287" s="62"/>
      <c r="L287" s="62"/>
      <c r="M287" s="64"/>
      <c r="N287" s="64"/>
      <c r="O287" s="62"/>
    </row>
    <row r="288" spans="4:15" s="39" customFormat="1">
      <c r="D288" s="56"/>
      <c r="E288" s="56"/>
      <c r="F288" s="58"/>
      <c r="G288" s="58"/>
      <c r="I288" s="74"/>
      <c r="J288" s="62"/>
      <c r="L288" s="62"/>
      <c r="M288" s="64"/>
      <c r="N288" s="64"/>
      <c r="O288" s="62"/>
    </row>
    <row r="289" spans="4:15" s="39" customFormat="1">
      <c r="D289" s="56"/>
      <c r="E289" s="56"/>
      <c r="F289" s="58"/>
      <c r="G289" s="58"/>
      <c r="I289" s="74"/>
      <c r="J289" s="62"/>
      <c r="L289" s="62"/>
      <c r="M289" s="64"/>
      <c r="N289" s="64"/>
      <c r="O289" s="62"/>
    </row>
    <row r="290" spans="4:15" s="39" customFormat="1">
      <c r="D290" s="56"/>
      <c r="E290" s="56"/>
      <c r="F290" s="58"/>
      <c r="G290" s="58"/>
      <c r="I290" s="74"/>
      <c r="J290" s="62"/>
      <c r="L290" s="62"/>
      <c r="M290" s="64"/>
      <c r="N290" s="64"/>
      <c r="O290" s="62"/>
    </row>
    <row r="291" spans="4:15" s="39" customFormat="1">
      <c r="D291" s="56"/>
      <c r="E291" s="56"/>
      <c r="F291" s="58"/>
      <c r="G291" s="58"/>
      <c r="I291" s="74"/>
      <c r="J291" s="62"/>
      <c r="L291" s="62"/>
      <c r="M291" s="64"/>
      <c r="N291" s="64"/>
      <c r="O291" s="62"/>
    </row>
    <row r="292" spans="4:15" s="39" customFormat="1">
      <c r="D292" s="56"/>
      <c r="E292" s="56"/>
      <c r="F292" s="58"/>
      <c r="G292" s="58"/>
      <c r="I292" s="74"/>
      <c r="J292" s="62"/>
      <c r="L292" s="62"/>
      <c r="M292" s="64"/>
      <c r="N292" s="64"/>
      <c r="O292" s="62"/>
    </row>
    <row r="293" spans="4:15" s="39" customFormat="1">
      <c r="D293" s="56"/>
      <c r="E293" s="56"/>
      <c r="F293" s="58"/>
      <c r="G293" s="58"/>
      <c r="I293" s="74"/>
      <c r="J293" s="62"/>
      <c r="L293" s="62"/>
      <c r="M293" s="64"/>
      <c r="N293" s="64"/>
      <c r="O293" s="62"/>
    </row>
    <row r="294" spans="4:15" s="39" customFormat="1">
      <c r="D294" s="56"/>
      <c r="E294" s="56"/>
      <c r="F294" s="58"/>
      <c r="G294" s="58"/>
      <c r="I294" s="74"/>
      <c r="J294" s="62"/>
      <c r="L294" s="62"/>
      <c r="M294" s="64"/>
      <c r="N294" s="64"/>
      <c r="O294" s="62"/>
    </row>
    <row r="295" spans="4:15" s="39" customFormat="1">
      <c r="D295" s="56"/>
      <c r="E295" s="56"/>
      <c r="F295" s="58"/>
      <c r="G295" s="58"/>
      <c r="I295" s="74"/>
      <c r="J295" s="62"/>
      <c r="L295" s="62"/>
      <c r="M295" s="64"/>
      <c r="N295" s="64"/>
      <c r="O295" s="62"/>
    </row>
    <row r="296" spans="4:15" s="39" customFormat="1">
      <c r="D296" s="56"/>
      <c r="E296" s="56"/>
      <c r="F296" s="58"/>
      <c r="G296" s="58"/>
      <c r="I296" s="74"/>
      <c r="J296" s="62"/>
      <c r="L296" s="62"/>
      <c r="M296" s="64"/>
      <c r="N296" s="64"/>
      <c r="O296" s="62"/>
    </row>
    <row r="297" spans="4:15" s="39" customFormat="1">
      <c r="D297" s="56"/>
      <c r="E297" s="56"/>
      <c r="F297" s="58"/>
      <c r="G297" s="58"/>
      <c r="I297" s="74"/>
      <c r="J297" s="62"/>
      <c r="L297" s="62"/>
      <c r="M297" s="64"/>
      <c r="N297" s="64"/>
      <c r="O297" s="62"/>
    </row>
    <row r="298" spans="4:15" s="39" customFormat="1">
      <c r="D298" s="56"/>
      <c r="E298" s="56"/>
      <c r="F298" s="58"/>
      <c r="G298" s="58"/>
      <c r="I298" s="74"/>
      <c r="J298" s="62"/>
      <c r="L298" s="62"/>
      <c r="M298" s="64"/>
      <c r="N298" s="64"/>
      <c r="O298" s="62"/>
    </row>
    <row r="299" spans="4:15" s="39" customFormat="1">
      <c r="D299" s="56"/>
      <c r="E299" s="56"/>
      <c r="F299" s="58"/>
      <c r="G299" s="58"/>
      <c r="I299" s="74"/>
      <c r="J299" s="62"/>
      <c r="L299" s="62"/>
      <c r="M299" s="64"/>
      <c r="N299" s="64"/>
      <c r="O299" s="62"/>
    </row>
    <row r="300" spans="4:15" s="39" customFormat="1">
      <c r="D300" s="56"/>
      <c r="E300" s="56"/>
      <c r="F300" s="58"/>
      <c r="G300" s="58"/>
      <c r="I300" s="74"/>
      <c r="J300" s="62"/>
      <c r="L300" s="62"/>
      <c r="M300" s="64"/>
      <c r="N300" s="64"/>
      <c r="O300" s="62"/>
    </row>
    <row r="301" spans="4:15" s="39" customFormat="1">
      <c r="D301" s="56"/>
      <c r="E301" s="56"/>
      <c r="F301" s="58"/>
      <c r="G301" s="58"/>
      <c r="I301" s="74"/>
      <c r="J301" s="62"/>
      <c r="L301" s="62"/>
      <c r="M301" s="64"/>
      <c r="N301" s="64"/>
      <c r="O301" s="62"/>
    </row>
    <row r="302" spans="4:15" s="39" customFormat="1">
      <c r="D302" s="56"/>
      <c r="E302" s="56"/>
      <c r="F302" s="58"/>
      <c r="G302" s="58"/>
      <c r="I302" s="74"/>
      <c r="J302" s="62"/>
      <c r="L302" s="62"/>
      <c r="M302" s="64"/>
      <c r="N302" s="64"/>
      <c r="O302" s="62"/>
    </row>
    <row r="303" spans="4:15" s="39" customFormat="1">
      <c r="D303" s="56"/>
      <c r="E303" s="56"/>
      <c r="F303" s="58"/>
      <c r="G303" s="58"/>
      <c r="I303" s="74"/>
      <c r="J303" s="62"/>
      <c r="L303" s="62"/>
      <c r="M303" s="64"/>
      <c r="N303" s="64"/>
      <c r="O303" s="62"/>
    </row>
    <row r="304" spans="4:15" s="39" customFormat="1">
      <c r="D304" s="56"/>
      <c r="E304" s="56"/>
      <c r="F304" s="58"/>
      <c r="G304" s="58"/>
      <c r="I304" s="74"/>
      <c r="J304" s="62"/>
      <c r="L304" s="62"/>
      <c r="M304" s="64"/>
      <c r="N304" s="64"/>
      <c r="O304" s="62"/>
    </row>
    <row r="305" spans="4:15" s="39" customFormat="1">
      <c r="D305" s="56"/>
      <c r="E305" s="56"/>
      <c r="F305" s="58"/>
      <c r="G305" s="58"/>
      <c r="I305" s="74"/>
      <c r="J305" s="62"/>
      <c r="L305" s="62"/>
      <c r="M305" s="64"/>
      <c r="N305" s="64"/>
      <c r="O305" s="62"/>
    </row>
    <row r="306" spans="4:15" s="39" customFormat="1">
      <c r="D306" s="56"/>
      <c r="E306" s="56"/>
      <c r="F306" s="58"/>
      <c r="G306" s="58"/>
      <c r="I306" s="74"/>
      <c r="J306" s="62"/>
      <c r="L306" s="62"/>
      <c r="M306" s="64"/>
      <c r="N306" s="64"/>
      <c r="O306" s="62"/>
    </row>
    <row r="307" spans="4:15" s="39" customFormat="1">
      <c r="D307" s="56"/>
      <c r="E307" s="56"/>
      <c r="F307" s="58"/>
      <c r="G307" s="58"/>
      <c r="I307" s="74"/>
      <c r="J307" s="62"/>
      <c r="L307" s="62"/>
      <c r="M307" s="64"/>
      <c r="N307" s="64"/>
      <c r="O307" s="62"/>
    </row>
    <row r="308" spans="4:15" s="39" customFormat="1">
      <c r="D308" s="56"/>
      <c r="E308" s="56"/>
      <c r="F308" s="58"/>
      <c r="G308" s="58"/>
      <c r="I308" s="74"/>
      <c r="J308" s="62"/>
      <c r="L308" s="62"/>
      <c r="M308" s="64"/>
      <c r="N308" s="64"/>
      <c r="O308" s="62"/>
    </row>
    <row r="309" spans="4:15" s="39" customFormat="1">
      <c r="D309" s="56"/>
      <c r="E309" s="56"/>
      <c r="F309" s="58"/>
      <c r="G309" s="58"/>
      <c r="I309" s="74"/>
      <c r="J309" s="62"/>
      <c r="L309" s="62"/>
      <c r="M309" s="64"/>
      <c r="N309" s="64"/>
      <c r="O309" s="62"/>
    </row>
    <row r="310" spans="4:15" s="39" customFormat="1">
      <c r="D310" s="56"/>
      <c r="E310" s="56"/>
      <c r="F310" s="58"/>
      <c r="G310" s="58"/>
      <c r="I310" s="74"/>
      <c r="J310" s="62"/>
      <c r="L310" s="62"/>
      <c r="M310" s="64"/>
      <c r="N310" s="64"/>
      <c r="O310" s="62"/>
    </row>
    <row r="311" spans="4:15" s="39" customFormat="1">
      <c r="D311" s="56"/>
      <c r="E311" s="56"/>
      <c r="F311" s="58"/>
      <c r="G311" s="58"/>
      <c r="I311" s="74"/>
      <c r="J311" s="62"/>
      <c r="L311" s="62"/>
      <c r="M311" s="64"/>
      <c r="N311" s="64"/>
      <c r="O311" s="62"/>
    </row>
    <row r="312" spans="4:15" s="39" customFormat="1">
      <c r="D312" s="56"/>
      <c r="E312" s="56"/>
      <c r="F312" s="58"/>
      <c r="G312" s="58"/>
      <c r="I312" s="74"/>
      <c r="J312" s="62"/>
      <c r="L312" s="62"/>
      <c r="M312" s="64"/>
      <c r="N312" s="64"/>
      <c r="O312" s="62"/>
    </row>
    <row r="313" spans="4:15" s="39" customFormat="1">
      <c r="D313" s="56"/>
      <c r="E313" s="56"/>
      <c r="F313" s="58"/>
      <c r="G313" s="58"/>
      <c r="I313" s="74"/>
      <c r="J313" s="62"/>
      <c r="L313" s="62"/>
      <c r="M313" s="64"/>
      <c r="N313" s="64"/>
      <c r="O313" s="62"/>
    </row>
    <row r="314" spans="4:15" s="39" customFormat="1">
      <c r="D314" s="56"/>
      <c r="E314" s="56"/>
      <c r="F314" s="58"/>
      <c r="G314" s="58"/>
      <c r="I314" s="74"/>
      <c r="J314" s="62"/>
      <c r="L314" s="62"/>
      <c r="M314" s="64"/>
      <c r="N314" s="64"/>
      <c r="O314" s="62"/>
    </row>
    <row r="315" spans="4:15" s="39" customFormat="1">
      <c r="D315" s="56"/>
      <c r="E315" s="56"/>
      <c r="F315" s="58"/>
      <c r="G315" s="58"/>
      <c r="I315" s="74"/>
      <c r="J315" s="62"/>
      <c r="L315" s="62"/>
      <c r="M315" s="64"/>
      <c r="N315" s="64"/>
      <c r="O315" s="62"/>
    </row>
    <row r="316" spans="4:15" s="39" customFormat="1">
      <c r="D316" s="56"/>
      <c r="E316" s="56"/>
      <c r="F316" s="58"/>
      <c r="G316" s="58"/>
      <c r="I316" s="74"/>
      <c r="J316" s="62"/>
      <c r="L316" s="62"/>
      <c r="M316" s="64"/>
      <c r="N316" s="64"/>
      <c r="O316" s="62"/>
    </row>
    <row r="317" spans="4:15" s="39" customFormat="1">
      <c r="D317" s="56"/>
      <c r="E317" s="56"/>
      <c r="F317" s="58"/>
      <c r="G317" s="58"/>
      <c r="I317" s="74"/>
      <c r="J317" s="62"/>
      <c r="L317" s="62"/>
      <c r="M317" s="64"/>
      <c r="N317" s="64"/>
      <c r="O317" s="62"/>
    </row>
    <row r="318" spans="4:15" s="39" customFormat="1">
      <c r="D318" s="56"/>
      <c r="E318" s="56"/>
      <c r="F318" s="58"/>
      <c r="G318" s="58"/>
      <c r="I318" s="74"/>
      <c r="J318" s="62"/>
      <c r="L318" s="62"/>
      <c r="M318" s="64"/>
      <c r="N318" s="64"/>
      <c r="O318" s="62"/>
    </row>
    <row r="319" spans="4:15" s="39" customFormat="1">
      <c r="D319" s="56"/>
      <c r="E319" s="56"/>
      <c r="F319" s="58"/>
      <c r="G319" s="58"/>
      <c r="I319" s="74"/>
      <c r="J319" s="62"/>
      <c r="L319" s="62"/>
      <c r="M319" s="64"/>
      <c r="N319" s="64"/>
      <c r="O319" s="62"/>
    </row>
    <row r="320" spans="4:15" s="39" customFormat="1">
      <c r="D320" s="56"/>
      <c r="E320" s="56"/>
      <c r="F320" s="58"/>
      <c r="G320" s="58"/>
      <c r="I320" s="74"/>
      <c r="J320" s="62"/>
      <c r="L320" s="62"/>
      <c r="M320" s="64"/>
      <c r="N320" s="64"/>
      <c r="O320" s="62"/>
    </row>
    <row r="321" spans="4:15" s="39" customFormat="1">
      <c r="D321" s="56"/>
      <c r="E321" s="56"/>
      <c r="F321" s="58"/>
      <c r="G321" s="58"/>
      <c r="I321" s="74"/>
      <c r="J321" s="62"/>
      <c r="L321" s="62"/>
      <c r="M321" s="64"/>
      <c r="N321" s="64"/>
      <c r="O321" s="62"/>
    </row>
    <row r="322" spans="4:15" s="39" customFormat="1">
      <c r="D322" s="56"/>
      <c r="E322" s="56"/>
      <c r="F322" s="58"/>
      <c r="G322" s="58"/>
      <c r="I322" s="74"/>
      <c r="J322" s="62"/>
      <c r="L322" s="62"/>
      <c r="M322" s="64"/>
      <c r="N322" s="64"/>
      <c r="O322" s="62"/>
    </row>
    <row r="323" spans="4:15" s="39" customFormat="1">
      <c r="D323" s="56"/>
      <c r="E323" s="56"/>
      <c r="F323" s="58"/>
      <c r="G323" s="58"/>
      <c r="I323" s="74"/>
      <c r="J323" s="62"/>
      <c r="L323" s="62"/>
      <c r="M323" s="64"/>
      <c r="N323" s="64"/>
      <c r="O323" s="62"/>
    </row>
    <row r="324" spans="4:15" s="39" customFormat="1">
      <c r="D324" s="56"/>
      <c r="E324" s="56"/>
      <c r="F324" s="58"/>
      <c r="G324" s="58"/>
      <c r="I324" s="74"/>
      <c r="J324" s="62"/>
      <c r="L324" s="62"/>
      <c r="M324" s="64"/>
      <c r="N324" s="64"/>
      <c r="O324" s="62"/>
    </row>
    <row r="325" spans="4:15" s="39" customFormat="1">
      <c r="D325" s="56"/>
      <c r="E325" s="56"/>
      <c r="F325" s="58"/>
      <c r="G325" s="58"/>
      <c r="I325" s="74"/>
      <c r="J325" s="62"/>
      <c r="L325" s="62"/>
      <c r="M325" s="64"/>
      <c r="N325" s="64"/>
      <c r="O325" s="62"/>
    </row>
    <row r="326" spans="4:15" s="39" customFormat="1">
      <c r="D326" s="56"/>
      <c r="E326" s="56"/>
      <c r="F326" s="58"/>
      <c r="G326" s="58"/>
      <c r="I326" s="74"/>
      <c r="J326" s="62"/>
      <c r="L326" s="62"/>
      <c r="M326" s="64"/>
      <c r="N326" s="64"/>
      <c r="O326" s="62"/>
    </row>
    <row r="327" spans="4:15" s="39" customFormat="1">
      <c r="D327" s="56"/>
      <c r="E327" s="56"/>
      <c r="F327" s="58"/>
      <c r="G327" s="58"/>
      <c r="I327" s="74"/>
      <c r="J327" s="62"/>
      <c r="L327" s="62"/>
      <c r="M327" s="64"/>
      <c r="N327" s="64"/>
      <c r="O327" s="62"/>
    </row>
    <row r="328" spans="4:15" s="39" customFormat="1">
      <c r="D328" s="56"/>
      <c r="E328" s="56"/>
      <c r="F328" s="58"/>
      <c r="G328" s="58"/>
      <c r="I328" s="74"/>
      <c r="J328" s="62"/>
      <c r="L328" s="62"/>
      <c r="M328" s="64"/>
      <c r="N328" s="64"/>
      <c r="O328" s="62"/>
    </row>
    <row r="329" spans="4:15" s="39" customFormat="1">
      <c r="D329" s="56"/>
      <c r="E329" s="56"/>
      <c r="F329" s="58"/>
      <c r="G329" s="58"/>
      <c r="I329" s="74"/>
      <c r="J329" s="62"/>
      <c r="L329" s="62"/>
      <c r="M329" s="64"/>
      <c r="N329" s="64"/>
      <c r="O329" s="62"/>
    </row>
    <row r="330" spans="4:15" s="39" customFormat="1">
      <c r="D330" s="56"/>
      <c r="E330" s="56"/>
      <c r="F330" s="58"/>
      <c r="G330" s="58"/>
      <c r="I330" s="74"/>
      <c r="J330" s="62"/>
      <c r="L330" s="62"/>
      <c r="M330" s="64"/>
      <c r="N330" s="64"/>
      <c r="O330" s="62"/>
    </row>
    <row r="331" spans="4:15" s="39" customFormat="1">
      <c r="D331" s="56"/>
      <c r="E331" s="56"/>
      <c r="F331" s="58"/>
      <c r="G331" s="58"/>
      <c r="I331" s="74"/>
      <c r="J331" s="62"/>
      <c r="L331" s="62"/>
      <c r="M331" s="64"/>
      <c r="N331" s="64"/>
      <c r="O331" s="62"/>
    </row>
    <row r="332" spans="4:15" s="39" customFormat="1">
      <c r="D332" s="56"/>
      <c r="E332" s="56"/>
      <c r="F332" s="58"/>
      <c r="G332" s="58"/>
      <c r="I332" s="74"/>
      <c r="J332" s="62"/>
      <c r="L332" s="62"/>
      <c r="M332" s="64"/>
      <c r="N332" s="64"/>
      <c r="O332" s="62"/>
    </row>
    <row r="333" spans="4:15" s="39" customFormat="1">
      <c r="D333" s="56"/>
      <c r="E333" s="56"/>
      <c r="F333" s="58"/>
      <c r="G333" s="58"/>
      <c r="I333" s="74"/>
      <c r="J333" s="62"/>
      <c r="L333" s="62"/>
      <c r="M333" s="64"/>
      <c r="N333" s="64"/>
      <c r="O333" s="62"/>
    </row>
    <row r="334" spans="4:15" s="39" customFormat="1">
      <c r="D334" s="56"/>
      <c r="E334" s="56"/>
      <c r="F334" s="58"/>
      <c r="G334" s="58"/>
      <c r="I334" s="74"/>
      <c r="J334" s="62"/>
      <c r="L334" s="62"/>
      <c r="M334" s="64"/>
      <c r="N334" s="64"/>
      <c r="O334" s="62"/>
    </row>
    <row r="335" spans="4:15" s="39" customFormat="1">
      <c r="D335" s="56"/>
      <c r="E335" s="56"/>
      <c r="F335" s="58"/>
      <c r="G335" s="58"/>
      <c r="I335" s="74"/>
      <c r="J335" s="62"/>
      <c r="L335" s="62"/>
      <c r="M335" s="64"/>
      <c r="N335" s="64"/>
      <c r="O335" s="62"/>
    </row>
    <row r="336" spans="4:15" s="39" customFormat="1">
      <c r="D336" s="56"/>
      <c r="E336" s="56"/>
      <c r="F336" s="58"/>
      <c r="G336" s="58"/>
      <c r="I336" s="74"/>
      <c r="J336" s="62"/>
      <c r="L336" s="62"/>
      <c r="M336" s="64"/>
      <c r="N336" s="64"/>
      <c r="O336" s="62"/>
    </row>
    <row r="337" spans="4:15" s="39" customFormat="1">
      <c r="D337" s="56"/>
      <c r="E337" s="56"/>
      <c r="F337" s="58"/>
      <c r="G337" s="58"/>
      <c r="I337" s="74"/>
      <c r="J337" s="62"/>
      <c r="L337" s="62"/>
      <c r="M337" s="64"/>
      <c r="N337" s="64"/>
      <c r="O337" s="62"/>
    </row>
    <row r="338" spans="4:15" s="39" customFormat="1">
      <c r="D338" s="56"/>
      <c r="E338" s="56"/>
      <c r="F338" s="58"/>
      <c r="G338" s="58"/>
      <c r="I338" s="74"/>
      <c r="J338" s="62"/>
      <c r="L338" s="62"/>
      <c r="M338" s="64"/>
      <c r="N338" s="64"/>
      <c r="O338" s="62"/>
    </row>
    <row r="339" spans="4:15" s="39" customFormat="1">
      <c r="D339" s="56"/>
      <c r="E339" s="56"/>
      <c r="F339" s="58"/>
      <c r="G339" s="58"/>
      <c r="I339" s="74"/>
      <c r="J339" s="62"/>
      <c r="L339" s="62"/>
      <c r="M339" s="64"/>
      <c r="N339" s="64"/>
      <c r="O339" s="62"/>
    </row>
    <row r="340" spans="4:15" s="39" customFormat="1">
      <c r="D340" s="56"/>
      <c r="E340" s="56"/>
      <c r="F340" s="58"/>
      <c r="G340" s="58"/>
      <c r="I340" s="74"/>
      <c r="J340" s="62"/>
      <c r="L340" s="62"/>
      <c r="M340" s="64"/>
      <c r="N340" s="64"/>
      <c r="O340" s="62"/>
    </row>
    <row r="341" spans="4:15" s="39" customFormat="1">
      <c r="D341" s="56"/>
      <c r="E341" s="56"/>
      <c r="F341" s="58"/>
      <c r="G341" s="58"/>
      <c r="I341" s="74"/>
      <c r="J341" s="62"/>
      <c r="L341" s="62"/>
      <c r="M341" s="64"/>
      <c r="N341" s="64"/>
      <c r="O341" s="62"/>
    </row>
    <row r="342" spans="4:15" s="39" customFormat="1">
      <c r="D342" s="56"/>
      <c r="E342" s="56"/>
      <c r="F342" s="58"/>
      <c r="G342" s="58"/>
      <c r="I342" s="74"/>
      <c r="J342" s="62"/>
      <c r="L342" s="62"/>
      <c r="M342" s="64"/>
      <c r="N342" s="64"/>
      <c r="O342" s="62"/>
    </row>
    <row r="343" spans="4:15" s="39" customFormat="1">
      <c r="D343" s="56"/>
      <c r="E343" s="56"/>
      <c r="F343" s="58"/>
      <c r="G343" s="58"/>
      <c r="I343" s="74"/>
      <c r="J343" s="62"/>
      <c r="L343" s="62"/>
      <c r="M343" s="64"/>
      <c r="N343" s="64"/>
      <c r="O343" s="62"/>
    </row>
    <row r="344" spans="4:15" s="39" customFormat="1">
      <c r="D344" s="56"/>
      <c r="E344" s="56"/>
      <c r="F344" s="58"/>
      <c r="G344" s="58"/>
      <c r="I344" s="74"/>
      <c r="J344" s="62"/>
      <c r="L344" s="62"/>
      <c r="M344" s="64"/>
      <c r="N344" s="64"/>
      <c r="O344" s="62"/>
    </row>
    <row r="345" spans="4:15" s="39" customFormat="1">
      <c r="D345" s="56"/>
      <c r="E345" s="56"/>
      <c r="F345" s="58"/>
      <c r="G345" s="58"/>
      <c r="I345" s="74"/>
      <c r="J345" s="62"/>
      <c r="L345" s="62"/>
      <c r="M345" s="64"/>
      <c r="N345" s="64"/>
      <c r="O345" s="62"/>
    </row>
    <row r="346" spans="4:15" s="39" customFormat="1">
      <c r="D346" s="56"/>
      <c r="E346" s="56"/>
      <c r="F346" s="58"/>
      <c r="G346" s="58"/>
      <c r="I346" s="74"/>
      <c r="J346" s="62"/>
      <c r="L346" s="62"/>
      <c r="M346" s="64"/>
      <c r="N346" s="64"/>
      <c r="O346" s="62"/>
    </row>
    <row r="347" spans="4:15" s="39" customFormat="1">
      <c r="D347" s="56"/>
      <c r="E347" s="56"/>
      <c r="F347" s="58"/>
      <c r="G347" s="58"/>
      <c r="I347" s="74"/>
      <c r="J347" s="62"/>
      <c r="L347" s="62"/>
      <c r="M347" s="64"/>
      <c r="N347" s="64"/>
      <c r="O347" s="62"/>
    </row>
    <row r="348" spans="4:15" s="39" customFormat="1">
      <c r="D348" s="56"/>
      <c r="E348" s="56"/>
      <c r="F348" s="58"/>
      <c r="G348" s="58"/>
      <c r="I348" s="74"/>
      <c r="J348" s="62"/>
      <c r="L348" s="62"/>
      <c r="M348" s="64"/>
      <c r="N348" s="64"/>
      <c r="O348" s="62"/>
    </row>
    <row r="349" spans="4:15" s="39" customFormat="1">
      <c r="D349" s="56"/>
      <c r="E349" s="56"/>
      <c r="F349" s="58"/>
      <c r="G349" s="58"/>
      <c r="I349" s="74"/>
      <c r="J349" s="62"/>
      <c r="L349" s="62"/>
      <c r="M349" s="64"/>
      <c r="N349" s="64"/>
      <c r="O349" s="62"/>
    </row>
    <row r="350" spans="4:15" s="39" customFormat="1">
      <c r="D350" s="56"/>
      <c r="E350" s="56"/>
      <c r="F350" s="58"/>
      <c r="G350" s="58"/>
      <c r="I350" s="74"/>
      <c r="J350" s="62"/>
      <c r="L350" s="62"/>
      <c r="M350" s="64"/>
      <c r="N350" s="64"/>
      <c r="O350" s="62"/>
    </row>
    <row r="351" spans="4:15" s="39" customFormat="1">
      <c r="D351" s="56"/>
      <c r="E351" s="56"/>
      <c r="F351" s="58"/>
      <c r="G351" s="58"/>
      <c r="I351" s="74"/>
      <c r="J351" s="62"/>
      <c r="L351" s="62"/>
      <c r="M351" s="64"/>
      <c r="N351" s="64"/>
      <c r="O351" s="62"/>
    </row>
    <row r="352" spans="4:15" s="39" customFormat="1">
      <c r="D352" s="56"/>
      <c r="E352" s="56"/>
      <c r="F352" s="58"/>
      <c r="G352" s="58"/>
      <c r="I352" s="74"/>
      <c r="J352" s="62"/>
      <c r="L352" s="62"/>
      <c r="M352" s="64"/>
      <c r="N352" s="64"/>
      <c r="O352" s="62"/>
    </row>
    <row r="353" spans="4:15" s="39" customFormat="1">
      <c r="D353" s="56"/>
      <c r="E353" s="56"/>
      <c r="F353" s="58"/>
      <c r="G353" s="58"/>
      <c r="I353" s="74"/>
      <c r="J353" s="62"/>
      <c r="L353" s="62"/>
      <c r="M353" s="64"/>
      <c r="N353" s="64"/>
      <c r="O353" s="62"/>
    </row>
    <row r="354" spans="4:15" s="39" customFormat="1">
      <c r="D354" s="56"/>
      <c r="E354" s="56"/>
      <c r="F354" s="58"/>
      <c r="G354" s="58"/>
      <c r="I354" s="74"/>
      <c r="J354" s="62"/>
      <c r="L354" s="62"/>
      <c r="M354" s="64"/>
      <c r="N354" s="64"/>
      <c r="O354" s="62"/>
    </row>
    <row r="355" spans="4:15" s="39" customFormat="1">
      <c r="D355" s="56"/>
      <c r="E355" s="56"/>
      <c r="F355" s="58"/>
      <c r="G355" s="58"/>
      <c r="I355" s="74"/>
      <c r="J355" s="62"/>
      <c r="L355" s="62"/>
      <c r="M355" s="64"/>
      <c r="N355" s="64"/>
      <c r="O355" s="62"/>
    </row>
    <row r="356" spans="4:15" s="39" customFormat="1">
      <c r="D356" s="56"/>
      <c r="E356" s="56"/>
      <c r="F356" s="58"/>
      <c r="G356" s="58"/>
      <c r="I356" s="74"/>
      <c r="J356" s="62"/>
      <c r="L356" s="62"/>
      <c r="M356" s="64"/>
      <c r="N356" s="64"/>
      <c r="O356" s="62"/>
    </row>
    <row r="357" spans="4:15" s="39" customFormat="1">
      <c r="D357" s="56"/>
      <c r="E357" s="56"/>
      <c r="F357" s="58"/>
      <c r="G357" s="58"/>
      <c r="I357" s="74"/>
      <c r="J357" s="62"/>
      <c r="L357" s="62"/>
      <c r="M357" s="64"/>
      <c r="N357" s="64"/>
      <c r="O357" s="62"/>
    </row>
    <row r="358" spans="4:15" s="39" customFormat="1">
      <c r="D358" s="56"/>
      <c r="E358" s="56"/>
      <c r="F358" s="58"/>
      <c r="G358" s="58"/>
      <c r="I358" s="74"/>
      <c r="J358" s="62"/>
      <c r="L358" s="62"/>
      <c r="M358" s="64"/>
      <c r="N358" s="64"/>
      <c r="O358" s="62"/>
    </row>
    <row r="359" spans="4:15" s="39" customFormat="1">
      <c r="D359" s="56"/>
      <c r="E359" s="56"/>
      <c r="F359" s="58"/>
      <c r="G359" s="58"/>
      <c r="I359" s="74"/>
      <c r="J359" s="62"/>
      <c r="L359" s="62"/>
      <c r="M359" s="64"/>
      <c r="N359" s="64"/>
      <c r="O359" s="62"/>
    </row>
    <row r="360" spans="4:15" s="39" customFormat="1">
      <c r="D360" s="56"/>
      <c r="E360" s="56"/>
      <c r="F360" s="58"/>
      <c r="G360" s="58"/>
      <c r="I360" s="74"/>
      <c r="J360" s="62"/>
      <c r="L360" s="62"/>
      <c r="M360" s="64"/>
      <c r="N360" s="64"/>
      <c r="O360" s="62"/>
    </row>
    <row r="361" spans="4:15" s="39" customFormat="1">
      <c r="D361" s="56"/>
      <c r="E361" s="56"/>
      <c r="F361" s="58"/>
      <c r="G361" s="58"/>
      <c r="I361" s="74"/>
      <c r="J361" s="62"/>
      <c r="L361" s="62"/>
      <c r="M361" s="64"/>
      <c r="N361" s="64"/>
      <c r="O361" s="62"/>
    </row>
    <row r="362" spans="4:15" s="39" customFormat="1">
      <c r="D362" s="56"/>
      <c r="E362" s="56"/>
      <c r="F362" s="58"/>
      <c r="G362" s="58"/>
      <c r="I362" s="74"/>
      <c r="J362" s="62"/>
      <c r="L362" s="62"/>
      <c r="M362" s="64"/>
      <c r="N362" s="64"/>
      <c r="O362" s="62"/>
    </row>
    <row r="363" spans="4:15" s="39" customFormat="1">
      <c r="D363" s="56"/>
      <c r="E363" s="56"/>
      <c r="F363" s="58"/>
      <c r="G363" s="58"/>
      <c r="I363" s="74"/>
      <c r="J363" s="62"/>
      <c r="L363" s="62"/>
      <c r="M363" s="64"/>
      <c r="N363" s="64"/>
      <c r="O363" s="62"/>
    </row>
    <row r="364" spans="4:15" s="39" customFormat="1">
      <c r="D364" s="56"/>
      <c r="E364" s="56"/>
      <c r="F364" s="58"/>
      <c r="G364" s="58"/>
      <c r="I364" s="74"/>
      <c r="J364" s="62"/>
      <c r="L364" s="62"/>
      <c r="M364" s="64"/>
      <c r="N364" s="64"/>
      <c r="O364" s="62"/>
    </row>
    <row r="365" spans="4:15" s="39" customFormat="1">
      <c r="D365" s="56"/>
      <c r="E365" s="56"/>
      <c r="F365" s="58"/>
      <c r="G365" s="58"/>
      <c r="I365" s="74"/>
      <c r="J365" s="62"/>
      <c r="L365" s="62"/>
      <c r="M365" s="64"/>
      <c r="N365" s="64"/>
      <c r="O365" s="62"/>
    </row>
    <row r="366" spans="4:15" s="39" customFormat="1">
      <c r="D366" s="56"/>
      <c r="E366" s="56"/>
      <c r="F366" s="58"/>
      <c r="G366" s="58"/>
      <c r="I366" s="74"/>
      <c r="J366" s="62"/>
      <c r="L366" s="62"/>
      <c r="M366" s="64"/>
      <c r="N366" s="64"/>
      <c r="O366" s="62"/>
    </row>
    <row r="367" spans="4:15" s="39" customFormat="1">
      <c r="D367" s="56"/>
      <c r="E367" s="56"/>
      <c r="F367" s="58"/>
      <c r="G367" s="58"/>
      <c r="I367" s="74"/>
      <c r="J367" s="62"/>
      <c r="L367" s="62"/>
      <c r="M367" s="64"/>
      <c r="N367" s="64"/>
      <c r="O367" s="62"/>
    </row>
    <row r="368" spans="4:15" s="39" customFormat="1">
      <c r="D368" s="56"/>
      <c r="E368" s="56"/>
      <c r="F368" s="58"/>
      <c r="G368" s="58"/>
      <c r="I368" s="74"/>
      <c r="J368" s="62"/>
      <c r="L368" s="62"/>
      <c r="M368" s="64"/>
      <c r="N368" s="64"/>
      <c r="O368" s="62"/>
    </row>
    <row r="369" spans="4:15" s="39" customFormat="1">
      <c r="D369" s="56"/>
      <c r="E369" s="56"/>
      <c r="F369" s="58"/>
      <c r="G369" s="58"/>
      <c r="I369" s="74"/>
      <c r="J369" s="62"/>
      <c r="L369" s="62"/>
      <c r="M369" s="64"/>
      <c r="N369" s="64"/>
      <c r="O369" s="62"/>
    </row>
    <row r="370" spans="4:15" s="39" customFormat="1">
      <c r="D370" s="56"/>
      <c r="E370" s="56"/>
      <c r="F370" s="58"/>
      <c r="G370" s="58"/>
      <c r="I370" s="74"/>
      <c r="J370" s="62"/>
      <c r="L370" s="62"/>
      <c r="M370" s="64"/>
      <c r="N370" s="64"/>
      <c r="O370" s="62"/>
    </row>
    <row r="371" spans="4:15" s="39" customFormat="1">
      <c r="D371" s="56"/>
      <c r="E371" s="56"/>
      <c r="F371" s="58"/>
      <c r="G371" s="58"/>
      <c r="I371" s="74"/>
      <c r="J371" s="62"/>
      <c r="L371" s="62"/>
      <c r="M371" s="64"/>
      <c r="N371" s="64"/>
      <c r="O371" s="62"/>
    </row>
    <row r="372" spans="4:15" s="39" customFormat="1">
      <c r="D372" s="56"/>
      <c r="E372" s="56"/>
      <c r="F372" s="58"/>
      <c r="G372" s="58"/>
      <c r="I372" s="74"/>
      <c r="J372" s="62"/>
      <c r="L372" s="62"/>
      <c r="M372" s="64"/>
      <c r="N372" s="64"/>
      <c r="O372" s="62"/>
    </row>
    <row r="373" spans="4:15" s="39" customFormat="1">
      <c r="D373" s="56"/>
      <c r="E373" s="56"/>
      <c r="F373" s="58"/>
      <c r="G373" s="58"/>
      <c r="I373" s="74"/>
      <c r="J373" s="62"/>
      <c r="L373" s="62"/>
      <c r="M373" s="64"/>
      <c r="N373" s="64"/>
      <c r="O373" s="62"/>
    </row>
    <row r="374" spans="4:15" s="39" customFormat="1">
      <c r="D374" s="56"/>
      <c r="E374" s="56"/>
      <c r="F374" s="58"/>
      <c r="G374" s="58"/>
      <c r="I374" s="74"/>
      <c r="J374" s="62"/>
      <c r="L374" s="62"/>
      <c r="M374" s="64"/>
      <c r="N374" s="64"/>
      <c r="O374" s="62"/>
    </row>
    <row r="375" spans="4:15" s="39" customFormat="1">
      <c r="D375" s="56"/>
      <c r="E375" s="56"/>
      <c r="F375" s="58"/>
      <c r="G375" s="58"/>
      <c r="I375" s="74"/>
      <c r="J375" s="62"/>
      <c r="L375" s="62"/>
      <c r="M375" s="64"/>
      <c r="N375" s="64"/>
      <c r="O375" s="62"/>
    </row>
    <row r="376" spans="4:15" s="39" customFormat="1">
      <c r="D376" s="56"/>
      <c r="E376" s="56"/>
      <c r="F376" s="58"/>
      <c r="G376" s="58"/>
      <c r="I376" s="74"/>
      <c r="J376" s="62"/>
      <c r="L376" s="62"/>
      <c r="M376" s="64"/>
      <c r="N376" s="64"/>
      <c r="O376" s="62"/>
    </row>
    <row r="377" spans="4:15" s="39" customFormat="1">
      <c r="D377" s="56"/>
      <c r="E377" s="56"/>
      <c r="F377" s="58"/>
      <c r="G377" s="58"/>
      <c r="I377" s="74"/>
      <c r="J377" s="62"/>
      <c r="L377" s="62"/>
      <c r="M377" s="64"/>
      <c r="N377" s="64"/>
      <c r="O377" s="62"/>
    </row>
    <row r="378" spans="4:15" s="39" customFormat="1">
      <c r="D378" s="56"/>
      <c r="E378" s="56"/>
      <c r="F378" s="58"/>
      <c r="G378" s="58"/>
      <c r="I378" s="74"/>
      <c r="J378" s="62"/>
      <c r="L378" s="62"/>
      <c r="M378" s="64"/>
      <c r="N378" s="64"/>
      <c r="O378" s="62"/>
    </row>
    <row r="379" spans="4:15" s="39" customFormat="1">
      <c r="D379" s="56"/>
      <c r="E379" s="56"/>
      <c r="F379" s="58"/>
      <c r="G379" s="58"/>
      <c r="I379" s="74"/>
      <c r="J379" s="62"/>
      <c r="L379" s="62"/>
      <c r="M379" s="64"/>
      <c r="N379" s="64"/>
      <c r="O379" s="62"/>
    </row>
    <row r="380" spans="4:15" s="39" customFormat="1">
      <c r="D380" s="56"/>
      <c r="E380" s="56"/>
      <c r="F380" s="58"/>
      <c r="G380" s="58"/>
      <c r="I380" s="74"/>
      <c r="J380" s="62"/>
      <c r="L380" s="62"/>
      <c r="M380" s="64"/>
      <c r="N380" s="64"/>
      <c r="O380" s="62"/>
    </row>
    <row r="381" spans="4:15" s="39" customFormat="1">
      <c r="D381" s="56"/>
      <c r="E381" s="56"/>
      <c r="F381" s="58"/>
      <c r="G381" s="58"/>
      <c r="I381" s="74"/>
      <c r="J381" s="62"/>
      <c r="L381" s="62"/>
      <c r="M381" s="64"/>
      <c r="N381" s="64"/>
      <c r="O381" s="62"/>
    </row>
    <row r="382" spans="4:15" s="39" customFormat="1">
      <c r="D382" s="56"/>
      <c r="E382" s="56"/>
      <c r="F382" s="58"/>
      <c r="G382" s="58"/>
      <c r="I382" s="74"/>
      <c r="J382" s="62"/>
      <c r="L382" s="62"/>
      <c r="M382" s="64"/>
      <c r="N382" s="64"/>
      <c r="O382" s="62"/>
    </row>
    <row r="383" spans="4:15" s="39" customFormat="1">
      <c r="D383" s="56"/>
      <c r="E383" s="56"/>
      <c r="F383" s="58"/>
      <c r="G383" s="58"/>
      <c r="I383" s="74"/>
      <c r="J383" s="62"/>
      <c r="L383" s="62"/>
      <c r="M383" s="64"/>
      <c r="N383" s="64"/>
      <c r="O383" s="62"/>
    </row>
    <row r="384" spans="4:15" s="39" customFormat="1">
      <c r="D384" s="56"/>
      <c r="E384" s="56"/>
      <c r="F384" s="58"/>
      <c r="G384" s="58"/>
      <c r="I384" s="74"/>
      <c r="J384" s="62"/>
      <c r="L384" s="62"/>
      <c r="M384" s="64"/>
      <c r="N384" s="64"/>
      <c r="O384" s="62"/>
    </row>
    <row r="385" spans="4:15" s="39" customFormat="1">
      <c r="D385" s="56"/>
      <c r="E385" s="56"/>
      <c r="F385" s="58"/>
      <c r="G385" s="58"/>
      <c r="I385" s="74"/>
      <c r="J385" s="62"/>
      <c r="L385" s="62"/>
      <c r="M385" s="64"/>
      <c r="N385" s="64"/>
      <c r="O385" s="62"/>
    </row>
    <row r="386" spans="4:15" s="39" customFormat="1">
      <c r="D386" s="56"/>
      <c r="E386" s="56"/>
      <c r="F386" s="58"/>
      <c r="G386" s="58"/>
      <c r="I386" s="74"/>
      <c r="J386" s="62"/>
      <c r="L386" s="62"/>
      <c r="M386" s="64"/>
      <c r="N386" s="64"/>
      <c r="O386" s="62"/>
    </row>
    <row r="387" spans="4:15" s="39" customFormat="1">
      <c r="D387" s="56"/>
      <c r="E387" s="56"/>
      <c r="F387" s="58"/>
      <c r="G387" s="58"/>
      <c r="I387" s="74"/>
      <c r="J387" s="62"/>
      <c r="L387" s="62"/>
      <c r="M387" s="64"/>
      <c r="N387" s="64"/>
      <c r="O387" s="62"/>
    </row>
    <row r="388" spans="4:15" s="39" customFormat="1">
      <c r="D388" s="56"/>
      <c r="E388" s="56"/>
      <c r="F388" s="58"/>
      <c r="G388" s="58"/>
      <c r="I388" s="74"/>
      <c r="J388" s="62"/>
      <c r="L388" s="62"/>
      <c r="M388" s="64"/>
      <c r="N388" s="64"/>
      <c r="O388" s="62"/>
    </row>
    <row r="389" spans="4:15" s="39" customFormat="1">
      <c r="D389" s="56"/>
      <c r="E389" s="56"/>
      <c r="F389" s="58"/>
      <c r="G389" s="58"/>
      <c r="I389" s="74"/>
      <c r="J389" s="62"/>
      <c r="L389" s="62"/>
      <c r="M389" s="64"/>
      <c r="N389" s="64"/>
      <c r="O389" s="62"/>
    </row>
    <row r="390" spans="4:15" s="39" customFormat="1">
      <c r="D390" s="56"/>
      <c r="E390" s="56"/>
      <c r="F390" s="58"/>
      <c r="G390" s="58"/>
      <c r="I390" s="74"/>
      <c r="J390" s="62"/>
      <c r="L390" s="62"/>
      <c r="M390" s="64"/>
      <c r="N390" s="64"/>
      <c r="O390" s="62"/>
    </row>
    <row r="391" spans="4:15" s="39" customFormat="1">
      <c r="D391" s="56"/>
      <c r="E391" s="56"/>
      <c r="F391" s="58"/>
      <c r="G391" s="58"/>
      <c r="I391" s="74"/>
      <c r="J391" s="62"/>
      <c r="L391" s="62"/>
      <c r="M391" s="64"/>
      <c r="N391" s="64"/>
      <c r="O391" s="62"/>
    </row>
    <row r="392" spans="4:15" s="39" customFormat="1">
      <c r="D392" s="56"/>
      <c r="E392" s="56"/>
      <c r="F392" s="58"/>
      <c r="G392" s="58"/>
      <c r="I392" s="74"/>
      <c r="J392" s="62"/>
      <c r="L392" s="62"/>
      <c r="M392" s="64"/>
      <c r="N392" s="64"/>
      <c r="O392" s="62"/>
    </row>
    <row r="393" spans="4:15" s="39" customFormat="1">
      <c r="D393" s="56"/>
      <c r="E393" s="56"/>
      <c r="F393" s="58"/>
      <c r="G393" s="58"/>
      <c r="I393" s="74"/>
      <c r="J393" s="62"/>
      <c r="L393" s="62"/>
      <c r="M393" s="64"/>
      <c r="N393" s="64"/>
      <c r="O393" s="62"/>
    </row>
    <row r="394" spans="4:15" s="39" customFormat="1">
      <c r="D394" s="56"/>
      <c r="E394" s="56"/>
      <c r="F394" s="58"/>
      <c r="G394" s="58"/>
      <c r="I394" s="74"/>
      <c r="J394" s="62"/>
      <c r="L394" s="62"/>
      <c r="M394" s="64"/>
      <c r="N394" s="64"/>
      <c r="O394" s="62"/>
    </row>
    <row r="395" spans="4:15" s="39" customFormat="1">
      <c r="D395" s="56"/>
      <c r="E395" s="56"/>
      <c r="F395" s="58"/>
      <c r="G395" s="58"/>
      <c r="I395" s="74"/>
      <c r="J395" s="62"/>
      <c r="L395" s="62"/>
      <c r="M395" s="64"/>
      <c r="N395" s="64"/>
      <c r="O395" s="62"/>
    </row>
    <row r="396" spans="4:15" s="39" customFormat="1">
      <c r="D396" s="56"/>
      <c r="E396" s="56"/>
      <c r="F396" s="58"/>
      <c r="G396" s="58"/>
      <c r="I396" s="74"/>
      <c r="J396" s="62"/>
      <c r="L396" s="62"/>
      <c r="M396" s="64"/>
      <c r="N396" s="64"/>
      <c r="O396" s="62"/>
    </row>
    <row r="397" spans="4:15" s="39" customFormat="1">
      <c r="D397" s="56"/>
      <c r="E397" s="56"/>
      <c r="F397" s="58"/>
      <c r="G397" s="58"/>
      <c r="I397" s="74"/>
      <c r="J397" s="62"/>
      <c r="L397" s="62"/>
      <c r="M397" s="64"/>
      <c r="N397" s="64"/>
      <c r="O397" s="62"/>
    </row>
    <row r="398" spans="4:15" s="39" customFormat="1">
      <c r="D398" s="56"/>
      <c r="E398" s="56"/>
      <c r="F398" s="58"/>
      <c r="G398" s="58"/>
      <c r="I398" s="74"/>
      <c r="J398" s="62"/>
      <c r="L398" s="62"/>
      <c r="M398" s="64"/>
      <c r="N398" s="64"/>
      <c r="O398" s="62"/>
    </row>
    <row r="399" spans="4:15" s="39" customFormat="1">
      <c r="D399" s="56"/>
      <c r="E399" s="56"/>
      <c r="F399" s="58"/>
      <c r="G399" s="58"/>
      <c r="I399" s="74"/>
      <c r="J399" s="62"/>
      <c r="L399" s="62"/>
      <c r="M399" s="64"/>
      <c r="N399" s="64"/>
      <c r="O399" s="62"/>
    </row>
    <row r="400" spans="4:15" s="39" customFormat="1">
      <c r="D400" s="56"/>
      <c r="E400" s="56"/>
      <c r="F400" s="58"/>
      <c r="G400" s="58"/>
      <c r="I400" s="74"/>
      <c r="J400" s="62"/>
      <c r="L400" s="62"/>
      <c r="M400" s="64"/>
      <c r="N400" s="64"/>
      <c r="O400" s="62"/>
    </row>
    <row r="401" spans="4:15" s="39" customFormat="1">
      <c r="D401" s="56"/>
      <c r="E401" s="56"/>
      <c r="F401" s="58"/>
      <c r="G401" s="58"/>
      <c r="I401" s="74"/>
      <c r="J401" s="62"/>
      <c r="L401" s="62"/>
      <c r="M401" s="64"/>
      <c r="N401" s="64"/>
      <c r="O401" s="62"/>
    </row>
    <row r="402" spans="4:15" s="39" customFormat="1">
      <c r="D402" s="56"/>
      <c r="E402" s="56"/>
      <c r="F402" s="58"/>
      <c r="G402" s="58"/>
      <c r="I402" s="74"/>
      <c r="J402" s="62"/>
      <c r="L402" s="62"/>
      <c r="M402" s="64"/>
      <c r="N402" s="64"/>
      <c r="O402" s="62"/>
    </row>
    <row r="403" spans="4:15" s="39" customFormat="1">
      <c r="D403" s="56"/>
      <c r="E403" s="56"/>
      <c r="F403" s="58"/>
      <c r="G403" s="58"/>
      <c r="I403" s="74"/>
      <c r="J403" s="62"/>
      <c r="L403" s="62"/>
      <c r="M403" s="64"/>
      <c r="N403" s="64"/>
      <c r="O403" s="62"/>
    </row>
    <row r="404" spans="4:15" s="39" customFormat="1">
      <c r="D404" s="56"/>
      <c r="E404" s="56"/>
      <c r="F404" s="58"/>
      <c r="G404" s="58"/>
      <c r="I404" s="74"/>
      <c r="J404" s="62"/>
      <c r="L404" s="62"/>
      <c r="M404" s="64"/>
      <c r="N404" s="64"/>
      <c r="O404" s="62"/>
    </row>
    <row r="405" spans="4:15" s="39" customFormat="1">
      <c r="D405" s="56"/>
      <c r="E405" s="56"/>
      <c r="F405" s="58"/>
      <c r="G405" s="58"/>
      <c r="I405" s="74"/>
      <c r="J405" s="62"/>
      <c r="L405" s="62"/>
      <c r="M405" s="64"/>
      <c r="N405" s="64"/>
      <c r="O405" s="62"/>
    </row>
    <row r="406" spans="4:15" s="39" customFormat="1">
      <c r="D406" s="56"/>
      <c r="E406" s="56"/>
      <c r="F406" s="58"/>
      <c r="G406" s="58"/>
      <c r="I406" s="74"/>
      <c r="J406" s="62"/>
      <c r="L406" s="62"/>
      <c r="M406" s="64"/>
      <c r="N406" s="64"/>
      <c r="O406" s="62"/>
    </row>
    <row r="407" spans="4:15" s="39" customFormat="1">
      <c r="D407" s="56"/>
      <c r="E407" s="56"/>
      <c r="F407" s="58"/>
      <c r="G407" s="58"/>
      <c r="I407" s="74"/>
      <c r="J407" s="62"/>
      <c r="L407" s="62"/>
      <c r="M407" s="64"/>
      <c r="N407" s="64"/>
      <c r="O407" s="62"/>
    </row>
    <row r="408" spans="4:15" s="39" customFormat="1">
      <c r="D408" s="56"/>
      <c r="E408" s="56"/>
      <c r="F408" s="58"/>
      <c r="G408" s="58"/>
      <c r="I408" s="74"/>
      <c r="J408" s="62"/>
      <c r="L408" s="62"/>
      <c r="M408" s="64"/>
      <c r="N408" s="64"/>
      <c r="O408" s="62"/>
    </row>
    <row r="409" spans="4:15" s="39" customFormat="1">
      <c r="D409" s="56"/>
      <c r="E409" s="56"/>
      <c r="F409" s="58"/>
      <c r="G409" s="58"/>
      <c r="I409" s="74"/>
      <c r="J409" s="62"/>
      <c r="L409" s="62"/>
      <c r="M409" s="64"/>
      <c r="N409" s="64"/>
      <c r="O409" s="62"/>
    </row>
    <row r="410" spans="4:15" s="39" customFormat="1">
      <c r="D410" s="56"/>
      <c r="E410" s="56"/>
      <c r="F410" s="58"/>
      <c r="G410" s="58"/>
      <c r="I410" s="74"/>
      <c r="J410" s="62"/>
      <c r="L410" s="62"/>
      <c r="M410" s="64"/>
      <c r="N410" s="64"/>
      <c r="O410" s="62"/>
    </row>
    <row r="411" spans="4:15" s="39" customFormat="1">
      <c r="D411" s="56"/>
      <c r="E411" s="56"/>
      <c r="F411" s="58"/>
      <c r="G411" s="58"/>
      <c r="I411" s="74"/>
      <c r="J411" s="62"/>
      <c r="L411" s="62"/>
      <c r="M411" s="64"/>
      <c r="N411" s="64"/>
      <c r="O411" s="62"/>
    </row>
    <row r="412" spans="4:15" s="39" customFormat="1">
      <c r="D412" s="56"/>
      <c r="E412" s="56"/>
      <c r="F412" s="58"/>
      <c r="G412" s="58"/>
      <c r="I412" s="74"/>
      <c r="J412" s="62"/>
      <c r="L412" s="62"/>
      <c r="M412" s="64"/>
      <c r="N412" s="64"/>
      <c r="O412" s="62"/>
    </row>
    <row r="413" spans="4:15" s="39" customFormat="1">
      <c r="D413" s="56"/>
      <c r="E413" s="56"/>
      <c r="F413" s="58"/>
      <c r="G413" s="58"/>
      <c r="I413" s="74"/>
      <c r="J413" s="62"/>
      <c r="L413" s="62"/>
      <c r="M413" s="64"/>
      <c r="N413" s="64"/>
      <c r="O413" s="62"/>
    </row>
    <row r="414" spans="4:15" s="39" customFormat="1">
      <c r="D414" s="56"/>
      <c r="E414" s="56"/>
      <c r="F414" s="58"/>
      <c r="G414" s="58"/>
      <c r="I414" s="74"/>
      <c r="J414" s="62"/>
      <c r="L414" s="62"/>
      <c r="M414" s="64"/>
      <c r="N414" s="64"/>
      <c r="O414" s="62"/>
    </row>
    <row r="415" spans="4:15" s="39" customFormat="1">
      <c r="D415" s="56"/>
      <c r="E415" s="56"/>
      <c r="F415" s="58"/>
      <c r="G415" s="58"/>
      <c r="I415" s="74"/>
      <c r="J415" s="62"/>
      <c r="L415" s="62"/>
      <c r="M415" s="64"/>
      <c r="N415" s="64"/>
      <c r="O415" s="62"/>
    </row>
    <row r="416" spans="4:15" s="39" customFormat="1">
      <c r="D416" s="56"/>
      <c r="E416" s="56"/>
      <c r="F416" s="58"/>
      <c r="G416" s="58"/>
      <c r="I416" s="74"/>
      <c r="J416" s="62"/>
      <c r="L416" s="62"/>
      <c r="M416" s="64"/>
      <c r="N416" s="64"/>
      <c r="O416" s="62"/>
    </row>
    <row r="417" spans="1:15">
      <c r="A417" s="39"/>
      <c r="B417" s="39"/>
      <c r="D417" s="56"/>
      <c r="E417" s="56"/>
      <c r="F417" s="58"/>
      <c r="G417" s="58"/>
      <c r="I417" s="74"/>
      <c r="J417" s="62"/>
      <c r="L417" s="62"/>
      <c r="M417" s="64"/>
      <c r="N417" s="64"/>
      <c r="O417" s="62"/>
    </row>
    <row r="418" spans="1:15">
      <c r="A418" s="39"/>
      <c r="B418" s="39"/>
      <c r="D418" s="56"/>
      <c r="E418" s="56"/>
      <c r="F418" s="58"/>
      <c r="G418" s="58"/>
      <c r="I418" s="74"/>
      <c r="J418" s="62"/>
      <c r="L418" s="62"/>
      <c r="M418" s="64"/>
      <c r="N418" s="64"/>
      <c r="O418" s="62"/>
    </row>
    <row r="419" spans="1:15">
      <c r="A419" s="39"/>
      <c r="B419" s="39"/>
      <c r="D419" s="56"/>
      <c r="E419" s="56"/>
      <c r="F419" s="58"/>
      <c r="G419" s="58"/>
      <c r="I419" s="74"/>
      <c r="J419" s="62"/>
      <c r="L419" s="62"/>
      <c r="M419" s="64"/>
      <c r="N419" s="64"/>
      <c r="O419" s="62"/>
    </row>
    <row r="420" spans="1:15">
      <c r="A420" s="39"/>
      <c r="B420" s="39"/>
      <c r="D420" s="56"/>
      <c r="E420" s="56"/>
      <c r="F420" s="58"/>
      <c r="G420" s="58"/>
      <c r="I420" s="74"/>
      <c r="J420" s="62"/>
      <c r="L420" s="62"/>
      <c r="M420" s="64"/>
      <c r="N420" s="64"/>
      <c r="O420" s="62"/>
    </row>
    <row r="421" spans="1:15">
      <c r="A421" s="39"/>
      <c r="B421" s="39"/>
      <c r="D421" s="56"/>
      <c r="E421" s="56"/>
      <c r="F421" s="58"/>
      <c r="G421" s="58"/>
      <c r="I421" s="74"/>
      <c r="J421" s="62"/>
      <c r="L421" s="62"/>
      <c r="M421" s="64"/>
      <c r="N421" s="64"/>
      <c r="O421" s="62"/>
    </row>
    <row r="422" spans="1:15">
      <c r="A422" s="39"/>
      <c r="B422" s="39"/>
      <c r="D422" s="56"/>
      <c r="E422" s="56"/>
      <c r="F422" s="58"/>
      <c r="G422" s="58"/>
      <c r="I422" s="74"/>
      <c r="J422" s="62"/>
      <c r="L422" s="62"/>
      <c r="M422" s="64"/>
      <c r="N422" s="64"/>
      <c r="O422" s="62"/>
    </row>
    <row r="423" spans="1:15">
      <c r="A423" s="39"/>
      <c r="B423" s="39"/>
      <c r="D423" s="56"/>
      <c r="E423" s="56"/>
      <c r="F423" s="58"/>
      <c r="G423" s="58"/>
      <c r="I423" s="74"/>
      <c r="J423" s="62"/>
      <c r="L423" s="62"/>
      <c r="M423" s="64"/>
      <c r="N423" s="64"/>
      <c r="O423" s="62"/>
    </row>
    <row r="424" spans="1:15">
      <c r="A424" s="39"/>
      <c r="B424" s="39"/>
      <c r="D424" s="56"/>
      <c r="E424" s="56"/>
      <c r="F424" s="58"/>
      <c r="G424" s="58"/>
      <c r="I424" s="74"/>
      <c r="J424" s="62"/>
      <c r="L424" s="62"/>
      <c r="M424" s="64"/>
      <c r="N424" s="64"/>
      <c r="O424" s="62"/>
    </row>
    <row r="425" spans="1:15">
      <c r="A425" s="39"/>
      <c r="B425" s="39"/>
      <c r="D425" s="56"/>
      <c r="E425" s="56"/>
      <c r="F425" s="58"/>
      <c r="G425" s="58"/>
      <c r="I425" s="74"/>
      <c r="J425" s="62"/>
      <c r="L425" s="62"/>
      <c r="M425" s="64"/>
      <c r="N425" s="64"/>
      <c r="O425" s="62"/>
    </row>
    <row r="426" spans="1:15">
      <c r="A426" s="39"/>
      <c r="B426" s="39"/>
      <c r="D426" s="56"/>
      <c r="E426" s="56"/>
      <c r="F426" s="58"/>
      <c r="G426" s="58"/>
      <c r="I426" s="74"/>
      <c r="J426" s="62"/>
      <c r="L426" s="62"/>
      <c r="M426" s="64"/>
      <c r="N426" s="64"/>
      <c r="O426" s="62"/>
    </row>
    <row r="427" spans="1:15">
      <c r="A427" s="39"/>
      <c r="B427" s="39"/>
      <c r="D427" s="56"/>
      <c r="E427" s="56"/>
      <c r="F427" s="58"/>
      <c r="G427" s="58"/>
      <c r="I427" s="74"/>
      <c r="J427" s="62"/>
      <c r="L427" s="62"/>
      <c r="M427" s="64"/>
      <c r="N427" s="64"/>
      <c r="O427" s="62"/>
    </row>
    <row r="428" spans="1:15">
      <c r="A428" s="39"/>
      <c r="B428" s="39"/>
      <c r="D428" s="56"/>
      <c r="E428" s="56"/>
      <c r="F428" s="58"/>
      <c r="G428" s="58"/>
      <c r="I428" s="74"/>
      <c r="J428" s="62"/>
      <c r="L428" s="62"/>
      <c r="M428" s="64"/>
      <c r="N428" s="64"/>
      <c r="O428" s="62"/>
    </row>
  </sheetData>
  <mergeCells count="6">
    <mergeCell ref="H7:I7"/>
    <mergeCell ref="A1:P1"/>
    <mergeCell ref="A2:P2"/>
    <mergeCell ref="A3:P3"/>
    <mergeCell ref="A4:P4"/>
    <mergeCell ref="L6:M6"/>
  </mergeCells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DE8A-2A50-4D43-BE27-FE09C94F442A}">
  <sheetPr transitionEvaluation="1" transitionEntry="1">
    <pageSetUpPr fitToPage="1"/>
  </sheetPr>
  <dimension ref="A1:R433"/>
  <sheetViews>
    <sheetView defaultGridColor="0" colorId="22" zoomScale="87" zoomScaleNormal="87" workbookViewId="0">
      <pane ySplit="10" topLeftCell="A11" activePane="bottomLeft" state="frozen"/>
      <selection pane="bottomLeft" activeCell="J51" sqref="J51"/>
    </sheetView>
  </sheetViews>
  <sheetFormatPr defaultColWidth="9.7109375" defaultRowHeight="12.75"/>
  <cols>
    <col min="1" max="1" width="5.5703125" style="52" customWidth="1"/>
    <col min="2" max="2" width="10.28515625" style="52" bestFit="1" customWidth="1"/>
    <col min="3" max="3" width="32.42578125" style="39" bestFit="1" customWidth="1"/>
    <col min="4" max="4" width="10.5703125" style="52" bestFit="1" customWidth="1"/>
    <col min="5" max="5" width="10.85546875" style="52" bestFit="1" customWidth="1"/>
    <col min="6" max="7" width="6.42578125" style="52" bestFit="1" customWidth="1"/>
    <col min="8" max="8" width="14.140625" style="39" bestFit="1" customWidth="1"/>
    <col min="9" max="9" width="14.85546875" style="39" customWidth="1"/>
    <col min="10" max="10" width="13.28515625" style="39" bestFit="1" customWidth="1"/>
    <col min="11" max="11" width="14.7109375" style="39" bestFit="1" customWidth="1"/>
    <col min="12" max="12" width="16.5703125" style="39" customWidth="1"/>
    <col min="13" max="13" width="11.28515625" style="39" customWidth="1"/>
    <col min="14" max="14" width="11" style="39" bestFit="1" customWidth="1"/>
    <col min="15" max="15" width="14.5703125" style="39" bestFit="1" customWidth="1"/>
    <col min="16" max="16" width="5.42578125" style="39" bestFit="1" customWidth="1"/>
    <col min="17" max="17" width="12" style="39" bestFit="1" customWidth="1"/>
    <col min="18" max="18" width="13.7109375" style="39" bestFit="1" customWidth="1"/>
    <col min="19" max="16384" width="9.7109375" style="39"/>
  </cols>
  <sheetData>
    <row r="1" spans="1:16" ht="15.75" customHeight="1">
      <c r="A1" s="143" t="str">
        <f>[2]Summary!A1</f>
        <v>PACIFICORP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.75" customHeight="1">
      <c r="A2" s="146" t="str">
        <f>[2]Summary!A2</f>
        <v>Electric Operations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15.75" customHeight="1">
      <c r="A3" s="146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15.75">
      <c r="A4" s="149">
        <f>[2]Summary!A4</f>
        <v>44742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4" customFormat="1" ht="11.25">
      <c r="A5" s="40"/>
      <c r="B5" s="41"/>
      <c r="C5" s="42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3"/>
    </row>
    <row r="6" spans="1:16">
      <c r="A6" s="40"/>
      <c r="B6" s="45"/>
      <c r="C6" s="46"/>
      <c r="D6" s="45"/>
      <c r="E6" s="45"/>
      <c r="F6" s="45"/>
      <c r="G6" s="45"/>
      <c r="H6" s="47"/>
      <c r="I6" s="47"/>
      <c r="J6" s="46"/>
      <c r="K6" s="46"/>
      <c r="L6" s="142" t="s">
        <v>23</v>
      </c>
      <c r="M6" s="142"/>
      <c r="O6" s="44"/>
      <c r="P6" s="43"/>
    </row>
    <row r="7" spans="1:16">
      <c r="A7" s="40"/>
      <c r="B7" s="45"/>
      <c r="C7" s="46"/>
      <c r="D7" s="45"/>
      <c r="E7" s="45"/>
      <c r="F7" s="45"/>
      <c r="G7" s="45"/>
      <c r="H7" s="142" t="s">
        <v>24</v>
      </c>
      <c r="I7" s="142"/>
      <c r="J7" s="46"/>
      <c r="K7" s="46"/>
      <c r="L7" s="45" t="s">
        <v>25</v>
      </c>
      <c r="M7" s="45" t="s">
        <v>26</v>
      </c>
      <c r="O7" s="44"/>
      <c r="P7" s="43"/>
    </row>
    <row r="8" spans="1:16">
      <c r="A8" s="40" t="s">
        <v>27</v>
      </c>
      <c r="B8" s="45" t="s">
        <v>28</v>
      </c>
      <c r="C8" s="46" t="s">
        <v>29</v>
      </c>
      <c r="D8" s="45" t="s">
        <v>30</v>
      </c>
      <c r="E8" s="45" t="s">
        <v>31</v>
      </c>
      <c r="F8" s="45" t="s">
        <v>32</v>
      </c>
      <c r="G8" s="45"/>
      <c r="H8" s="45" t="s">
        <v>33</v>
      </c>
      <c r="I8" s="45" t="s">
        <v>34</v>
      </c>
      <c r="J8" s="45" t="s">
        <v>30</v>
      </c>
      <c r="K8" s="45" t="s">
        <v>35</v>
      </c>
      <c r="L8" s="45" t="s">
        <v>36</v>
      </c>
      <c r="M8" s="45" t="s">
        <v>37</v>
      </c>
      <c r="N8" s="45" t="s">
        <v>38</v>
      </c>
      <c r="O8" s="45" t="s">
        <v>39</v>
      </c>
      <c r="P8" s="43" t="s">
        <v>27</v>
      </c>
    </row>
    <row r="9" spans="1:16">
      <c r="A9" s="40" t="s">
        <v>40</v>
      </c>
      <c r="B9" s="45" t="s">
        <v>41</v>
      </c>
      <c r="C9" s="45" t="s">
        <v>42</v>
      </c>
      <c r="D9" s="45" t="s">
        <v>43</v>
      </c>
      <c r="E9" s="45" t="s">
        <v>43</v>
      </c>
      <c r="F9" s="45" t="s">
        <v>44</v>
      </c>
      <c r="G9" s="45" t="s">
        <v>45</v>
      </c>
      <c r="H9" s="45" t="s">
        <v>46</v>
      </c>
      <c r="I9" s="45" t="s">
        <v>47</v>
      </c>
      <c r="J9" s="45" t="s">
        <v>48</v>
      </c>
      <c r="K9" s="45" t="s">
        <v>48</v>
      </c>
      <c r="L9" s="45" t="s">
        <v>49</v>
      </c>
      <c r="M9" s="45" t="s">
        <v>49</v>
      </c>
      <c r="N9" s="45" t="s">
        <v>50</v>
      </c>
      <c r="O9" s="45" t="s">
        <v>51</v>
      </c>
      <c r="P9" s="43" t="s">
        <v>40</v>
      </c>
    </row>
    <row r="10" spans="1:16">
      <c r="A10" s="48"/>
      <c r="B10" s="49" t="s">
        <v>52</v>
      </c>
      <c r="C10" s="49" t="s">
        <v>53</v>
      </c>
      <c r="D10" s="49" t="s">
        <v>54</v>
      </c>
      <c r="E10" s="49" t="s">
        <v>55</v>
      </c>
      <c r="F10" s="49" t="s">
        <v>56</v>
      </c>
      <c r="G10" s="49" t="s">
        <v>57</v>
      </c>
      <c r="H10" s="49" t="s">
        <v>58</v>
      </c>
      <c r="I10" s="49" t="s">
        <v>59</v>
      </c>
      <c r="J10" s="49" t="s">
        <v>60</v>
      </c>
      <c r="K10" s="49" t="s">
        <v>61</v>
      </c>
      <c r="L10" s="49" t="s">
        <v>62</v>
      </c>
      <c r="M10" s="49" t="s">
        <v>63</v>
      </c>
      <c r="N10" s="49" t="s">
        <v>64</v>
      </c>
      <c r="O10" s="49" t="s">
        <v>65</v>
      </c>
      <c r="P10" s="50"/>
    </row>
    <row r="11" spans="1:16">
      <c r="A11" s="51">
        <v>1</v>
      </c>
      <c r="P11" s="53">
        <f>A11</f>
        <v>1</v>
      </c>
    </row>
    <row r="12" spans="1:16">
      <c r="A12" s="51">
        <f>A11+1</f>
        <v>2</v>
      </c>
      <c r="C12" s="54" t="s">
        <v>66</v>
      </c>
      <c r="D12" s="55"/>
      <c r="E12" s="56"/>
      <c r="P12" s="53">
        <f>A12</f>
        <v>2</v>
      </c>
    </row>
    <row r="13" spans="1:16">
      <c r="A13" s="51">
        <f>A12+1</f>
        <v>3</v>
      </c>
      <c r="B13" s="57">
        <v>2.9499999999999998E-2</v>
      </c>
      <c r="C13" s="39" t="s">
        <v>67</v>
      </c>
      <c r="D13" s="56">
        <f>DATE(2013,6,6)</f>
        <v>41431</v>
      </c>
      <c r="E13" s="56">
        <f>DATE(2023,6,1)</f>
        <v>45078</v>
      </c>
      <c r="F13" s="58">
        <f t="shared" ref="F13:F30" si="0">YEARFRAC(D13,E13)</f>
        <v>9.9861111111111107</v>
      </c>
      <c r="G13" s="58">
        <f t="shared" ref="G13:G30" si="1">YEARFRAC($A$4,E13)</f>
        <v>0.9194444444444444</v>
      </c>
      <c r="H13" s="59">
        <v>300000000</v>
      </c>
      <c r="I13" s="60">
        <v>300000000</v>
      </c>
      <c r="J13" s="61">
        <f>-1350000-900000-494850.25-14501.29</f>
        <v>-2759351.54</v>
      </c>
      <c r="K13" s="61">
        <v>0</v>
      </c>
      <c r="L13" s="62">
        <f t="shared" ref="L13" si="2">SUM(I13:K13)</f>
        <v>297240648.45999998</v>
      </c>
      <c r="M13" s="63">
        <f t="shared" ref="M13:M30" si="3">L13/I13*100</f>
        <v>99.080216153333325</v>
      </c>
      <c r="N13" s="64">
        <f t="shared" ref="N13:N25" si="4">ROUND(YIELD(D13,E13,B13,M13,100,2,0),5)</f>
        <v>3.058E-2</v>
      </c>
      <c r="O13" s="39">
        <f t="shared" ref="O13:O30" si="5">ROUND(N13,5)*I13</f>
        <v>9174000</v>
      </c>
      <c r="P13" s="53">
        <f t="shared" ref="P13:P76" si="6">A13</f>
        <v>3</v>
      </c>
    </row>
    <row r="14" spans="1:16">
      <c r="A14" s="51">
        <f t="shared" ref="A14:A77" si="7">A13+1</f>
        <v>4</v>
      </c>
      <c r="B14" s="57">
        <v>3.5999999999999997E-2</v>
      </c>
      <c r="C14" s="39" t="s">
        <v>68</v>
      </c>
      <c r="D14" s="56">
        <f>DATE(2014,3,13)</f>
        <v>41711</v>
      </c>
      <c r="E14" s="56">
        <f>DATE(2024,4,1)</f>
        <v>45383</v>
      </c>
      <c r="F14" s="58">
        <f t="shared" si="0"/>
        <v>10.050000000000001</v>
      </c>
      <c r="G14" s="58">
        <f t="shared" si="1"/>
        <v>1.7527777777777778</v>
      </c>
      <c r="H14" s="59">
        <v>425000000</v>
      </c>
      <c r="I14" s="60">
        <v>425000000</v>
      </c>
      <c r="J14" s="61">
        <f>-255000-2635000-710164.21</f>
        <v>-3600164.21</v>
      </c>
      <c r="K14" s="61">
        <f>-1756408.34-183498.35-3167.83</f>
        <v>-1943074.5200000003</v>
      </c>
      <c r="L14" s="62">
        <f t="shared" ref="L14" si="8">SUM(I14:K14)</f>
        <v>419456761.27000004</v>
      </c>
      <c r="M14" s="63">
        <f t="shared" si="3"/>
        <v>98.695708534117657</v>
      </c>
      <c r="N14" s="64">
        <f t="shared" si="4"/>
        <v>3.7569999999999999E-2</v>
      </c>
      <c r="O14" s="39">
        <f t="shared" si="5"/>
        <v>15967250</v>
      </c>
      <c r="P14" s="53">
        <f t="shared" si="6"/>
        <v>4</v>
      </c>
    </row>
    <row r="15" spans="1:16">
      <c r="A15" s="51">
        <f t="shared" si="7"/>
        <v>5</v>
      </c>
      <c r="B15" s="57">
        <v>3.3500000000000002E-2</v>
      </c>
      <c r="C15" s="39" t="s">
        <v>69</v>
      </c>
      <c r="D15" s="56">
        <f>DATE(2015,6,19)</f>
        <v>42174</v>
      </c>
      <c r="E15" s="56">
        <f>DATE(2025,7,1)</f>
        <v>45839</v>
      </c>
      <c r="F15" s="58">
        <f t="shared" si="0"/>
        <v>10.033333333333333</v>
      </c>
      <c r="G15" s="58">
        <f t="shared" si="1"/>
        <v>3.0027777777777778</v>
      </c>
      <c r="H15" s="59">
        <v>250000000</v>
      </c>
      <c r="I15" s="60">
        <v>250000000</v>
      </c>
      <c r="J15" s="61">
        <f>-320000-1625000-496421.02</f>
        <v>-2441421.02</v>
      </c>
      <c r="K15" s="61">
        <v>0</v>
      </c>
      <c r="L15" s="62">
        <f t="shared" ref="L15" si="9">SUM(I15:K15)</f>
        <v>247558578.97999999</v>
      </c>
      <c r="M15" s="63">
        <f t="shared" si="3"/>
        <v>99.023431591999994</v>
      </c>
      <c r="N15" s="64">
        <f t="shared" si="4"/>
        <v>3.4660000000000003E-2</v>
      </c>
      <c r="O15" s="39">
        <f t="shared" si="5"/>
        <v>8665000</v>
      </c>
      <c r="P15" s="53">
        <f t="shared" si="6"/>
        <v>5</v>
      </c>
    </row>
    <row r="16" spans="1:16">
      <c r="A16" s="51">
        <f t="shared" si="7"/>
        <v>6</v>
      </c>
      <c r="B16" s="57">
        <v>3.5000000000000003E-2</v>
      </c>
      <c r="C16" s="39" t="s">
        <v>70</v>
      </c>
      <c r="D16" s="56">
        <f>DATE(2019,3,1)</f>
        <v>43525</v>
      </c>
      <c r="E16" s="56">
        <f>DATE(2029,6,15)</f>
        <v>47284</v>
      </c>
      <c r="F16" s="58">
        <f>YEARFRAC(D16,E16)</f>
        <v>10.28888888888889</v>
      </c>
      <c r="G16" s="58">
        <f>YEARFRAC($A$4,E16)</f>
        <v>6.958333333333333</v>
      </c>
      <c r="H16" s="59">
        <v>400000000</v>
      </c>
      <c r="I16" s="60">
        <v>400000000</v>
      </c>
      <c r="J16" s="61">
        <f>-740000-1700000-59986.3-374194.58</f>
        <v>-2874180.88</v>
      </c>
      <c r="K16" s="61">
        <v>0</v>
      </c>
      <c r="L16" s="62">
        <f>SUM(I16:K16)</f>
        <v>397125819.12</v>
      </c>
      <c r="M16" s="63">
        <f>L16/I16*100</f>
        <v>99.281454780000004</v>
      </c>
      <c r="N16" s="64">
        <f>ROUND(YIELD(D16,E16,B16,M16,100,2,0),5)</f>
        <v>3.5839999999999997E-2</v>
      </c>
      <c r="O16" s="39">
        <f>ROUND(N16,5)*I16</f>
        <v>14335999.999999998</v>
      </c>
      <c r="P16" s="53">
        <f t="shared" si="6"/>
        <v>6</v>
      </c>
    </row>
    <row r="17" spans="1:18">
      <c r="A17" s="51">
        <f t="shared" si="7"/>
        <v>7</v>
      </c>
      <c r="B17" s="57">
        <v>2.7E-2</v>
      </c>
      <c r="C17" s="39" t="s">
        <v>71</v>
      </c>
      <c r="D17" s="56">
        <f>DATE(2020,4,8)</f>
        <v>43929</v>
      </c>
      <c r="E17" s="56">
        <f>DATE(2030,9,15)</f>
        <v>47741</v>
      </c>
      <c r="F17" s="58">
        <f>YEARFRAC(D17,E17)</f>
        <v>10.436111111111112</v>
      </c>
      <c r="G17" s="58">
        <f>YEARFRAC($A$4,E17)</f>
        <v>8.2083333333333339</v>
      </c>
      <c r="H17" s="59">
        <v>400000000</v>
      </c>
      <c r="I17" s="60">
        <v>400000000</v>
      </c>
      <c r="J17" s="61">
        <f>-720000-1700000-65400.39-391165.2-225.58</f>
        <v>-2876791.1700000004</v>
      </c>
      <c r="K17" s="61">
        <v>0</v>
      </c>
      <c r="L17" s="62">
        <f>SUM(I17:K17)</f>
        <v>397123208.82999998</v>
      </c>
      <c r="M17" s="63">
        <f>L17/I17*100</f>
        <v>99.280802207500003</v>
      </c>
      <c r="N17" s="64">
        <f>ROUND(YIELD(D17,E17,B17,M17,100,2,0),5)</f>
        <v>2.7799999999999998E-2</v>
      </c>
      <c r="O17" s="39">
        <f>ROUND(N17,5)*I17</f>
        <v>11120000</v>
      </c>
      <c r="P17" s="53">
        <f t="shared" si="6"/>
        <v>7</v>
      </c>
    </row>
    <row r="18" spans="1:18">
      <c r="A18" s="51">
        <f t="shared" si="7"/>
        <v>8</v>
      </c>
      <c r="B18" s="57">
        <v>7.6999999999999999E-2</v>
      </c>
      <c r="C18" s="39" t="s">
        <v>72</v>
      </c>
      <c r="D18" s="56">
        <f>DATE(2001,11,21)</f>
        <v>37216</v>
      </c>
      <c r="E18" s="56">
        <f>DATE(2031,11,15)</f>
        <v>48167</v>
      </c>
      <c r="F18" s="58">
        <f t="shared" si="0"/>
        <v>29.983333333333334</v>
      </c>
      <c r="G18" s="58">
        <f t="shared" si="1"/>
        <v>9.375</v>
      </c>
      <c r="H18" s="59">
        <v>300000000</v>
      </c>
      <c r="I18" s="60">
        <v>300000000</v>
      </c>
      <c r="J18" s="61">
        <f>-2625000-864000-212309.65</f>
        <v>-3701309.65</v>
      </c>
      <c r="K18" s="61">
        <v>0</v>
      </c>
      <c r="L18" s="62">
        <f t="shared" ref="L18:L26" si="10">SUM(I18:K18)</f>
        <v>296298690.35000002</v>
      </c>
      <c r="M18" s="63">
        <f t="shared" si="3"/>
        <v>98.766230116666677</v>
      </c>
      <c r="N18" s="64">
        <f t="shared" si="4"/>
        <v>7.8070000000000001E-2</v>
      </c>
      <c r="O18" s="39">
        <f t="shared" si="5"/>
        <v>23421000</v>
      </c>
      <c r="P18" s="53">
        <f t="shared" si="6"/>
        <v>8</v>
      </c>
      <c r="R18" s="65"/>
    </row>
    <row r="19" spans="1:18">
      <c r="A19" s="51">
        <f t="shared" si="7"/>
        <v>9</v>
      </c>
      <c r="B19" s="57">
        <v>5.8999999999999997E-2</v>
      </c>
      <c r="C19" s="39" t="s">
        <v>73</v>
      </c>
      <c r="D19" s="56">
        <f>DATE(2004,8,24)</f>
        <v>38223</v>
      </c>
      <c r="E19" s="56">
        <f>DATE(2034,8,15)</f>
        <v>49171</v>
      </c>
      <c r="F19" s="58">
        <f t="shared" si="0"/>
        <v>29.975000000000001</v>
      </c>
      <c r="G19" s="58">
        <f t="shared" si="1"/>
        <v>12.125</v>
      </c>
      <c r="H19" s="59">
        <v>200000000</v>
      </c>
      <c r="I19" s="60">
        <v>200000000</v>
      </c>
      <c r="J19" s="61">
        <f>-722000-1750000-142365.3</f>
        <v>-2614365.2999999998</v>
      </c>
      <c r="K19" s="61">
        <v>0</v>
      </c>
      <c r="L19" s="62">
        <f t="shared" si="10"/>
        <v>197385634.69999999</v>
      </c>
      <c r="M19" s="63">
        <f t="shared" si="3"/>
        <v>98.692817349999999</v>
      </c>
      <c r="N19" s="64">
        <f t="shared" si="4"/>
        <v>5.994E-2</v>
      </c>
      <c r="O19" s="39">
        <f t="shared" si="5"/>
        <v>11988000</v>
      </c>
      <c r="P19" s="53">
        <f t="shared" si="6"/>
        <v>9</v>
      </c>
      <c r="R19" s="65"/>
    </row>
    <row r="20" spans="1:18">
      <c r="A20" s="51">
        <f t="shared" si="7"/>
        <v>10</v>
      </c>
      <c r="B20" s="57">
        <v>5.2499999999999998E-2</v>
      </c>
      <c r="C20" s="39" t="s">
        <v>74</v>
      </c>
      <c r="D20" s="56">
        <f>DATE(2005,6,8)</f>
        <v>38511</v>
      </c>
      <c r="E20" s="56">
        <f>DATE(2035,6,15)</f>
        <v>49475</v>
      </c>
      <c r="F20" s="58">
        <f t="shared" si="0"/>
        <v>30.019444444444446</v>
      </c>
      <c r="G20" s="58">
        <f t="shared" si="1"/>
        <v>12.958333333333334</v>
      </c>
      <c r="H20" s="59">
        <v>300000000</v>
      </c>
      <c r="I20" s="60">
        <v>300000000</v>
      </c>
      <c r="J20" s="61">
        <f>-1080000-2625000-287020.96</f>
        <v>-3992020.96</v>
      </c>
      <c r="K20" s="61">
        <v>-1295995.2</v>
      </c>
      <c r="L20" s="62">
        <f t="shared" si="10"/>
        <v>294711983.84000003</v>
      </c>
      <c r="M20" s="63">
        <f t="shared" si="3"/>
        <v>98.237327946666682</v>
      </c>
      <c r="N20" s="64">
        <f t="shared" si="4"/>
        <v>5.3690000000000002E-2</v>
      </c>
      <c r="O20" s="39">
        <f t="shared" si="5"/>
        <v>16107000</v>
      </c>
      <c r="P20" s="53">
        <f t="shared" si="6"/>
        <v>10</v>
      </c>
    </row>
    <row r="21" spans="1:18">
      <c r="A21" s="51">
        <f t="shared" si="7"/>
        <v>11</v>
      </c>
      <c r="B21" s="57">
        <v>6.0999999999999999E-2</v>
      </c>
      <c r="C21" s="39" t="s">
        <v>75</v>
      </c>
      <c r="D21" s="56">
        <f>DATE(2006,8,10)</f>
        <v>38939</v>
      </c>
      <c r="E21" s="56">
        <f>DATE(2036,8,1)</f>
        <v>49888</v>
      </c>
      <c r="F21" s="58">
        <f t="shared" si="0"/>
        <v>29.975000000000001</v>
      </c>
      <c r="G21" s="58">
        <f t="shared" si="1"/>
        <v>14.08611111111111</v>
      </c>
      <c r="H21" s="59">
        <v>350000000</v>
      </c>
      <c r="I21" s="60">
        <v>350000000</v>
      </c>
      <c r="J21" s="61">
        <f>-1141000-2450000-457880.81</f>
        <v>-4048880.81</v>
      </c>
      <c r="K21" s="61">
        <v>0</v>
      </c>
      <c r="L21" s="62">
        <f t="shared" si="10"/>
        <v>345951119.19</v>
      </c>
      <c r="M21" s="63">
        <f t="shared" si="3"/>
        <v>98.843176911428571</v>
      </c>
      <c r="N21" s="64">
        <f t="shared" si="4"/>
        <v>6.1850000000000002E-2</v>
      </c>
      <c r="O21" s="39">
        <f t="shared" si="5"/>
        <v>21647500</v>
      </c>
      <c r="P21" s="53">
        <f t="shared" si="6"/>
        <v>11</v>
      </c>
    </row>
    <row r="22" spans="1:18">
      <c r="A22" s="51">
        <f t="shared" si="7"/>
        <v>12</v>
      </c>
      <c r="B22" s="57">
        <v>5.7500000000000002E-2</v>
      </c>
      <c r="C22" s="39" t="s">
        <v>76</v>
      </c>
      <c r="D22" s="56">
        <f>DATE(2007,3,14)</f>
        <v>39155</v>
      </c>
      <c r="E22" s="56">
        <f>DATE(2037,4,1)</f>
        <v>50131</v>
      </c>
      <c r="F22" s="58">
        <f t="shared" si="0"/>
        <v>30.047222222222221</v>
      </c>
      <c r="G22" s="58">
        <f t="shared" si="1"/>
        <v>14.752777777777778</v>
      </c>
      <c r="H22" s="59">
        <v>600000000</v>
      </c>
      <c r="I22" s="60">
        <v>600000000</v>
      </c>
      <c r="J22" s="61">
        <f>-24000-589216.14</f>
        <v>-613216.14</v>
      </c>
      <c r="K22" s="61">
        <v>0</v>
      </c>
      <c r="L22" s="62">
        <f t="shared" si="10"/>
        <v>599386783.86000001</v>
      </c>
      <c r="M22" s="63">
        <f t="shared" si="3"/>
        <v>99.897797310000001</v>
      </c>
      <c r="N22" s="64">
        <f t="shared" si="4"/>
        <v>5.7570000000000003E-2</v>
      </c>
      <c r="O22" s="39">
        <f t="shared" si="5"/>
        <v>34542000</v>
      </c>
      <c r="P22" s="53">
        <f t="shared" si="6"/>
        <v>12</v>
      </c>
    </row>
    <row r="23" spans="1:18">
      <c r="A23" s="51">
        <f t="shared" si="7"/>
        <v>13</v>
      </c>
      <c r="B23" s="57">
        <v>6.25E-2</v>
      </c>
      <c r="C23" s="39" t="s">
        <v>77</v>
      </c>
      <c r="D23" s="56">
        <f>DATE(2007,10,3)</f>
        <v>39358</v>
      </c>
      <c r="E23" s="56">
        <f>DATE(2037,10,15)</f>
        <v>50328</v>
      </c>
      <c r="F23" s="58">
        <f t="shared" si="0"/>
        <v>30.033333333333335</v>
      </c>
      <c r="G23" s="58">
        <f t="shared" si="1"/>
        <v>15.291666666666666</v>
      </c>
      <c r="H23" s="59">
        <v>600000000</v>
      </c>
      <c r="I23" s="60">
        <v>600000000</v>
      </c>
      <c r="J23" s="61">
        <f>-750000-4650000-477281.03</f>
        <v>-5877281.0300000003</v>
      </c>
      <c r="K23" s="61">
        <v>0</v>
      </c>
      <c r="L23" s="62">
        <f t="shared" si="10"/>
        <v>594122718.97000003</v>
      </c>
      <c r="M23" s="63">
        <f t="shared" si="3"/>
        <v>99.020453161666666</v>
      </c>
      <c r="N23" s="64">
        <f t="shared" si="4"/>
        <v>6.3229999999999995E-2</v>
      </c>
      <c r="O23" s="39">
        <f t="shared" si="5"/>
        <v>37938000</v>
      </c>
      <c r="P23" s="53">
        <f t="shared" si="6"/>
        <v>13</v>
      </c>
    </row>
    <row r="24" spans="1:18">
      <c r="A24" s="51">
        <f t="shared" si="7"/>
        <v>14</v>
      </c>
      <c r="B24" s="57">
        <v>6.3500000000000001E-2</v>
      </c>
      <c r="C24" s="39" t="s">
        <v>78</v>
      </c>
      <c r="D24" s="56">
        <f>DATE(2008,7,17)</f>
        <v>39646</v>
      </c>
      <c r="E24" s="56">
        <f>DATE(2038,7,15)</f>
        <v>50601</v>
      </c>
      <c r="F24" s="58">
        <f t="shared" si="0"/>
        <v>29.994444444444444</v>
      </c>
      <c r="G24" s="58">
        <f t="shared" si="1"/>
        <v>16.041666666666668</v>
      </c>
      <c r="H24" s="59">
        <v>300000000</v>
      </c>
      <c r="I24" s="60">
        <v>300000000</v>
      </c>
      <c r="J24" s="61">
        <f>-1671000-2100000-189957.54-375</f>
        <v>-3961332.54</v>
      </c>
      <c r="K24" s="61">
        <v>0</v>
      </c>
      <c r="L24" s="62">
        <f t="shared" si="10"/>
        <v>296038667.45999998</v>
      </c>
      <c r="M24" s="63">
        <f t="shared" si="3"/>
        <v>98.679555820000004</v>
      </c>
      <c r="N24" s="64">
        <f t="shared" si="4"/>
        <v>6.4500000000000002E-2</v>
      </c>
      <c r="O24" s="39">
        <f t="shared" si="5"/>
        <v>19350000</v>
      </c>
      <c r="P24" s="53">
        <f t="shared" si="6"/>
        <v>14</v>
      </c>
    </row>
    <row r="25" spans="1:18">
      <c r="A25" s="51">
        <f t="shared" si="7"/>
        <v>15</v>
      </c>
      <c r="B25" s="57">
        <v>0.06</v>
      </c>
      <c r="C25" s="39" t="s">
        <v>79</v>
      </c>
      <c r="D25" s="56">
        <f>DATE(2009,1,8)</f>
        <v>39821</v>
      </c>
      <c r="E25" s="56">
        <f>DATE(2039,1,15)</f>
        <v>50785</v>
      </c>
      <c r="F25" s="58">
        <f t="shared" si="0"/>
        <v>30.019444444444446</v>
      </c>
      <c r="G25" s="58">
        <f t="shared" si="1"/>
        <v>16.541666666666668</v>
      </c>
      <c r="H25" s="59">
        <v>650000000</v>
      </c>
      <c r="I25" s="60">
        <v>650000000</v>
      </c>
      <c r="J25" s="61">
        <f>-6175000-5687500-436184.72-11002.1</f>
        <v>-12309686.82</v>
      </c>
      <c r="K25" s="61">
        <v>0</v>
      </c>
      <c r="L25" s="62">
        <f t="shared" si="10"/>
        <v>637690313.17999995</v>
      </c>
      <c r="M25" s="63">
        <f t="shared" si="3"/>
        <v>98.106202027692305</v>
      </c>
      <c r="N25" s="64">
        <f t="shared" si="4"/>
        <v>6.139E-2</v>
      </c>
      <c r="O25" s="39">
        <f t="shared" si="5"/>
        <v>39903500</v>
      </c>
      <c r="P25" s="53">
        <f t="shared" si="6"/>
        <v>15</v>
      </c>
    </row>
    <row r="26" spans="1:18">
      <c r="A26" s="51">
        <f t="shared" si="7"/>
        <v>16</v>
      </c>
      <c r="B26" s="57">
        <v>4.1000000000000002E-2</v>
      </c>
      <c r="C26" s="39" t="s">
        <v>80</v>
      </c>
      <c r="D26" s="56">
        <f>DATE(2012,1,6)</f>
        <v>40914</v>
      </c>
      <c r="E26" s="56">
        <f>DATE(2042,2,1)</f>
        <v>51898</v>
      </c>
      <c r="F26" s="58">
        <f t="shared" si="0"/>
        <v>30.069444444444443</v>
      </c>
      <c r="G26" s="58">
        <f t="shared" si="1"/>
        <v>19.586111111111112</v>
      </c>
      <c r="H26" s="59">
        <v>300000000</v>
      </c>
      <c r="I26" s="60">
        <v>300000000</v>
      </c>
      <c r="J26" s="61">
        <f>-2400000-987000-337549.42-361.51</f>
        <v>-3724910.9299999997</v>
      </c>
      <c r="K26" s="61">
        <v>0</v>
      </c>
      <c r="L26" s="62">
        <f t="shared" si="10"/>
        <v>296275089.06999999</v>
      </c>
      <c r="M26" s="63">
        <f t="shared" si="3"/>
        <v>98.758363023333331</v>
      </c>
      <c r="N26" s="64">
        <f>ROUND(YIELD(D26,E26,B26,M26,100,2,0),5)</f>
        <v>4.1730000000000003E-2</v>
      </c>
      <c r="O26" s="39">
        <f t="shared" si="5"/>
        <v>12519000.000000002</v>
      </c>
      <c r="P26" s="53">
        <f t="shared" si="6"/>
        <v>16</v>
      </c>
    </row>
    <row r="27" spans="1:18">
      <c r="A27" s="51">
        <f t="shared" si="7"/>
        <v>17</v>
      </c>
      <c r="B27" s="57">
        <v>4.1250000000000002E-2</v>
      </c>
      <c r="C27" s="39" t="s">
        <v>81</v>
      </c>
      <c r="D27" s="56">
        <f>DATE(2018,7,13)</f>
        <v>43294</v>
      </c>
      <c r="E27" s="56">
        <f>DATE(2049,1,15)</f>
        <v>54438</v>
      </c>
      <c r="F27" s="58">
        <f t="shared" si="0"/>
        <v>30.505555555555556</v>
      </c>
      <c r="G27" s="58">
        <f t="shared" si="1"/>
        <v>26.541666666666668</v>
      </c>
      <c r="H27" s="59">
        <v>600000000</v>
      </c>
      <c r="I27" s="60">
        <v>600000000</v>
      </c>
      <c r="J27" s="61">
        <f>-1344000-4800000-86899.03-753185.56</f>
        <v>-6984084.5899999999</v>
      </c>
      <c r="K27" s="61">
        <v>0</v>
      </c>
      <c r="L27" s="62">
        <f t="shared" ref="L27" si="11">SUM(I27:K27)</f>
        <v>593015915.40999997</v>
      </c>
      <c r="M27" s="63">
        <f t="shared" si="3"/>
        <v>98.83598590166666</v>
      </c>
      <c r="N27" s="64">
        <f>ROUND(YIELD(D27,E27,B27,M27,100,2,0),5)</f>
        <v>4.1930000000000002E-2</v>
      </c>
      <c r="O27" s="39">
        <f t="shared" si="5"/>
        <v>25158000</v>
      </c>
      <c r="P27" s="53">
        <f t="shared" si="6"/>
        <v>17</v>
      </c>
    </row>
    <row r="28" spans="1:18">
      <c r="A28" s="51">
        <f t="shared" si="7"/>
        <v>18</v>
      </c>
      <c r="B28" s="57">
        <v>4.1500000000000002E-2</v>
      </c>
      <c r="C28" s="39" t="s">
        <v>82</v>
      </c>
      <c r="D28" s="56">
        <f>DATE(2019,3,1)</f>
        <v>43525</v>
      </c>
      <c r="E28" s="56">
        <f>DATE(2050,2,15)</f>
        <v>54834</v>
      </c>
      <c r="F28" s="58">
        <f t="shared" si="0"/>
        <v>30.955555555555556</v>
      </c>
      <c r="G28" s="58">
        <f t="shared" si="1"/>
        <v>27.625</v>
      </c>
      <c r="H28" s="59">
        <v>600000000</v>
      </c>
      <c r="I28" s="60">
        <v>600000000</v>
      </c>
      <c r="J28" s="61">
        <f>-2790000-4500000-89979.46-558791.88</f>
        <v>-7938771.3399999999</v>
      </c>
      <c r="K28" s="61">
        <v>0</v>
      </c>
      <c r="L28" s="62">
        <f t="shared" ref="L28:L29" si="12">SUM(I28:K28)</f>
        <v>592061228.65999997</v>
      </c>
      <c r="M28" s="63">
        <f t="shared" si="3"/>
        <v>98.676871443333326</v>
      </c>
      <c r="N28" s="64">
        <f>ROUND(YIELD(D28,E28,B28,M28,100,2,0),5)</f>
        <v>4.2270000000000002E-2</v>
      </c>
      <c r="O28" s="39">
        <f t="shared" si="5"/>
        <v>25362000</v>
      </c>
      <c r="P28" s="53">
        <f t="shared" si="6"/>
        <v>18</v>
      </c>
    </row>
    <row r="29" spans="1:18">
      <c r="A29" s="51">
        <f t="shared" si="7"/>
        <v>19</v>
      </c>
      <c r="B29" s="57">
        <v>3.3000000000000002E-2</v>
      </c>
      <c r="C29" s="39" t="s">
        <v>83</v>
      </c>
      <c r="D29" s="56">
        <f>DATE(2020,4,8)</f>
        <v>43929</v>
      </c>
      <c r="E29" s="56">
        <f>DATE(2051,3,15)</f>
        <v>55227</v>
      </c>
      <c r="F29" s="58">
        <f t="shared" si="0"/>
        <v>30.93611111111111</v>
      </c>
      <c r="G29" s="58">
        <f t="shared" si="1"/>
        <v>28.708333333333332</v>
      </c>
      <c r="H29" s="59">
        <v>600000000</v>
      </c>
      <c r="I29" s="60">
        <v>600000000</v>
      </c>
      <c r="J29" s="61">
        <f>-4944000-4500000-98100.59-585497.81-338.37</f>
        <v>-10127936.77</v>
      </c>
      <c r="K29" s="61">
        <v>0</v>
      </c>
      <c r="L29" s="62">
        <f t="shared" si="12"/>
        <v>589872063.23000002</v>
      </c>
      <c r="M29" s="63">
        <f t="shared" si="3"/>
        <v>98.31201053833334</v>
      </c>
      <c r="N29" s="64">
        <f>ROUND(YIELD(D29,E29,B29,M29,100,2,0),5)</f>
        <v>3.388E-2</v>
      </c>
      <c r="O29" s="39">
        <f t="shared" si="5"/>
        <v>20328000</v>
      </c>
      <c r="P29" s="53">
        <f t="shared" si="6"/>
        <v>19</v>
      </c>
    </row>
    <row r="30" spans="1:18">
      <c r="A30" s="51">
        <f t="shared" si="7"/>
        <v>20</v>
      </c>
      <c r="B30" s="57">
        <v>2.9000000000000001E-2</v>
      </c>
      <c r="C30" s="39" t="s">
        <v>84</v>
      </c>
      <c r="D30" s="56">
        <f>DATE(2021,7,9)</f>
        <v>44386</v>
      </c>
      <c r="E30" s="56">
        <f>DATE(2052,6,15)</f>
        <v>55685</v>
      </c>
      <c r="F30" s="58">
        <f t="shared" si="0"/>
        <v>30.933333333333334</v>
      </c>
      <c r="G30" s="58">
        <f t="shared" si="1"/>
        <v>29.958333333333332</v>
      </c>
      <c r="H30" s="59">
        <v>1000000000</v>
      </c>
      <c r="I30" s="60">
        <v>1000000000</v>
      </c>
      <c r="J30" s="61">
        <f>-7670000-7500000-38616.9-1150-850357.1-537750-1500</f>
        <v>-16599374</v>
      </c>
      <c r="K30" s="61">
        <v>0</v>
      </c>
      <c r="L30" s="62">
        <f t="shared" ref="L30" si="13">SUM(I30:K30)</f>
        <v>983400626</v>
      </c>
      <c r="M30" s="63">
        <f t="shared" si="3"/>
        <v>98.340062599999996</v>
      </c>
      <c r="N30" s="64">
        <f>ROUND(YIELD(D30,E30,B30,M30,100,2,0),5)</f>
        <v>2.9819999999999999E-2</v>
      </c>
      <c r="O30" s="39">
        <f t="shared" si="5"/>
        <v>29820000</v>
      </c>
      <c r="P30" s="53">
        <f t="shared" si="6"/>
        <v>20</v>
      </c>
      <c r="R30" s="66"/>
    </row>
    <row r="31" spans="1:18">
      <c r="A31" s="51">
        <f t="shared" si="7"/>
        <v>21</v>
      </c>
      <c r="B31" s="67">
        <f>SUMPRODUCT(B13:B30,I13:I30)/I31</f>
        <v>4.5275229357798166E-2</v>
      </c>
      <c r="C31" s="68" t="s">
        <v>86</v>
      </c>
      <c r="D31" s="56"/>
      <c r="E31" s="56"/>
      <c r="F31" s="69">
        <f>SUMPRODUCT(F13:F30,I13:I30)/I31</f>
        <v>25.994410465511383</v>
      </c>
      <c r="G31" s="69">
        <f>SUMPRODUCT(G13:G30,I13:I30)/I31</f>
        <v>17.253049609242272</v>
      </c>
      <c r="I31" s="70">
        <f>SUM(I13:I30)</f>
        <v>8175000000</v>
      </c>
      <c r="J31" s="70">
        <f>SUM(J13:J30)</f>
        <v>-97045079.700000003</v>
      </c>
      <c r="K31" s="70">
        <f>SUM(K13:K30)</f>
        <v>-3239069.72</v>
      </c>
      <c r="L31" s="70">
        <f>SUM(L13:L30)</f>
        <v>8074715850.5799999</v>
      </c>
      <c r="N31" s="71">
        <f>O31/I31</f>
        <v>4.6158562691131499E-2</v>
      </c>
      <c r="O31" s="68">
        <f>SUM(O13:O30)</f>
        <v>377346250</v>
      </c>
      <c r="P31" s="53">
        <f t="shared" si="6"/>
        <v>21</v>
      </c>
    </row>
    <row r="32" spans="1:18">
      <c r="A32" s="51">
        <f t="shared" si="7"/>
        <v>22</v>
      </c>
      <c r="B32" s="67"/>
      <c r="C32" s="68"/>
      <c r="D32" s="56"/>
      <c r="E32" s="56"/>
      <c r="F32" s="69"/>
      <c r="G32" s="69"/>
      <c r="I32" s="70"/>
      <c r="J32" s="70"/>
      <c r="K32" s="70"/>
      <c r="L32" s="70"/>
      <c r="N32" s="71"/>
      <c r="O32" s="68"/>
      <c r="P32" s="53">
        <f t="shared" si="6"/>
        <v>22</v>
      </c>
    </row>
    <row r="33" spans="1:16">
      <c r="A33" s="51">
        <f t="shared" si="7"/>
        <v>23</v>
      </c>
      <c r="B33" s="72">
        <v>8.0500000000000002E-2</v>
      </c>
      <c r="C33" s="39" t="s">
        <v>118</v>
      </c>
      <c r="D33" s="56">
        <f>DATE(1992,9,18)</f>
        <v>33865</v>
      </c>
      <c r="E33" s="56">
        <f>DATE(2022,9,1)</f>
        <v>44805</v>
      </c>
      <c r="F33" s="58">
        <f t="shared" ref="F33:F41" si="14">YEARFRAC(D33,E33)</f>
        <v>29.952777777777779</v>
      </c>
      <c r="G33" s="58">
        <f t="shared" ref="G33:G41" si="15">YEARFRAC($A$4,E33)</f>
        <v>0.16944444444444445</v>
      </c>
      <c r="H33" s="61">
        <v>15000000</v>
      </c>
      <c r="I33" s="73">
        <v>15000000</v>
      </c>
      <c r="J33" s="61">
        <f>-(112500+11357.11+3127.91+233.41+3012.2+490.27+379.71+824.03+1068.66+1044.13+175.82+116.14+31.69+23.55+135.95+11.85+169.91+149.66-3380.62)</f>
        <v>-131471.38000000006</v>
      </c>
      <c r="K33" s="61">
        <v>-1695566.05</v>
      </c>
      <c r="L33" s="61">
        <f t="shared" ref="L33:L41" si="16">SUM(I33:K33)</f>
        <v>13172962.569999998</v>
      </c>
      <c r="M33" s="63">
        <f t="shared" ref="M33:M41" si="17">L33/I33*100</f>
        <v>87.819750466666662</v>
      </c>
      <c r="N33" s="64">
        <f t="shared" ref="N33:N41" si="18">ROUND(YIELD(D33,E33,B33,M33,100,2,0),5)</f>
        <v>9.257E-2</v>
      </c>
      <c r="O33" s="39">
        <f t="shared" ref="O33:O41" si="19">ROUND(N33,5)*I33</f>
        <v>1388550</v>
      </c>
      <c r="P33" s="53">
        <f t="shared" si="6"/>
        <v>23</v>
      </c>
    </row>
    <row r="34" spans="1:16">
      <c r="A34" s="51">
        <f t="shared" si="7"/>
        <v>24</v>
      </c>
      <c r="B34" s="72">
        <v>8.0700000000000008E-2</v>
      </c>
      <c r="C34" s="39" t="s">
        <v>118</v>
      </c>
      <c r="D34" s="56">
        <f>DATE(1992,9,9)</f>
        <v>33856</v>
      </c>
      <c r="E34" s="56">
        <f>DATE(2022,9,9)</f>
        <v>44813</v>
      </c>
      <c r="F34" s="58">
        <f t="shared" si="14"/>
        <v>30</v>
      </c>
      <c r="G34" s="58">
        <f t="shared" si="15"/>
        <v>0.19166666666666668</v>
      </c>
      <c r="H34" s="61">
        <v>8000000</v>
      </c>
      <c r="I34" s="73">
        <v>8000000</v>
      </c>
      <c r="J34" s="61">
        <f>-(60000+6057.13+1668.22+124.49+1606.51+261.48+202.51+439.48+569.95+556.87+93.77+61.94+16.9+12.56+72.51+6.32+90.62+79.82-1803)</f>
        <v>-70118.079999999987</v>
      </c>
      <c r="K34" s="61">
        <v>-904301.89</v>
      </c>
      <c r="L34" s="61">
        <f t="shared" si="16"/>
        <v>7025580.0300000003</v>
      </c>
      <c r="M34" s="63">
        <f t="shared" si="17"/>
        <v>87.819750375000012</v>
      </c>
      <c r="N34" s="64">
        <f t="shared" si="18"/>
        <v>9.2799999999999994E-2</v>
      </c>
      <c r="O34" s="39">
        <f t="shared" si="19"/>
        <v>742400</v>
      </c>
      <c r="P34" s="53">
        <f t="shared" si="6"/>
        <v>24</v>
      </c>
    </row>
    <row r="35" spans="1:16">
      <c r="A35" s="51">
        <f t="shared" si="7"/>
        <v>25</v>
      </c>
      <c r="B35" s="72">
        <v>8.1100000000000005E-2</v>
      </c>
      <c r="C35" s="39" t="s">
        <v>118</v>
      </c>
      <c r="D35" s="56">
        <f>DATE(1992,9,11)</f>
        <v>33858</v>
      </c>
      <c r="E35" s="56">
        <f>DATE(2022,9,9)</f>
        <v>44813</v>
      </c>
      <c r="F35" s="58">
        <f t="shared" si="14"/>
        <v>29.994444444444444</v>
      </c>
      <c r="G35" s="58">
        <f t="shared" si="15"/>
        <v>0.19166666666666668</v>
      </c>
      <c r="H35" s="61">
        <v>12000000</v>
      </c>
      <c r="I35" s="73">
        <v>12000000</v>
      </c>
      <c r="J35" s="61">
        <f>-(90000+9085.69+2502.33+186.73+2409.76+392.22+303.77+659.22+854.93+835.31+140.66+92.92+25.35+18.84+108.76+9.48+135.93+119.73-2704.5)</f>
        <v>-105177.12999999998</v>
      </c>
      <c r="K35" s="61">
        <v>-1356452.84</v>
      </c>
      <c r="L35" s="61">
        <f t="shared" si="16"/>
        <v>10538370.029999999</v>
      </c>
      <c r="M35" s="63">
        <f t="shared" si="17"/>
        <v>87.819750249999998</v>
      </c>
      <c r="N35" s="64">
        <f t="shared" si="18"/>
        <v>9.325E-2</v>
      </c>
      <c r="O35" s="39">
        <f t="shared" si="19"/>
        <v>1119000</v>
      </c>
      <c r="P35" s="53">
        <f t="shared" si="6"/>
        <v>25</v>
      </c>
    </row>
    <row r="36" spans="1:16">
      <c r="A36" s="51">
        <f t="shared" si="7"/>
        <v>26</v>
      </c>
      <c r="B36" s="72">
        <v>8.1200000000000008E-2</v>
      </c>
      <c r="C36" s="39" t="s">
        <v>118</v>
      </c>
      <c r="D36" s="56">
        <f>DATE(1992,9,11)</f>
        <v>33858</v>
      </c>
      <c r="E36" s="56">
        <f>DATE(2022,9,9)</f>
        <v>44813</v>
      </c>
      <c r="F36" s="58">
        <f t="shared" si="14"/>
        <v>29.994444444444444</v>
      </c>
      <c r="G36" s="58">
        <f t="shared" si="15"/>
        <v>0.19166666666666668</v>
      </c>
      <c r="H36" s="61">
        <v>50000000</v>
      </c>
      <c r="I36" s="73">
        <v>50000000</v>
      </c>
      <c r="J36" s="61">
        <f>-(375000+37857.05+10426.39+778.02+10040.66+1634.24+1265.7+2746.76+3562.22+3480.45+586.07+387.15+105.64+78.5+453.17+39.5+566.38+498.86-11268.74)</f>
        <v>-438238.02</v>
      </c>
      <c r="K36" s="61">
        <v>-5651886.8399999999</v>
      </c>
      <c r="L36" s="61">
        <f t="shared" si="16"/>
        <v>43909875.140000001</v>
      </c>
      <c r="M36" s="63">
        <f t="shared" si="17"/>
        <v>87.819750279999994</v>
      </c>
      <c r="N36" s="64">
        <f t="shared" si="18"/>
        <v>9.3359999999999999E-2</v>
      </c>
      <c r="O36" s="39">
        <f t="shared" si="19"/>
        <v>4668000</v>
      </c>
      <c r="P36" s="53">
        <f t="shared" si="6"/>
        <v>26</v>
      </c>
    </row>
    <row r="37" spans="1:16">
      <c r="A37" s="51">
        <f t="shared" si="7"/>
        <v>27</v>
      </c>
      <c r="B37" s="72">
        <v>8.0500000000000002E-2</v>
      </c>
      <c r="C37" s="39" t="s">
        <v>118</v>
      </c>
      <c r="D37" s="56">
        <f>DATE(1992,9,14)</f>
        <v>33861</v>
      </c>
      <c r="E37" s="56">
        <f>DATE(2022,9,14)</f>
        <v>44818</v>
      </c>
      <c r="F37" s="58">
        <f t="shared" si="14"/>
        <v>30</v>
      </c>
      <c r="G37" s="58">
        <f t="shared" si="15"/>
        <v>0.20555555555555555</v>
      </c>
      <c r="H37" s="61">
        <v>10000000</v>
      </c>
      <c r="I37" s="73">
        <v>10000000</v>
      </c>
      <c r="J37" s="61">
        <f>-(75000+7571.41+2085.28+155.6+2008.13+326.85+253.14+549.35+712.44+696.09+117.21+77.43+21.13+15.7+90.63+7.9+113.27+99.77-2253.75)</f>
        <v>-87647.580000000031</v>
      </c>
      <c r="K37" s="61">
        <v>-1130377.3700000001</v>
      </c>
      <c r="L37" s="61">
        <f t="shared" si="16"/>
        <v>8781975.0500000007</v>
      </c>
      <c r="M37" s="63">
        <f t="shared" si="17"/>
        <v>87.819750499999998</v>
      </c>
      <c r="N37" s="64">
        <f t="shared" si="18"/>
        <v>9.2579999999999996E-2</v>
      </c>
      <c r="O37" s="39">
        <f t="shared" si="19"/>
        <v>925800</v>
      </c>
      <c r="P37" s="53">
        <f t="shared" si="6"/>
        <v>27</v>
      </c>
    </row>
    <row r="38" spans="1:16">
      <c r="A38" s="51">
        <f t="shared" si="7"/>
        <v>28</v>
      </c>
      <c r="B38" s="72">
        <v>8.0800000000000011E-2</v>
      </c>
      <c r="C38" s="39" t="s">
        <v>117</v>
      </c>
      <c r="D38" s="56">
        <f>DATE(1992,10,15)</f>
        <v>33892</v>
      </c>
      <c r="E38" s="56">
        <f>DATE(2022,10,14)</f>
        <v>44848</v>
      </c>
      <c r="F38" s="58">
        <f t="shared" si="14"/>
        <v>29.997222222222224</v>
      </c>
      <c r="G38" s="58">
        <f t="shared" si="15"/>
        <v>0.28888888888888886</v>
      </c>
      <c r="H38" s="61">
        <v>25000000</v>
      </c>
      <c r="I38" s="73">
        <v>25000000</v>
      </c>
      <c r="J38" s="61">
        <f>-(187500+5213.19+389.01+5020.33+817.12+632.85+1373.38+1781.11+1740.22+293.04+193.58+52.82+39.25+226.58+19.75+283.19+249.43-5634.37)</f>
        <v>-200190.47999999998</v>
      </c>
      <c r="K38" s="61">
        <f>-(942395.61+1119231.5)</f>
        <v>-2061627.1099999999</v>
      </c>
      <c r="L38" s="61">
        <f t="shared" si="16"/>
        <v>22738182.41</v>
      </c>
      <c r="M38" s="63">
        <f t="shared" si="17"/>
        <v>90.952729640000001</v>
      </c>
      <c r="N38" s="64">
        <f t="shared" si="18"/>
        <v>8.9529999999999998E-2</v>
      </c>
      <c r="O38" s="39">
        <f t="shared" si="19"/>
        <v>2238250</v>
      </c>
      <c r="P38" s="53">
        <f t="shared" si="6"/>
        <v>28</v>
      </c>
    </row>
    <row r="39" spans="1:16">
      <c r="A39" s="51">
        <f t="shared" si="7"/>
        <v>29</v>
      </c>
      <c r="B39" s="72">
        <v>8.0800000000000011E-2</v>
      </c>
      <c r="C39" s="39" t="s">
        <v>117</v>
      </c>
      <c r="D39" s="56">
        <f>DATE(1992,10,15)</f>
        <v>33892</v>
      </c>
      <c r="E39" s="56">
        <f>DATE(2022,10,14)</f>
        <v>44848</v>
      </c>
      <c r="F39" s="58">
        <f t="shared" si="14"/>
        <v>29.997222222222224</v>
      </c>
      <c r="G39" s="58">
        <f t="shared" si="15"/>
        <v>0.28888888888888886</v>
      </c>
      <c r="H39" s="61">
        <v>26000000</v>
      </c>
      <c r="I39" s="73">
        <v>26000000</v>
      </c>
      <c r="J39" s="61">
        <f>-(195000+5421.72+404.57+5221.14+849.8+658.16+1428.31+1852.35+1809.83+304.76+201.32+54.93+40.82+235.65+20.54+294.52+259.41-5859.74)</f>
        <v>-208198.09000000003</v>
      </c>
      <c r="K39" s="61">
        <v>-2938981.15</v>
      </c>
      <c r="L39" s="61">
        <f t="shared" si="16"/>
        <v>22852820.760000002</v>
      </c>
      <c r="M39" s="63">
        <f t="shared" si="17"/>
        <v>87.895464461538467</v>
      </c>
      <c r="N39" s="64">
        <f t="shared" si="18"/>
        <v>9.2829999999999996E-2</v>
      </c>
      <c r="O39" s="39">
        <f t="shared" si="19"/>
        <v>2413580</v>
      </c>
      <c r="P39" s="53">
        <f t="shared" si="6"/>
        <v>29</v>
      </c>
    </row>
    <row r="40" spans="1:16">
      <c r="A40" s="51">
        <f t="shared" si="7"/>
        <v>30</v>
      </c>
      <c r="B40" s="72">
        <v>8.2299999999999998E-2</v>
      </c>
      <c r="C40" s="39" t="s">
        <v>87</v>
      </c>
      <c r="D40" s="56">
        <f>DATE(1993,1,29)</f>
        <v>33998</v>
      </c>
      <c r="E40" s="56">
        <f>DATE(2023,1,20)</f>
        <v>44946</v>
      </c>
      <c r="F40" s="58">
        <f t="shared" si="14"/>
        <v>29.975000000000001</v>
      </c>
      <c r="G40" s="58">
        <f t="shared" si="15"/>
        <v>0.55555555555555558</v>
      </c>
      <c r="H40" s="61">
        <v>4000000</v>
      </c>
      <c r="I40" s="73">
        <v>4000000</v>
      </c>
      <c r="J40" s="61">
        <f>-(30000+130.74+101.26+219.74+284.98+278.44+46.89+30.97+8.45+6.28+36.25+3.16+45.31+39.91-901.5)+81560</f>
        <v>51229.119999999995</v>
      </c>
      <c r="K40" s="61">
        <v>-88988.58</v>
      </c>
      <c r="L40" s="61">
        <f t="shared" si="16"/>
        <v>3962240.54</v>
      </c>
      <c r="M40" s="63">
        <f t="shared" si="17"/>
        <v>99.056013500000006</v>
      </c>
      <c r="N40" s="64">
        <f t="shared" si="18"/>
        <v>8.3159999999999998E-2</v>
      </c>
      <c r="O40" s="39">
        <f t="shared" si="19"/>
        <v>332640</v>
      </c>
      <c r="P40" s="53">
        <f t="shared" si="6"/>
        <v>30</v>
      </c>
    </row>
    <row r="41" spans="1:16">
      <c r="A41" s="51">
        <f t="shared" si="7"/>
        <v>31</v>
      </c>
      <c r="B41" s="72">
        <v>8.2299999999999998E-2</v>
      </c>
      <c r="C41" s="39" t="s">
        <v>87</v>
      </c>
      <c r="D41" s="56">
        <f>DATE(1993,1,20)</f>
        <v>33989</v>
      </c>
      <c r="E41" s="56">
        <f>DATE(2023,1,20)</f>
        <v>44946</v>
      </c>
      <c r="F41" s="58">
        <f t="shared" si="14"/>
        <v>30</v>
      </c>
      <c r="G41" s="58">
        <f t="shared" si="15"/>
        <v>0.55555555555555558</v>
      </c>
      <c r="H41" s="61">
        <v>5000000</v>
      </c>
      <c r="I41" s="73">
        <v>5000000</v>
      </c>
      <c r="J41" s="61">
        <f>-(37500+163.42+126.57+274.68+356.22+348.04+58.61+38.71+10.56+7.85+45.32+3.95+56.64+49.89-1126.87)</f>
        <v>-37913.589999999989</v>
      </c>
      <c r="K41" s="61">
        <v>-335843.38</v>
      </c>
      <c r="L41" s="61">
        <f t="shared" si="16"/>
        <v>4626243.03</v>
      </c>
      <c r="M41" s="63">
        <f t="shared" si="17"/>
        <v>92.524860599999997</v>
      </c>
      <c r="N41" s="64">
        <f t="shared" si="18"/>
        <v>8.9510000000000006E-2</v>
      </c>
      <c r="O41" s="39">
        <f t="shared" si="19"/>
        <v>447550.00000000006</v>
      </c>
      <c r="P41" s="53">
        <f t="shared" si="6"/>
        <v>31</v>
      </c>
    </row>
    <row r="42" spans="1:16">
      <c r="A42" s="51">
        <f t="shared" si="7"/>
        <v>32</v>
      </c>
      <c r="B42" s="67">
        <f>SUMPRODUCT(B33:B41,I33:I41)/I42</f>
        <v>8.0985806451612907E-2</v>
      </c>
      <c r="C42" s="68" t="s">
        <v>88</v>
      </c>
      <c r="D42" s="56"/>
      <c r="E42" s="56"/>
      <c r="F42" s="69">
        <f>SUMPRODUCT(F33:F41,I33:I41)/I42</f>
        <v>29.991648745519711</v>
      </c>
      <c r="G42" s="69">
        <f>SUMPRODUCT(G33:G41,I33:I41)/I42</f>
        <v>0.24353046594982075</v>
      </c>
      <c r="I42" s="70">
        <f>SUM(I33:I41)</f>
        <v>155000000</v>
      </c>
      <c r="J42" s="70">
        <f>SUM(J33:J41)</f>
        <v>-1227725.2300000002</v>
      </c>
      <c r="K42" s="70">
        <f>SUM(K33:K41)</f>
        <v>-16164025.210000003</v>
      </c>
      <c r="L42" s="70">
        <f>SUM(L33:L41)</f>
        <v>137608249.56</v>
      </c>
      <c r="N42" s="71">
        <f>O42/I42</f>
        <v>9.2101741935483872E-2</v>
      </c>
      <c r="O42" s="68">
        <f>SUM(O33:O41)</f>
        <v>14275770</v>
      </c>
      <c r="P42" s="53">
        <f t="shared" si="6"/>
        <v>32</v>
      </c>
    </row>
    <row r="43" spans="1:16">
      <c r="A43" s="51">
        <f t="shared" si="7"/>
        <v>33</v>
      </c>
      <c r="D43" s="56"/>
      <c r="E43" s="56"/>
      <c r="F43" s="58"/>
      <c r="G43" s="58"/>
      <c r="I43" s="74"/>
      <c r="J43" s="62"/>
      <c r="L43" s="62"/>
      <c r="M43" s="64"/>
      <c r="N43" s="64"/>
      <c r="P43" s="53">
        <f t="shared" si="6"/>
        <v>33</v>
      </c>
    </row>
    <row r="44" spans="1:16">
      <c r="A44" s="51">
        <f t="shared" si="7"/>
        <v>34</v>
      </c>
      <c r="B44" s="72">
        <v>7.2599999999999998E-2</v>
      </c>
      <c r="C44" s="39" t="s">
        <v>89</v>
      </c>
      <c r="D44" s="56">
        <f>DATE(1993,7,22)</f>
        <v>34172</v>
      </c>
      <c r="E44" s="56">
        <f>DATE(2023,7,21)</f>
        <v>45128</v>
      </c>
      <c r="F44" s="58">
        <f t="shared" ref="F44:F53" si="20">YEARFRAC(D44,E44)</f>
        <v>29.997222222222224</v>
      </c>
      <c r="G44" s="58">
        <f t="shared" ref="G44:G53" si="21">YEARFRAC($A$4,E44)</f>
        <v>1.0583333333333333</v>
      </c>
      <c r="H44" s="61">
        <v>11000000</v>
      </c>
      <c r="I44" s="73">
        <v>11000000</v>
      </c>
      <c r="J44" s="61">
        <v>-100622</v>
      </c>
      <c r="K44" s="61">
        <v>-589062</v>
      </c>
      <c r="L44" s="61">
        <f t="shared" ref="L44:L53" si="22">SUM(I44:K44)</f>
        <v>10310316</v>
      </c>
      <c r="M44" s="63">
        <f t="shared" ref="M44:M53" si="23">L44/I44*100</f>
        <v>93.73014545454545</v>
      </c>
      <c r="N44" s="64">
        <f t="shared" ref="N44:N53" si="24">ROUND(YIELD(D44,E44,B44,M44,100,2,0),5)</f>
        <v>7.8039999999999998E-2</v>
      </c>
      <c r="O44" s="39">
        <f t="shared" ref="O44:O53" si="25">ROUND(N44,5)*I44</f>
        <v>858440</v>
      </c>
      <c r="P44" s="53">
        <f t="shared" si="6"/>
        <v>34</v>
      </c>
    </row>
    <row r="45" spans="1:16">
      <c r="A45" s="51">
        <f t="shared" si="7"/>
        <v>35</v>
      </c>
      <c r="B45" s="72">
        <v>7.2599999999999998E-2</v>
      </c>
      <c r="C45" s="39" t="s">
        <v>89</v>
      </c>
      <c r="D45" s="56">
        <f>DATE(1993,7,22)</f>
        <v>34172</v>
      </c>
      <c r="E45" s="56">
        <f>DATE(2023,7,21)</f>
        <v>45128</v>
      </c>
      <c r="F45" s="58">
        <f t="shared" si="20"/>
        <v>29.997222222222224</v>
      </c>
      <c r="G45" s="58">
        <f t="shared" si="21"/>
        <v>1.0583333333333333</v>
      </c>
      <c r="H45" s="61">
        <v>27000000</v>
      </c>
      <c r="I45" s="73">
        <v>27000000</v>
      </c>
      <c r="J45" s="61">
        <v>-246981</v>
      </c>
      <c r="K45" s="61">
        <v>-1445879.9</v>
      </c>
      <c r="L45" s="61">
        <f t="shared" si="22"/>
        <v>25307139.100000001</v>
      </c>
      <c r="M45" s="63">
        <f t="shared" si="23"/>
        <v>93.730144814814821</v>
      </c>
      <c r="N45" s="64">
        <f t="shared" si="24"/>
        <v>7.8039999999999998E-2</v>
      </c>
      <c r="O45" s="39">
        <f t="shared" si="25"/>
        <v>2107080</v>
      </c>
      <c r="P45" s="53">
        <f t="shared" si="6"/>
        <v>35</v>
      </c>
    </row>
    <row r="46" spans="1:16">
      <c r="A46" s="51">
        <f t="shared" si="7"/>
        <v>36</v>
      </c>
      <c r="B46" s="72">
        <v>7.2300000000000003E-2</v>
      </c>
      <c r="C46" s="39" t="s">
        <v>90</v>
      </c>
      <c r="D46" s="56">
        <f>DATE(1993,8,16)</f>
        <v>34197</v>
      </c>
      <c r="E46" s="56">
        <f>DATE(2023,8,16)</f>
        <v>45154</v>
      </c>
      <c r="F46" s="58">
        <f t="shared" si="20"/>
        <v>30</v>
      </c>
      <c r="G46" s="58">
        <f t="shared" si="21"/>
        <v>1.1277777777777778</v>
      </c>
      <c r="H46" s="61">
        <v>15000000</v>
      </c>
      <c r="I46" s="73">
        <v>15000000</v>
      </c>
      <c r="J46" s="61">
        <v>-137211</v>
      </c>
      <c r="K46" s="61">
        <f>-504373+235749</f>
        <v>-268624</v>
      </c>
      <c r="L46" s="61">
        <f t="shared" si="22"/>
        <v>14594165</v>
      </c>
      <c r="M46" s="63">
        <f t="shared" si="23"/>
        <v>97.29443333333333</v>
      </c>
      <c r="N46" s="64">
        <f t="shared" si="24"/>
        <v>7.4569999999999997E-2</v>
      </c>
      <c r="O46" s="39">
        <f t="shared" si="25"/>
        <v>1118550</v>
      </c>
      <c r="P46" s="53">
        <f t="shared" si="6"/>
        <v>36</v>
      </c>
    </row>
    <row r="47" spans="1:16">
      <c r="A47" s="51">
        <f t="shared" si="7"/>
        <v>37</v>
      </c>
      <c r="B47" s="72">
        <v>7.2400000000000006E-2</v>
      </c>
      <c r="C47" s="39" t="s">
        <v>90</v>
      </c>
      <c r="D47" s="56">
        <f>DATE(1993,8,16)</f>
        <v>34197</v>
      </c>
      <c r="E47" s="56">
        <f>DATE(2023,8,16)</f>
        <v>45154</v>
      </c>
      <c r="F47" s="58">
        <f t="shared" si="20"/>
        <v>30</v>
      </c>
      <c r="G47" s="58">
        <f t="shared" si="21"/>
        <v>1.1277777777777778</v>
      </c>
      <c r="H47" s="61">
        <v>30000000</v>
      </c>
      <c r="I47" s="73">
        <v>30000000</v>
      </c>
      <c r="J47" s="61">
        <v>-274423</v>
      </c>
      <c r="K47" s="61">
        <f>-1008746+471498</f>
        <v>-537248</v>
      </c>
      <c r="L47" s="61">
        <f t="shared" si="22"/>
        <v>29188329</v>
      </c>
      <c r="M47" s="63">
        <f t="shared" si="23"/>
        <v>97.294430000000006</v>
      </c>
      <c r="N47" s="64">
        <f t="shared" si="24"/>
        <v>7.467E-2</v>
      </c>
      <c r="O47" s="39">
        <f t="shared" si="25"/>
        <v>2240100</v>
      </c>
      <c r="P47" s="53">
        <f t="shared" si="6"/>
        <v>37</v>
      </c>
    </row>
    <row r="48" spans="1:16">
      <c r="A48" s="51">
        <f t="shared" si="7"/>
        <v>38</v>
      </c>
      <c r="B48" s="72">
        <v>6.7500000000000004E-2</v>
      </c>
      <c r="C48" s="39" t="s">
        <v>91</v>
      </c>
      <c r="D48" s="56">
        <f>DATE(1993,9,14)</f>
        <v>34226</v>
      </c>
      <c r="E48" s="56">
        <f>DATE(2023,9,14)</f>
        <v>45183</v>
      </c>
      <c r="F48" s="58">
        <f t="shared" si="20"/>
        <v>30</v>
      </c>
      <c r="G48" s="58">
        <f t="shared" si="21"/>
        <v>1.2055555555555555</v>
      </c>
      <c r="H48" s="61">
        <v>2000000</v>
      </c>
      <c r="I48" s="73">
        <v>2000000</v>
      </c>
      <c r="J48" s="61">
        <v>-15300</v>
      </c>
      <c r="K48" s="61">
        <v>0</v>
      </c>
      <c r="L48" s="61">
        <f t="shared" si="22"/>
        <v>1984700</v>
      </c>
      <c r="M48" s="63">
        <f t="shared" si="23"/>
        <v>99.234999999999999</v>
      </c>
      <c r="N48" s="64">
        <f t="shared" si="24"/>
        <v>6.8099999999999994E-2</v>
      </c>
      <c r="O48" s="39">
        <f t="shared" si="25"/>
        <v>136200</v>
      </c>
      <c r="P48" s="53">
        <f t="shared" si="6"/>
        <v>38</v>
      </c>
    </row>
    <row r="49" spans="1:16">
      <c r="A49" s="51">
        <f t="shared" si="7"/>
        <v>39</v>
      </c>
      <c r="B49" s="72">
        <v>6.720000000000001E-2</v>
      </c>
      <c r="C49" s="39" t="s">
        <v>91</v>
      </c>
      <c r="D49" s="56">
        <f>DATE(1993,9,14)</f>
        <v>34226</v>
      </c>
      <c r="E49" s="56">
        <f>DATE(2023,9,14)</f>
        <v>45183</v>
      </c>
      <c r="F49" s="58">
        <f t="shared" si="20"/>
        <v>30</v>
      </c>
      <c r="G49" s="58">
        <f t="shared" si="21"/>
        <v>1.2055555555555555</v>
      </c>
      <c r="H49" s="61">
        <v>2000000</v>
      </c>
      <c r="I49" s="73">
        <v>2000000</v>
      </c>
      <c r="J49" s="61">
        <v>-15300</v>
      </c>
      <c r="K49" s="61">
        <v>0</v>
      </c>
      <c r="L49" s="61">
        <f t="shared" si="22"/>
        <v>1984700</v>
      </c>
      <c r="M49" s="63">
        <f t="shared" si="23"/>
        <v>99.234999999999999</v>
      </c>
      <c r="N49" s="64">
        <f t="shared" si="24"/>
        <v>6.7799999999999999E-2</v>
      </c>
      <c r="O49" s="39">
        <f t="shared" si="25"/>
        <v>135600</v>
      </c>
      <c r="P49" s="53">
        <f t="shared" si="6"/>
        <v>39</v>
      </c>
    </row>
    <row r="50" spans="1:16">
      <c r="A50" s="51">
        <f t="shared" si="7"/>
        <v>40</v>
      </c>
      <c r="B50" s="72">
        <v>6.7500000000000004E-2</v>
      </c>
      <c r="C50" s="39" t="s">
        <v>91</v>
      </c>
      <c r="D50" s="56">
        <f>DATE(1993,9,14)</f>
        <v>34226</v>
      </c>
      <c r="E50" s="56">
        <f>DATE(2023,9,14)</f>
        <v>45183</v>
      </c>
      <c r="F50" s="58">
        <f t="shared" si="20"/>
        <v>30</v>
      </c>
      <c r="G50" s="58">
        <f t="shared" si="21"/>
        <v>1.2055555555555555</v>
      </c>
      <c r="H50" s="61">
        <v>5000000</v>
      </c>
      <c r="I50" s="73">
        <v>5000000</v>
      </c>
      <c r="J50" s="61">
        <v>-38250</v>
      </c>
      <c r="K50" s="61">
        <f>-64156+29987</f>
        <v>-34169</v>
      </c>
      <c r="L50" s="61">
        <f t="shared" si="22"/>
        <v>4927581</v>
      </c>
      <c r="M50" s="63">
        <f t="shared" si="23"/>
        <v>98.55162</v>
      </c>
      <c r="N50" s="64">
        <f t="shared" si="24"/>
        <v>6.8650000000000003E-2</v>
      </c>
      <c r="O50" s="39">
        <f t="shared" si="25"/>
        <v>343250</v>
      </c>
      <c r="P50" s="53">
        <f t="shared" si="6"/>
        <v>40</v>
      </c>
    </row>
    <row r="51" spans="1:16">
      <c r="A51" s="51">
        <f t="shared" si="7"/>
        <v>41</v>
      </c>
      <c r="B51" s="72">
        <v>6.7500000000000004E-2</v>
      </c>
      <c r="C51" s="39" t="s">
        <v>92</v>
      </c>
      <c r="D51" s="56">
        <f>DATE(1993,10,26)</f>
        <v>34268</v>
      </c>
      <c r="E51" s="56">
        <f>DATE(2023,10,26)</f>
        <v>45225</v>
      </c>
      <c r="F51" s="58">
        <f t="shared" si="20"/>
        <v>30</v>
      </c>
      <c r="G51" s="58">
        <f t="shared" si="21"/>
        <v>1.3222222222222222</v>
      </c>
      <c r="H51" s="61">
        <v>12000000</v>
      </c>
      <c r="I51" s="73">
        <v>12000000</v>
      </c>
      <c r="J51" s="61">
        <v>-91396</v>
      </c>
      <c r="K51" s="61">
        <v>0</v>
      </c>
      <c r="L51" s="61">
        <f t="shared" si="22"/>
        <v>11908604</v>
      </c>
      <c r="M51" s="63">
        <f t="shared" si="23"/>
        <v>99.238366666666664</v>
      </c>
      <c r="N51" s="64">
        <f t="shared" si="24"/>
        <v>6.8099999999999994E-2</v>
      </c>
      <c r="O51" s="39">
        <f t="shared" si="25"/>
        <v>817199.99999999988</v>
      </c>
      <c r="P51" s="53">
        <f t="shared" si="6"/>
        <v>41</v>
      </c>
    </row>
    <row r="52" spans="1:16">
      <c r="A52" s="51">
        <f t="shared" si="7"/>
        <v>42</v>
      </c>
      <c r="B52" s="72">
        <v>6.7500000000000004E-2</v>
      </c>
      <c r="C52" s="39" t="s">
        <v>92</v>
      </c>
      <c r="D52" s="56">
        <f t="shared" ref="D52:D53" si="26">DATE(1993,10,26)</f>
        <v>34268</v>
      </c>
      <c r="E52" s="56">
        <f>DATE(2023,10,26)</f>
        <v>45225</v>
      </c>
      <c r="F52" s="58">
        <f t="shared" si="20"/>
        <v>30</v>
      </c>
      <c r="G52" s="58">
        <f t="shared" si="21"/>
        <v>1.3222222222222222</v>
      </c>
      <c r="H52" s="61">
        <v>16000000</v>
      </c>
      <c r="I52" s="73">
        <v>16000000</v>
      </c>
      <c r="J52" s="61">
        <v>-121861</v>
      </c>
      <c r="K52" s="61">
        <v>0</v>
      </c>
      <c r="L52" s="61">
        <f t="shared" si="22"/>
        <v>15878139</v>
      </c>
      <c r="M52" s="63">
        <f t="shared" si="23"/>
        <v>99.238368749999992</v>
      </c>
      <c r="N52" s="64">
        <f t="shared" si="24"/>
        <v>6.8099999999999994E-2</v>
      </c>
      <c r="O52" s="39">
        <f t="shared" si="25"/>
        <v>1089600</v>
      </c>
      <c r="P52" s="53">
        <f t="shared" si="6"/>
        <v>42</v>
      </c>
    </row>
    <row r="53" spans="1:16">
      <c r="A53" s="51">
        <f t="shared" si="7"/>
        <v>43</v>
      </c>
      <c r="B53" s="72">
        <v>6.7500000000000004E-2</v>
      </c>
      <c r="C53" s="39" t="s">
        <v>92</v>
      </c>
      <c r="D53" s="56">
        <f t="shared" si="26"/>
        <v>34268</v>
      </c>
      <c r="E53" s="56">
        <f>DATE(2023,10,26)</f>
        <v>45225</v>
      </c>
      <c r="F53" s="58">
        <f t="shared" si="20"/>
        <v>30</v>
      </c>
      <c r="G53" s="58">
        <f t="shared" si="21"/>
        <v>1.3222222222222222</v>
      </c>
      <c r="H53" s="61">
        <v>20000000</v>
      </c>
      <c r="I53" s="73">
        <v>20000000</v>
      </c>
      <c r="J53" s="61">
        <v>-152326</v>
      </c>
      <c r="K53" s="61">
        <v>0</v>
      </c>
      <c r="L53" s="61">
        <f t="shared" si="22"/>
        <v>19847674</v>
      </c>
      <c r="M53" s="63">
        <f t="shared" si="23"/>
        <v>99.238370000000003</v>
      </c>
      <c r="N53" s="64">
        <f t="shared" si="24"/>
        <v>6.8099999999999994E-2</v>
      </c>
      <c r="O53" s="39">
        <f t="shared" si="25"/>
        <v>1361999.9999999998</v>
      </c>
      <c r="P53" s="53">
        <f t="shared" si="6"/>
        <v>43</v>
      </c>
    </row>
    <row r="54" spans="1:16">
      <c r="A54" s="51">
        <f t="shared" si="7"/>
        <v>44</v>
      </c>
      <c r="B54" s="67">
        <f>SUMPRODUCT(B44:B53,I44:I53)/I54</f>
        <v>7.0444285714285709E-2</v>
      </c>
      <c r="C54" s="68" t="s">
        <v>93</v>
      </c>
      <c r="D54" s="56"/>
      <c r="E54" s="56"/>
      <c r="F54" s="69">
        <f>SUMPRODUCT(F44:F53,I44:I53)/I54</f>
        <v>29.999246031746033</v>
      </c>
      <c r="G54" s="69">
        <f>SUMPRODUCT(G44:G53,I44:I53)/I54</f>
        <v>1.180595238095238</v>
      </c>
      <c r="I54" s="70">
        <f>SUM(I44:I53)</f>
        <v>140000000</v>
      </c>
      <c r="J54" s="70">
        <f>SUM(J44:J53)</f>
        <v>-1193670</v>
      </c>
      <c r="K54" s="70">
        <f>SUM(K44:K53)</f>
        <v>-2874982.9</v>
      </c>
      <c r="L54" s="70">
        <f>SUM(L44:L53)</f>
        <v>135931347.09999999</v>
      </c>
      <c r="N54" s="71">
        <f>O54/I54</f>
        <v>7.2914428571428574E-2</v>
      </c>
      <c r="O54" s="68">
        <f>SUM(O44:O53)</f>
        <v>10208020</v>
      </c>
      <c r="P54" s="53">
        <f t="shared" si="6"/>
        <v>44</v>
      </c>
    </row>
    <row r="55" spans="1:16">
      <c r="A55" s="51">
        <f t="shared" si="7"/>
        <v>45</v>
      </c>
      <c r="D55" s="56"/>
      <c r="E55" s="56"/>
      <c r="F55" s="58"/>
      <c r="G55" s="58"/>
      <c r="I55" s="74"/>
      <c r="J55" s="62"/>
      <c r="L55" s="62"/>
      <c r="M55" s="64"/>
      <c r="N55" s="64"/>
      <c r="P55" s="53">
        <f t="shared" si="6"/>
        <v>45</v>
      </c>
    </row>
    <row r="56" spans="1:16">
      <c r="A56" s="51">
        <f t="shared" si="7"/>
        <v>46</v>
      </c>
      <c r="B56" s="72">
        <v>6.7100000000000007E-2</v>
      </c>
      <c r="C56" s="39" t="s">
        <v>94</v>
      </c>
      <c r="D56" s="56">
        <f>DATE(1996,1,23)</f>
        <v>35087</v>
      </c>
      <c r="E56" s="56">
        <f>DATE(2026,1,15)</f>
        <v>46037</v>
      </c>
      <c r="F56" s="58">
        <f>YEARFRAC(D56,E56)</f>
        <v>29.977777777777778</v>
      </c>
      <c r="G56" s="58">
        <f>YEARFRAC($A$4,E56)</f>
        <v>3.5416666666666665</v>
      </c>
      <c r="H56" s="61">
        <v>100000000</v>
      </c>
      <c r="I56" s="73">
        <v>100000000</v>
      </c>
      <c r="J56" s="61">
        <f>(I56*-0.00875)-1238.49-2843.43-5000-1895.25-10252.38-2112.63-6124.41</f>
        <v>-904466.5900000002</v>
      </c>
      <c r="K56" s="61">
        <v>0</v>
      </c>
      <c r="L56" s="61">
        <f>SUM(I56:K56)</f>
        <v>99095533.409999996</v>
      </c>
      <c r="M56" s="63">
        <f>L56/I56*100</f>
        <v>99.095533409999987</v>
      </c>
      <c r="N56" s="64">
        <f>ROUND(YIELD(D56,E56,B56,M56,100,2,0),5)</f>
        <v>6.7809999999999995E-2</v>
      </c>
      <c r="O56" s="61">
        <f>ROUND(N56,5)*I56</f>
        <v>6780999.9999999991</v>
      </c>
      <c r="P56" s="53">
        <f t="shared" si="6"/>
        <v>46</v>
      </c>
    </row>
    <row r="57" spans="1:16">
      <c r="A57" s="51">
        <f t="shared" si="7"/>
        <v>47</v>
      </c>
      <c r="B57" s="67">
        <f>SUMPRODUCT(B56:B56,I56:I56)/I57</f>
        <v>6.7100000000000007E-2</v>
      </c>
      <c r="C57" s="68" t="s">
        <v>95</v>
      </c>
      <c r="D57" s="56"/>
      <c r="E57" s="56"/>
      <c r="F57" s="69">
        <f>SUMPRODUCT(F56:F56,I56:I56)/I57</f>
        <v>29.977777777777778</v>
      </c>
      <c r="G57" s="69">
        <f>SUMPRODUCT(G56:G56,I56:I56)/I57</f>
        <v>3.5416666666666661</v>
      </c>
      <c r="I57" s="68">
        <f>SUM(I56:I56)</f>
        <v>100000000</v>
      </c>
      <c r="J57" s="68">
        <f>SUM(J56:J56)</f>
        <v>-904466.5900000002</v>
      </c>
      <c r="K57" s="68">
        <f>SUM(K56:K56)</f>
        <v>0</v>
      </c>
      <c r="L57" s="68">
        <f>SUM(L56:L56)</f>
        <v>99095533.409999996</v>
      </c>
      <c r="M57" s="64"/>
      <c r="N57" s="71">
        <f>O57/I57</f>
        <v>6.7809999999999995E-2</v>
      </c>
      <c r="O57" s="68">
        <f>SUM(O56:O56)</f>
        <v>6780999.9999999991</v>
      </c>
      <c r="P57" s="53">
        <f t="shared" si="6"/>
        <v>47</v>
      </c>
    </row>
    <row r="58" spans="1:16">
      <c r="A58" s="51">
        <f t="shared" si="7"/>
        <v>48</v>
      </c>
      <c r="D58" s="56"/>
      <c r="E58" s="56"/>
      <c r="F58" s="58"/>
      <c r="G58" s="58"/>
      <c r="I58" s="74"/>
      <c r="J58" s="62"/>
      <c r="L58" s="62"/>
      <c r="M58" s="64"/>
      <c r="N58" s="64"/>
      <c r="P58" s="53">
        <f t="shared" si="6"/>
        <v>48</v>
      </c>
    </row>
    <row r="59" spans="1:16">
      <c r="A59" s="51">
        <f t="shared" si="7"/>
        <v>49</v>
      </c>
      <c r="B59" s="67">
        <f>(+B31*I31+B42*I42+B54*I54+B57*I57)/I59</f>
        <v>4.6586931155192531E-2</v>
      </c>
      <c r="C59" s="68" t="s">
        <v>96</v>
      </c>
      <c r="D59" s="56"/>
      <c r="E59" s="56"/>
      <c r="F59" s="69">
        <f>(+F31*I31+F42*I42+F54*I54+F57*I57)/I59</f>
        <v>26.178609490470631</v>
      </c>
      <c r="G59" s="69">
        <f>(+G31*I31+G42*I42+G54*I54+G57*I57)/I59</f>
        <v>16.522856216776873</v>
      </c>
      <c r="I59" s="68">
        <f>+I31+I42+I54+I57</f>
        <v>8570000000</v>
      </c>
      <c r="J59" s="68">
        <f>+J31+J42+J54+J57</f>
        <v>-100370941.52000001</v>
      </c>
      <c r="K59" s="68">
        <f>+K31+K42+K54+K57</f>
        <v>-22278077.830000002</v>
      </c>
      <c r="L59" s="68">
        <f>+L31+L42+L54+L57</f>
        <v>8447350980.6500006</v>
      </c>
      <c r="M59" s="64"/>
      <c r="N59" s="71">
        <f>O59/I59</f>
        <v>4.767923453908985E-2</v>
      </c>
      <c r="O59" s="68">
        <f>+O31+O42+O54+O57</f>
        <v>408611040</v>
      </c>
      <c r="P59" s="53">
        <f t="shared" si="6"/>
        <v>49</v>
      </c>
    </row>
    <row r="60" spans="1:16">
      <c r="A60" s="51">
        <f t="shared" si="7"/>
        <v>50</v>
      </c>
      <c r="D60" s="56"/>
      <c r="E60" s="56"/>
      <c r="F60" s="58"/>
      <c r="G60" s="58"/>
      <c r="I60" s="74"/>
      <c r="J60" s="62"/>
      <c r="L60" s="62"/>
      <c r="M60" s="64"/>
      <c r="N60" s="64"/>
      <c r="O60" s="62"/>
      <c r="P60" s="53">
        <f t="shared" si="6"/>
        <v>50</v>
      </c>
    </row>
    <row r="61" spans="1:16">
      <c r="A61" s="51">
        <f t="shared" si="7"/>
        <v>51</v>
      </c>
      <c r="C61" s="54" t="s">
        <v>97</v>
      </c>
      <c r="D61" s="56"/>
      <c r="E61" s="56"/>
      <c r="F61" s="58"/>
      <c r="G61" s="58"/>
      <c r="I61" s="74"/>
      <c r="J61" s="62"/>
      <c r="L61" s="62"/>
      <c r="M61" s="64"/>
      <c r="N61" s="64"/>
      <c r="O61" s="62"/>
      <c r="P61" s="53">
        <f t="shared" si="6"/>
        <v>51</v>
      </c>
    </row>
    <row r="62" spans="1:16">
      <c r="A62" s="51">
        <f t="shared" si="7"/>
        <v>52</v>
      </c>
      <c r="B62" s="75">
        <v>1.2684473773626373E-2</v>
      </c>
      <c r="C62" s="39" t="s">
        <v>98</v>
      </c>
      <c r="D62" s="56">
        <f>DATE(1994,11,17)</f>
        <v>34655</v>
      </c>
      <c r="E62" s="56">
        <f>DATE(2024,11,1)</f>
        <v>45597</v>
      </c>
      <c r="F62" s="58">
        <f t="shared" ref="F62:F67" si="27">YEARFRAC(D62,E62)</f>
        <v>29.955555555555556</v>
      </c>
      <c r="G62" s="58">
        <f t="shared" ref="G62:G67" si="28">YEARFRAC($A$4,E62)</f>
        <v>2.3361111111111112</v>
      </c>
      <c r="H62" s="61">
        <v>8190000</v>
      </c>
      <c r="I62" s="73">
        <v>8190000</v>
      </c>
      <c r="J62" s="61">
        <f>-183929-93.65-9.49-32.4-20274.2-5147.2+527.73-555.55-263.72-0.15</f>
        <v>-209777.62999999998</v>
      </c>
      <c r="K62" s="61">
        <f>(-86323)</f>
        <v>-86323</v>
      </c>
      <c r="L62" s="61">
        <f t="shared" ref="L62:L67" si="29">SUM(I62:K62)</f>
        <v>7893899.3700000001</v>
      </c>
      <c r="M62" s="63">
        <f t="shared" ref="M62:M67" si="30">L62/I62*100</f>
        <v>96.384607692307682</v>
      </c>
      <c r="N62" s="64">
        <f t="shared" ref="N62:N67" si="31">ROUND(YIELD(D62,E62,B62,M62,100,4,1),5)</f>
        <v>1.417E-2</v>
      </c>
      <c r="O62" s="62">
        <f t="shared" ref="O62:O67" si="32">ROUND(N62,5)*I62</f>
        <v>116052.3</v>
      </c>
      <c r="P62" s="53">
        <f t="shared" si="6"/>
        <v>52</v>
      </c>
    </row>
    <row r="63" spans="1:16">
      <c r="A63" s="51">
        <f t="shared" si="7"/>
        <v>53</v>
      </c>
      <c r="B63" s="75">
        <v>1.2757342725569953E-2</v>
      </c>
      <c r="C63" s="39" t="s">
        <v>99</v>
      </c>
      <c r="D63" s="56">
        <f>DATE(1994,11,17)</f>
        <v>34655</v>
      </c>
      <c r="E63" s="56">
        <f>DATE(2024,11,1)</f>
        <v>45597</v>
      </c>
      <c r="F63" s="58">
        <f t="shared" si="27"/>
        <v>29.955555555555556</v>
      </c>
      <c r="G63" s="58">
        <f t="shared" si="28"/>
        <v>2.3361111111111112</v>
      </c>
      <c r="H63" s="61">
        <v>121940000</v>
      </c>
      <c r="I63" s="73">
        <v>121940000</v>
      </c>
      <c r="J63" s="61">
        <f>-2969452-1956.29-141.25-481.71-301860.26-92.38+3920.28-2222.23-1959.09-1.04</f>
        <v>-3274245.9699999997</v>
      </c>
      <c r="K63" s="61">
        <f>(-1935450)+9683</f>
        <v>-1925767</v>
      </c>
      <c r="L63" s="61">
        <f t="shared" si="29"/>
        <v>116739987.03</v>
      </c>
      <c r="M63" s="63">
        <f t="shared" si="30"/>
        <v>95.735597039527647</v>
      </c>
      <c r="N63" s="64">
        <f t="shared" si="31"/>
        <v>1.452E-2</v>
      </c>
      <c r="O63" s="62">
        <f t="shared" si="32"/>
        <v>1770568.8</v>
      </c>
      <c r="P63" s="53">
        <f t="shared" si="6"/>
        <v>53</v>
      </c>
    </row>
    <row r="64" spans="1:16">
      <c r="A64" s="51">
        <f t="shared" si="7"/>
        <v>54</v>
      </c>
      <c r="B64" s="75">
        <v>1.3776119644355911E-2</v>
      </c>
      <c r="C64" s="39" t="s">
        <v>100</v>
      </c>
      <c r="D64" s="56">
        <f>DATE(1994,11,17)</f>
        <v>34655</v>
      </c>
      <c r="E64" s="56">
        <f>DATE(2024,11,1)</f>
        <v>45597</v>
      </c>
      <c r="F64" s="58">
        <f t="shared" si="27"/>
        <v>29.955555555555556</v>
      </c>
      <c r="G64" s="58">
        <f t="shared" si="28"/>
        <v>2.3361111111111112</v>
      </c>
      <c r="H64" s="61">
        <v>15060000</v>
      </c>
      <c r="I64" s="73">
        <v>15060000</v>
      </c>
      <c r="J64" s="61">
        <f>-375570-172.07-17.44-59.52-37280.76-9466.37+527.73-555.56-263.72-0.15</f>
        <v>-422857.86000000004</v>
      </c>
      <c r="K64" s="61">
        <f>(-92641)+11214</f>
        <v>-81427</v>
      </c>
      <c r="L64" s="61">
        <f t="shared" si="29"/>
        <v>14555715.140000001</v>
      </c>
      <c r="M64" s="63">
        <f t="shared" si="30"/>
        <v>96.651494953519261</v>
      </c>
      <c r="N64" s="64">
        <f t="shared" si="31"/>
        <v>1.5169999999999999E-2</v>
      </c>
      <c r="O64" s="62">
        <f t="shared" si="32"/>
        <v>228460.19999999998</v>
      </c>
      <c r="P64" s="53">
        <f t="shared" si="6"/>
        <v>54</v>
      </c>
    </row>
    <row r="65" spans="1:16">
      <c r="A65" s="51">
        <f t="shared" si="7"/>
        <v>55</v>
      </c>
      <c r="B65" s="75">
        <v>1.3020704408466605E-2</v>
      </c>
      <c r="C65" s="39" t="s">
        <v>101</v>
      </c>
      <c r="D65" s="56">
        <f>DATE(1994,11,17)</f>
        <v>34655</v>
      </c>
      <c r="E65" s="56">
        <f>DATE(2024,11,1)</f>
        <v>45597</v>
      </c>
      <c r="F65" s="58">
        <f t="shared" si="27"/>
        <v>29.955555555555556</v>
      </c>
      <c r="G65" s="58">
        <f t="shared" si="28"/>
        <v>2.3361111111111112</v>
      </c>
      <c r="H65" s="61">
        <v>21260000</v>
      </c>
      <c r="I65" s="73">
        <v>21260000</v>
      </c>
      <c r="J65" s="61">
        <f>-412545-242.74-24.63-31480.09-52628.74-13360.33+18.88+678.51-555.55-339.07-0.18</f>
        <v>-510478.94</v>
      </c>
      <c r="K65" s="61">
        <f>(-88352)</f>
        <v>-88352</v>
      </c>
      <c r="L65" s="61">
        <f t="shared" si="29"/>
        <v>20661169.059999999</v>
      </c>
      <c r="M65" s="63">
        <f t="shared" si="30"/>
        <v>97.183297554092178</v>
      </c>
      <c r="N65" s="64">
        <f t="shared" si="31"/>
        <v>1.418E-2</v>
      </c>
      <c r="O65" s="62">
        <f t="shared" si="32"/>
        <v>301466.8</v>
      </c>
      <c r="P65" s="53">
        <f t="shared" si="6"/>
        <v>55</v>
      </c>
    </row>
    <row r="66" spans="1:16">
      <c r="A66" s="51">
        <f t="shared" si="7"/>
        <v>56</v>
      </c>
      <c r="B66" s="75">
        <v>1.2984205890566041E-2</v>
      </c>
      <c r="C66" s="39" t="s">
        <v>102</v>
      </c>
      <c r="D66" s="56">
        <f>DATE(1995,11,17)</f>
        <v>35020</v>
      </c>
      <c r="E66" s="56">
        <f>DATE(2025,11,1)</f>
        <v>45962</v>
      </c>
      <c r="F66" s="58">
        <f t="shared" si="27"/>
        <v>29.955555555555556</v>
      </c>
      <c r="G66" s="58">
        <f t="shared" si="28"/>
        <v>3.3361111111111112</v>
      </c>
      <c r="H66" s="61">
        <v>5300000</v>
      </c>
      <c r="I66" s="73">
        <f>5300000</f>
        <v>5300000</v>
      </c>
      <c r="J66" s="61">
        <f>-4020.01-32463.14-26670.88-14633.18-53933.24-322.71</f>
        <v>-132043.15999999997</v>
      </c>
      <c r="K66" s="61">
        <v>0</v>
      </c>
      <c r="L66" s="61">
        <f t="shared" si="29"/>
        <v>5167956.84</v>
      </c>
      <c r="M66" s="63">
        <f t="shared" si="30"/>
        <v>97.508619622641504</v>
      </c>
      <c r="N66" s="64">
        <f t="shared" si="31"/>
        <v>1.4E-2</v>
      </c>
      <c r="O66" s="62">
        <f t="shared" si="32"/>
        <v>74200</v>
      </c>
      <c r="P66" s="53">
        <f t="shared" si="6"/>
        <v>56</v>
      </c>
    </row>
    <row r="67" spans="1:16">
      <c r="A67" s="51">
        <f t="shared" si="7"/>
        <v>57</v>
      </c>
      <c r="B67" s="75">
        <v>1.3414632854545454E-2</v>
      </c>
      <c r="C67" s="39" t="s">
        <v>103</v>
      </c>
      <c r="D67" s="56">
        <f>DATE(1995,11,17)</f>
        <v>35020</v>
      </c>
      <c r="E67" s="56">
        <f>DATE(2025,11,1)</f>
        <v>45962</v>
      </c>
      <c r="F67" s="58">
        <f t="shared" si="27"/>
        <v>29.955555555555556</v>
      </c>
      <c r="G67" s="58">
        <f t="shared" si="28"/>
        <v>3.3361111111111112</v>
      </c>
      <c r="H67" s="61">
        <v>22000000</v>
      </c>
      <c r="I67" s="73">
        <f>22000000</f>
        <v>22000000</v>
      </c>
      <c r="J67" s="61">
        <f>-9071.1-129640.11-189217.86-14682.77-4950-56377.22-322.71</f>
        <v>-404261.76999999996</v>
      </c>
      <c r="K67" s="61">
        <v>0</v>
      </c>
      <c r="L67" s="61">
        <f t="shared" si="29"/>
        <v>21595738.23</v>
      </c>
      <c r="M67" s="63">
        <f t="shared" si="30"/>
        <v>98.162446500000001</v>
      </c>
      <c r="N67" s="64">
        <f t="shared" si="31"/>
        <v>1.417E-2</v>
      </c>
      <c r="O67" s="62">
        <f t="shared" si="32"/>
        <v>311740</v>
      </c>
      <c r="P67" s="53">
        <f t="shared" si="6"/>
        <v>57</v>
      </c>
    </row>
    <row r="68" spans="1:16">
      <c r="A68" s="51">
        <f t="shared" si="7"/>
        <v>58</v>
      </c>
      <c r="B68" s="67">
        <f>SUMPRODUCT(B62:B67,I62:I67)/I68</f>
        <v>1.2943189490322582E-2</v>
      </c>
      <c r="C68" s="68" t="s">
        <v>104</v>
      </c>
      <c r="D68" s="56"/>
      <c r="E68" s="56"/>
      <c r="F68" s="69">
        <f>SUMPRODUCT(F62:F67,I62:I67)/I68</f>
        <v>29.955555555555563</v>
      </c>
      <c r="G68" s="69">
        <f>SUMPRODUCT(G62:G67,I62:I67)/I68</f>
        <v>2.4770143369175628</v>
      </c>
      <c r="I68" s="68">
        <f>SUM(I62:I67)</f>
        <v>193750000</v>
      </c>
      <c r="J68" s="68">
        <f>SUM(J62:J67)</f>
        <v>-4953665.3299999991</v>
      </c>
      <c r="K68" s="68">
        <f>SUM(K62:K67)</f>
        <v>-2181869</v>
      </c>
      <c r="L68" s="68">
        <f>SUM(L62:L67)</f>
        <v>186614465.67000002</v>
      </c>
      <c r="M68" s="64"/>
      <c r="N68" s="71">
        <f>O68/I68</f>
        <v>1.4464454709677419E-2</v>
      </c>
      <c r="O68" s="68">
        <f>SUM(O62:O67)</f>
        <v>2802488.1</v>
      </c>
      <c r="P68" s="53">
        <f t="shared" si="6"/>
        <v>58</v>
      </c>
    </row>
    <row r="69" spans="1:16">
      <c r="A69" s="51">
        <f t="shared" si="7"/>
        <v>59</v>
      </c>
      <c r="D69" s="56"/>
      <c r="E69" s="56"/>
      <c r="F69" s="58"/>
      <c r="G69" s="58"/>
      <c r="I69" s="74"/>
      <c r="J69" s="62"/>
      <c r="L69" s="62"/>
      <c r="M69" s="64"/>
      <c r="N69" s="64"/>
      <c r="O69" s="62"/>
      <c r="P69" s="53">
        <f t="shared" si="6"/>
        <v>59</v>
      </c>
    </row>
    <row r="70" spans="1:16">
      <c r="A70" s="51">
        <f t="shared" si="7"/>
        <v>60</v>
      </c>
      <c r="B70" s="75">
        <v>1.3469594940983608E-2</v>
      </c>
      <c r="C70" s="61" t="s">
        <v>105</v>
      </c>
      <c r="D70" s="56">
        <f>DATE(1995,12,14)</f>
        <v>35047</v>
      </c>
      <c r="E70" s="56">
        <f>DATE(2025,11,1)</f>
        <v>45962</v>
      </c>
      <c r="F70" s="58">
        <f t="shared" ref="F70" si="33">YEARFRAC(D70,E70)</f>
        <v>29.880555555555556</v>
      </c>
      <c r="G70" s="58">
        <f t="shared" ref="G70" si="34">YEARFRAC($A$4,E70)</f>
        <v>3.3361111111111112</v>
      </c>
      <c r="H70" s="61">
        <v>24400000</v>
      </c>
      <c r="I70" s="76">
        <f>24400000</f>
        <v>24400000</v>
      </c>
      <c r="J70" s="61">
        <f>-19002.27-120150.79-10722.63-6607.3-58895.72-9621.24</f>
        <v>-224999.94999999998</v>
      </c>
      <c r="K70" s="61">
        <v>-428469.14</v>
      </c>
      <c r="L70" s="61">
        <f t="shared" ref="L70" si="35">SUM(I70:K70)</f>
        <v>23746530.91</v>
      </c>
      <c r="M70" s="63">
        <f t="shared" ref="M70" si="36">L70/I70*100</f>
        <v>97.321847991803281</v>
      </c>
      <c r="N70" s="64">
        <f t="shared" ref="N70" si="37">ROUND(YIELD(D70,E70,B70,M70,100,4,1),5)</f>
        <v>1.4579999999999999E-2</v>
      </c>
      <c r="O70" s="62">
        <f t="shared" ref="O70" si="38">ROUND(N70,5)*I70</f>
        <v>355752</v>
      </c>
      <c r="P70" s="53">
        <f t="shared" si="6"/>
        <v>60</v>
      </c>
    </row>
    <row r="71" spans="1:16">
      <c r="A71" s="51">
        <f t="shared" si="7"/>
        <v>61</v>
      </c>
      <c r="B71" s="67">
        <f>SUMPRODUCT(B70:B70,I70:I70)/I71</f>
        <v>1.3469594940983608E-2</v>
      </c>
      <c r="C71" s="68" t="s">
        <v>106</v>
      </c>
      <c r="D71" s="56"/>
      <c r="E71" s="56"/>
      <c r="F71" s="69">
        <f>SUMPRODUCT(F70:F70,I70:I70)/I71</f>
        <v>29.880555555555556</v>
      </c>
      <c r="G71" s="69">
        <f>SUMPRODUCT(G70:G70,I70:I70)/I71</f>
        <v>3.3361111111111112</v>
      </c>
      <c r="I71" s="68">
        <f>SUM(I70:I70)</f>
        <v>24400000</v>
      </c>
      <c r="J71" s="68">
        <f>SUM(J70:J70)</f>
        <v>-224999.94999999998</v>
      </c>
      <c r="K71" s="68">
        <f>SUM(K70:K70)</f>
        <v>-428469.14</v>
      </c>
      <c r="L71" s="68">
        <f>SUM(L70:L70)</f>
        <v>23746530.91</v>
      </c>
      <c r="M71" s="64"/>
      <c r="N71" s="71">
        <f>O71/I71</f>
        <v>1.4579999999999999E-2</v>
      </c>
      <c r="O71" s="68">
        <f>SUM(O70:O70)</f>
        <v>355752</v>
      </c>
      <c r="P71" s="53">
        <f t="shared" si="6"/>
        <v>61</v>
      </c>
    </row>
    <row r="72" spans="1:16">
      <c r="A72" s="51">
        <f t="shared" si="7"/>
        <v>62</v>
      </c>
      <c r="D72" s="56"/>
      <c r="E72" s="56"/>
      <c r="F72" s="58"/>
      <c r="G72" s="58"/>
      <c r="I72" s="74"/>
      <c r="J72" s="62"/>
      <c r="L72" s="62"/>
      <c r="M72" s="64"/>
      <c r="N72" s="64"/>
      <c r="O72" s="62"/>
      <c r="P72" s="53">
        <f t="shared" si="6"/>
        <v>62</v>
      </c>
    </row>
    <row r="73" spans="1:16">
      <c r="A73" s="51">
        <f t="shared" si="7"/>
        <v>63</v>
      </c>
      <c r="B73" s="67">
        <f>(B68*I68+B71*I71)/I73</f>
        <v>1.3002067752968142E-2</v>
      </c>
      <c r="C73" s="68" t="s">
        <v>107</v>
      </c>
      <c r="D73" s="56"/>
      <c r="E73" s="56"/>
      <c r="F73" s="69">
        <f>(F68*I68+F71*I71)/I73</f>
        <v>29.947166832200072</v>
      </c>
      <c r="G73" s="69">
        <f>(G68*I68+G71*I71)/I73</f>
        <v>2.5731040059082693</v>
      </c>
      <c r="I73" s="68">
        <f>I68+I71</f>
        <v>218150000</v>
      </c>
      <c r="J73" s="68">
        <f>J68+J71</f>
        <v>-5178665.2799999993</v>
      </c>
      <c r="K73" s="68">
        <f>K68+K71</f>
        <v>-2610338.14</v>
      </c>
      <c r="L73" s="68">
        <f>L68+L71</f>
        <v>210360996.58000001</v>
      </c>
      <c r="M73" s="64"/>
      <c r="N73" s="71">
        <f>O73/I73</f>
        <v>1.4477378409351364E-2</v>
      </c>
      <c r="O73" s="68">
        <f>O68+O71</f>
        <v>3158240.1</v>
      </c>
      <c r="P73" s="53">
        <f t="shared" si="6"/>
        <v>63</v>
      </c>
    </row>
    <row r="74" spans="1:16">
      <c r="A74" s="51">
        <f t="shared" si="7"/>
        <v>64</v>
      </c>
      <c r="B74" s="67"/>
      <c r="C74" s="68"/>
      <c r="D74" s="56"/>
      <c r="E74" s="56"/>
      <c r="F74" s="69"/>
      <c r="G74" s="69"/>
      <c r="I74" s="68"/>
      <c r="J74" s="68"/>
      <c r="K74" s="68"/>
      <c r="L74" s="68"/>
      <c r="M74" s="64"/>
      <c r="N74" s="71"/>
      <c r="O74" s="68"/>
      <c r="P74" s="53">
        <f t="shared" si="6"/>
        <v>64</v>
      </c>
    </row>
    <row r="75" spans="1:16">
      <c r="A75" s="51">
        <f t="shared" si="7"/>
        <v>65</v>
      </c>
      <c r="B75" s="67"/>
      <c r="C75" s="68"/>
      <c r="D75" s="45" t="s">
        <v>108</v>
      </c>
      <c r="E75" s="45" t="s">
        <v>109</v>
      </c>
      <c r="F75" s="69"/>
      <c r="G75" s="69"/>
      <c r="I75" s="68"/>
      <c r="J75" s="68"/>
      <c r="K75" s="68"/>
      <c r="L75" s="68"/>
      <c r="M75" s="64"/>
      <c r="N75" s="71"/>
      <c r="O75" s="68"/>
      <c r="P75" s="53">
        <f t="shared" si="6"/>
        <v>65</v>
      </c>
    </row>
    <row r="76" spans="1:16">
      <c r="A76" s="51">
        <f t="shared" si="7"/>
        <v>66</v>
      </c>
      <c r="B76" s="67"/>
      <c r="C76" s="68"/>
      <c r="D76" s="45" t="s">
        <v>43</v>
      </c>
      <c r="E76" s="45" t="s">
        <v>43</v>
      </c>
      <c r="F76" s="69"/>
      <c r="G76" s="69"/>
      <c r="I76" s="68"/>
      <c r="J76" s="68"/>
      <c r="K76" s="68"/>
      <c r="L76" s="68"/>
      <c r="M76" s="64"/>
      <c r="N76" s="71"/>
      <c r="O76" s="68"/>
      <c r="P76" s="53">
        <f t="shared" si="6"/>
        <v>66</v>
      </c>
    </row>
    <row r="77" spans="1:16">
      <c r="A77" s="51">
        <f t="shared" si="7"/>
        <v>67</v>
      </c>
      <c r="B77" s="67"/>
      <c r="C77" s="77" t="s">
        <v>110</v>
      </c>
      <c r="D77" s="56">
        <f>DATE(2000,11,17)</f>
        <v>36847</v>
      </c>
      <c r="E77" s="56">
        <f>DATE(2035,6,30)</f>
        <v>49490</v>
      </c>
      <c r="F77" s="69"/>
      <c r="G77" s="69"/>
      <c r="I77" s="68"/>
      <c r="J77" s="68"/>
      <c r="K77" s="68"/>
      <c r="L77" s="68"/>
      <c r="M77" s="64"/>
      <c r="N77" s="71"/>
      <c r="O77" s="62">
        <f>107887.08</f>
        <v>107887.08</v>
      </c>
      <c r="P77" s="53">
        <f t="shared" ref="P77:P83" si="39">A77</f>
        <v>67</v>
      </c>
    </row>
    <row r="78" spans="1:16">
      <c r="A78" s="51">
        <f t="shared" ref="A78:A81" si="40">A77+1</f>
        <v>68</v>
      </c>
      <c r="B78" s="67"/>
      <c r="C78" s="77" t="s">
        <v>111</v>
      </c>
      <c r="D78" s="56">
        <f>DATE(2000,11,17)</f>
        <v>36847</v>
      </c>
      <c r="E78" s="56">
        <f>DATE(2025,12,31)</f>
        <v>46022</v>
      </c>
      <c r="F78" s="69"/>
      <c r="G78" s="69"/>
      <c r="I78" s="68"/>
      <c r="J78" s="68"/>
      <c r="K78" s="68"/>
      <c r="L78" s="68"/>
      <c r="M78" s="64"/>
      <c r="N78" s="71"/>
      <c r="O78" s="62">
        <v>84083.82</v>
      </c>
      <c r="P78" s="53">
        <f t="shared" si="39"/>
        <v>68</v>
      </c>
    </row>
    <row r="79" spans="1:16">
      <c r="A79" s="51">
        <f t="shared" si="40"/>
        <v>69</v>
      </c>
      <c r="B79" s="67"/>
      <c r="C79" s="39" t="s">
        <v>112</v>
      </c>
      <c r="D79" s="56">
        <f>DATE(2016,2,18)</f>
        <v>42418</v>
      </c>
      <c r="E79" s="56">
        <f>DATE(2024,11,1)</f>
        <v>45597</v>
      </c>
      <c r="F79" s="69"/>
      <c r="G79" s="69"/>
      <c r="I79" s="68"/>
      <c r="J79" s="68"/>
      <c r="K79" s="68"/>
      <c r="L79" s="68"/>
      <c r="M79" s="64"/>
      <c r="N79" s="71"/>
      <c r="O79" s="62">
        <f>920.81*12+175.45*12</f>
        <v>13155.119999999999</v>
      </c>
      <c r="P79" s="53">
        <f t="shared" si="39"/>
        <v>69</v>
      </c>
    </row>
    <row r="80" spans="1:16">
      <c r="A80" s="51">
        <f t="shared" si="40"/>
        <v>70</v>
      </c>
      <c r="B80" s="67"/>
      <c r="C80" s="68" t="s">
        <v>113</v>
      </c>
      <c r="D80" s="56"/>
      <c r="E80" s="56"/>
      <c r="F80" s="69"/>
      <c r="G80" s="69"/>
      <c r="I80" s="68"/>
      <c r="J80" s="68"/>
      <c r="K80" s="68"/>
      <c r="L80" s="68"/>
      <c r="M80" s="64"/>
      <c r="N80" s="71"/>
      <c r="O80" s="68">
        <f>SUM(O77:O79)</f>
        <v>205126.02000000002</v>
      </c>
      <c r="P80" s="53">
        <f t="shared" si="39"/>
        <v>70</v>
      </c>
    </row>
    <row r="81" spans="1:16">
      <c r="A81" s="51">
        <f t="shared" si="40"/>
        <v>71</v>
      </c>
      <c r="D81" s="56"/>
      <c r="E81" s="56"/>
      <c r="F81" s="58"/>
      <c r="G81" s="58"/>
      <c r="I81" s="74"/>
      <c r="J81" s="62"/>
      <c r="L81" s="62"/>
      <c r="M81" s="64"/>
      <c r="N81" s="64"/>
      <c r="O81" s="62"/>
      <c r="P81" s="53">
        <f t="shared" si="39"/>
        <v>71</v>
      </c>
    </row>
    <row r="82" spans="1:16">
      <c r="A82" s="51">
        <f>A81+1</f>
        <v>72</v>
      </c>
      <c r="B82" s="78">
        <f>(B59*I59+B73*I73)/I82</f>
        <v>4.5753247393400205E-2</v>
      </c>
      <c r="C82" s="68" t="s">
        <v>15</v>
      </c>
      <c r="D82" s="56"/>
      <c r="E82" s="56"/>
      <c r="F82" s="69">
        <f>(F59*I59+F73*I73)/I82</f>
        <v>26.272157140897434</v>
      </c>
      <c r="G82" s="69">
        <f>(G59*I59+G73*I73)/I82</f>
        <v>16.176578735759708</v>
      </c>
      <c r="I82" s="68">
        <f>I59+I73</f>
        <v>8788150000</v>
      </c>
      <c r="J82" s="68">
        <f>J59+J73</f>
        <v>-105549606.80000001</v>
      </c>
      <c r="K82" s="68">
        <f>K59+K73</f>
        <v>-24888415.970000003</v>
      </c>
      <c r="L82" s="68">
        <f>L59+L73</f>
        <v>8657711977.2300014</v>
      </c>
      <c r="M82" s="64"/>
      <c r="N82" s="71">
        <f>O82/I82</f>
        <v>4.6878399449258375E-2</v>
      </c>
      <c r="O82" s="70">
        <f>O59+O73+O80</f>
        <v>411974406.12</v>
      </c>
      <c r="P82" s="53">
        <f t="shared" si="39"/>
        <v>72</v>
      </c>
    </row>
    <row r="83" spans="1:16">
      <c r="A83" s="79">
        <f>A82+1</f>
        <v>73</v>
      </c>
      <c r="B83" s="80"/>
      <c r="C83" s="81"/>
      <c r="D83" s="82"/>
      <c r="E83" s="82"/>
      <c r="F83" s="83"/>
      <c r="G83" s="83"/>
      <c r="H83" s="81"/>
      <c r="I83" s="84"/>
      <c r="J83" s="85"/>
      <c r="K83" s="81"/>
      <c r="L83" s="85"/>
      <c r="M83" s="86"/>
      <c r="N83" s="86"/>
      <c r="O83" s="85"/>
      <c r="P83" s="87">
        <f t="shared" si="39"/>
        <v>73</v>
      </c>
    </row>
    <row r="84" spans="1:16">
      <c r="D84" s="56"/>
      <c r="E84" s="56"/>
      <c r="F84" s="58"/>
      <c r="G84" s="58"/>
      <c r="I84" s="74"/>
      <c r="J84" s="62"/>
      <c r="L84" s="62"/>
      <c r="M84" s="64"/>
      <c r="N84" s="64"/>
      <c r="O84" s="62"/>
    </row>
    <row r="85" spans="1:16">
      <c r="D85" s="56"/>
      <c r="E85" s="56"/>
      <c r="F85" s="58"/>
      <c r="G85" s="58"/>
      <c r="I85" s="74"/>
      <c r="J85" s="62"/>
      <c r="L85" s="62"/>
      <c r="M85" s="64"/>
      <c r="N85" s="64"/>
      <c r="O85" s="62"/>
    </row>
    <row r="86" spans="1:16">
      <c r="D86" s="56"/>
      <c r="E86" s="56"/>
      <c r="F86" s="58"/>
      <c r="G86" s="58"/>
      <c r="I86" s="74"/>
      <c r="J86" s="62"/>
      <c r="L86" s="62"/>
      <c r="M86" s="64"/>
      <c r="N86" s="64"/>
      <c r="O86" s="62"/>
    </row>
    <row r="87" spans="1:16">
      <c r="D87" s="56"/>
      <c r="E87" s="56"/>
      <c r="F87" s="58"/>
      <c r="G87" s="58"/>
      <c r="I87" s="74"/>
      <c r="J87" s="62"/>
      <c r="L87" s="62"/>
      <c r="M87" s="64"/>
      <c r="N87" s="64"/>
      <c r="O87" s="62"/>
    </row>
    <row r="88" spans="1:16">
      <c r="D88" s="56"/>
      <c r="E88" s="56"/>
      <c r="F88" s="58"/>
      <c r="G88" s="58"/>
      <c r="I88" s="74"/>
      <c r="J88" s="62"/>
      <c r="L88" s="62"/>
      <c r="M88" s="64"/>
      <c r="N88" s="64"/>
      <c r="O88" s="62"/>
    </row>
    <row r="89" spans="1:16">
      <c r="D89" s="56"/>
      <c r="E89" s="56"/>
      <c r="F89" s="58"/>
      <c r="G89" s="58"/>
      <c r="I89" s="74"/>
      <c r="J89" s="62"/>
      <c r="L89" s="62"/>
      <c r="M89" s="64"/>
      <c r="N89" s="64"/>
      <c r="O89" s="62"/>
    </row>
    <row r="90" spans="1:16">
      <c r="A90" s="39"/>
      <c r="B90" s="39"/>
      <c r="D90" s="56"/>
      <c r="E90" s="56"/>
      <c r="F90" s="58"/>
      <c r="G90" s="58"/>
      <c r="I90" s="74"/>
      <c r="J90" s="62"/>
      <c r="L90" s="62"/>
      <c r="M90" s="64"/>
      <c r="N90" s="64"/>
      <c r="O90" s="62"/>
    </row>
    <row r="91" spans="1:16">
      <c r="A91" s="39"/>
      <c r="B91" s="39"/>
      <c r="D91" s="56"/>
      <c r="E91" s="56"/>
      <c r="F91" s="58"/>
      <c r="G91" s="58"/>
      <c r="I91" s="74"/>
      <c r="J91" s="62"/>
      <c r="L91" s="62"/>
      <c r="M91" s="64"/>
      <c r="N91" s="64"/>
      <c r="O91" s="62"/>
    </row>
    <row r="92" spans="1:16">
      <c r="A92" s="39"/>
      <c r="B92" s="39"/>
      <c r="D92" s="56"/>
      <c r="E92" s="56"/>
      <c r="F92" s="58"/>
      <c r="G92" s="58"/>
      <c r="I92" s="74"/>
      <c r="J92" s="62"/>
      <c r="L92" s="62"/>
      <c r="M92" s="64"/>
      <c r="N92" s="64"/>
      <c r="O92" s="62"/>
    </row>
    <row r="93" spans="1:16">
      <c r="A93" s="39"/>
      <c r="B93" s="39"/>
      <c r="D93" s="56"/>
      <c r="E93" s="56"/>
      <c r="F93" s="58"/>
      <c r="G93" s="58"/>
      <c r="I93" s="74"/>
      <c r="J93" s="62"/>
      <c r="L93" s="62"/>
      <c r="M93" s="64"/>
      <c r="N93" s="64"/>
      <c r="O93" s="62"/>
    </row>
    <row r="94" spans="1:16">
      <c r="A94" s="39"/>
      <c r="B94" s="39"/>
      <c r="D94" s="56"/>
      <c r="E94" s="56"/>
      <c r="F94" s="58"/>
      <c r="G94" s="58"/>
      <c r="I94" s="74"/>
      <c r="J94" s="62"/>
      <c r="L94" s="62"/>
      <c r="M94" s="64"/>
      <c r="N94" s="64"/>
      <c r="O94" s="62"/>
    </row>
    <row r="95" spans="1:16">
      <c r="A95" s="39"/>
      <c r="B95" s="39"/>
      <c r="D95" s="56"/>
      <c r="E95" s="56"/>
      <c r="F95" s="58"/>
      <c r="G95" s="58"/>
      <c r="I95" s="74"/>
      <c r="J95" s="62"/>
      <c r="L95" s="62"/>
      <c r="M95" s="64"/>
      <c r="N95" s="64"/>
      <c r="O95" s="62"/>
    </row>
    <row r="96" spans="1:16">
      <c r="A96" s="39"/>
      <c r="B96" s="39"/>
      <c r="D96" s="56"/>
      <c r="E96" s="56"/>
      <c r="F96" s="58"/>
      <c r="G96" s="58"/>
      <c r="I96" s="74"/>
      <c r="J96" s="62"/>
      <c r="L96" s="62"/>
      <c r="M96" s="64"/>
      <c r="N96" s="64"/>
      <c r="O96" s="62"/>
    </row>
    <row r="97" spans="4:15" s="39" customFormat="1">
      <c r="D97" s="56"/>
      <c r="E97" s="56"/>
      <c r="F97" s="58"/>
      <c r="G97" s="58"/>
      <c r="I97" s="74"/>
      <c r="J97" s="62"/>
      <c r="L97" s="62"/>
      <c r="M97" s="64"/>
      <c r="N97" s="64"/>
      <c r="O97" s="62"/>
    </row>
    <row r="98" spans="4:15" s="39" customFormat="1">
      <c r="D98" s="56"/>
      <c r="E98" s="56"/>
      <c r="F98" s="58"/>
      <c r="G98" s="58"/>
      <c r="I98" s="74"/>
      <c r="J98" s="62"/>
      <c r="L98" s="62"/>
      <c r="M98" s="64"/>
      <c r="N98" s="64"/>
      <c r="O98" s="62"/>
    </row>
    <row r="99" spans="4:15" s="39" customFormat="1">
      <c r="D99" s="56"/>
      <c r="E99" s="56"/>
      <c r="F99" s="58"/>
      <c r="G99" s="58"/>
      <c r="I99" s="74"/>
      <c r="J99" s="62"/>
      <c r="L99" s="62"/>
      <c r="M99" s="64"/>
      <c r="N99" s="64"/>
      <c r="O99" s="62"/>
    </row>
    <row r="100" spans="4:15" s="39" customFormat="1">
      <c r="D100" s="56"/>
      <c r="E100" s="56"/>
      <c r="F100" s="58"/>
      <c r="G100" s="58"/>
      <c r="I100" s="74"/>
      <c r="J100" s="62"/>
      <c r="L100" s="62"/>
      <c r="M100" s="64"/>
      <c r="N100" s="64"/>
      <c r="O100" s="62"/>
    </row>
    <row r="101" spans="4:15" s="39" customFormat="1">
      <c r="D101" s="56"/>
      <c r="E101" s="56"/>
      <c r="F101" s="58"/>
      <c r="G101" s="58"/>
      <c r="I101" s="74"/>
      <c r="J101" s="62"/>
      <c r="L101" s="62"/>
      <c r="M101" s="64"/>
      <c r="N101" s="64"/>
      <c r="O101" s="62"/>
    </row>
    <row r="102" spans="4:15" s="39" customFormat="1">
      <c r="D102" s="56"/>
      <c r="E102" s="56"/>
      <c r="F102" s="58"/>
      <c r="G102" s="58"/>
      <c r="I102" s="74"/>
      <c r="J102" s="62"/>
      <c r="L102" s="62"/>
      <c r="M102" s="64"/>
      <c r="N102" s="64"/>
      <c r="O102" s="62"/>
    </row>
    <row r="103" spans="4:15" s="39" customFormat="1">
      <c r="D103" s="56"/>
      <c r="E103" s="56"/>
      <c r="F103" s="58"/>
      <c r="G103" s="58"/>
      <c r="I103" s="74"/>
      <c r="J103" s="62"/>
      <c r="L103" s="62"/>
      <c r="M103" s="64"/>
      <c r="N103" s="64"/>
      <c r="O103" s="62"/>
    </row>
    <row r="104" spans="4:15" s="39" customFormat="1">
      <c r="D104" s="56"/>
      <c r="E104" s="56"/>
      <c r="F104" s="58"/>
      <c r="G104" s="58"/>
      <c r="I104" s="74"/>
      <c r="J104" s="62"/>
      <c r="L104" s="62"/>
      <c r="M104" s="64"/>
      <c r="N104" s="64"/>
      <c r="O104" s="62"/>
    </row>
    <row r="105" spans="4:15" s="39" customFormat="1">
      <c r="D105" s="56"/>
      <c r="E105" s="56"/>
      <c r="F105" s="58"/>
      <c r="G105" s="58"/>
      <c r="I105" s="74"/>
      <c r="J105" s="62"/>
      <c r="L105" s="62"/>
      <c r="M105" s="64"/>
      <c r="N105" s="64"/>
      <c r="O105" s="62"/>
    </row>
    <row r="106" spans="4:15" s="39" customFormat="1">
      <c r="D106" s="56"/>
      <c r="E106" s="56"/>
      <c r="F106" s="58"/>
      <c r="G106" s="58"/>
      <c r="I106" s="74"/>
      <c r="J106" s="62"/>
      <c r="L106" s="62"/>
      <c r="M106" s="64"/>
      <c r="N106" s="64"/>
      <c r="O106" s="62"/>
    </row>
    <row r="107" spans="4:15" s="39" customFormat="1">
      <c r="D107" s="56"/>
      <c r="E107" s="56"/>
      <c r="F107" s="58"/>
      <c r="G107" s="58"/>
      <c r="I107" s="74"/>
      <c r="J107" s="62"/>
      <c r="L107" s="62"/>
      <c r="M107" s="64"/>
      <c r="N107" s="64"/>
      <c r="O107" s="62"/>
    </row>
    <row r="108" spans="4:15" s="39" customFormat="1">
      <c r="D108" s="56"/>
      <c r="E108" s="56"/>
      <c r="F108" s="58"/>
      <c r="G108" s="58"/>
      <c r="I108" s="74"/>
      <c r="J108" s="62"/>
      <c r="L108" s="62"/>
      <c r="M108" s="64"/>
      <c r="N108" s="64"/>
      <c r="O108" s="62"/>
    </row>
    <row r="109" spans="4:15" s="39" customFormat="1">
      <c r="D109" s="56"/>
      <c r="E109" s="56"/>
      <c r="F109" s="58"/>
      <c r="G109" s="58"/>
      <c r="I109" s="74"/>
      <c r="J109" s="62"/>
      <c r="L109" s="62"/>
      <c r="M109" s="64"/>
      <c r="N109" s="64"/>
      <c r="O109" s="62"/>
    </row>
    <row r="110" spans="4:15" s="39" customFormat="1">
      <c r="D110" s="56"/>
      <c r="E110" s="56"/>
      <c r="F110" s="58"/>
      <c r="G110" s="58"/>
      <c r="I110" s="74"/>
      <c r="J110" s="62"/>
      <c r="L110" s="62"/>
      <c r="M110" s="64"/>
      <c r="N110" s="64"/>
      <c r="O110" s="62"/>
    </row>
    <row r="111" spans="4:15" s="39" customFormat="1">
      <c r="D111" s="56"/>
      <c r="E111" s="56"/>
      <c r="F111" s="58"/>
      <c r="G111" s="58"/>
      <c r="I111" s="74"/>
      <c r="J111" s="62"/>
      <c r="L111" s="62"/>
      <c r="M111" s="64"/>
      <c r="N111" s="64"/>
      <c r="O111" s="62"/>
    </row>
    <row r="112" spans="4:15" s="39" customFormat="1">
      <c r="D112" s="56"/>
      <c r="E112" s="56"/>
      <c r="F112" s="58"/>
      <c r="G112" s="58"/>
      <c r="I112" s="74"/>
      <c r="J112" s="62"/>
      <c r="L112" s="62"/>
      <c r="M112" s="64"/>
      <c r="N112" s="64"/>
      <c r="O112" s="62"/>
    </row>
    <row r="113" spans="4:15" s="39" customFormat="1">
      <c r="D113" s="56"/>
      <c r="E113" s="56"/>
      <c r="F113" s="58"/>
      <c r="G113" s="58"/>
      <c r="I113" s="74"/>
      <c r="J113" s="62"/>
      <c r="L113" s="62"/>
      <c r="M113" s="64"/>
      <c r="N113" s="64"/>
      <c r="O113" s="62"/>
    </row>
    <row r="114" spans="4:15" s="39" customFormat="1">
      <c r="D114" s="56"/>
      <c r="E114" s="56"/>
      <c r="F114" s="58"/>
      <c r="G114" s="58"/>
      <c r="I114" s="74"/>
      <c r="J114" s="62"/>
      <c r="L114" s="62"/>
      <c r="M114" s="64"/>
      <c r="N114" s="64"/>
      <c r="O114" s="62"/>
    </row>
    <row r="115" spans="4:15" s="39" customFormat="1">
      <c r="D115" s="56"/>
      <c r="E115" s="56"/>
      <c r="F115" s="58"/>
      <c r="G115" s="58"/>
      <c r="I115" s="74"/>
      <c r="J115" s="62"/>
      <c r="L115" s="62"/>
      <c r="M115" s="64"/>
      <c r="N115" s="64"/>
      <c r="O115" s="62"/>
    </row>
    <row r="116" spans="4:15" s="39" customFormat="1">
      <c r="D116" s="56"/>
      <c r="E116" s="56"/>
      <c r="F116" s="58"/>
      <c r="G116" s="58"/>
      <c r="I116" s="74"/>
      <c r="J116" s="62"/>
      <c r="L116" s="62"/>
      <c r="M116" s="64"/>
      <c r="N116" s="64"/>
      <c r="O116" s="62"/>
    </row>
    <row r="117" spans="4:15" s="39" customFormat="1">
      <c r="D117" s="56"/>
      <c r="E117" s="56"/>
      <c r="F117" s="58"/>
      <c r="G117" s="58"/>
      <c r="I117" s="74"/>
      <c r="J117" s="62"/>
      <c r="L117" s="62"/>
      <c r="M117" s="64"/>
      <c r="N117" s="64"/>
      <c r="O117" s="62"/>
    </row>
    <row r="118" spans="4:15" s="39" customFormat="1">
      <c r="D118" s="56"/>
      <c r="E118" s="56"/>
      <c r="F118" s="58"/>
      <c r="G118" s="58"/>
      <c r="I118" s="74"/>
      <c r="J118" s="62"/>
      <c r="L118" s="62"/>
      <c r="M118" s="64"/>
      <c r="N118" s="64"/>
      <c r="O118" s="62"/>
    </row>
    <row r="119" spans="4:15" s="39" customFormat="1">
      <c r="D119" s="56"/>
      <c r="E119" s="56"/>
      <c r="F119" s="58"/>
      <c r="G119" s="58"/>
      <c r="I119" s="74"/>
      <c r="J119" s="62"/>
      <c r="L119" s="62"/>
      <c r="M119" s="64"/>
      <c r="N119" s="64"/>
      <c r="O119" s="62"/>
    </row>
    <row r="120" spans="4:15" s="39" customFormat="1">
      <c r="D120" s="56"/>
      <c r="E120" s="56"/>
      <c r="F120" s="58"/>
      <c r="G120" s="58"/>
      <c r="I120" s="74"/>
      <c r="J120" s="62"/>
      <c r="L120" s="62"/>
      <c r="M120" s="64"/>
      <c r="N120" s="64"/>
      <c r="O120" s="62"/>
    </row>
    <row r="121" spans="4:15" s="39" customFormat="1">
      <c r="D121" s="56"/>
      <c r="E121" s="56"/>
      <c r="F121" s="58"/>
      <c r="G121" s="58"/>
      <c r="I121" s="74"/>
      <c r="J121" s="62"/>
      <c r="L121" s="62"/>
      <c r="M121" s="64"/>
      <c r="N121" s="64"/>
      <c r="O121" s="62"/>
    </row>
    <row r="122" spans="4:15" s="39" customFormat="1">
      <c r="D122" s="56"/>
      <c r="E122" s="56"/>
      <c r="F122" s="58"/>
      <c r="G122" s="58"/>
      <c r="I122" s="74"/>
      <c r="J122" s="62"/>
      <c r="L122" s="62"/>
      <c r="M122" s="64"/>
      <c r="N122" s="64"/>
      <c r="O122" s="62"/>
    </row>
    <row r="123" spans="4:15" s="39" customFormat="1">
      <c r="D123" s="56"/>
      <c r="E123" s="56"/>
      <c r="F123" s="58"/>
      <c r="G123" s="58"/>
      <c r="I123" s="74"/>
      <c r="J123" s="62"/>
      <c r="L123" s="62"/>
      <c r="M123" s="64"/>
      <c r="N123" s="64"/>
      <c r="O123" s="62"/>
    </row>
    <row r="124" spans="4:15" s="39" customFormat="1">
      <c r="D124" s="56"/>
      <c r="E124" s="56"/>
      <c r="F124" s="58"/>
      <c r="G124" s="58"/>
      <c r="I124" s="74"/>
      <c r="J124" s="62"/>
      <c r="L124" s="62"/>
      <c r="M124" s="64"/>
      <c r="N124" s="64"/>
      <c r="O124" s="62"/>
    </row>
    <row r="125" spans="4:15" s="39" customFormat="1">
      <c r="D125" s="56"/>
      <c r="E125" s="56"/>
      <c r="F125" s="58"/>
      <c r="G125" s="58"/>
      <c r="I125" s="74"/>
      <c r="J125" s="62"/>
      <c r="L125" s="62"/>
      <c r="M125" s="64"/>
      <c r="N125" s="64"/>
      <c r="O125" s="62"/>
    </row>
    <row r="126" spans="4:15" s="39" customFormat="1">
      <c r="D126" s="56"/>
      <c r="E126" s="56"/>
      <c r="F126" s="58"/>
      <c r="G126" s="58"/>
      <c r="I126" s="74"/>
      <c r="J126" s="62"/>
      <c r="L126" s="62"/>
      <c r="M126" s="64"/>
      <c r="N126" s="64"/>
      <c r="O126" s="62"/>
    </row>
    <row r="127" spans="4:15" s="39" customFormat="1">
      <c r="D127" s="56"/>
      <c r="E127" s="56"/>
      <c r="F127" s="58"/>
      <c r="G127" s="58"/>
      <c r="I127" s="74"/>
      <c r="J127" s="62"/>
      <c r="L127" s="62"/>
      <c r="M127" s="64"/>
      <c r="N127" s="64"/>
      <c r="O127" s="62"/>
    </row>
    <row r="128" spans="4:15" s="39" customFormat="1">
      <c r="D128" s="56"/>
      <c r="E128" s="56"/>
      <c r="F128" s="58"/>
      <c r="G128" s="58"/>
      <c r="I128" s="74"/>
      <c r="J128" s="62"/>
      <c r="L128" s="62"/>
      <c r="M128" s="64"/>
      <c r="N128" s="64"/>
      <c r="O128" s="62"/>
    </row>
    <row r="129" spans="4:15" s="39" customFormat="1">
      <c r="D129" s="56"/>
      <c r="E129" s="56"/>
      <c r="F129" s="58"/>
      <c r="G129" s="58"/>
      <c r="I129" s="74"/>
      <c r="J129" s="62"/>
      <c r="L129" s="62"/>
      <c r="M129" s="64"/>
      <c r="N129" s="64"/>
      <c r="O129" s="62"/>
    </row>
    <row r="130" spans="4:15" s="39" customFormat="1">
      <c r="D130" s="56"/>
      <c r="E130" s="56"/>
      <c r="F130" s="58"/>
      <c r="G130" s="58"/>
      <c r="I130" s="74"/>
      <c r="J130" s="62"/>
      <c r="L130" s="62"/>
      <c r="M130" s="64"/>
      <c r="N130" s="64"/>
      <c r="O130" s="62"/>
    </row>
    <row r="131" spans="4:15" s="39" customFormat="1">
      <c r="D131" s="56"/>
      <c r="E131" s="56"/>
      <c r="F131" s="58"/>
      <c r="G131" s="58"/>
      <c r="I131" s="74"/>
      <c r="J131" s="62"/>
      <c r="L131" s="62"/>
      <c r="M131" s="64"/>
      <c r="N131" s="64"/>
      <c r="O131" s="62"/>
    </row>
    <row r="132" spans="4:15" s="39" customFormat="1">
      <c r="D132" s="56"/>
      <c r="E132" s="56"/>
      <c r="F132" s="58"/>
      <c r="G132" s="58"/>
      <c r="I132" s="74"/>
      <c r="J132" s="62"/>
      <c r="L132" s="62"/>
      <c r="M132" s="64"/>
      <c r="N132" s="64"/>
      <c r="O132" s="62"/>
    </row>
    <row r="133" spans="4:15" s="39" customFormat="1">
      <c r="D133" s="56"/>
      <c r="E133" s="56"/>
      <c r="F133" s="58"/>
      <c r="G133" s="58"/>
      <c r="I133" s="74"/>
      <c r="J133" s="62"/>
      <c r="L133" s="62"/>
      <c r="M133" s="64"/>
      <c r="N133" s="64"/>
      <c r="O133" s="62"/>
    </row>
    <row r="134" spans="4:15" s="39" customFormat="1">
      <c r="D134" s="56"/>
      <c r="E134" s="56"/>
      <c r="F134" s="58"/>
      <c r="G134" s="58"/>
      <c r="I134" s="74"/>
      <c r="J134" s="62"/>
      <c r="L134" s="62"/>
      <c r="M134" s="64"/>
      <c r="N134" s="64"/>
      <c r="O134" s="62"/>
    </row>
    <row r="135" spans="4:15" s="39" customFormat="1">
      <c r="D135" s="56"/>
      <c r="E135" s="56"/>
      <c r="F135" s="58"/>
      <c r="G135" s="58"/>
      <c r="I135" s="74"/>
      <c r="J135" s="62"/>
      <c r="L135" s="62"/>
      <c r="M135" s="64"/>
      <c r="N135" s="64"/>
      <c r="O135" s="62"/>
    </row>
    <row r="136" spans="4:15" s="39" customFormat="1">
      <c r="D136" s="56"/>
      <c r="E136" s="56"/>
      <c r="F136" s="58"/>
      <c r="G136" s="58"/>
      <c r="I136" s="74"/>
      <c r="J136" s="62"/>
      <c r="L136" s="62"/>
      <c r="M136" s="64"/>
      <c r="N136" s="64"/>
      <c r="O136" s="62"/>
    </row>
    <row r="137" spans="4:15" s="39" customFormat="1">
      <c r="D137" s="56"/>
      <c r="E137" s="56"/>
      <c r="F137" s="58"/>
      <c r="G137" s="58"/>
      <c r="I137" s="74"/>
      <c r="J137" s="62"/>
      <c r="L137" s="62"/>
      <c r="M137" s="64"/>
      <c r="N137" s="64"/>
      <c r="O137" s="62"/>
    </row>
    <row r="138" spans="4:15" s="39" customFormat="1">
      <c r="D138" s="56"/>
      <c r="E138" s="56"/>
      <c r="F138" s="58"/>
      <c r="G138" s="58"/>
      <c r="I138" s="74"/>
      <c r="J138" s="62"/>
      <c r="L138" s="62"/>
      <c r="M138" s="64"/>
      <c r="N138" s="64"/>
      <c r="O138" s="62"/>
    </row>
    <row r="139" spans="4:15" s="39" customFormat="1">
      <c r="D139" s="56"/>
      <c r="E139" s="56"/>
      <c r="F139" s="58"/>
      <c r="G139" s="58"/>
      <c r="I139" s="74"/>
      <c r="J139" s="62"/>
      <c r="L139" s="62"/>
      <c r="M139" s="64"/>
      <c r="N139" s="64"/>
      <c r="O139" s="62"/>
    </row>
    <row r="140" spans="4:15" s="39" customFormat="1">
      <c r="D140" s="56"/>
      <c r="E140" s="56"/>
      <c r="F140" s="58"/>
      <c r="G140" s="58"/>
      <c r="I140" s="74"/>
      <c r="J140" s="62"/>
      <c r="L140" s="62"/>
      <c r="M140" s="64"/>
      <c r="N140" s="64"/>
      <c r="O140" s="62"/>
    </row>
    <row r="141" spans="4:15" s="39" customFormat="1">
      <c r="D141" s="56"/>
      <c r="E141" s="56"/>
      <c r="F141" s="58"/>
      <c r="G141" s="58"/>
      <c r="I141" s="74"/>
      <c r="J141" s="62"/>
      <c r="L141" s="62"/>
      <c r="M141" s="64"/>
      <c r="N141" s="64"/>
      <c r="O141" s="62"/>
    </row>
    <row r="142" spans="4:15" s="39" customFormat="1">
      <c r="D142" s="56"/>
      <c r="E142" s="56"/>
      <c r="F142" s="58"/>
      <c r="G142" s="58"/>
      <c r="I142" s="74"/>
      <c r="J142" s="62"/>
      <c r="L142" s="62"/>
      <c r="M142" s="64"/>
      <c r="N142" s="64"/>
      <c r="O142" s="62"/>
    </row>
    <row r="143" spans="4:15" s="39" customFormat="1">
      <c r="D143" s="56"/>
      <c r="E143" s="56"/>
      <c r="F143" s="58"/>
      <c r="G143" s="58"/>
      <c r="I143" s="74"/>
      <c r="J143" s="62"/>
      <c r="L143" s="62"/>
      <c r="M143" s="64"/>
      <c r="N143" s="64"/>
      <c r="O143" s="62"/>
    </row>
    <row r="144" spans="4:15" s="39" customFormat="1">
      <c r="D144" s="56"/>
      <c r="E144" s="56"/>
      <c r="F144" s="58"/>
      <c r="G144" s="58"/>
      <c r="I144" s="74"/>
      <c r="J144" s="62"/>
      <c r="L144" s="62"/>
      <c r="M144" s="64"/>
      <c r="N144" s="64"/>
      <c r="O144" s="62"/>
    </row>
    <row r="145" spans="4:15" s="39" customFormat="1">
      <c r="D145" s="56"/>
      <c r="E145" s="56"/>
      <c r="F145" s="58"/>
      <c r="G145" s="58"/>
      <c r="I145" s="74"/>
      <c r="J145" s="62"/>
      <c r="L145" s="62"/>
      <c r="M145" s="64"/>
      <c r="N145" s="64"/>
      <c r="O145" s="62"/>
    </row>
    <row r="146" spans="4:15" s="39" customFormat="1">
      <c r="D146" s="56"/>
      <c r="E146" s="56"/>
      <c r="F146" s="58"/>
      <c r="G146" s="58"/>
      <c r="I146" s="74"/>
      <c r="J146" s="62"/>
      <c r="L146" s="62"/>
      <c r="M146" s="64"/>
      <c r="N146" s="64"/>
      <c r="O146" s="62"/>
    </row>
    <row r="147" spans="4:15" s="39" customFormat="1">
      <c r="D147" s="56"/>
      <c r="E147" s="56"/>
      <c r="F147" s="58"/>
      <c r="G147" s="58"/>
      <c r="I147" s="74"/>
      <c r="J147" s="62"/>
      <c r="L147" s="62"/>
      <c r="M147" s="64"/>
      <c r="N147" s="64"/>
      <c r="O147" s="62"/>
    </row>
    <row r="148" spans="4:15" s="39" customFormat="1">
      <c r="D148" s="56"/>
      <c r="E148" s="56"/>
      <c r="F148" s="58"/>
      <c r="G148" s="58"/>
      <c r="I148" s="74"/>
      <c r="J148" s="62"/>
      <c r="L148" s="62"/>
      <c r="M148" s="64"/>
      <c r="N148" s="64"/>
      <c r="O148" s="62"/>
    </row>
    <row r="149" spans="4:15" s="39" customFormat="1">
      <c r="D149" s="56"/>
      <c r="E149" s="56"/>
      <c r="F149" s="58"/>
      <c r="G149" s="58"/>
      <c r="I149" s="74"/>
      <c r="J149" s="62"/>
      <c r="L149" s="62"/>
      <c r="M149" s="64"/>
      <c r="N149" s="64"/>
      <c r="O149" s="62"/>
    </row>
    <row r="150" spans="4:15" s="39" customFormat="1">
      <c r="D150" s="56"/>
      <c r="E150" s="56"/>
      <c r="F150" s="58"/>
      <c r="G150" s="58"/>
      <c r="I150" s="74"/>
      <c r="J150" s="62"/>
      <c r="L150" s="62"/>
      <c r="M150" s="64"/>
      <c r="N150" s="64"/>
      <c r="O150" s="62"/>
    </row>
    <row r="151" spans="4:15" s="39" customFormat="1">
      <c r="D151" s="56"/>
      <c r="E151" s="56"/>
      <c r="F151" s="58"/>
      <c r="G151" s="58"/>
      <c r="I151" s="74"/>
      <c r="J151" s="62"/>
      <c r="L151" s="62"/>
      <c r="M151" s="64"/>
      <c r="N151" s="64"/>
      <c r="O151" s="62"/>
    </row>
    <row r="152" spans="4:15" s="39" customFormat="1">
      <c r="D152" s="56"/>
      <c r="E152" s="56"/>
      <c r="F152" s="58"/>
      <c r="G152" s="58"/>
      <c r="I152" s="74"/>
      <c r="J152" s="62"/>
      <c r="L152" s="62"/>
      <c r="M152" s="64"/>
      <c r="N152" s="64"/>
      <c r="O152" s="62"/>
    </row>
    <row r="153" spans="4:15" s="39" customFormat="1">
      <c r="D153" s="56"/>
      <c r="E153" s="56"/>
      <c r="F153" s="58"/>
      <c r="G153" s="58"/>
      <c r="I153" s="74"/>
      <c r="J153" s="62"/>
      <c r="L153" s="62"/>
      <c r="M153" s="64"/>
      <c r="N153" s="64"/>
      <c r="O153" s="62"/>
    </row>
    <row r="154" spans="4:15" s="39" customFormat="1">
      <c r="D154" s="56"/>
      <c r="E154" s="56"/>
      <c r="F154" s="58"/>
      <c r="G154" s="58"/>
      <c r="I154" s="74"/>
      <c r="J154" s="62"/>
      <c r="L154" s="62"/>
      <c r="M154" s="64"/>
      <c r="N154" s="64"/>
      <c r="O154" s="62"/>
    </row>
    <row r="155" spans="4:15" s="39" customFormat="1">
      <c r="D155" s="56"/>
      <c r="E155" s="56"/>
      <c r="F155" s="58"/>
      <c r="G155" s="58"/>
      <c r="I155" s="74"/>
      <c r="J155" s="62"/>
      <c r="L155" s="62"/>
      <c r="M155" s="64"/>
      <c r="N155" s="64"/>
      <c r="O155" s="62"/>
    </row>
    <row r="156" spans="4:15" s="39" customFormat="1">
      <c r="D156" s="56"/>
      <c r="E156" s="56"/>
      <c r="F156" s="58"/>
      <c r="G156" s="58"/>
      <c r="I156" s="74"/>
      <c r="J156" s="62"/>
      <c r="L156" s="62"/>
      <c r="M156" s="64"/>
      <c r="N156" s="64"/>
      <c r="O156" s="62"/>
    </row>
    <row r="157" spans="4:15" s="39" customFormat="1">
      <c r="D157" s="56"/>
      <c r="E157" s="56"/>
      <c r="F157" s="58"/>
      <c r="G157" s="58"/>
      <c r="I157" s="74"/>
      <c r="J157" s="62"/>
      <c r="L157" s="62"/>
      <c r="M157" s="64"/>
      <c r="N157" s="64"/>
      <c r="O157" s="62"/>
    </row>
    <row r="158" spans="4:15" s="39" customFormat="1">
      <c r="D158" s="56"/>
      <c r="E158" s="56"/>
      <c r="F158" s="58"/>
      <c r="G158" s="58"/>
      <c r="I158" s="74"/>
      <c r="J158" s="62"/>
      <c r="L158" s="62"/>
      <c r="M158" s="64"/>
      <c r="N158" s="64"/>
      <c r="O158" s="62"/>
    </row>
    <row r="159" spans="4:15" s="39" customFormat="1">
      <c r="D159" s="56"/>
      <c r="E159" s="56"/>
      <c r="F159" s="58"/>
      <c r="G159" s="58"/>
      <c r="I159" s="74"/>
      <c r="J159" s="62"/>
      <c r="L159" s="62"/>
      <c r="M159" s="64"/>
      <c r="N159" s="64"/>
      <c r="O159" s="62"/>
    </row>
    <row r="160" spans="4:15" s="39" customFormat="1">
      <c r="D160" s="56"/>
      <c r="E160" s="56"/>
      <c r="F160" s="58"/>
      <c r="G160" s="58"/>
      <c r="I160" s="74"/>
      <c r="J160" s="62"/>
      <c r="L160" s="62"/>
      <c r="M160" s="64"/>
      <c r="N160" s="64"/>
      <c r="O160" s="62"/>
    </row>
    <row r="161" spans="4:15" s="39" customFormat="1">
      <c r="D161" s="56"/>
      <c r="E161" s="56"/>
      <c r="F161" s="58"/>
      <c r="G161" s="58"/>
      <c r="I161" s="74"/>
      <c r="J161" s="62"/>
      <c r="L161" s="62"/>
      <c r="M161" s="64"/>
      <c r="N161" s="64"/>
      <c r="O161" s="62"/>
    </row>
    <row r="162" spans="4:15" s="39" customFormat="1">
      <c r="D162" s="56"/>
      <c r="E162" s="56"/>
      <c r="F162" s="58"/>
      <c r="G162" s="58"/>
      <c r="I162" s="74"/>
      <c r="J162" s="62"/>
      <c r="L162" s="62"/>
      <c r="M162" s="64"/>
      <c r="N162" s="64"/>
      <c r="O162" s="62"/>
    </row>
    <row r="163" spans="4:15" s="39" customFormat="1">
      <c r="D163" s="56"/>
      <c r="E163" s="56"/>
      <c r="F163" s="58"/>
      <c r="G163" s="58"/>
      <c r="I163" s="74"/>
      <c r="J163" s="62"/>
      <c r="L163" s="62"/>
      <c r="M163" s="64"/>
      <c r="N163" s="64"/>
      <c r="O163" s="62"/>
    </row>
    <row r="164" spans="4:15" s="39" customFormat="1">
      <c r="D164" s="56"/>
      <c r="E164" s="56"/>
      <c r="F164" s="58"/>
      <c r="G164" s="58"/>
      <c r="I164" s="74"/>
      <c r="J164" s="62"/>
      <c r="L164" s="62"/>
      <c r="M164" s="64"/>
      <c r="N164" s="64"/>
      <c r="O164" s="62"/>
    </row>
    <row r="165" spans="4:15" s="39" customFormat="1">
      <c r="D165" s="56"/>
      <c r="E165" s="56"/>
      <c r="F165" s="58"/>
      <c r="G165" s="58"/>
      <c r="I165" s="74"/>
      <c r="J165" s="62"/>
      <c r="L165" s="62"/>
      <c r="M165" s="64"/>
      <c r="N165" s="64"/>
      <c r="O165" s="62"/>
    </row>
    <row r="166" spans="4:15" s="39" customFormat="1">
      <c r="D166" s="56"/>
      <c r="E166" s="56"/>
      <c r="F166" s="58"/>
      <c r="G166" s="58"/>
      <c r="I166" s="74"/>
      <c r="J166" s="62"/>
      <c r="L166" s="62"/>
      <c r="M166" s="64"/>
      <c r="N166" s="64"/>
      <c r="O166" s="62"/>
    </row>
    <row r="167" spans="4:15" s="39" customFormat="1">
      <c r="D167" s="56"/>
      <c r="E167" s="56"/>
      <c r="F167" s="58"/>
      <c r="G167" s="58"/>
      <c r="I167" s="74"/>
      <c r="J167" s="62"/>
      <c r="L167" s="62"/>
      <c r="M167" s="64"/>
      <c r="N167" s="64"/>
      <c r="O167" s="62"/>
    </row>
    <row r="168" spans="4:15" s="39" customFormat="1">
      <c r="D168" s="56"/>
      <c r="E168" s="56"/>
      <c r="F168" s="58"/>
      <c r="G168" s="58"/>
      <c r="I168" s="74"/>
      <c r="J168" s="62"/>
      <c r="L168" s="62"/>
      <c r="M168" s="64"/>
      <c r="N168" s="64"/>
      <c r="O168" s="62"/>
    </row>
    <row r="169" spans="4:15" s="39" customFormat="1">
      <c r="D169" s="56"/>
      <c r="E169" s="56"/>
      <c r="F169" s="58"/>
      <c r="G169" s="58"/>
      <c r="I169" s="74"/>
      <c r="J169" s="62"/>
      <c r="L169" s="62"/>
      <c r="M169" s="64"/>
      <c r="N169" s="64"/>
      <c r="O169" s="62"/>
    </row>
    <row r="170" spans="4:15" s="39" customFormat="1">
      <c r="D170" s="56"/>
      <c r="E170" s="56"/>
      <c r="F170" s="58"/>
      <c r="G170" s="58"/>
      <c r="I170" s="74"/>
      <c r="J170" s="62"/>
      <c r="L170" s="62"/>
      <c r="M170" s="64"/>
      <c r="N170" s="64"/>
      <c r="O170" s="62"/>
    </row>
    <row r="171" spans="4:15" s="39" customFormat="1">
      <c r="D171" s="56"/>
      <c r="E171" s="56"/>
      <c r="F171" s="58"/>
      <c r="G171" s="58"/>
      <c r="I171" s="74"/>
      <c r="J171" s="62"/>
      <c r="L171" s="62"/>
      <c r="M171" s="64"/>
      <c r="N171" s="64"/>
      <c r="O171" s="62"/>
    </row>
    <row r="172" spans="4:15" s="39" customFormat="1">
      <c r="D172" s="56"/>
      <c r="E172" s="56"/>
      <c r="F172" s="58"/>
      <c r="G172" s="58"/>
      <c r="I172" s="74"/>
      <c r="J172" s="62"/>
      <c r="L172" s="62"/>
      <c r="M172" s="64"/>
      <c r="N172" s="64"/>
      <c r="O172" s="62"/>
    </row>
    <row r="173" spans="4:15" s="39" customFormat="1">
      <c r="D173" s="56"/>
      <c r="E173" s="56"/>
      <c r="F173" s="58"/>
      <c r="G173" s="58"/>
      <c r="I173" s="74"/>
      <c r="J173" s="62"/>
      <c r="L173" s="62"/>
      <c r="M173" s="64"/>
      <c r="N173" s="64"/>
      <c r="O173" s="62"/>
    </row>
    <row r="174" spans="4:15" s="39" customFormat="1">
      <c r="D174" s="56"/>
      <c r="E174" s="56"/>
      <c r="F174" s="58"/>
      <c r="G174" s="58"/>
      <c r="I174" s="74"/>
      <c r="J174" s="62"/>
      <c r="L174" s="62"/>
      <c r="M174" s="64"/>
      <c r="N174" s="64"/>
      <c r="O174" s="62"/>
    </row>
    <row r="175" spans="4:15" s="39" customFormat="1">
      <c r="D175" s="56"/>
      <c r="E175" s="56"/>
      <c r="F175" s="58"/>
      <c r="G175" s="58"/>
      <c r="I175" s="74"/>
      <c r="J175" s="62"/>
      <c r="L175" s="62"/>
      <c r="M175" s="64"/>
      <c r="N175" s="64"/>
      <c r="O175" s="62"/>
    </row>
    <row r="176" spans="4:15" s="39" customFormat="1">
      <c r="D176" s="56"/>
      <c r="E176" s="56"/>
      <c r="F176" s="58"/>
      <c r="G176" s="58"/>
      <c r="I176" s="74"/>
      <c r="J176" s="62"/>
      <c r="L176" s="62"/>
      <c r="M176" s="64"/>
      <c r="N176" s="64"/>
      <c r="O176" s="62"/>
    </row>
    <row r="177" spans="4:15" s="39" customFormat="1">
      <c r="D177" s="56"/>
      <c r="E177" s="56"/>
      <c r="F177" s="58"/>
      <c r="G177" s="58"/>
      <c r="I177" s="74"/>
      <c r="J177" s="62"/>
      <c r="L177" s="62"/>
      <c r="M177" s="64"/>
      <c r="N177" s="64"/>
      <c r="O177" s="62"/>
    </row>
    <row r="178" spans="4:15" s="39" customFormat="1">
      <c r="D178" s="56"/>
      <c r="E178" s="56"/>
      <c r="F178" s="58"/>
      <c r="G178" s="58"/>
      <c r="I178" s="74"/>
      <c r="J178" s="62"/>
      <c r="L178" s="62"/>
      <c r="M178" s="64"/>
      <c r="N178" s="64"/>
      <c r="O178" s="62"/>
    </row>
    <row r="179" spans="4:15" s="39" customFormat="1">
      <c r="D179" s="56"/>
      <c r="E179" s="56"/>
      <c r="F179" s="58"/>
      <c r="G179" s="58"/>
      <c r="I179" s="74"/>
      <c r="J179" s="62"/>
      <c r="L179" s="62"/>
      <c r="M179" s="64"/>
      <c r="N179" s="64"/>
      <c r="O179" s="62"/>
    </row>
    <row r="180" spans="4:15" s="39" customFormat="1">
      <c r="D180" s="56"/>
      <c r="E180" s="56"/>
      <c r="F180" s="58"/>
      <c r="G180" s="58"/>
      <c r="I180" s="74"/>
      <c r="J180" s="62"/>
      <c r="L180" s="62"/>
      <c r="M180" s="64"/>
      <c r="N180" s="64"/>
      <c r="O180" s="62"/>
    </row>
    <row r="181" spans="4:15" s="39" customFormat="1">
      <c r="D181" s="56"/>
      <c r="E181" s="56"/>
      <c r="F181" s="58"/>
      <c r="G181" s="58"/>
      <c r="I181" s="74"/>
      <c r="J181" s="62"/>
      <c r="L181" s="62"/>
      <c r="M181" s="64"/>
      <c r="N181" s="64"/>
      <c r="O181" s="62"/>
    </row>
    <row r="182" spans="4:15" s="39" customFormat="1">
      <c r="D182" s="56"/>
      <c r="E182" s="56"/>
      <c r="F182" s="58"/>
      <c r="G182" s="58"/>
      <c r="I182" s="74"/>
      <c r="J182" s="62"/>
      <c r="L182" s="62"/>
      <c r="M182" s="64"/>
      <c r="N182" s="64"/>
      <c r="O182" s="62"/>
    </row>
    <row r="183" spans="4:15" s="39" customFormat="1">
      <c r="D183" s="56"/>
      <c r="E183" s="56"/>
      <c r="F183" s="58"/>
      <c r="G183" s="58"/>
      <c r="I183" s="74"/>
      <c r="J183" s="62"/>
      <c r="L183" s="62"/>
      <c r="M183" s="64"/>
      <c r="N183" s="64"/>
      <c r="O183" s="62"/>
    </row>
    <row r="184" spans="4:15" s="39" customFormat="1">
      <c r="D184" s="56"/>
      <c r="E184" s="56"/>
      <c r="F184" s="58"/>
      <c r="G184" s="58"/>
      <c r="I184" s="74"/>
      <c r="J184" s="62"/>
      <c r="L184" s="62"/>
      <c r="M184" s="64"/>
      <c r="N184" s="64"/>
      <c r="O184" s="62"/>
    </row>
    <row r="185" spans="4:15" s="39" customFormat="1">
      <c r="D185" s="56"/>
      <c r="E185" s="56"/>
      <c r="F185" s="58"/>
      <c r="G185" s="58"/>
      <c r="I185" s="74"/>
      <c r="J185" s="62"/>
      <c r="L185" s="62"/>
      <c r="M185" s="64"/>
      <c r="N185" s="64"/>
      <c r="O185" s="62"/>
    </row>
    <row r="186" spans="4:15" s="39" customFormat="1">
      <c r="D186" s="56"/>
      <c r="E186" s="56"/>
      <c r="F186" s="58"/>
      <c r="G186" s="58"/>
      <c r="I186" s="74"/>
      <c r="J186" s="62"/>
      <c r="L186" s="62"/>
      <c r="M186" s="64"/>
      <c r="N186" s="64"/>
      <c r="O186" s="62"/>
    </row>
    <row r="187" spans="4:15" s="39" customFormat="1">
      <c r="D187" s="56"/>
      <c r="E187" s="56"/>
      <c r="F187" s="58"/>
      <c r="G187" s="58"/>
      <c r="I187" s="74"/>
      <c r="J187" s="62"/>
      <c r="L187" s="62"/>
      <c r="M187" s="64"/>
      <c r="N187" s="64"/>
      <c r="O187" s="62"/>
    </row>
    <row r="188" spans="4:15" s="39" customFormat="1">
      <c r="D188" s="56"/>
      <c r="E188" s="56"/>
      <c r="F188" s="58"/>
      <c r="G188" s="58"/>
      <c r="I188" s="74"/>
      <c r="J188" s="62"/>
      <c r="L188" s="62"/>
      <c r="M188" s="64"/>
      <c r="N188" s="64"/>
      <c r="O188" s="62"/>
    </row>
    <row r="189" spans="4:15" s="39" customFormat="1">
      <c r="D189" s="56"/>
      <c r="E189" s="56"/>
      <c r="F189" s="58"/>
      <c r="G189" s="58"/>
      <c r="I189" s="74"/>
      <c r="J189" s="62"/>
      <c r="L189" s="62"/>
      <c r="M189" s="64"/>
      <c r="N189" s="64"/>
      <c r="O189" s="62"/>
    </row>
    <row r="190" spans="4:15" s="39" customFormat="1">
      <c r="D190" s="56"/>
      <c r="E190" s="56"/>
      <c r="F190" s="58"/>
      <c r="G190" s="58"/>
      <c r="I190" s="74"/>
      <c r="J190" s="62"/>
      <c r="L190" s="62"/>
      <c r="M190" s="64"/>
      <c r="N190" s="64"/>
      <c r="O190" s="62"/>
    </row>
    <row r="191" spans="4:15" s="39" customFormat="1">
      <c r="D191" s="56"/>
      <c r="E191" s="56"/>
      <c r="F191" s="58"/>
      <c r="G191" s="58"/>
      <c r="I191" s="74"/>
      <c r="J191" s="62"/>
      <c r="L191" s="62"/>
      <c r="M191" s="64"/>
      <c r="N191" s="64"/>
      <c r="O191" s="62"/>
    </row>
    <row r="192" spans="4:15" s="39" customFormat="1">
      <c r="D192" s="56"/>
      <c r="E192" s="56"/>
      <c r="F192" s="58"/>
      <c r="G192" s="58"/>
      <c r="I192" s="74"/>
      <c r="J192" s="62"/>
      <c r="L192" s="62"/>
      <c r="M192" s="64"/>
      <c r="N192" s="64"/>
      <c r="O192" s="62"/>
    </row>
    <row r="193" spans="4:15" s="39" customFormat="1">
      <c r="D193" s="56"/>
      <c r="E193" s="56"/>
      <c r="F193" s="58"/>
      <c r="G193" s="58"/>
      <c r="I193" s="74"/>
      <c r="J193" s="62"/>
      <c r="L193" s="62"/>
      <c r="M193" s="64"/>
      <c r="N193" s="64"/>
      <c r="O193" s="62"/>
    </row>
    <row r="194" spans="4:15" s="39" customFormat="1">
      <c r="D194" s="56"/>
      <c r="E194" s="56"/>
      <c r="F194" s="58"/>
      <c r="G194" s="58"/>
      <c r="I194" s="74"/>
      <c r="J194" s="62"/>
      <c r="L194" s="62"/>
      <c r="M194" s="64"/>
      <c r="N194" s="64"/>
      <c r="O194" s="62"/>
    </row>
    <row r="195" spans="4:15" s="39" customFormat="1">
      <c r="D195" s="56"/>
      <c r="E195" s="56"/>
      <c r="F195" s="58"/>
      <c r="G195" s="58"/>
      <c r="I195" s="74"/>
      <c r="J195" s="62"/>
      <c r="L195" s="62"/>
      <c r="M195" s="64"/>
      <c r="N195" s="64"/>
      <c r="O195" s="62"/>
    </row>
    <row r="196" spans="4:15" s="39" customFormat="1">
      <c r="D196" s="56"/>
      <c r="E196" s="56"/>
      <c r="F196" s="58"/>
      <c r="G196" s="58"/>
      <c r="I196" s="74"/>
      <c r="J196" s="62"/>
      <c r="L196" s="62"/>
      <c r="M196" s="64"/>
      <c r="N196" s="64"/>
      <c r="O196" s="62"/>
    </row>
    <row r="197" spans="4:15" s="39" customFormat="1">
      <c r="D197" s="56"/>
      <c r="E197" s="56"/>
      <c r="F197" s="58"/>
      <c r="G197" s="58"/>
      <c r="I197" s="74"/>
      <c r="J197" s="62"/>
      <c r="L197" s="62"/>
      <c r="M197" s="64"/>
      <c r="N197" s="64"/>
      <c r="O197" s="62"/>
    </row>
    <row r="198" spans="4:15" s="39" customFormat="1">
      <c r="D198" s="56"/>
      <c r="E198" s="56"/>
      <c r="F198" s="58"/>
      <c r="G198" s="58"/>
      <c r="I198" s="74"/>
      <c r="J198" s="62"/>
      <c r="L198" s="62"/>
      <c r="M198" s="64"/>
      <c r="N198" s="64"/>
      <c r="O198" s="62"/>
    </row>
    <row r="199" spans="4:15" s="39" customFormat="1">
      <c r="D199" s="56"/>
      <c r="E199" s="56"/>
      <c r="F199" s="58"/>
      <c r="G199" s="58"/>
      <c r="I199" s="74"/>
      <c r="J199" s="62"/>
      <c r="L199" s="62"/>
      <c r="M199" s="64"/>
      <c r="N199" s="64"/>
      <c r="O199" s="62"/>
    </row>
    <row r="200" spans="4:15" s="39" customFormat="1">
      <c r="D200" s="56"/>
      <c r="E200" s="56"/>
      <c r="F200" s="58"/>
      <c r="G200" s="58"/>
      <c r="I200" s="74"/>
      <c r="J200" s="62"/>
      <c r="L200" s="62"/>
      <c r="M200" s="64"/>
      <c r="N200" s="64"/>
      <c r="O200" s="62"/>
    </row>
    <row r="201" spans="4:15" s="39" customFormat="1">
      <c r="D201" s="56"/>
      <c r="E201" s="56"/>
      <c r="F201" s="58"/>
      <c r="G201" s="58"/>
      <c r="I201" s="74"/>
      <c r="J201" s="62"/>
      <c r="L201" s="62"/>
      <c r="M201" s="64"/>
      <c r="N201" s="64"/>
      <c r="O201" s="62"/>
    </row>
    <row r="202" spans="4:15" s="39" customFormat="1">
      <c r="D202" s="56"/>
      <c r="E202" s="56"/>
      <c r="F202" s="58"/>
      <c r="G202" s="58"/>
      <c r="I202" s="74"/>
      <c r="J202" s="62"/>
      <c r="L202" s="62"/>
      <c r="M202" s="64"/>
      <c r="N202" s="64"/>
      <c r="O202" s="62"/>
    </row>
    <row r="203" spans="4:15" s="39" customFormat="1">
      <c r="D203" s="56"/>
      <c r="E203" s="56"/>
      <c r="F203" s="58"/>
      <c r="G203" s="58"/>
      <c r="I203" s="74"/>
      <c r="J203" s="62"/>
      <c r="L203" s="62"/>
      <c r="M203" s="64"/>
      <c r="N203" s="64"/>
      <c r="O203" s="62"/>
    </row>
    <row r="204" spans="4:15" s="39" customFormat="1">
      <c r="D204" s="56"/>
      <c r="E204" s="56"/>
      <c r="F204" s="58"/>
      <c r="G204" s="58"/>
      <c r="I204" s="74"/>
      <c r="J204" s="62"/>
      <c r="L204" s="62"/>
      <c r="M204" s="64"/>
      <c r="N204" s="64"/>
      <c r="O204" s="62"/>
    </row>
    <row r="205" spans="4:15" s="39" customFormat="1">
      <c r="D205" s="56"/>
      <c r="E205" s="56"/>
      <c r="F205" s="58"/>
      <c r="G205" s="58"/>
      <c r="I205" s="74"/>
      <c r="J205" s="62"/>
      <c r="L205" s="62"/>
      <c r="M205" s="64"/>
      <c r="N205" s="64"/>
      <c r="O205" s="62"/>
    </row>
    <row r="206" spans="4:15" s="39" customFormat="1">
      <c r="D206" s="56"/>
      <c r="E206" s="56"/>
      <c r="F206" s="58"/>
      <c r="G206" s="58"/>
      <c r="I206" s="74"/>
      <c r="J206" s="62"/>
      <c r="L206" s="62"/>
      <c r="M206" s="64"/>
      <c r="N206" s="64"/>
      <c r="O206" s="62"/>
    </row>
    <row r="207" spans="4:15" s="39" customFormat="1">
      <c r="D207" s="56"/>
      <c r="E207" s="56"/>
      <c r="F207" s="58"/>
      <c r="G207" s="58"/>
      <c r="I207" s="74"/>
      <c r="J207" s="62"/>
      <c r="L207" s="62"/>
      <c r="M207" s="64"/>
      <c r="N207" s="64"/>
      <c r="O207" s="62"/>
    </row>
    <row r="208" spans="4:15" s="39" customFormat="1">
      <c r="D208" s="56"/>
      <c r="E208" s="56"/>
      <c r="F208" s="58"/>
      <c r="G208" s="58"/>
      <c r="I208" s="74"/>
      <c r="J208" s="62"/>
      <c r="L208" s="62"/>
      <c r="M208" s="64"/>
      <c r="N208" s="64"/>
      <c r="O208" s="62"/>
    </row>
    <row r="209" spans="4:15" s="39" customFormat="1">
      <c r="D209" s="56"/>
      <c r="E209" s="56"/>
      <c r="F209" s="58"/>
      <c r="G209" s="58"/>
      <c r="I209" s="74"/>
      <c r="J209" s="62"/>
      <c r="L209" s="62"/>
      <c r="M209" s="64"/>
      <c r="N209" s="64"/>
      <c r="O209" s="62"/>
    </row>
    <row r="210" spans="4:15" s="39" customFormat="1">
      <c r="D210" s="56"/>
      <c r="E210" s="56"/>
      <c r="F210" s="58"/>
      <c r="G210" s="58"/>
      <c r="I210" s="74"/>
      <c r="J210" s="62"/>
      <c r="L210" s="62"/>
      <c r="M210" s="64"/>
      <c r="N210" s="64"/>
      <c r="O210" s="62"/>
    </row>
    <row r="211" spans="4:15" s="39" customFormat="1">
      <c r="D211" s="56"/>
      <c r="E211" s="56"/>
      <c r="F211" s="58"/>
      <c r="G211" s="58"/>
      <c r="I211" s="74"/>
      <c r="J211" s="62"/>
      <c r="L211" s="62"/>
      <c r="M211" s="64"/>
      <c r="N211" s="64"/>
      <c r="O211" s="62"/>
    </row>
    <row r="212" spans="4:15" s="39" customFormat="1">
      <c r="D212" s="56"/>
      <c r="E212" s="56"/>
      <c r="F212" s="58"/>
      <c r="G212" s="58"/>
      <c r="I212" s="74"/>
      <c r="J212" s="62"/>
      <c r="L212" s="62"/>
      <c r="M212" s="64"/>
      <c r="N212" s="64"/>
      <c r="O212" s="62"/>
    </row>
    <row r="213" spans="4:15" s="39" customFormat="1">
      <c r="D213" s="56"/>
      <c r="E213" s="56"/>
      <c r="F213" s="58"/>
      <c r="G213" s="58"/>
      <c r="I213" s="74"/>
      <c r="J213" s="62"/>
      <c r="L213" s="62"/>
      <c r="M213" s="64"/>
      <c r="N213" s="64"/>
      <c r="O213" s="62"/>
    </row>
    <row r="214" spans="4:15" s="39" customFormat="1">
      <c r="D214" s="56"/>
      <c r="E214" s="56"/>
      <c r="F214" s="58"/>
      <c r="G214" s="58"/>
      <c r="I214" s="74"/>
      <c r="J214" s="62"/>
      <c r="L214" s="62"/>
      <c r="M214" s="64"/>
      <c r="N214" s="64"/>
      <c r="O214" s="62"/>
    </row>
    <row r="215" spans="4:15" s="39" customFormat="1">
      <c r="D215" s="56"/>
      <c r="E215" s="56"/>
      <c r="F215" s="58"/>
      <c r="G215" s="58"/>
      <c r="I215" s="74"/>
      <c r="J215" s="62"/>
      <c r="L215" s="62"/>
      <c r="M215" s="64"/>
      <c r="N215" s="64"/>
      <c r="O215" s="62"/>
    </row>
    <row r="216" spans="4:15" s="39" customFormat="1">
      <c r="D216" s="56"/>
      <c r="E216" s="56"/>
      <c r="F216" s="58"/>
      <c r="G216" s="58"/>
      <c r="I216" s="74"/>
      <c r="J216" s="62"/>
      <c r="L216" s="62"/>
      <c r="M216" s="64"/>
      <c r="N216" s="64"/>
      <c r="O216" s="62"/>
    </row>
    <row r="217" spans="4:15" s="39" customFormat="1">
      <c r="D217" s="56"/>
      <c r="E217" s="56"/>
      <c r="F217" s="58"/>
      <c r="G217" s="58"/>
      <c r="I217" s="74"/>
      <c r="J217" s="62"/>
      <c r="L217" s="62"/>
      <c r="M217" s="64"/>
      <c r="N217" s="64"/>
      <c r="O217" s="62"/>
    </row>
    <row r="218" spans="4:15" s="39" customFormat="1">
      <c r="D218" s="56"/>
      <c r="E218" s="56"/>
      <c r="F218" s="58"/>
      <c r="G218" s="58"/>
      <c r="I218" s="74"/>
      <c r="J218" s="62"/>
      <c r="L218" s="62"/>
      <c r="M218" s="64"/>
      <c r="N218" s="64"/>
      <c r="O218" s="62"/>
    </row>
    <row r="219" spans="4:15" s="39" customFormat="1">
      <c r="D219" s="56"/>
      <c r="E219" s="56"/>
      <c r="F219" s="58"/>
      <c r="G219" s="58"/>
      <c r="I219" s="74"/>
      <c r="J219" s="62"/>
      <c r="L219" s="62"/>
      <c r="M219" s="64"/>
      <c r="N219" s="64"/>
      <c r="O219" s="62"/>
    </row>
    <row r="220" spans="4:15" s="39" customFormat="1">
      <c r="D220" s="56"/>
      <c r="E220" s="56"/>
      <c r="F220" s="58"/>
      <c r="G220" s="58"/>
      <c r="I220" s="74"/>
      <c r="J220" s="62"/>
      <c r="L220" s="62"/>
      <c r="M220" s="64"/>
      <c r="N220" s="64"/>
      <c r="O220" s="62"/>
    </row>
    <row r="221" spans="4:15" s="39" customFormat="1">
      <c r="D221" s="56"/>
      <c r="E221" s="56"/>
      <c r="F221" s="58"/>
      <c r="G221" s="58"/>
      <c r="I221" s="74"/>
      <c r="J221" s="62"/>
      <c r="L221" s="62"/>
      <c r="M221" s="64"/>
      <c r="N221" s="64"/>
      <c r="O221" s="62"/>
    </row>
    <row r="222" spans="4:15" s="39" customFormat="1">
      <c r="D222" s="56"/>
      <c r="E222" s="56"/>
      <c r="F222" s="58"/>
      <c r="G222" s="58"/>
      <c r="I222" s="74"/>
      <c r="J222" s="62"/>
      <c r="L222" s="62"/>
      <c r="M222" s="64"/>
      <c r="N222" s="64"/>
      <c r="O222" s="62"/>
    </row>
    <row r="223" spans="4:15" s="39" customFormat="1">
      <c r="D223" s="56"/>
      <c r="E223" s="56"/>
      <c r="F223" s="58"/>
      <c r="G223" s="58"/>
      <c r="I223" s="74"/>
      <c r="J223" s="62"/>
      <c r="L223" s="62"/>
      <c r="M223" s="64"/>
      <c r="N223" s="64"/>
      <c r="O223" s="62"/>
    </row>
    <row r="224" spans="4:15" s="39" customFormat="1">
      <c r="D224" s="56"/>
      <c r="E224" s="56"/>
      <c r="F224" s="58"/>
      <c r="G224" s="58"/>
      <c r="I224" s="74"/>
      <c r="J224" s="62"/>
      <c r="L224" s="62"/>
      <c r="M224" s="64"/>
      <c r="N224" s="64"/>
      <c r="O224" s="62"/>
    </row>
    <row r="225" spans="4:15" s="39" customFormat="1">
      <c r="D225" s="56"/>
      <c r="E225" s="56"/>
      <c r="F225" s="58"/>
      <c r="G225" s="58"/>
      <c r="I225" s="74"/>
      <c r="J225" s="62"/>
      <c r="L225" s="62"/>
      <c r="M225" s="64"/>
      <c r="N225" s="64"/>
      <c r="O225" s="62"/>
    </row>
    <row r="226" spans="4:15" s="39" customFormat="1">
      <c r="D226" s="56"/>
      <c r="E226" s="56"/>
      <c r="F226" s="58"/>
      <c r="G226" s="58"/>
      <c r="I226" s="74"/>
      <c r="J226" s="62"/>
      <c r="L226" s="62"/>
      <c r="M226" s="64"/>
      <c r="N226" s="64"/>
      <c r="O226" s="62"/>
    </row>
    <row r="227" spans="4:15" s="39" customFormat="1">
      <c r="D227" s="56"/>
      <c r="E227" s="56"/>
      <c r="F227" s="58"/>
      <c r="G227" s="58"/>
      <c r="I227" s="74"/>
      <c r="J227" s="62"/>
      <c r="L227" s="62"/>
      <c r="M227" s="64"/>
      <c r="N227" s="64"/>
      <c r="O227" s="62"/>
    </row>
    <row r="228" spans="4:15" s="39" customFormat="1">
      <c r="D228" s="56"/>
      <c r="E228" s="56"/>
      <c r="F228" s="58"/>
      <c r="G228" s="58"/>
      <c r="I228" s="74"/>
      <c r="J228" s="62"/>
      <c r="L228" s="62"/>
      <c r="M228" s="64"/>
      <c r="N228" s="64"/>
      <c r="O228" s="62"/>
    </row>
    <row r="229" spans="4:15" s="39" customFormat="1">
      <c r="D229" s="56"/>
      <c r="E229" s="56"/>
      <c r="F229" s="58"/>
      <c r="G229" s="58"/>
      <c r="I229" s="74"/>
      <c r="J229" s="62"/>
      <c r="L229" s="62"/>
      <c r="M229" s="64"/>
      <c r="N229" s="64"/>
      <c r="O229" s="62"/>
    </row>
    <row r="230" spans="4:15" s="39" customFormat="1">
      <c r="D230" s="56"/>
      <c r="E230" s="56"/>
      <c r="F230" s="58"/>
      <c r="G230" s="58"/>
      <c r="I230" s="74"/>
      <c r="J230" s="62"/>
      <c r="L230" s="62"/>
      <c r="M230" s="64"/>
      <c r="N230" s="64"/>
      <c r="O230" s="62"/>
    </row>
    <row r="231" spans="4:15" s="39" customFormat="1">
      <c r="D231" s="56"/>
      <c r="E231" s="56"/>
      <c r="F231" s="58"/>
      <c r="G231" s="58"/>
      <c r="I231" s="74"/>
      <c r="J231" s="62"/>
      <c r="L231" s="62"/>
      <c r="M231" s="64"/>
      <c r="N231" s="64"/>
      <c r="O231" s="62"/>
    </row>
    <row r="232" spans="4:15" s="39" customFormat="1">
      <c r="D232" s="56"/>
      <c r="E232" s="56"/>
      <c r="F232" s="58"/>
      <c r="G232" s="58"/>
      <c r="I232" s="74"/>
      <c r="J232" s="62"/>
      <c r="L232" s="62"/>
      <c r="M232" s="64"/>
      <c r="N232" s="64"/>
      <c r="O232" s="62"/>
    </row>
    <row r="233" spans="4:15" s="39" customFormat="1">
      <c r="D233" s="56"/>
      <c r="E233" s="56"/>
      <c r="F233" s="58"/>
      <c r="G233" s="58"/>
      <c r="I233" s="74"/>
      <c r="J233" s="62"/>
      <c r="L233" s="62"/>
      <c r="M233" s="64"/>
      <c r="N233" s="64"/>
      <c r="O233" s="62"/>
    </row>
    <row r="234" spans="4:15" s="39" customFormat="1">
      <c r="D234" s="56"/>
      <c r="E234" s="56"/>
      <c r="F234" s="58"/>
      <c r="G234" s="58"/>
      <c r="I234" s="74"/>
      <c r="J234" s="62"/>
      <c r="L234" s="62"/>
      <c r="M234" s="64"/>
      <c r="N234" s="64"/>
      <c r="O234" s="62"/>
    </row>
    <row r="235" spans="4:15" s="39" customFormat="1">
      <c r="D235" s="56"/>
      <c r="E235" s="56"/>
      <c r="F235" s="58"/>
      <c r="G235" s="58"/>
      <c r="I235" s="74"/>
      <c r="J235" s="62"/>
      <c r="L235" s="62"/>
      <c r="M235" s="64"/>
      <c r="N235" s="64"/>
      <c r="O235" s="62"/>
    </row>
    <row r="236" spans="4:15" s="39" customFormat="1">
      <c r="D236" s="56"/>
      <c r="E236" s="56"/>
      <c r="F236" s="58"/>
      <c r="G236" s="58"/>
      <c r="I236" s="74"/>
      <c r="J236" s="62"/>
      <c r="L236" s="62"/>
      <c r="M236" s="64"/>
      <c r="N236" s="64"/>
      <c r="O236" s="62"/>
    </row>
    <row r="237" spans="4:15" s="39" customFormat="1">
      <c r="D237" s="56"/>
      <c r="E237" s="56"/>
      <c r="F237" s="58"/>
      <c r="G237" s="58"/>
      <c r="I237" s="74"/>
      <c r="J237" s="62"/>
      <c r="L237" s="62"/>
      <c r="M237" s="64"/>
      <c r="N237" s="64"/>
      <c r="O237" s="62"/>
    </row>
    <row r="238" spans="4:15" s="39" customFormat="1">
      <c r="D238" s="56"/>
      <c r="E238" s="56"/>
      <c r="F238" s="58"/>
      <c r="G238" s="58"/>
      <c r="I238" s="74"/>
      <c r="J238" s="62"/>
      <c r="L238" s="62"/>
      <c r="M238" s="64"/>
      <c r="N238" s="64"/>
      <c r="O238" s="62"/>
    </row>
    <row r="239" spans="4:15" s="39" customFormat="1">
      <c r="D239" s="56"/>
      <c r="E239" s="56"/>
      <c r="F239" s="58"/>
      <c r="G239" s="58"/>
      <c r="I239" s="74"/>
      <c r="J239" s="62"/>
      <c r="L239" s="62"/>
      <c r="M239" s="64"/>
      <c r="N239" s="64"/>
      <c r="O239" s="62"/>
    </row>
    <row r="240" spans="4:15" s="39" customFormat="1">
      <c r="D240" s="56"/>
      <c r="E240" s="56"/>
      <c r="F240" s="58"/>
      <c r="G240" s="58"/>
      <c r="I240" s="74"/>
      <c r="J240" s="62"/>
      <c r="L240" s="62"/>
      <c r="M240" s="64"/>
      <c r="N240" s="64"/>
      <c r="O240" s="62"/>
    </row>
    <row r="241" spans="4:15" s="39" customFormat="1">
      <c r="D241" s="56"/>
      <c r="E241" s="56"/>
      <c r="F241" s="58"/>
      <c r="G241" s="58"/>
      <c r="I241" s="74"/>
      <c r="J241" s="62"/>
      <c r="L241" s="62"/>
      <c r="M241" s="64"/>
      <c r="N241" s="64"/>
      <c r="O241" s="62"/>
    </row>
    <row r="242" spans="4:15" s="39" customFormat="1">
      <c r="D242" s="56"/>
      <c r="E242" s="56"/>
      <c r="F242" s="58"/>
      <c r="G242" s="58"/>
      <c r="I242" s="74"/>
      <c r="J242" s="62"/>
      <c r="L242" s="62"/>
      <c r="M242" s="64"/>
      <c r="N242" s="64"/>
      <c r="O242" s="62"/>
    </row>
    <row r="243" spans="4:15" s="39" customFormat="1">
      <c r="D243" s="56"/>
      <c r="E243" s="56"/>
      <c r="F243" s="58"/>
      <c r="G243" s="58"/>
      <c r="I243" s="74"/>
      <c r="J243" s="62"/>
      <c r="L243" s="62"/>
      <c r="M243" s="64"/>
      <c r="N243" s="64"/>
      <c r="O243" s="62"/>
    </row>
    <row r="244" spans="4:15" s="39" customFormat="1">
      <c r="D244" s="56"/>
      <c r="E244" s="56"/>
      <c r="F244" s="58"/>
      <c r="G244" s="58"/>
      <c r="I244" s="74"/>
      <c r="J244" s="62"/>
      <c r="L244" s="62"/>
      <c r="M244" s="64"/>
      <c r="N244" s="64"/>
      <c r="O244" s="62"/>
    </row>
    <row r="245" spans="4:15" s="39" customFormat="1">
      <c r="D245" s="56"/>
      <c r="E245" s="56"/>
      <c r="F245" s="58"/>
      <c r="G245" s="58"/>
      <c r="I245" s="74"/>
      <c r="J245" s="62"/>
      <c r="L245" s="62"/>
      <c r="M245" s="64"/>
      <c r="N245" s="64"/>
      <c r="O245" s="62"/>
    </row>
    <row r="246" spans="4:15" s="39" customFormat="1">
      <c r="D246" s="56"/>
      <c r="E246" s="56"/>
      <c r="F246" s="58"/>
      <c r="G246" s="58"/>
      <c r="I246" s="74"/>
      <c r="J246" s="62"/>
      <c r="L246" s="62"/>
      <c r="M246" s="64"/>
      <c r="N246" s="64"/>
      <c r="O246" s="62"/>
    </row>
    <row r="247" spans="4:15" s="39" customFormat="1">
      <c r="D247" s="56"/>
      <c r="E247" s="56"/>
      <c r="F247" s="58"/>
      <c r="G247" s="58"/>
      <c r="I247" s="74"/>
      <c r="J247" s="62"/>
      <c r="L247" s="62"/>
      <c r="M247" s="64"/>
      <c r="N247" s="64"/>
      <c r="O247" s="62"/>
    </row>
    <row r="248" spans="4:15" s="39" customFormat="1">
      <c r="D248" s="56"/>
      <c r="E248" s="56"/>
      <c r="F248" s="58"/>
      <c r="G248" s="58"/>
      <c r="I248" s="74"/>
      <c r="J248" s="62"/>
      <c r="L248" s="62"/>
      <c r="M248" s="64"/>
      <c r="N248" s="64"/>
      <c r="O248" s="62"/>
    </row>
    <row r="249" spans="4:15" s="39" customFormat="1">
      <c r="D249" s="56"/>
      <c r="E249" s="56"/>
      <c r="F249" s="58"/>
      <c r="G249" s="58"/>
      <c r="I249" s="74"/>
      <c r="J249" s="62"/>
      <c r="L249" s="62"/>
      <c r="M249" s="64"/>
      <c r="N249" s="64"/>
      <c r="O249" s="62"/>
    </row>
    <row r="250" spans="4:15" s="39" customFormat="1">
      <c r="D250" s="56"/>
      <c r="E250" s="56"/>
      <c r="F250" s="58"/>
      <c r="G250" s="58"/>
      <c r="I250" s="74"/>
      <c r="J250" s="62"/>
      <c r="L250" s="62"/>
      <c r="M250" s="64"/>
      <c r="N250" s="64"/>
      <c r="O250" s="62"/>
    </row>
    <row r="251" spans="4:15" s="39" customFormat="1">
      <c r="D251" s="56"/>
      <c r="E251" s="56"/>
      <c r="F251" s="58"/>
      <c r="G251" s="58"/>
      <c r="I251" s="74"/>
      <c r="J251" s="62"/>
      <c r="L251" s="62"/>
      <c r="M251" s="64"/>
      <c r="N251" s="64"/>
      <c r="O251" s="62"/>
    </row>
    <row r="252" spans="4:15" s="39" customFormat="1">
      <c r="D252" s="56"/>
      <c r="E252" s="56"/>
      <c r="F252" s="58"/>
      <c r="G252" s="58"/>
      <c r="I252" s="74"/>
      <c r="J252" s="62"/>
      <c r="L252" s="62"/>
      <c r="M252" s="64"/>
      <c r="N252" s="64"/>
      <c r="O252" s="62"/>
    </row>
    <row r="253" spans="4:15" s="39" customFormat="1">
      <c r="D253" s="56"/>
      <c r="E253" s="56"/>
      <c r="F253" s="58"/>
      <c r="G253" s="58"/>
      <c r="I253" s="74"/>
      <c r="J253" s="62"/>
      <c r="L253" s="62"/>
      <c r="M253" s="64"/>
      <c r="N253" s="64"/>
      <c r="O253" s="62"/>
    </row>
    <row r="254" spans="4:15" s="39" customFormat="1">
      <c r="D254" s="56"/>
      <c r="E254" s="56"/>
      <c r="F254" s="58"/>
      <c r="G254" s="58"/>
      <c r="I254" s="74"/>
      <c r="J254" s="62"/>
      <c r="L254" s="62"/>
      <c r="M254" s="64"/>
      <c r="N254" s="64"/>
      <c r="O254" s="62"/>
    </row>
    <row r="255" spans="4:15" s="39" customFormat="1">
      <c r="D255" s="56"/>
      <c r="E255" s="56"/>
      <c r="F255" s="58"/>
      <c r="G255" s="58"/>
      <c r="I255" s="74"/>
      <c r="J255" s="62"/>
      <c r="L255" s="62"/>
      <c r="M255" s="64"/>
      <c r="N255" s="64"/>
      <c r="O255" s="62"/>
    </row>
    <row r="256" spans="4:15" s="39" customFormat="1">
      <c r="D256" s="56"/>
      <c r="E256" s="56"/>
      <c r="F256" s="58"/>
      <c r="G256" s="58"/>
      <c r="I256" s="74"/>
      <c r="J256" s="62"/>
      <c r="L256" s="62"/>
      <c r="M256" s="64"/>
      <c r="N256" s="64"/>
      <c r="O256" s="62"/>
    </row>
    <row r="257" spans="4:15" s="39" customFormat="1">
      <c r="D257" s="56"/>
      <c r="E257" s="56"/>
      <c r="F257" s="58"/>
      <c r="G257" s="58"/>
      <c r="I257" s="74"/>
      <c r="J257" s="62"/>
      <c r="L257" s="62"/>
      <c r="M257" s="64"/>
      <c r="N257" s="64"/>
      <c r="O257" s="62"/>
    </row>
    <row r="258" spans="4:15" s="39" customFormat="1">
      <c r="D258" s="56"/>
      <c r="E258" s="56"/>
      <c r="F258" s="58"/>
      <c r="G258" s="58"/>
      <c r="I258" s="74"/>
      <c r="J258" s="62"/>
      <c r="L258" s="62"/>
      <c r="M258" s="64"/>
      <c r="N258" s="64"/>
      <c r="O258" s="62"/>
    </row>
    <row r="259" spans="4:15" s="39" customFormat="1">
      <c r="D259" s="56"/>
      <c r="E259" s="56"/>
      <c r="F259" s="58"/>
      <c r="G259" s="58"/>
      <c r="I259" s="74"/>
      <c r="J259" s="62"/>
      <c r="L259" s="62"/>
      <c r="M259" s="64"/>
      <c r="N259" s="64"/>
      <c r="O259" s="62"/>
    </row>
    <row r="260" spans="4:15" s="39" customFormat="1">
      <c r="D260" s="56"/>
      <c r="E260" s="56"/>
      <c r="F260" s="58"/>
      <c r="G260" s="58"/>
      <c r="I260" s="74"/>
      <c r="J260" s="62"/>
      <c r="L260" s="62"/>
      <c r="M260" s="64"/>
      <c r="N260" s="64"/>
      <c r="O260" s="62"/>
    </row>
    <row r="261" spans="4:15" s="39" customFormat="1">
      <c r="D261" s="56"/>
      <c r="E261" s="56"/>
      <c r="F261" s="58"/>
      <c r="G261" s="58"/>
      <c r="I261" s="74"/>
      <c r="J261" s="62"/>
      <c r="L261" s="62"/>
      <c r="M261" s="64"/>
      <c r="N261" s="64"/>
      <c r="O261" s="62"/>
    </row>
    <row r="262" spans="4:15" s="39" customFormat="1">
      <c r="D262" s="56"/>
      <c r="E262" s="56"/>
      <c r="F262" s="58"/>
      <c r="G262" s="58"/>
      <c r="I262" s="74"/>
      <c r="J262" s="62"/>
      <c r="L262" s="62"/>
      <c r="M262" s="64"/>
      <c r="N262" s="64"/>
      <c r="O262" s="62"/>
    </row>
    <row r="263" spans="4:15" s="39" customFormat="1">
      <c r="D263" s="56"/>
      <c r="E263" s="56"/>
      <c r="F263" s="58"/>
      <c r="G263" s="58"/>
      <c r="I263" s="74"/>
      <c r="J263" s="62"/>
      <c r="L263" s="62"/>
      <c r="M263" s="64"/>
      <c r="N263" s="64"/>
      <c r="O263" s="62"/>
    </row>
    <row r="264" spans="4:15" s="39" customFormat="1">
      <c r="D264" s="56"/>
      <c r="E264" s="56"/>
      <c r="F264" s="58"/>
      <c r="G264" s="58"/>
      <c r="I264" s="74"/>
      <c r="J264" s="62"/>
      <c r="L264" s="62"/>
      <c r="M264" s="64"/>
      <c r="N264" s="64"/>
      <c r="O264" s="62"/>
    </row>
    <row r="265" spans="4:15" s="39" customFormat="1">
      <c r="D265" s="56"/>
      <c r="E265" s="56"/>
      <c r="F265" s="58"/>
      <c r="G265" s="58"/>
      <c r="I265" s="74"/>
      <c r="J265" s="62"/>
      <c r="L265" s="62"/>
      <c r="M265" s="64"/>
      <c r="N265" s="64"/>
      <c r="O265" s="62"/>
    </row>
    <row r="266" spans="4:15" s="39" customFormat="1">
      <c r="D266" s="56"/>
      <c r="E266" s="56"/>
      <c r="F266" s="58"/>
      <c r="G266" s="58"/>
      <c r="I266" s="74"/>
      <c r="J266" s="62"/>
      <c r="L266" s="62"/>
      <c r="M266" s="64"/>
      <c r="N266" s="64"/>
      <c r="O266" s="62"/>
    </row>
    <row r="267" spans="4:15" s="39" customFormat="1">
      <c r="D267" s="56"/>
      <c r="E267" s="56"/>
      <c r="F267" s="58"/>
      <c r="G267" s="58"/>
      <c r="I267" s="74"/>
      <c r="J267" s="62"/>
      <c r="L267" s="62"/>
      <c r="M267" s="64"/>
      <c r="N267" s="64"/>
      <c r="O267" s="62"/>
    </row>
    <row r="268" spans="4:15" s="39" customFormat="1">
      <c r="D268" s="56"/>
      <c r="E268" s="56"/>
      <c r="F268" s="58"/>
      <c r="G268" s="58"/>
      <c r="I268" s="74"/>
      <c r="J268" s="62"/>
      <c r="L268" s="62"/>
      <c r="M268" s="64"/>
      <c r="N268" s="64"/>
      <c r="O268" s="62"/>
    </row>
    <row r="269" spans="4:15" s="39" customFormat="1">
      <c r="D269" s="56"/>
      <c r="E269" s="56"/>
      <c r="F269" s="58"/>
      <c r="G269" s="58"/>
      <c r="I269" s="74"/>
      <c r="J269" s="62"/>
      <c r="L269" s="62"/>
      <c r="M269" s="64"/>
      <c r="N269" s="64"/>
      <c r="O269" s="62"/>
    </row>
    <row r="270" spans="4:15" s="39" customFormat="1">
      <c r="D270" s="56"/>
      <c r="E270" s="56"/>
      <c r="F270" s="58"/>
      <c r="G270" s="58"/>
      <c r="I270" s="74"/>
      <c r="J270" s="62"/>
      <c r="L270" s="62"/>
      <c r="M270" s="64"/>
      <c r="N270" s="64"/>
      <c r="O270" s="62"/>
    </row>
    <row r="271" spans="4:15" s="39" customFormat="1">
      <c r="D271" s="56"/>
      <c r="E271" s="56"/>
      <c r="F271" s="58"/>
      <c r="G271" s="58"/>
      <c r="I271" s="74"/>
      <c r="J271" s="62"/>
      <c r="L271" s="62"/>
      <c r="M271" s="64"/>
      <c r="N271" s="64"/>
      <c r="O271" s="62"/>
    </row>
    <row r="272" spans="4:15" s="39" customFormat="1">
      <c r="D272" s="56"/>
      <c r="E272" s="56"/>
      <c r="F272" s="58"/>
      <c r="G272" s="58"/>
      <c r="I272" s="74"/>
      <c r="J272" s="62"/>
      <c r="L272" s="62"/>
      <c r="M272" s="64"/>
      <c r="N272" s="64"/>
      <c r="O272" s="62"/>
    </row>
    <row r="273" spans="4:15" s="39" customFormat="1">
      <c r="D273" s="56"/>
      <c r="E273" s="56"/>
      <c r="F273" s="58"/>
      <c r="G273" s="58"/>
      <c r="I273" s="74"/>
      <c r="J273" s="62"/>
      <c r="L273" s="62"/>
      <c r="M273" s="64"/>
      <c r="N273" s="64"/>
      <c r="O273" s="62"/>
    </row>
    <row r="274" spans="4:15" s="39" customFormat="1">
      <c r="D274" s="56"/>
      <c r="E274" s="56"/>
      <c r="F274" s="58"/>
      <c r="G274" s="58"/>
      <c r="I274" s="74"/>
      <c r="J274" s="62"/>
      <c r="L274" s="62"/>
      <c r="M274" s="64"/>
      <c r="N274" s="64"/>
      <c r="O274" s="62"/>
    </row>
    <row r="275" spans="4:15" s="39" customFormat="1">
      <c r="D275" s="56"/>
      <c r="E275" s="56"/>
      <c r="F275" s="58"/>
      <c r="G275" s="58"/>
      <c r="I275" s="74"/>
      <c r="J275" s="62"/>
      <c r="L275" s="62"/>
      <c r="M275" s="64"/>
      <c r="N275" s="64"/>
      <c r="O275" s="62"/>
    </row>
    <row r="276" spans="4:15" s="39" customFormat="1">
      <c r="D276" s="56"/>
      <c r="E276" s="56"/>
      <c r="F276" s="58"/>
      <c r="G276" s="58"/>
      <c r="I276" s="74"/>
      <c r="J276" s="62"/>
      <c r="L276" s="62"/>
      <c r="M276" s="64"/>
      <c r="N276" s="64"/>
      <c r="O276" s="62"/>
    </row>
    <row r="277" spans="4:15" s="39" customFormat="1">
      <c r="D277" s="56"/>
      <c r="E277" s="56"/>
      <c r="F277" s="58"/>
      <c r="G277" s="58"/>
      <c r="I277" s="74"/>
      <c r="J277" s="62"/>
      <c r="L277" s="62"/>
      <c r="M277" s="64"/>
      <c r="N277" s="64"/>
      <c r="O277" s="62"/>
    </row>
    <row r="278" spans="4:15" s="39" customFormat="1">
      <c r="D278" s="56"/>
      <c r="E278" s="56"/>
      <c r="F278" s="58"/>
      <c r="G278" s="58"/>
      <c r="I278" s="74"/>
      <c r="J278" s="62"/>
      <c r="L278" s="62"/>
      <c r="M278" s="64"/>
      <c r="N278" s="64"/>
      <c r="O278" s="62"/>
    </row>
    <row r="279" spans="4:15" s="39" customFormat="1">
      <c r="D279" s="56"/>
      <c r="E279" s="56"/>
      <c r="F279" s="58"/>
      <c r="G279" s="58"/>
      <c r="I279" s="74"/>
      <c r="J279" s="62"/>
      <c r="L279" s="62"/>
      <c r="M279" s="64"/>
      <c r="N279" s="64"/>
      <c r="O279" s="62"/>
    </row>
    <row r="280" spans="4:15" s="39" customFormat="1">
      <c r="D280" s="56"/>
      <c r="E280" s="56"/>
      <c r="F280" s="58"/>
      <c r="G280" s="58"/>
      <c r="I280" s="74"/>
      <c r="J280" s="62"/>
      <c r="L280" s="62"/>
      <c r="M280" s="64"/>
      <c r="N280" s="64"/>
      <c r="O280" s="62"/>
    </row>
    <row r="281" spans="4:15" s="39" customFormat="1">
      <c r="D281" s="56"/>
      <c r="E281" s="56"/>
      <c r="F281" s="58"/>
      <c r="G281" s="58"/>
      <c r="I281" s="74"/>
      <c r="J281" s="62"/>
      <c r="L281" s="62"/>
      <c r="M281" s="64"/>
      <c r="N281" s="64"/>
      <c r="O281" s="62"/>
    </row>
    <row r="282" spans="4:15" s="39" customFormat="1">
      <c r="D282" s="56"/>
      <c r="E282" s="56"/>
      <c r="F282" s="58"/>
      <c r="G282" s="58"/>
      <c r="I282" s="74"/>
      <c r="J282" s="62"/>
      <c r="L282" s="62"/>
      <c r="M282" s="64"/>
      <c r="N282" s="64"/>
      <c r="O282" s="62"/>
    </row>
    <row r="283" spans="4:15" s="39" customFormat="1">
      <c r="D283" s="56"/>
      <c r="E283" s="56"/>
      <c r="F283" s="58"/>
      <c r="G283" s="58"/>
      <c r="I283" s="74"/>
      <c r="J283" s="62"/>
      <c r="L283" s="62"/>
      <c r="M283" s="64"/>
      <c r="N283" s="64"/>
      <c r="O283" s="62"/>
    </row>
    <row r="284" spans="4:15" s="39" customFormat="1">
      <c r="D284" s="56"/>
      <c r="E284" s="56"/>
      <c r="F284" s="58"/>
      <c r="G284" s="58"/>
      <c r="I284" s="74"/>
      <c r="J284" s="62"/>
      <c r="L284" s="62"/>
      <c r="M284" s="64"/>
      <c r="N284" s="64"/>
      <c r="O284" s="62"/>
    </row>
    <row r="285" spans="4:15" s="39" customFormat="1">
      <c r="D285" s="56"/>
      <c r="E285" s="56"/>
      <c r="F285" s="58"/>
      <c r="G285" s="58"/>
      <c r="I285" s="74"/>
      <c r="J285" s="62"/>
      <c r="L285" s="62"/>
      <c r="M285" s="64"/>
      <c r="N285" s="64"/>
      <c r="O285" s="62"/>
    </row>
    <row r="286" spans="4:15" s="39" customFormat="1">
      <c r="D286" s="56"/>
      <c r="E286" s="56"/>
      <c r="F286" s="58"/>
      <c r="G286" s="58"/>
      <c r="I286" s="74"/>
      <c r="J286" s="62"/>
      <c r="L286" s="62"/>
      <c r="M286" s="64"/>
      <c r="N286" s="64"/>
      <c r="O286" s="62"/>
    </row>
    <row r="287" spans="4:15" s="39" customFormat="1">
      <c r="D287" s="56"/>
      <c r="E287" s="56"/>
      <c r="F287" s="58"/>
      <c r="G287" s="58"/>
      <c r="I287" s="74"/>
      <c r="J287" s="62"/>
      <c r="L287" s="62"/>
      <c r="M287" s="64"/>
      <c r="N287" s="64"/>
      <c r="O287" s="62"/>
    </row>
    <row r="288" spans="4:15" s="39" customFormat="1">
      <c r="D288" s="56"/>
      <c r="E288" s="56"/>
      <c r="F288" s="58"/>
      <c r="G288" s="58"/>
      <c r="I288" s="74"/>
      <c r="J288" s="62"/>
      <c r="L288" s="62"/>
      <c r="M288" s="64"/>
      <c r="N288" s="64"/>
      <c r="O288" s="62"/>
    </row>
    <row r="289" spans="4:15" s="39" customFormat="1">
      <c r="D289" s="56"/>
      <c r="E289" s="56"/>
      <c r="F289" s="58"/>
      <c r="G289" s="58"/>
      <c r="I289" s="74"/>
      <c r="J289" s="62"/>
      <c r="L289" s="62"/>
      <c r="M289" s="64"/>
      <c r="N289" s="64"/>
      <c r="O289" s="62"/>
    </row>
    <row r="290" spans="4:15" s="39" customFormat="1">
      <c r="D290" s="56"/>
      <c r="E290" s="56"/>
      <c r="F290" s="58"/>
      <c r="G290" s="58"/>
      <c r="I290" s="74"/>
      <c r="J290" s="62"/>
      <c r="L290" s="62"/>
      <c r="M290" s="64"/>
      <c r="N290" s="64"/>
      <c r="O290" s="62"/>
    </row>
    <row r="291" spans="4:15" s="39" customFormat="1">
      <c r="D291" s="56"/>
      <c r="E291" s="56"/>
      <c r="F291" s="58"/>
      <c r="G291" s="58"/>
      <c r="I291" s="74"/>
      <c r="J291" s="62"/>
      <c r="L291" s="62"/>
      <c r="M291" s="64"/>
      <c r="N291" s="64"/>
      <c r="O291" s="62"/>
    </row>
    <row r="292" spans="4:15" s="39" customFormat="1">
      <c r="D292" s="56"/>
      <c r="E292" s="56"/>
      <c r="F292" s="58"/>
      <c r="G292" s="58"/>
      <c r="I292" s="74"/>
      <c r="J292" s="62"/>
      <c r="L292" s="62"/>
      <c r="M292" s="64"/>
      <c r="N292" s="64"/>
      <c r="O292" s="62"/>
    </row>
    <row r="293" spans="4:15" s="39" customFormat="1">
      <c r="D293" s="56"/>
      <c r="E293" s="56"/>
      <c r="F293" s="58"/>
      <c r="G293" s="58"/>
      <c r="I293" s="74"/>
      <c r="J293" s="62"/>
      <c r="L293" s="62"/>
      <c r="M293" s="64"/>
      <c r="N293" s="64"/>
      <c r="O293" s="62"/>
    </row>
    <row r="294" spans="4:15" s="39" customFormat="1">
      <c r="D294" s="56"/>
      <c r="E294" s="56"/>
      <c r="F294" s="58"/>
      <c r="G294" s="58"/>
      <c r="I294" s="74"/>
      <c r="J294" s="62"/>
      <c r="L294" s="62"/>
      <c r="M294" s="64"/>
      <c r="N294" s="64"/>
      <c r="O294" s="62"/>
    </row>
    <row r="295" spans="4:15" s="39" customFormat="1">
      <c r="D295" s="56"/>
      <c r="E295" s="56"/>
      <c r="F295" s="58"/>
      <c r="G295" s="58"/>
      <c r="I295" s="74"/>
      <c r="J295" s="62"/>
      <c r="L295" s="62"/>
      <c r="M295" s="64"/>
      <c r="N295" s="64"/>
      <c r="O295" s="62"/>
    </row>
    <row r="296" spans="4:15" s="39" customFormat="1">
      <c r="D296" s="56"/>
      <c r="E296" s="56"/>
      <c r="F296" s="58"/>
      <c r="G296" s="58"/>
      <c r="I296" s="74"/>
      <c r="J296" s="62"/>
      <c r="L296" s="62"/>
      <c r="M296" s="64"/>
      <c r="N296" s="64"/>
      <c r="O296" s="62"/>
    </row>
    <row r="297" spans="4:15" s="39" customFormat="1">
      <c r="D297" s="56"/>
      <c r="E297" s="56"/>
      <c r="F297" s="58"/>
      <c r="G297" s="58"/>
      <c r="I297" s="74"/>
      <c r="J297" s="62"/>
      <c r="L297" s="62"/>
      <c r="M297" s="64"/>
      <c r="N297" s="64"/>
      <c r="O297" s="62"/>
    </row>
    <row r="298" spans="4:15" s="39" customFormat="1">
      <c r="D298" s="56"/>
      <c r="E298" s="56"/>
      <c r="F298" s="58"/>
      <c r="G298" s="58"/>
      <c r="I298" s="74"/>
      <c r="J298" s="62"/>
      <c r="L298" s="62"/>
      <c r="M298" s="64"/>
      <c r="N298" s="64"/>
      <c r="O298" s="62"/>
    </row>
    <row r="299" spans="4:15" s="39" customFormat="1">
      <c r="D299" s="56"/>
      <c r="E299" s="56"/>
      <c r="F299" s="58"/>
      <c r="G299" s="58"/>
      <c r="I299" s="74"/>
      <c r="J299" s="62"/>
      <c r="L299" s="62"/>
      <c r="M299" s="64"/>
      <c r="N299" s="64"/>
      <c r="O299" s="62"/>
    </row>
    <row r="300" spans="4:15" s="39" customFormat="1">
      <c r="D300" s="56"/>
      <c r="E300" s="56"/>
      <c r="F300" s="58"/>
      <c r="G300" s="58"/>
      <c r="I300" s="74"/>
      <c r="J300" s="62"/>
      <c r="L300" s="62"/>
      <c r="M300" s="64"/>
      <c r="N300" s="64"/>
      <c r="O300" s="62"/>
    </row>
    <row r="301" spans="4:15" s="39" customFormat="1">
      <c r="D301" s="56"/>
      <c r="E301" s="56"/>
      <c r="F301" s="58"/>
      <c r="G301" s="58"/>
      <c r="I301" s="74"/>
      <c r="J301" s="62"/>
      <c r="L301" s="62"/>
      <c r="M301" s="64"/>
      <c r="N301" s="64"/>
      <c r="O301" s="62"/>
    </row>
    <row r="302" spans="4:15" s="39" customFormat="1">
      <c r="D302" s="56"/>
      <c r="E302" s="56"/>
      <c r="F302" s="58"/>
      <c r="G302" s="58"/>
      <c r="I302" s="74"/>
      <c r="J302" s="62"/>
      <c r="L302" s="62"/>
      <c r="M302" s="64"/>
      <c r="N302" s="64"/>
      <c r="O302" s="62"/>
    </row>
    <row r="303" spans="4:15" s="39" customFormat="1">
      <c r="D303" s="56"/>
      <c r="E303" s="56"/>
      <c r="F303" s="58"/>
      <c r="G303" s="58"/>
      <c r="I303" s="74"/>
      <c r="J303" s="62"/>
      <c r="L303" s="62"/>
      <c r="M303" s="64"/>
      <c r="N303" s="64"/>
      <c r="O303" s="62"/>
    </row>
    <row r="304" spans="4:15" s="39" customFormat="1">
      <c r="D304" s="56"/>
      <c r="E304" s="56"/>
      <c r="F304" s="58"/>
      <c r="G304" s="58"/>
      <c r="I304" s="74"/>
      <c r="J304" s="62"/>
      <c r="L304" s="62"/>
      <c r="M304" s="64"/>
      <c r="N304" s="64"/>
      <c r="O304" s="62"/>
    </row>
    <row r="305" spans="4:15" s="39" customFormat="1">
      <c r="D305" s="56"/>
      <c r="E305" s="56"/>
      <c r="F305" s="58"/>
      <c r="G305" s="58"/>
      <c r="I305" s="74"/>
      <c r="J305" s="62"/>
      <c r="L305" s="62"/>
      <c r="M305" s="64"/>
      <c r="N305" s="64"/>
      <c r="O305" s="62"/>
    </row>
    <row r="306" spans="4:15" s="39" customFormat="1">
      <c r="D306" s="56"/>
      <c r="E306" s="56"/>
      <c r="F306" s="58"/>
      <c r="G306" s="58"/>
      <c r="I306" s="74"/>
      <c r="J306" s="62"/>
      <c r="L306" s="62"/>
      <c r="M306" s="64"/>
      <c r="N306" s="64"/>
      <c r="O306" s="62"/>
    </row>
    <row r="307" spans="4:15" s="39" customFormat="1">
      <c r="D307" s="56"/>
      <c r="E307" s="56"/>
      <c r="F307" s="58"/>
      <c r="G307" s="58"/>
      <c r="I307" s="74"/>
      <c r="J307" s="62"/>
      <c r="L307" s="62"/>
      <c r="M307" s="64"/>
      <c r="N307" s="64"/>
      <c r="O307" s="62"/>
    </row>
    <row r="308" spans="4:15" s="39" customFormat="1">
      <c r="D308" s="56"/>
      <c r="E308" s="56"/>
      <c r="F308" s="58"/>
      <c r="G308" s="58"/>
      <c r="I308" s="74"/>
      <c r="J308" s="62"/>
      <c r="L308" s="62"/>
      <c r="M308" s="64"/>
      <c r="N308" s="64"/>
      <c r="O308" s="62"/>
    </row>
    <row r="309" spans="4:15" s="39" customFormat="1">
      <c r="D309" s="56"/>
      <c r="E309" s="56"/>
      <c r="F309" s="58"/>
      <c r="G309" s="58"/>
      <c r="I309" s="74"/>
      <c r="J309" s="62"/>
      <c r="L309" s="62"/>
      <c r="M309" s="64"/>
      <c r="N309" s="64"/>
      <c r="O309" s="62"/>
    </row>
    <row r="310" spans="4:15" s="39" customFormat="1">
      <c r="D310" s="56"/>
      <c r="E310" s="56"/>
      <c r="F310" s="58"/>
      <c r="G310" s="58"/>
      <c r="I310" s="74"/>
      <c r="J310" s="62"/>
      <c r="L310" s="62"/>
      <c r="M310" s="64"/>
      <c r="N310" s="64"/>
      <c r="O310" s="62"/>
    </row>
    <row r="311" spans="4:15" s="39" customFormat="1">
      <c r="D311" s="56"/>
      <c r="E311" s="56"/>
      <c r="F311" s="58"/>
      <c r="G311" s="58"/>
      <c r="I311" s="74"/>
      <c r="J311" s="62"/>
      <c r="L311" s="62"/>
      <c r="M311" s="64"/>
      <c r="N311" s="64"/>
      <c r="O311" s="62"/>
    </row>
    <row r="312" spans="4:15" s="39" customFormat="1">
      <c r="D312" s="56"/>
      <c r="E312" s="56"/>
      <c r="F312" s="58"/>
      <c r="G312" s="58"/>
      <c r="I312" s="74"/>
      <c r="J312" s="62"/>
      <c r="L312" s="62"/>
      <c r="M312" s="64"/>
      <c r="N312" s="64"/>
      <c r="O312" s="62"/>
    </row>
    <row r="313" spans="4:15" s="39" customFormat="1">
      <c r="D313" s="56"/>
      <c r="E313" s="56"/>
      <c r="F313" s="58"/>
      <c r="G313" s="58"/>
      <c r="I313" s="74"/>
      <c r="J313" s="62"/>
      <c r="L313" s="62"/>
      <c r="M313" s="64"/>
      <c r="N313" s="64"/>
      <c r="O313" s="62"/>
    </row>
    <row r="314" spans="4:15" s="39" customFormat="1">
      <c r="D314" s="56"/>
      <c r="E314" s="56"/>
      <c r="F314" s="58"/>
      <c r="G314" s="58"/>
      <c r="I314" s="74"/>
      <c r="J314" s="62"/>
      <c r="L314" s="62"/>
      <c r="M314" s="64"/>
      <c r="N314" s="64"/>
      <c r="O314" s="62"/>
    </row>
    <row r="315" spans="4:15" s="39" customFormat="1">
      <c r="D315" s="56"/>
      <c r="E315" s="56"/>
      <c r="F315" s="58"/>
      <c r="G315" s="58"/>
      <c r="I315" s="74"/>
      <c r="J315" s="62"/>
      <c r="L315" s="62"/>
      <c r="M315" s="64"/>
      <c r="N315" s="64"/>
      <c r="O315" s="62"/>
    </row>
    <row r="316" spans="4:15" s="39" customFormat="1">
      <c r="D316" s="56"/>
      <c r="E316" s="56"/>
      <c r="F316" s="58"/>
      <c r="G316" s="58"/>
      <c r="I316" s="74"/>
      <c r="J316" s="62"/>
      <c r="L316" s="62"/>
      <c r="M316" s="64"/>
      <c r="N316" s="64"/>
      <c r="O316" s="62"/>
    </row>
    <row r="317" spans="4:15" s="39" customFormat="1">
      <c r="D317" s="56"/>
      <c r="E317" s="56"/>
      <c r="F317" s="58"/>
      <c r="G317" s="58"/>
      <c r="I317" s="74"/>
      <c r="J317" s="62"/>
      <c r="L317" s="62"/>
      <c r="M317" s="64"/>
      <c r="N317" s="64"/>
      <c r="O317" s="62"/>
    </row>
    <row r="318" spans="4:15" s="39" customFormat="1">
      <c r="D318" s="56"/>
      <c r="E318" s="56"/>
      <c r="F318" s="58"/>
      <c r="G318" s="58"/>
      <c r="I318" s="74"/>
      <c r="J318" s="62"/>
      <c r="L318" s="62"/>
      <c r="M318" s="64"/>
      <c r="N318" s="64"/>
      <c r="O318" s="62"/>
    </row>
    <row r="319" spans="4:15" s="39" customFormat="1">
      <c r="D319" s="56"/>
      <c r="E319" s="56"/>
      <c r="F319" s="58"/>
      <c r="G319" s="58"/>
      <c r="I319" s="74"/>
      <c r="J319" s="62"/>
      <c r="L319" s="62"/>
      <c r="M319" s="64"/>
      <c r="N319" s="64"/>
      <c r="O319" s="62"/>
    </row>
    <row r="320" spans="4:15" s="39" customFormat="1">
      <c r="D320" s="56"/>
      <c r="E320" s="56"/>
      <c r="F320" s="58"/>
      <c r="G320" s="58"/>
      <c r="I320" s="74"/>
      <c r="J320" s="62"/>
      <c r="L320" s="62"/>
      <c r="M320" s="64"/>
      <c r="N320" s="64"/>
      <c r="O320" s="62"/>
    </row>
    <row r="321" spans="4:15" s="39" customFormat="1">
      <c r="D321" s="56"/>
      <c r="E321" s="56"/>
      <c r="F321" s="58"/>
      <c r="G321" s="58"/>
      <c r="I321" s="74"/>
      <c r="J321" s="62"/>
      <c r="L321" s="62"/>
      <c r="M321" s="64"/>
      <c r="N321" s="64"/>
      <c r="O321" s="62"/>
    </row>
    <row r="322" spans="4:15" s="39" customFormat="1">
      <c r="D322" s="56"/>
      <c r="E322" s="56"/>
      <c r="F322" s="58"/>
      <c r="G322" s="58"/>
      <c r="I322" s="74"/>
      <c r="J322" s="62"/>
      <c r="L322" s="62"/>
      <c r="M322" s="64"/>
      <c r="N322" s="64"/>
      <c r="O322" s="62"/>
    </row>
    <row r="323" spans="4:15" s="39" customFormat="1">
      <c r="D323" s="56"/>
      <c r="E323" s="56"/>
      <c r="F323" s="58"/>
      <c r="G323" s="58"/>
      <c r="I323" s="74"/>
      <c r="J323" s="62"/>
      <c r="L323" s="62"/>
      <c r="M323" s="64"/>
      <c r="N323" s="64"/>
      <c r="O323" s="62"/>
    </row>
    <row r="324" spans="4:15" s="39" customFormat="1">
      <c r="D324" s="56"/>
      <c r="E324" s="56"/>
      <c r="F324" s="58"/>
      <c r="G324" s="58"/>
      <c r="I324" s="74"/>
      <c r="J324" s="62"/>
      <c r="L324" s="62"/>
      <c r="M324" s="64"/>
      <c r="N324" s="64"/>
      <c r="O324" s="62"/>
    </row>
    <row r="325" spans="4:15" s="39" customFormat="1">
      <c r="D325" s="56"/>
      <c r="E325" s="56"/>
      <c r="F325" s="58"/>
      <c r="G325" s="58"/>
      <c r="I325" s="74"/>
      <c r="J325" s="62"/>
      <c r="L325" s="62"/>
      <c r="M325" s="64"/>
      <c r="N325" s="64"/>
      <c r="O325" s="62"/>
    </row>
    <row r="326" spans="4:15" s="39" customFormat="1">
      <c r="D326" s="56"/>
      <c r="E326" s="56"/>
      <c r="F326" s="58"/>
      <c r="G326" s="58"/>
      <c r="I326" s="74"/>
      <c r="J326" s="62"/>
      <c r="L326" s="62"/>
      <c r="M326" s="64"/>
      <c r="N326" s="64"/>
      <c r="O326" s="62"/>
    </row>
    <row r="327" spans="4:15" s="39" customFormat="1">
      <c r="D327" s="56"/>
      <c r="E327" s="56"/>
      <c r="F327" s="58"/>
      <c r="G327" s="58"/>
      <c r="I327" s="74"/>
      <c r="J327" s="62"/>
      <c r="L327" s="62"/>
      <c r="M327" s="64"/>
      <c r="N327" s="64"/>
      <c r="O327" s="62"/>
    </row>
    <row r="328" spans="4:15" s="39" customFormat="1">
      <c r="D328" s="56"/>
      <c r="E328" s="56"/>
      <c r="F328" s="58"/>
      <c r="G328" s="58"/>
      <c r="I328" s="74"/>
      <c r="J328" s="62"/>
      <c r="L328" s="62"/>
      <c r="M328" s="64"/>
      <c r="N328" s="64"/>
      <c r="O328" s="62"/>
    </row>
    <row r="329" spans="4:15" s="39" customFormat="1">
      <c r="D329" s="56"/>
      <c r="E329" s="56"/>
      <c r="F329" s="58"/>
      <c r="G329" s="58"/>
      <c r="I329" s="74"/>
      <c r="J329" s="62"/>
      <c r="L329" s="62"/>
      <c r="M329" s="64"/>
      <c r="N329" s="64"/>
      <c r="O329" s="62"/>
    </row>
    <row r="330" spans="4:15" s="39" customFormat="1">
      <c r="D330" s="56"/>
      <c r="E330" s="56"/>
      <c r="F330" s="58"/>
      <c r="G330" s="58"/>
      <c r="I330" s="74"/>
      <c r="J330" s="62"/>
      <c r="L330" s="62"/>
      <c r="M330" s="64"/>
      <c r="N330" s="64"/>
      <c r="O330" s="62"/>
    </row>
    <row r="331" spans="4:15" s="39" customFormat="1">
      <c r="D331" s="56"/>
      <c r="E331" s="56"/>
      <c r="F331" s="58"/>
      <c r="G331" s="58"/>
      <c r="I331" s="74"/>
      <c r="J331" s="62"/>
      <c r="L331" s="62"/>
      <c r="M331" s="64"/>
      <c r="N331" s="64"/>
      <c r="O331" s="62"/>
    </row>
    <row r="332" spans="4:15" s="39" customFormat="1">
      <c r="D332" s="56"/>
      <c r="E332" s="56"/>
      <c r="F332" s="58"/>
      <c r="G332" s="58"/>
      <c r="I332" s="74"/>
      <c r="J332" s="62"/>
      <c r="L332" s="62"/>
      <c r="M332" s="64"/>
      <c r="N332" s="64"/>
      <c r="O332" s="62"/>
    </row>
    <row r="333" spans="4:15" s="39" customFormat="1">
      <c r="D333" s="56"/>
      <c r="E333" s="56"/>
      <c r="F333" s="58"/>
      <c r="G333" s="58"/>
      <c r="I333" s="74"/>
      <c r="J333" s="62"/>
      <c r="L333" s="62"/>
      <c r="M333" s="64"/>
      <c r="N333" s="64"/>
      <c r="O333" s="62"/>
    </row>
    <row r="334" spans="4:15" s="39" customFormat="1">
      <c r="D334" s="56"/>
      <c r="E334" s="56"/>
      <c r="F334" s="58"/>
      <c r="G334" s="58"/>
      <c r="I334" s="74"/>
      <c r="J334" s="62"/>
      <c r="L334" s="62"/>
      <c r="M334" s="64"/>
      <c r="N334" s="64"/>
      <c r="O334" s="62"/>
    </row>
    <row r="335" spans="4:15" s="39" customFormat="1">
      <c r="D335" s="56"/>
      <c r="E335" s="56"/>
      <c r="F335" s="58"/>
      <c r="G335" s="58"/>
      <c r="I335" s="74"/>
      <c r="J335" s="62"/>
      <c r="L335" s="62"/>
      <c r="M335" s="64"/>
      <c r="N335" s="64"/>
      <c r="O335" s="62"/>
    </row>
    <row r="336" spans="4:15" s="39" customFormat="1">
      <c r="D336" s="56"/>
      <c r="E336" s="56"/>
      <c r="F336" s="58"/>
      <c r="G336" s="58"/>
      <c r="I336" s="74"/>
      <c r="J336" s="62"/>
      <c r="L336" s="62"/>
      <c r="M336" s="64"/>
      <c r="N336" s="64"/>
      <c r="O336" s="62"/>
    </row>
    <row r="337" spans="4:15" s="39" customFormat="1">
      <c r="D337" s="56"/>
      <c r="E337" s="56"/>
      <c r="F337" s="58"/>
      <c r="G337" s="58"/>
      <c r="I337" s="74"/>
      <c r="J337" s="62"/>
      <c r="L337" s="62"/>
      <c r="M337" s="64"/>
      <c r="N337" s="64"/>
      <c r="O337" s="62"/>
    </row>
    <row r="338" spans="4:15" s="39" customFormat="1">
      <c r="D338" s="56"/>
      <c r="E338" s="56"/>
      <c r="F338" s="58"/>
      <c r="G338" s="58"/>
      <c r="I338" s="74"/>
      <c r="J338" s="62"/>
      <c r="L338" s="62"/>
      <c r="M338" s="64"/>
      <c r="N338" s="64"/>
      <c r="O338" s="62"/>
    </row>
    <row r="339" spans="4:15" s="39" customFormat="1">
      <c r="D339" s="56"/>
      <c r="E339" s="56"/>
      <c r="F339" s="58"/>
      <c r="G339" s="58"/>
      <c r="I339" s="74"/>
      <c r="J339" s="62"/>
      <c r="L339" s="62"/>
      <c r="M339" s="64"/>
      <c r="N339" s="64"/>
      <c r="O339" s="62"/>
    </row>
    <row r="340" spans="4:15" s="39" customFormat="1">
      <c r="D340" s="56"/>
      <c r="E340" s="56"/>
      <c r="F340" s="58"/>
      <c r="G340" s="58"/>
      <c r="I340" s="74"/>
      <c r="J340" s="62"/>
      <c r="L340" s="62"/>
      <c r="M340" s="64"/>
      <c r="N340" s="64"/>
      <c r="O340" s="62"/>
    </row>
    <row r="341" spans="4:15" s="39" customFormat="1">
      <c r="D341" s="56"/>
      <c r="E341" s="56"/>
      <c r="F341" s="58"/>
      <c r="G341" s="58"/>
      <c r="I341" s="74"/>
      <c r="J341" s="62"/>
      <c r="L341" s="62"/>
      <c r="M341" s="64"/>
      <c r="N341" s="64"/>
      <c r="O341" s="62"/>
    </row>
    <row r="342" spans="4:15" s="39" customFormat="1">
      <c r="D342" s="56"/>
      <c r="E342" s="56"/>
      <c r="F342" s="58"/>
      <c r="G342" s="58"/>
      <c r="I342" s="74"/>
      <c r="J342" s="62"/>
      <c r="L342" s="62"/>
      <c r="M342" s="64"/>
      <c r="N342" s="64"/>
      <c r="O342" s="62"/>
    </row>
    <row r="343" spans="4:15" s="39" customFormat="1">
      <c r="D343" s="56"/>
      <c r="E343" s="56"/>
      <c r="F343" s="58"/>
      <c r="G343" s="58"/>
      <c r="I343" s="74"/>
      <c r="J343" s="62"/>
      <c r="L343" s="62"/>
      <c r="M343" s="64"/>
      <c r="N343" s="64"/>
      <c r="O343" s="62"/>
    </row>
    <row r="344" spans="4:15" s="39" customFormat="1">
      <c r="D344" s="56"/>
      <c r="E344" s="56"/>
      <c r="F344" s="58"/>
      <c r="G344" s="58"/>
      <c r="I344" s="74"/>
      <c r="J344" s="62"/>
      <c r="L344" s="62"/>
      <c r="M344" s="64"/>
      <c r="N344" s="64"/>
      <c r="O344" s="62"/>
    </row>
    <row r="345" spans="4:15" s="39" customFormat="1">
      <c r="D345" s="56"/>
      <c r="E345" s="56"/>
      <c r="F345" s="58"/>
      <c r="G345" s="58"/>
      <c r="I345" s="74"/>
      <c r="J345" s="62"/>
      <c r="L345" s="62"/>
      <c r="M345" s="64"/>
      <c r="N345" s="64"/>
      <c r="O345" s="62"/>
    </row>
    <row r="346" spans="4:15" s="39" customFormat="1">
      <c r="D346" s="56"/>
      <c r="E346" s="56"/>
      <c r="F346" s="58"/>
      <c r="G346" s="58"/>
      <c r="I346" s="74"/>
      <c r="J346" s="62"/>
      <c r="L346" s="62"/>
      <c r="M346" s="64"/>
      <c r="N346" s="64"/>
      <c r="O346" s="62"/>
    </row>
    <row r="347" spans="4:15" s="39" customFormat="1">
      <c r="D347" s="56"/>
      <c r="E347" s="56"/>
      <c r="F347" s="58"/>
      <c r="G347" s="58"/>
      <c r="I347" s="74"/>
      <c r="J347" s="62"/>
      <c r="L347" s="62"/>
      <c r="M347" s="64"/>
      <c r="N347" s="64"/>
      <c r="O347" s="62"/>
    </row>
    <row r="348" spans="4:15" s="39" customFormat="1">
      <c r="D348" s="56"/>
      <c r="E348" s="56"/>
      <c r="F348" s="58"/>
      <c r="G348" s="58"/>
      <c r="I348" s="74"/>
      <c r="J348" s="62"/>
      <c r="L348" s="62"/>
      <c r="M348" s="64"/>
      <c r="N348" s="64"/>
      <c r="O348" s="62"/>
    </row>
    <row r="349" spans="4:15" s="39" customFormat="1">
      <c r="D349" s="56"/>
      <c r="E349" s="56"/>
      <c r="F349" s="58"/>
      <c r="G349" s="58"/>
      <c r="I349" s="74"/>
      <c r="J349" s="62"/>
      <c r="L349" s="62"/>
      <c r="M349" s="64"/>
      <c r="N349" s="64"/>
      <c r="O349" s="62"/>
    </row>
    <row r="350" spans="4:15" s="39" customFormat="1">
      <c r="D350" s="56"/>
      <c r="E350" s="56"/>
      <c r="F350" s="58"/>
      <c r="G350" s="58"/>
      <c r="I350" s="74"/>
      <c r="J350" s="62"/>
      <c r="L350" s="62"/>
      <c r="M350" s="64"/>
      <c r="N350" s="64"/>
      <c r="O350" s="62"/>
    </row>
    <row r="351" spans="4:15" s="39" customFormat="1">
      <c r="D351" s="56"/>
      <c r="E351" s="56"/>
      <c r="F351" s="58"/>
      <c r="G351" s="58"/>
      <c r="I351" s="74"/>
      <c r="J351" s="62"/>
      <c r="L351" s="62"/>
      <c r="M351" s="64"/>
      <c r="N351" s="64"/>
      <c r="O351" s="62"/>
    </row>
    <row r="352" spans="4:15" s="39" customFormat="1">
      <c r="D352" s="56"/>
      <c r="E352" s="56"/>
      <c r="F352" s="58"/>
      <c r="G352" s="58"/>
      <c r="I352" s="74"/>
      <c r="J352" s="62"/>
      <c r="L352" s="62"/>
      <c r="M352" s="64"/>
      <c r="N352" s="64"/>
      <c r="O352" s="62"/>
    </row>
    <row r="353" spans="4:15" s="39" customFormat="1">
      <c r="D353" s="56"/>
      <c r="E353" s="56"/>
      <c r="F353" s="58"/>
      <c r="G353" s="58"/>
      <c r="I353" s="74"/>
      <c r="J353" s="62"/>
      <c r="L353" s="62"/>
      <c r="M353" s="64"/>
      <c r="N353" s="64"/>
      <c r="O353" s="62"/>
    </row>
    <row r="354" spans="4:15" s="39" customFormat="1">
      <c r="D354" s="56"/>
      <c r="E354" s="56"/>
      <c r="F354" s="58"/>
      <c r="G354" s="58"/>
      <c r="I354" s="74"/>
      <c r="J354" s="62"/>
      <c r="L354" s="62"/>
      <c r="M354" s="64"/>
      <c r="N354" s="64"/>
      <c r="O354" s="62"/>
    </row>
    <row r="355" spans="4:15" s="39" customFormat="1">
      <c r="D355" s="56"/>
      <c r="E355" s="56"/>
      <c r="F355" s="58"/>
      <c r="G355" s="58"/>
      <c r="I355" s="74"/>
      <c r="J355" s="62"/>
      <c r="L355" s="62"/>
      <c r="M355" s="64"/>
      <c r="N355" s="64"/>
      <c r="O355" s="62"/>
    </row>
    <row r="356" spans="4:15" s="39" customFormat="1">
      <c r="D356" s="56"/>
      <c r="E356" s="56"/>
      <c r="F356" s="58"/>
      <c r="G356" s="58"/>
      <c r="I356" s="74"/>
      <c r="J356" s="62"/>
      <c r="L356" s="62"/>
      <c r="M356" s="64"/>
      <c r="N356" s="64"/>
      <c r="O356" s="62"/>
    </row>
    <row r="357" spans="4:15" s="39" customFormat="1">
      <c r="D357" s="56"/>
      <c r="E357" s="56"/>
      <c r="F357" s="58"/>
      <c r="G357" s="58"/>
      <c r="I357" s="74"/>
      <c r="J357" s="62"/>
      <c r="L357" s="62"/>
      <c r="M357" s="64"/>
      <c r="N357" s="64"/>
      <c r="O357" s="62"/>
    </row>
    <row r="358" spans="4:15" s="39" customFormat="1">
      <c r="D358" s="56"/>
      <c r="E358" s="56"/>
      <c r="F358" s="58"/>
      <c r="G358" s="58"/>
      <c r="I358" s="74"/>
      <c r="J358" s="62"/>
      <c r="L358" s="62"/>
      <c r="M358" s="64"/>
      <c r="N358" s="64"/>
      <c r="O358" s="62"/>
    </row>
    <row r="359" spans="4:15" s="39" customFormat="1">
      <c r="D359" s="56"/>
      <c r="E359" s="56"/>
      <c r="F359" s="58"/>
      <c r="G359" s="58"/>
      <c r="I359" s="74"/>
      <c r="J359" s="62"/>
      <c r="L359" s="62"/>
      <c r="M359" s="64"/>
      <c r="N359" s="64"/>
      <c r="O359" s="62"/>
    </row>
    <row r="360" spans="4:15" s="39" customFormat="1">
      <c r="D360" s="56"/>
      <c r="E360" s="56"/>
      <c r="F360" s="58"/>
      <c r="G360" s="58"/>
      <c r="I360" s="74"/>
      <c r="J360" s="62"/>
      <c r="L360" s="62"/>
      <c r="M360" s="64"/>
      <c r="N360" s="64"/>
      <c r="O360" s="62"/>
    </row>
    <row r="361" spans="4:15" s="39" customFormat="1">
      <c r="D361" s="56"/>
      <c r="E361" s="56"/>
      <c r="F361" s="58"/>
      <c r="G361" s="58"/>
      <c r="I361" s="74"/>
      <c r="J361" s="62"/>
      <c r="L361" s="62"/>
      <c r="M361" s="64"/>
      <c r="N361" s="64"/>
      <c r="O361" s="62"/>
    </row>
    <row r="362" spans="4:15" s="39" customFormat="1">
      <c r="D362" s="56"/>
      <c r="E362" s="56"/>
      <c r="F362" s="58"/>
      <c r="G362" s="58"/>
      <c r="I362" s="74"/>
      <c r="J362" s="62"/>
      <c r="L362" s="62"/>
      <c r="M362" s="64"/>
      <c r="N362" s="64"/>
      <c r="O362" s="62"/>
    </row>
    <row r="363" spans="4:15" s="39" customFormat="1">
      <c r="D363" s="56"/>
      <c r="E363" s="56"/>
      <c r="F363" s="58"/>
      <c r="G363" s="58"/>
      <c r="I363" s="74"/>
      <c r="J363" s="62"/>
      <c r="L363" s="62"/>
      <c r="M363" s="64"/>
      <c r="N363" s="64"/>
      <c r="O363" s="62"/>
    </row>
    <row r="364" spans="4:15" s="39" customFormat="1">
      <c r="D364" s="56"/>
      <c r="E364" s="56"/>
      <c r="F364" s="58"/>
      <c r="G364" s="58"/>
      <c r="I364" s="74"/>
      <c r="J364" s="62"/>
      <c r="L364" s="62"/>
      <c r="M364" s="64"/>
      <c r="N364" s="64"/>
      <c r="O364" s="62"/>
    </row>
    <row r="365" spans="4:15" s="39" customFormat="1">
      <c r="D365" s="56"/>
      <c r="E365" s="56"/>
      <c r="F365" s="58"/>
      <c r="G365" s="58"/>
      <c r="I365" s="74"/>
      <c r="J365" s="62"/>
      <c r="L365" s="62"/>
      <c r="M365" s="64"/>
      <c r="N365" s="64"/>
      <c r="O365" s="62"/>
    </row>
    <row r="366" spans="4:15" s="39" customFormat="1">
      <c r="D366" s="56"/>
      <c r="E366" s="56"/>
      <c r="F366" s="58"/>
      <c r="G366" s="58"/>
      <c r="I366" s="74"/>
      <c r="J366" s="62"/>
      <c r="L366" s="62"/>
      <c r="M366" s="64"/>
      <c r="N366" s="64"/>
      <c r="O366" s="62"/>
    </row>
    <row r="367" spans="4:15" s="39" customFormat="1">
      <c r="D367" s="56"/>
      <c r="E367" s="56"/>
      <c r="F367" s="58"/>
      <c r="G367" s="58"/>
      <c r="I367" s="74"/>
      <c r="J367" s="62"/>
      <c r="L367" s="62"/>
      <c r="M367" s="64"/>
      <c r="N367" s="64"/>
      <c r="O367" s="62"/>
    </row>
    <row r="368" spans="4:15" s="39" customFormat="1">
      <c r="D368" s="56"/>
      <c r="E368" s="56"/>
      <c r="F368" s="58"/>
      <c r="G368" s="58"/>
      <c r="I368" s="74"/>
      <c r="J368" s="62"/>
      <c r="L368" s="62"/>
      <c r="M368" s="64"/>
      <c r="N368" s="64"/>
      <c r="O368" s="62"/>
    </row>
    <row r="369" spans="4:15" s="39" customFormat="1">
      <c r="D369" s="56"/>
      <c r="E369" s="56"/>
      <c r="F369" s="58"/>
      <c r="G369" s="58"/>
      <c r="I369" s="74"/>
      <c r="J369" s="62"/>
      <c r="L369" s="62"/>
      <c r="M369" s="64"/>
      <c r="N369" s="64"/>
      <c r="O369" s="62"/>
    </row>
    <row r="370" spans="4:15" s="39" customFormat="1">
      <c r="D370" s="56"/>
      <c r="E370" s="56"/>
      <c r="F370" s="58"/>
      <c r="G370" s="58"/>
      <c r="I370" s="74"/>
      <c r="J370" s="62"/>
      <c r="L370" s="62"/>
      <c r="M370" s="64"/>
      <c r="N370" s="64"/>
      <c r="O370" s="62"/>
    </row>
    <row r="371" spans="4:15" s="39" customFormat="1">
      <c r="D371" s="56"/>
      <c r="E371" s="56"/>
      <c r="F371" s="58"/>
      <c r="G371" s="58"/>
      <c r="I371" s="74"/>
      <c r="J371" s="62"/>
      <c r="L371" s="62"/>
      <c r="M371" s="64"/>
      <c r="N371" s="64"/>
      <c r="O371" s="62"/>
    </row>
    <row r="372" spans="4:15" s="39" customFormat="1">
      <c r="D372" s="56"/>
      <c r="E372" s="56"/>
      <c r="F372" s="58"/>
      <c r="G372" s="58"/>
      <c r="I372" s="74"/>
      <c r="J372" s="62"/>
      <c r="L372" s="62"/>
      <c r="M372" s="64"/>
      <c r="N372" s="64"/>
      <c r="O372" s="62"/>
    </row>
    <row r="373" spans="4:15" s="39" customFormat="1">
      <c r="D373" s="56"/>
      <c r="E373" s="56"/>
      <c r="F373" s="58"/>
      <c r="G373" s="58"/>
      <c r="I373" s="74"/>
      <c r="J373" s="62"/>
      <c r="L373" s="62"/>
      <c r="M373" s="64"/>
      <c r="N373" s="64"/>
      <c r="O373" s="62"/>
    </row>
    <row r="374" spans="4:15" s="39" customFormat="1">
      <c r="D374" s="56"/>
      <c r="E374" s="56"/>
      <c r="F374" s="58"/>
      <c r="G374" s="58"/>
      <c r="I374" s="74"/>
      <c r="J374" s="62"/>
      <c r="L374" s="62"/>
      <c r="M374" s="64"/>
      <c r="N374" s="64"/>
      <c r="O374" s="62"/>
    </row>
    <row r="375" spans="4:15" s="39" customFormat="1">
      <c r="D375" s="56"/>
      <c r="E375" s="56"/>
      <c r="F375" s="58"/>
      <c r="G375" s="58"/>
      <c r="I375" s="74"/>
      <c r="J375" s="62"/>
      <c r="L375" s="62"/>
      <c r="M375" s="64"/>
      <c r="N375" s="64"/>
      <c r="O375" s="62"/>
    </row>
    <row r="376" spans="4:15" s="39" customFormat="1">
      <c r="D376" s="56"/>
      <c r="E376" s="56"/>
      <c r="F376" s="58"/>
      <c r="G376" s="58"/>
      <c r="I376" s="74"/>
      <c r="J376" s="62"/>
      <c r="L376" s="62"/>
      <c r="M376" s="64"/>
      <c r="N376" s="64"/>
      <c r="O376" s="62"/>
    </row>
    <row r="377" spans="4:15" s="39" customFormat="1">
      <c r="D377" s="56"/>
      <c r="E377" s="56"/>
      <c r="F377" s="58"/>
      <c r="G377" s="58"/>
      <c r="I377" s="74"/>
      <c r="J377" s="62"/>
      <c r="L377" s="62"/>
      <c r="M377" s="64"/>
      <c r="N377" s="64"/>
      <c r="O377" s="62"/>
    </row>
    <row r="378" spans="4:15" s="39" customFormat="1">
      <c r="D378" s="56"/>
      <c r="E378" s="56"/>
      <c r="F378" s="58"/>
      <c r="G378" s="58"/>
      <c r="I378" s="74"/>
      <c r="J378" s="62"/>
      <c r="L378" s="62"/>
      <c r="M378" s="64"/>
      <c r="N378" s="64"/>
      <c r="O378" s="62"/>
    </row>
    <row r="379" spans="4:15" s="39" customFormat="1">
      <c r="D379" s="56"/>
      <c r="E379" s="56"/>
      <c r="F379" s="58"/>
      <c r="G379" s="58"/>
      <c r="I379" s="74"/>
      <c r="J379" s="62"/>
      <c r="L379" s="62"/>
      <c r="M379" s="64"/>
      <c r="N379" s="64"/>
      <c r="O379" s="62"/>
    </row>
    <row r="380" spans="4:15" s="39" customFormat="1">
      <c r="D380" s="56"/>
      <c r="E380" s="56"/>
      <c r="F380" s="58"/>
      <c r="G380" s="58"/>
      <c r="I380" s="74"/>
      <c r="J380" s="62"/>
      <c r="L380" s="62"/>
      <c r="M380" s="64"/>
      <c r="N380" s="64"/>
      <c r="O380" s="62"/>
    </row>
    <row r="381" spans="4:15" s="39" customFormat="1">
      <c r="D381" s="56"/>
      <c r="E381" s="56"/>
      <c r="F381" s="58"/>
      <c r="G381" s="58"/>
      <c r="I381" s="74"/>
      <c r="J381" s="62"/>
      <c r="L381" s="62"/>
      <c r="M381" s="64"/>
      <c r="N381" s="64"/>
      <c r="O381" s="62"/>
    </row>
    <row r="382" spans="4:15" s="39" customFormat="1">
      <c r="D382" s="56"/>
      <c r="E382" s="56"/>
      <c r="F382" s="58"/>
      <c r="G382" s="58"/>
      <c r="I382" s="74"/>
      <c r="J382" s="62"/>
      <c r="L382" s="62"/>
      <c r="M382" s="64"/>
      <c r="N382" s="64"/>
      <c r="O382" s="62"/>
    </row>
    <row r="383" spans="4:15" s="39" customFormat="1">
      <c r="D383" s="56"/>
      <c r="E383" s="56"/>
      <c r="F383" s="58"/>
      <c r="G383" s="58"/>
      <c r="I383" s="74"/>
      <c r="J383" s="62"/>
      <c r="L383" s="62"/>
      <c r="M383" s="64"/>
      <c r="N383" s="64"/>
      <c r="O383" s="62"/>
    </row>
    <row r="384" spans="4:15" s="39" customFormat="1">
      <c r="D384" s="56"/>
      <c r="E384" s="56"/>
      <c r="F384" s="58"/>
      <c r="G384" s="58"/>
      <c r="I384" s="74"/>
      <c r="J384" s="62"/>
      <c r="L384" s="62"/>
      <c r="M384" s="64"/>
      <c r="N384" s="64"/>
      <c r="O384" s="62"/>
    </row>
    <row r="385" spans="4:15" s="39" customFormat="1">
      <c r="D385" s="56"/>
      <c r="E385" s="56"/>
      <c r="F385" s="58"/>
      <c r="G385" s="58"/>
      <c r="I385" s="74"/>
      <c r="J385" s="62"/>
      <c r="L385" s="62"/>
      <c r="M385" s="64"/>
      <c r="N385" s="64"/>
      <c r="O385" s="62"/>
    </row>
    <row r="386" spans="4:15" s="39" customFormat="1">
      <c r="D386" s="56"/>
      <c r="E386" s="56"/>
      <c r="F386" s="58"/>
      <c r="G386" s="58"/>
      <c r="I386" s="74"/>
      <c r="J386" s="62"/>
      <c r="L386" s="62"/>
      <c r="M386" s="64"/>
      <c r="N386" s="64"/>
      <c r="O386" s="62"/>
    </row>
    <row r="387" spans="4:15" s="39" customFormat="1">
      <c r="D387" s="56"/>
      <c r="E387" s="56"/>
      <c r="F387" s="58"/>
      <c r="G387" s="58"/>
      <c r="I387" s="74"/>
      <c r="J387" s="62"/>
      <c r="L387" s="62"/>
      <c r="M387" s="64"/>
      <c r="N387" s="64"/>
      <c r="O387" s="62"/>
    </row>
    <row r="388" spans="4:15" s="39" customFormat="1">
      <c r="D388" s="56"/>
      <c r="E388" s="56"/>
      <c r="F388" s="58"/>
      <c r="G388" s="58"/>
      <c r="I388" s="74"/>
      <c r="J388" s="62"/>
      <c r="L388" s="62"/>
      <c r="M388" s="64"/>
      <c r="N388" s="64"/>
      <c r="O388" s="62"/>
    </row>
    <row r="389" spans="4:15" s="39" customFormat="1">
      <c r="D389" s="56"/>
      <c r="E389" s="56"/>
      <c r="F389" s="58"/>
      <c r="G389" s="58"/>
      <c r="I389" s="74"/>
      <c r="J389" s="62"/>
      <c r="L389" s="62"/>
      <c r="M389" s="64"/>
      <c r="N389" s="64"/>
      <c r="O389" s="62"/>
    </row>
    <row r="390" spans="4:15" s="39" customFormat="1">
      <c r="D390" s="56"/>
      <c r="E390" s="56"/>
      <c r="F390" s="58"/>
      <c r="G390" s="58"/>
      <c r="I390" s="74"/>
      <c r="J390" s="62"/>
      <c r="L390" s="62"/>
      <c r="M390" s="64"/>
      <c r="N390" s="64"/>
      <c r="O390" s="62"/>
    </row>
    <row r="391" spans="4:15" s="39" customFormat="1">
      <c r="D391" s="56"/>
      <c r="E391" s="56"/>
      <c r="F391" s="58"/>
      <c r="G391" s="58"/>
      <c r="I391" s="74"/>
      <c r="J391" s="62"/>
      <c r="L391" s="62"/>
      <c r="M391" s="64"/>
      <c r="N391" s="64"/>
      <c r="O391" s="62"/>
    </row>
    <row r="392" spans="4:15" s="39" customFormat="1">
      <c r="D392" s="56"/>
      <c r="E392" s="56"/>
      <c r="F392" s="58"/>
      <c r="G392" s="58"/>
      <c r="I392" s="74"/>
      <c r="J392" s="62"/>
      <c r="L392" s="62"/>
      <c r="M392" s="64"/>
      <c r="N392" s="64"/>
      <c r="O392" s="62"/>
    </row>
    <row r="393" spans="4:15" s="39" customFormat="1">
      <c r="D393" s="56"/>
      <c r="E393" s="56"/>
      <c r="F393" s="58"/>
      <c r="G393" s="58"/>
      <c r="I393" s="74"/>
      <c r="J393" s="62"/>
      <c r="L393" s="62"/>
      <c r="M393" s="64"/>
      <c r="N393" s="64"/>
      <c r="O393" s="62"/>
    </row>
    <row r="394" spans="4:15" s="39" customFormat="1">
      <c r="D394" s="56"/>
      <c r="E394" s="56"/>
      <c r="F394" s="58"/>
      <c r="G394" s="58"/>
      <c r="I394" s="74"/>
      <c r="J394" s="62"/>
      <c r="L394" s="62"/>
      <c r="M394" s="64"/>
      <c r="N394" s="64"/>
      <c r="O394" s="62"/>
    </row>
    <row r="395" spans="4:15" s="39" customFormat="1">
      <c r="D395" s="56"/>
      <c r="E395" s="56"/>
      <c r="F395" s="58"/>
      <c r="G395" s="58"/>
      <c r="I395" s="74"/>
      <c r="J395" s="62"/>
      <c r="L395" s="62"/>
      <c r="M395" s="64"/>
      <c r="N395" s="64"/>
      <c r="O395" s="62"/>
    </row>
    <row r="396" spans="4:15" s="39" customFormat="1">
      <c r="D396" s="56"/>
      <c r="E396" s="56"/>
      <c r="F396" s="58"/>
      <c r="G396" s="58"/>
      <c r="I396" s="74"/>
      <c r="J396" s="62"/>
      <c r="L396" s="62"/>
      <c r="M396" s="64"/>
      <c r="N396" s="64"/>
      <c r="O396" s="62"/>
    </row>
    <row r="397" spans="4:15" s="39" customFormat="1">
      <c r="D397" s="56"/>
      <c r="E397" s="56"/>
      <c r="F397" s="58"/>
      <c r="G397" s="58"/>
      <c r="I397" s="74"/>
      <c r="J397" s="62"/>
      <c r="L397" s="62"/>
      <c r="M397" s="64"/>
      <c r="N397" s="64"/>
      <c r="O397" s="62"/>
    </row>
    <row r="398" spans="4:15" s="39" customFormat="1">
      <c r="D398" s="56"/>
      <c r="E398" s="56"/>
      <c r="F398" s="58"/>
      <c r="G398" s="58"/>
      <c r="I398" s="74"/>
      <c r="J398" s="62"/>
      <c r="L398" s="62"/>
      <c r="M398" s="64"/>
      <c r="N398" s="64"/>
      <c r="O398" s="62"/>
    </row>
    <row r="399" spans="4:15" s="39" customFormat="1">
      <c r="D399" s="56"/>
      <c r="E399" s="56"/>
      <c r="F399" s="58"/>
      <c r="G399" s="58"/>
      <c r="I399" s="74"/>
      <c r="J399" s="62"/>
      <c r="L399" s="62"/>
      <c r="M399" s="64"/>
      <c r="N399" s="64"/>
      <c r="O399" s="62"/>
    </row>
    <row r="400" spans="4:15" s="39" customFormat="1">
      <c r="D400" s="56"/>
      <c r="E400" s="56"/>
      <c r="F400" s="58"/>
      <c r="G400" s="58"/>
      <c r="I400" s="74"/>
      <c r="J400" s="62"/>
      <c r="L400" s="62"/>
      <c r="M400" s="64"/>
      <c r="N400" s="64"/>
      <c r="O400" s="62"/>
    </row>
    <row r="401" spans="4:15" s="39" customFormat="1">
      <c r="D401" s="56"/>
      <c r="E401" s="56"/>
      <c r="F401" s="58"/>
      <c r="G401" s="58"/>
      <c r="I401" s="74"/>
      <c r="J401" s="62"/>
      <c r="L401" s="62"/>
      <c r="M401" s="64"/>
      <c r="N401" s="64"/>
      <c r="O401" s="62"/>
    </row>
    <row r="402" spans="4:15" s="39" customFormat="1">
      <c r="D402" s="56"/>
      <c r="E402" s="56"/>
      <c r="F402" s="58"/>
      <c r="G402" s="58"/>
      <c r="I402" s="74"/>
      <c r="J402" s="62"/>
      <c r="L402" s="62"/>
      <c r="M402" s="64"/>
      <c r="N402" s="64"/>
      <c r="O402" s="62"/>
    </row>
    <row r="403" spans="4:15" s="39" customFormat="1">
      <c r="D403" s="56"/>
      <c r="E403" s="56"/>
      <c r="F403" s="58"/>
      <c r="G403" s="58"/>
      <c r="I403" s="74"/>
      <c r="J403" s="62"/>
      <c r="L403" s="62"/>
      <c r="M403" s="64"/>
      <c r="N403" s="64"/>
      <c r="O403" s="62"/>
    </row>
    <row r="404" spans="4:15" s="39" customFormat="1">
      <c r="D404" s="56"/>
      <c r="E404" s="56"/>
      <c r="F404" s="58"/>
      <c r="G404" s="58"/>
      <c r="I404" s="74"/>
      <c r="J404" s="62"/>
      <c r="L404" s="62"/>
      <c r="M404" s="64"/>
      <c r="N404" s="64"/>
      <c r="O404" s="62"/>
    </row>
    <row r="405" spans="4:15" s="39" customFormat="1">
      <c r="D405" s="56"/>
      <c r="E405" s="56"/>
      <c r="F405" s="58"/>
      <c r="G405" s="58"/>
      <c r="I405" s="74"/>
      <c r="J405" s="62"/>
      <c r="L405" s="62"/>
      <c r="M405" s="64"/>
      <c r="N405" s="64"/>
      <c r="O405" s="62"/>
    </row>
    <row r="406" spans="4:15" s="39" customFormat="1">
      <c r="D406" s="56"/>
      <c r="E406" s="56"/>
      <c r="F406" s="58"/>
      <c r="G406" s="58"/>
      <c r="I406" s="74"/>
      <c r="J406" s="62"/>
      <c r="L406" s="62"/>
      <c r="M406" s="64"/>
      <c r="N406" s="64"/>
      <c r="O406" s="62"/>
    </row>
    <row r="407" spans="4:15" s="39" customFormat="1">
      <c r="D407" s="56"/>
      <c r="E407" s="56"/>
      <c r="F407" s="58"/>
      <c r="G407" s="58"/>
      <c r="I407" s="74"/>
      <c r="J407" s="62"/>
      <c r="L407" s="62"/>
      <c r="M407" s="64"/>
      <c r="N407" s="64"/>
      <c r="O407" s="62"/>
    </row>
    <row r="408" spans="4:15" s="39" customFormat="1">
      <c r="D408" s="56"/>
      <c r="E408" s="56"/>
      <c r="F408" s="58"/>
      <c r="G408" s="58"/>
      <c r="I408" s="74"/>
      <c r="J408" s="62"/>
      <c r="L408" s="62"/>
      <c r="M408" s="64"/>
      <c r="N408" s="64"/>
      <c r="O408" s="62"/>
    </row>
    <row r="409" spans="4:15" s="39" customFormat="1">
      <c r="D409" s="56"/>
      <c r="E409" s="56"/>
      <c r="F409" s="58"/>
      <c r="G409" s="58"/>
      <c r="I409" s="74"/>
      <c r="J409" s="62"/>
      <c r="L409" s="62"/>
      <c r="M409" s="64"/>
      <c r="N409" s="64"/>
      <c r="O409" s="62"/>
    </row>
    <row r="410" spans="4:15" s="39" customFormat="1">
      <c r="D410" s="56"/>
      <c r="E410" s="56"/>
      <c r="F410" s="58"/>
      <c r="G410" s="58"/>
      <c r="I410" s="74"/>
      <c r="J410" s="62"/>
      <c r="L410" s="62"/>
      <c r="M410" s="64"/>
      <c r="N410" s="64"/>
      <c r="O410" s="62"/>
    </row>
    <row r="411" spans="4:15" s="39" customFormat="1">
      <c r="D411" s="56"/>
      <c r="E411" s="56"/>
      <c r="F411" s="58"/>
      <c r="G411" s="58"/>
      <c r="I411" s="74"/>
      <c r="J411" s="62"/>
      <c r="L411" s="62"/>
      <c r="M411" s="64"/>
      <c r="N411" s="64"/>
      <c r="O411" s="62"/>
    </row>
    <row r="412" spans="4:15" s="39" customFormat="1">
      <c r="D412" s="56"/>
      <c r="E412" s="56"/>
      <c r="F412" s="58"/>
      <c r="G412" s="58"/>
      <c r="I412" s="74"/>
      <c r="J412" s="62"/>
      <c r="L412" s="62"/>
      <c r="M412" s="64"/>
      <c r="N412" s="64"/>
      <c r="O412" s="62"/>
    </row>
    <row r="413" spans="4:15" s="39" customFormat="1">
      <c r="D413" s="56"/>
      <c r="E413" s="56"/>
      <c r="F413" s="58"/>
      <c r="G413" s="58"/>
      <c r="I413" s="74"/>
      <c r="J413" s="62"/>
      <c r="L413" s="62"/>
      <c r="M413" s="64"/>
      <c r="N413" s="64"/>
      <c r="O413" s="62"/>
    </row>
    <row r="414" spans="4:15" s="39" customFormat="1">
      <c r="D414" s="56"/>
      <c r="E414" s="56"/>
      <c r="F414" s="58"/>
      <c r="G414" s="58"/>
      <c r="I414" s="74"/>
      <c r="J414" s="62"/>
      <c r="L414" s="62"/>
      <c r="M414" s="64"/>
      <c r="N414" s="64"/>
      <c r="O414" s="62"/>
    </row>
    <row r="415" spans="4:15" s="39" customFormat="1">
      <c r="D415" s="56"/>
      <c r="E415" s="56"/>
      <c r="F415" s="58"/>
      <c r="G415" s="58"/>
      <c r="I415" s="74"/>
      <c r="J415" s="62"/>
      <c r="L415" s="62"/>
      <c r="M415" s="64"/>
      <c r="N415" s="64"/>
      <c r="O415" s="62"/>
    </row>
    <row r="416" spans="4:15" s="39" customFormat="1">
      <c r="D416" s="56"/>
      <c r="E416" s="56"/>
      <c r="F416" s="58"/>
      <c r="G416" s="58"/>
      <c r="I416" s="74"/>
      <c r="J416" s="62"/>
      <c r="L416" s="62"/>
      <c r="M416" s="64"/>
      <c r="N416" s="64"/>
      <c r="O416" s="62"/>
    </row>
    <row r="417" spans="4:15" s="39" customFormat="1">
      <c r="D417" s="56"/>
      <c r="E417" s="56"/>
      <c r="F417" s="58"/>
      <c r="G417" s="58"/>
      <c r="I417" s="74"/>
      <c r="J417" s="62"/>
      <c r="L417" s="62"/>
      <c r="M417" s="64"/>
      <c r="N417" s="64"/>
      <c r="O417" s="62"/>
    </row>
    <row r="418" spans="4:15" s="39" customFormat="1">
      <c r="D418" s="56"/>
      <c r="E418" s="56"/>
      <c r="F418" s="58"/>
      <c r="G418" s="58"/>
      <c r="I418" s="74"/>
      <c r="J418" s="62"/>
      <c r="L418" s="62"/>
      <c r="M418" s="64"/>
      <c r="N418" s="64"/>
      <c r="O418" s="62"/>
    </row>
    <row r="419" spans="4:15" s="39" customFormat="1">
      <c r="D419" s="56"/>
      <c r="E419" s="56"/>
      <c r="F419" s="58"/>
      <c r="G419" s="58"/>
      <c r="I419" s="74"/>
      <c r="J419" s="62"/>
      <c r="L419" s="62"/>
      <c r="M419" s="64"/>
      <c r="N419" s="64"/>
      <c r="O419" s="62"/>
    </row>
    <row r="420" spans="4:15" s="39" customFormat="1">
      <c r="D420" s="56"/>
      <c r="E420" s="56"/>
      <c r="F420" s="58"/>
      <c r="G420" s="58"/>
      <c r="I420" s="74"/>
      <c r="J420" s="62"/>
      <c r="L420" s="62"/>
      <c r="M420" s="64"/>
      <c r="N420" s="64"/>
      <c r="O420" s="62"/>
    </row>
    <row r="421" spans="4:15" s="39" customFormat="1">
      <c r="D421" s="56"/>
      <c r="E421" s="56"/>
      <c r="F421" s="58"/>
      <c r="G421" s="58"/>
      <c r="I421" s="74"/>
      <c r="J421" s="62"/>
      <c r="L421" s="62"/>
      <c r="M421" s="64"/>
      <c r="N421" s="64"/>
      <c r="O421" s="62"/>
    </row>
    <row r="422" spans="4:15" s="39" customFormat="1">
      <c r="D422" s="56"/>
      <c r="E422" s="56"/>
      <c r="F422" s="58"/>
      <c r="G422" s="58"/>
      <c r="I422" s="74"/>
      <c r="J422" s="62"/>
      <c r="L422" s="62"/>
      <c r="M422" s="64"/>
      <c r="N422" s="64"/>
      <c r="O422" s="62"/>
    </row>
    <row r="423" spans="4:15" s="39" customFormat="1">
      <c r="D423" s="56"/>
      <c r="E423" s="56"/>
      <c r="F423" s="58"/>
      <c r="G423" s="58"/>
      <c r="I423" s="74"/>
      <c r="J423" s="62"/>
      <c r="L423" s="62"/>
      <c r="M423" s="64"/>
      <c r="N423" s="64"/>
      <c r="O423" s="62"/>
    </row>
    <row r="424" spans="4:15" s="39" customFormat="1">
      <c r="D424" s="56"/>
      <c r="E424" s="56"/>
      <c r="F424" s="58"/>
      <c r="G424" s="58"/>
      <c r="I424" s="74"/>
      <c r="J424" s="62"/>
      <c r="L424" s="62"/>
      <c r="M424" s="64"/>
      <c r="N424" s="64"/>
      <c r="O424" s="62"/>
    </row>
    <row r="425" spans="4:15" s="39" customFormat="1">
      <c r="D425" s="56"/>
      <c r="E425" s="56"/>
      <c r="F425" s="58"/>
      <c r="G425" s="58"/>
      <c r="I425" s="74"/>
      <c r="J425" s="62"/>
      <c r="L425" s="62"/>
      <c r="M425" s="64"/>
      <c r="N425" s="64"/>
      <c r="O425" s="62"/>
    </row>
    <row r="426" spans="4:15" s="39" customFormat="1">
      <c r="D426" s="56"/>
      <c r="E426" s="56"/>
      <c r="F426" s="58"/>
      <c r="G426" s="58"/>
      <c r="I426" s="74"/>
      <c r="J426" s="62"/>
      <c r="L426" s="62"/>
      <c r="M426" s="64"/>
      <c r="N426" s="64"/>
      <c r="O426" s="62"/>
    </row>
    <row r="427" spans="4:15" s="39" customFormat="1">
      <c r="D427" s="56"/>
      <c r="E427" s="56"/>
      <c r="F427" s="58"/>
      <c r="G427" s="58"/>
      <c r="I427" s="74"/>
      <c r="J427" s="62"/>
      <c r="L427" s="62"/>
      <c r="M427" s="64"/>
      <c r="N427" s="64"/>
      <c r="O427" s="62"/>
    </row>
    <row r="428" spans="4:15" s="39" customFormat="1">
      <c r="D428" s="56"/>
      <c r="E428" s="56"/>
      <c r="F428" s="58"/>
      <c r="G428" s="58"/>
      <c r="I428" s="74"/>
      <c r="J428" s="62"/>
      <c r="L428" s="62"/>
      <c r="M428" s="64"/>
      <c r="N428" s="64"/>
      <c r="O428" s="62"/>
    </row>
    <row r="429" spans="4:15" s="39" customFormat="1">
      <c r="D429" s="56"/>
      <c r="E429" s="56"/>
      <c r="F429" s="58"/>
      <c r="G429" s="58"/>
      <c r="I429" s="74"/>
      <c r="J429" s="62"/>
      <c r="L429" s="62"/>
      <c r="M429" s="64"/>
      <c r="N429" s="64"/>
      <c r="O429" s="62"/>
    </row>
    <row r="430" spans="4:15" s="39" customFormat="1">
      <c r="D430" s="56"/>
      <c r="E430" s="56"/>
      <c r="F430" s="58"/>
      <c r="G430" s="58"/>
      <c r="I430" s="74"/>
      <c r="J430" s="62"/>
      <c r="L430" s="62"/>
      <c r="M430" s="64"/>
      <c r="N430" s="64"/>
      <c r="O430" s="62"/>
    </row>
    <row r="431" spans="4:15" s="39" customFormat="1">
      <c r="D431" s="56"/>
      <c r="E431" s="56"/>
      <c r="F431" s="58"/>
      <c r="G431" s="58"/>
      <c r="I431" s="74"/>
      <c r="J431" s="62"/>
      <c r="L431" s="62"/>
      <c r="M431" s="64"/>
      <c r="N431" s="64"/>
      <c r="O431" s="62"/>
    </row>
    <row r="432" spans="4:15" s="39" customFormat="1">
      <c r="D432" s="56"/>
      <c r="E432" s="56"/>
      <c r="F432" s="58"/>
      <c r="G432" s="58"/>
      <c r="I432" s="74"/>
      <c r="J432" s="62"/>
      <c r="L432" s="62"/>
      <c r="M432" s="64"/>
      <c r="N432" s="64"/>
      <c r="O432" s="62"/>
    </row>
    <row r="433" spans="1:15">
      <c r="A433" s="39"/>
      <c r="B433" s="39"/>
      <c r="D433" s="56"/>
      <c r="E433" s="56"/>
      <c r="F433" s="58"/>
      <c r="G433" s="58"/>
      <c r="I433" s="74"/>
      <c r="J433" s="62"/>
      <c r="L433" s="62"/>
      <c r="M433" s="64"/>
      <c r="N433" s="64"/>
      <c r="O433" s="62"/>
    </row>
  </sheetData>
  <mergeCells count="6">
    <mergeCell ref="H7:I7"/>
    <mergeCell ref="A1:P1"/>
    <mergeCell ref="A2:P2"/>
    <mergeCell ref="A3:P3"/>
    <mergeCell ref="A4:P4"/>
    <mergeCell ref="L6:M6"/>
  </mergeCells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EFB8-317E-4026-B22C-287104DF1DD6}">
  <sheetPr transitionEvaluation="1" transitionEntry="1">
    <pageSetUpPr fitToPage="1"/>
  </sheetPr>
  <dimension ref="A1:R433"/>
  <sheetViews>
    <sheetView defaultGridColor="0" colorId="22" zoomScale="87" zoomScaleNormal="87" workbookViewId="0">
      <pane ySplit="10" topLeftCell="A50" activePane="bottomLeft" state="frozen"/>
      <selection pane="bottomLeft" activeCell="B66" sqref="B66"/>
    </sheetView>
  </sheetViews>
  <sheetFormatPr defaultColWidth="9.7109375" defaultRowHeight="12.75"/>
  <cols>
    <col min="1" max="1" width="5.5703125" style="52" customWidth="1"/>
    <col min="2" max="2" width="10.28515625" style="52" bestFit="1" customWidth="1"/>
    <col min="3" max="3" width="32.42578125" style="39" bestFit="1" customWidth="1"/>
    <col min="4" max="4" width="10.5703125" style="52" bestFit="1" customWidth="1"/>
    <col min="5" max="5" width="10.85546875" style="52" bestFit="1" customWidth="1"/>
    <col min="6" max="7" width="6.42578125" style="52" bestFit="1" customWidth="1"/>
    <col min="8" max="8" width="14.140625" style="39" bestFit="1" customWidth="1"/>
    <col min="9" max="9" width="14.85546875" style="39" customWidth="1"/>
    <col min="10" max="10" width="13.28515625" style="39" bestFit="1" customWidth="1"/>
    <col min="11" max="11" width="14.7109375" style="39" bestFit="1" customWidth="1"/>
    <col min="12" max="12" width="16.5703125" style="39" customWidth="1"/>
    <col min="13" max="13" width="11.28515625" style="39" customWidth="1"/>
    <col min="14" max="14" width="11" style="39" bestFit="1" customWidth="1"/>
    <col min="15" max="15" width="14.5703125" style="39" bestFit="1" customWidth="1"/>
    <col min="16" max="16" width="5.42578125" style="39" bestFit="1" customWidth="1"/>
    <col min="17" max="17" width="12" style="39" bestFit="1" customWidth="1"/>
    <col min="18" max="18" width="13.7109375" style="39" bestFit="1" customWidth="1"/>
    <col min="19" max="16384" width="9.7109375" style="39"/>
  </cols>
  <sheetData>
    <row r="1" spans="1:16" ht="15.75" customHeight="1">
      <c r="A1" s="143" t="str">
        <f>[1]Summary!A1</f>
        <v>PACIFICORP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.75" customHeight="1">
      <c r="A2" s="146" t="str">
        <f>[1]Summary!A2</f>
        <v>Electric Operations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15.75" customHeight="1">
      <c r="A3" s="146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15.75">
      <c r="A4" s="149">
        <f>[1]Summary!A4</f>
        <v>44651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4" customFormat="1" ht="11.25">
      <c r="A5" s="40"/>
      <c r="B5" s="41"/>
      <c r="C5" s="42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3"/>
    </row>
    <row r="6" spans="1:16">
      <c r="A6" s="40"/>
      <c r="B6" s="45"/>
      <c r="C6" s="46"/>
      <c r="D6" s="45"/>
      <c r="E6" s="45"/>
      <c r="F6" s="45"/>
      <c r="G6" s="45"/>
      <c r="H6" s="47"/>
      <c r="I6" s="47"/>
      <c r="J6" s="46"/>
      <c r="K6" s="46"/>
      <c r="L6" s="142" t="s">
        <v>23</v>
      </c>
      <c r="M6" s="142"/>
      <c r="O6" s="44"/>
      <c r="P6" s="43"/>
    </row>
    <row r="7" spans="1:16">
      <c r="A7" s="40"/>
      <c r="B7" s="45"/>
      <c r="C7" s="46"/>
      <c r="D7" s="45"/>
      <c r="E7" s="45"/>
      <c r="F7" s="45"/>
      <c r="G7" s="45"/>
      <c r="H7" s="142" t="s">
        <v>24</v>
      </c>
      <c r="I7" s="142"/>
      <c r="J7" s="46"/>
      <c r="K7" s="46"/>
      <c r="L7" s="45" t="s">
        <v>25</v>
      </c>
      <c r="M7" s="45" t="s">
        <v>26</v>
      </c>
      <c r="O7" s="44"/>
      <c r="P7" s="43"/>
    </row>
    <row r="8" spans="1:16">
      <c r="A8" s="40" t="s">
        <v>27</v>
      </c>
      <c r="B8" s="45" t="s">
        <v>28</v>
      </c>
      <c r="C8" s="46" t="s">
        <v>29</v>
      </c>
      <c r="D8" s="45" t="s">
        <v>30</v>
      </c>
      <c r="E8" s="45" t="s">
        <v>31</v>
      </c>
      <c r="F8" s="45" t="s">
        <v>32</v>
      </c>
      <c r="G8" s="45"/>
      <c r="H8" s="45" t="s">
        <v>33</v>
      </c>
      <c r="I8" s="45" t="s">
        <v>34</v>
      </c>
      <c r="J8" s="45" t="s">
        <v>30</v>
      </c>
      <c r="K8" s="45" t="s">
        <v>35</v>
      </c>
      <c r="L8" s="45" t="s">
        <v>36</v>
      </c>
      <c r="M8" s="45" t="s">
        <v>37</v>
      </c>
      <c r="N8" s="45" t="s">
        <v>38</v>
      </c>
      <c r="O8" s="45" t="s">
        <v>39</v>
      </c>
      <c r="P8" s="43" t="s">
        <v>27</v>
      </c>
    </row>
    <row r="9" spans="1:16">
      <c r="A9" s="40" t="s">
        <v>40</v>
      </c>
      <c r="B9" s="45" t="s">
        <v>41</v>
      </c>
      <c r="C9" s="45" t="s">
        <v>42</v>
      </c>
      <c r="D9" s="45" t="s">
        <v>43</v>
      </c>
      <c r="E9" s="45" t="s">
        <v>43</v>
      </c>
      <c r="F9" s="45" t="s">
        <v>44</v>
      </c>
      <c r="G9" s="45" t="s">
        <v>45</v>
      </c>
      <c r="H9" s="45" t="s">
        <v>46</v>
      </c>
      <c r="I9" s="45" t="s">
        <v>47</v>
      </c>
      <c r="J9" s="45" t="s">
        <v>48</v>
      </c>
      <c r="K9" s="45" t="s">
        <v>48</v>
      </c>
      <c r="L9" s="45" t="s">
        <v>49</v>
      </c>
      <c r="M9" s="45" t="s">
        <v>49</v>
      </c>
      <c r="N9" s="45" t="s">
        <v>50</v>
      </c>
      <c r="O9" s="45" t="s">
        <v>51</v>
      </c>
      <c r="P9" s="43" t="s">
        <v>40</v>
      </c>
    </row>
    <row r="10" spans="1:16">
      <c r="A10" s="48"/>
      <c r="B10" s="49" t="s">
        <v>52</v>
      </c>
      <c r="C10" s="49" t="s">
        <v>53</v>
      </c>
      <c r="D10" s="49" t="s">
        <v>54</v>
      </c>
      <c r="E10" s="49" t="s">
        <v>55</v>
      </c>
      <c r="F10" s="49" t="s">
        <v>56</v>
      </c>
      <c r="G10" s="49" t="s">
        <v>57</v>
      </c>
      <c r="H10" s="49" t="s">
        <v>58</v>
      </c>
      <c r="I10" s="49" t="s">
        <v>59</v>
      </c>
      <c r="J10" s="49" t="s">
        <v>60</v>
      </c>
      <c r="K10" s="49" t="s">
        <v>61</v>
      </c>
      <c r="L10" s="49" t="s">
        <v>62</v>
      </c>
      <c r="M10" s="49" t="s">
        <v>63</v>
      </c>
      <c r="N10" s="49" t="s">
        <v>64</v>
      </c>
      <c r="O10" s="49" t="s">
        <v>65</v>
      </c>
      <c r="P10" s="50"/>
    </row>
    <row r="11" spans="1:16">
      <c r="A11" s="51">
        <v>1</v>
      </c>
      <c r="P11" s="53">
        <f>A11</f>
        <v>1</v>
      </c>
    </row>
    <row r="12" spans="1:16">
      <c r="A12" s="51">
        <f>A11+1</f>
        <v>2</v>
      </c>
      <c r="C12" s="54" t="s">
        <v>66</v>
      </c>
      <c r="D12" s="55"/>
      <c r="E12" s="56"/>
      <c r="P12" s="53">
        <f>A12</f>
        <v>2</v>
      </c>
    </row>
    <row r="13" spans="1:16">
      <c r="A13" s="51">
        <f>A12+1</f>
        <v>3</v>
      </c>
      <c r="B13" s="57">
        <v>2.9499999999999998E-2</v>
      </c>
      <c r="C13" s="39" t="s">
        <v>67</v>
      </c>
      <c r="D13" s="56">
        <f>DATE(2013,6,6)</f>
        <v>41431</v>
      </c>
      <c r="E13" s="56">
        <f>DATE(2023,6,1)</f>
        <v>45078</v>
      </c>
      <c r="F13" s="58">
        <f t="shared" ref="F13:F30" si="0">YEARFRAC(D13,E13)</f>
        <v>9.9861111111111107</v>
      </c>
      <c r="G13" s="58">
        <f t="shared" ref="G13:G30" si="1">YEARFRAC($A$4,E13)</f>
        <v>1.1694444444444445</v>
      </c>
      <c r="H13" s="59">
        <v>300000000</v>
      </c>
      <c r="I13" s="60">
        <v>300000000</v>
      </c>
      <c r="J13" s="61">
        <f>-1350000-900000-494850.25-14501.29</f>
        <v>-2759351.54</v>
      </c>
      <c r="K13" s="61">
        <v>0</v>
      </c>
      <c r="L13" s="62">
        <f t="shared" ref="L13" si="2">SUM(I13:K13)</f>
        <v>297240648.45999998</v>
      </c>
      <c r="M13" s="63">
        <f t="shared" ref="M13:M30" si="3">L13/I13*100</f>
        <v>99.080216153333325</v>
      </c>
      <c r="N13" s="64">
        <f t="shared" ref="N13:N25" si="4">ROUND(YIELD(D13,E13,B13,M13,100,2,0),5)</f>
        <v>3.058E-2</v>
      </c>
      <c r="O13" s="39">
        <f t="shared" ref="O13:O30" si="5">ROUND(N13,5)*I13</f>
        <v>9174000</v>
      </c>
      <c r="P13" s="53">
        <f t="shared" ref="P13:P76" si="6">A13</f>
        <v>3</v>
      </c>
    </row>
    <row r="14" spans="1:16">
      <c r="A14" s="51">
        <f t="shared" ref="A14:A77" si="7">A13+1</f>
        <v>4</v>
      </c>
      <c r="B14" s="57">
        <v>3.5999999999999997E-2</v>
      </c>
      <c r="C14" s="39" t="s">
        <v>68</v>
      </c>
      <c r="D14" s="56">
        <f>DATE(2014,3,13)</f>
        <v>41711</v>
      </c>
      <c r="E14" s="56">
        <f>DATE(2024,4,1)</f>
        <v>45383</v>
      </c>
      <c r="F14" s="58">
        <f t="shared" si="0"/>
        <v>10.050000000000001</v>
      </c>
      <c r="G14" s="58">
        <f t="shared" si="1"/>
        <v>2.0027777777777778</v>
      </c>
      <c r="H14" s="59">
        <v>425000000</v>
      </c>
      <c r="I14" s="60">
        <v>425000000</v>
      </c>
      <c r="J14" s="61">
        <f>-255000-2635000-710164.21</f>
        <v>-3600164.21</v>
      </c>
      <c r="K14" s="61">
        <f>-1756408.34-183498.35-3167.83</f>
        <v>-1943074.5200000003</v>
      </c>
      <c r="L14" s="62">
        <f t="shared" ref="L14" si="8">SUM(I14:K14)</f>
        <v>419456761.27000004</v>
      </c>
      <c r="M14" s="63">
        <f t="shared" si="3"/>
        <v>98.695708534117657</v>
      </c>
      <c r="N14" s="64">
        <f t="shared" si="4"/>
        <v>3.7569999999999999E-2</v>
      </c>
      <c r="O14" s="39">
        <f t="shared" si="5"/>
        <v>15967250</v>
      </c>
      <c r="P14" s="53">
        <f t="shared" si="6"/>
        <v>4</v>
      </c>
    </row>
    <row r="15" spans="1:16">
      <c r="A15" s="51">
        <f t="shared" si="7"/>
        <v>5</v>
      </c>
      <c r="B15" s="57">
        <v>3.3500000000000002E-2</v>
      </c>
      <c r="C15" s="39" t="s">
        <v>69</v>
      </c>
      <c r="D15" s="56">
        <f>DATE(2015,6,19)</f>
        <v>42174</v>
      </c>
      <c r="E15" s="56">
        <f>DATE(2025,7,1)</f>
        <v>45839</v>
      </c>
      <c r="F15" s="58">
        <f t="shared" si="0"/>
        <v>10.033333333333333</v>
      </c>
      <c r="G15" s="58">
        <f t="shared" si="1"/>
        <v>3.2527777777777778</v>
      </c>
      <c r="H15" s="59">
        <v>250000000</v>
      </c>
      <c r="I15" s="60">
        <v>250000000</v>
      </c>
      <c r="J15" s="61">
        <f>-320000-1625000-496421.02</f>
        <v>-2441421.02</v>
      </c>
      <c r="K15" s="61">
        <v>0</v>
      </c>
      <c r="L15" s="62">
        <f t="shared" ref="L15" si="9">SUM(I15:K15)</f>
        <v>247558578.97999999</v>
      </c>
      <c r="M15" s="63">
        <f t="shared" si="3"/>
        <v>99.023431591999994</v>
      </c>
      <c r="N15" s="64">
        <f t="shared" si="4"/>
        <v>3.4660000000000003E-2</v>
      </c>
      <c r="O15" s="39">
        <f t="shared" si="5"/>
        <v>8665000</v>
      </c>
      <c r="P15" s="53">
        <f t="shared" si="6"/>
        <v>5</v>
      </c>
    </row>
    <row r="16" spans="1:16">
      <c r="A16" s="51">
        <f t="shared" si="7"/>
        <v>6</v>
      </c>
      <c r="B16" s="57">
        <v>3.5000000000000003E-2</v>
      </c>
      <c r="C16" s="39" t="s">
        <v>70</v>
      </c>
      <c r="D16" s="56">
        <f>DATE(2019,3,1)</f>
        <v>43525</v>
      </c>
      <c r="E16" s="56">
        <f>DATE(2029,6,15)</f>
        <v>47284</v>
      </c>
      <c r="F16" s="58">
        <f>YEARFRAC(D16,E16)</f>
        <v>10.28888888888889</v>
      </c>
      <c r="G16" s="58">
        <f>YEARFRAC($A$4,E16)</f>
        <v>7.208333333333333</v>
      </c>
      <c r="H16" s="59">
        <v>400000000</v>
      </c>
      <c r="I16" s="60">
        <v>400000000</v>
      </c>
      <c r="J16" s="61">
        <f>-740000-1700000-59986.3-374194.58</f>
        <v>-2874180.88</v>
      </c>
      <c r="K16" s="61">
        <v>0</v>
      </c>
      <c r="L16" s="62">
        <f>SUM(I16:K16)</f>
        <v>397125819.12</v>
      </c>
      <c r="M16" s="63">
        <f>L16/I16*100</f>
        <v>99.281454780000004</v>
      </c>
      <c r="N16" s="64">
        <f>ROUND(YIELD(D16,E16,B16,M16,100,2,0),5)</f>
        <v>3.5839999999999997E-2</v>
      </c>
      <c r="O16" s="39">
        <f>ROUND(N16,5)*I16</f>
        <v>14335999.999999998</v>
      </c>
      <c r="P16" s="53">
        <f t="shared" si="6"/>
        <v>6</v>
      </c>
    </row>
    <row r="17" spans="1:18">
      <c r="A17" s="51">
        <f t="shared" si="7"/>
        <v>7</v>
      </c>
      <c r="B17" s="57">
        <v>2.7E-2</v>
      </c>
      <c r="C17" s="39" t="s">
        <v>71</v>
      </c>
      <c r="D17" s="56">
        <f>DATE(2020,4,8)</f>
        <v>43929</v>
      </c>
      <c r="E17" s="56">
        <f>DATE(2030,9,15)</f>
        <v>47741</v>
      </c>
      <c r="F17" s="58">
        <f>YEARFRAC(D17,E17)</f>
        <v>10.436111111111112</v>
      </c>
      <c r="G17" s="58">
        <f>YEARFRAC($A$4,E17)</f>
        <v>8.4583333333333339</v>
      </c>
      <c r="H17" s="59">
        <v>400000000</v>
      </c>
      <c r="I17" s="60">
        <v>400000000</v>
      </c>
      <c r="J17" s="61">
        <f>-720000-1700000-65400.39-391165.2-225.58</f>
        <v>-2876791.1700000004</v>
      </c>
      <c r="K17" s="61">
        <v>0</v>
      </c>
      <c r="L17" s="62">
        <f>SUM(I17:K17)</f>
        <v>397123208.82999998</v>
      </c>
      <c r="M17" s="63">
        <f>L17/I17*100</f>
        <v>99.280802207500003</v>
      </c>
      <c r="N17" s="64">
        <f>ROUND(YIELD(D17,E17,B17,M17,100,2,0),5)</f>
        <v>2.7799999999999998E-2</v>
      </c>
      <c r="O17" s="39">
        <f>ROUND(N17,5)*I17</f>
        <v>11120000</v>
      </c>
      <c r="P17" s="53">
        <f t="shared" si="6"/>
        <v>7</v>
      </c>
    </row>
    <row r="18" spans="1:18">
      <c r="A18" s="51">
        <f t="shared" si="7"/>
        <v>8</v>
      </c>
      <c r="B18" s="57">
        <v>7.6999999999999999E-2</v>
      </c>
      <c r="C18" s="39" t="s">
        <v>72</v>
      </c>
      <c r="D18" s="56">
        <f>DATE(2001,11,21)</f>
        <v>37216</v>
      </c>
      <c r="E18" s="56">
        <f>DATE(2031,11,15)</f>
        <v>48167</v>
      </c>
      <c r="F18" s="58">
        <f t="shared" si="0"/>
        <v>29.983333333333334</v>
      </c>
      <c r="G18" s="58">
        <f t="shared" si="1"/>
        <v>9.625</v>
      </c>
      <c r="H18" s="59">
        <v>300000000</v>
      </c>
      <c r="I18" s="60">
        <v>300000000</v>
      </c>
      <c r="J18" s="61">
        <f>-2625000-864000-212309.65</f>
        <v>-3701309.65</v>
      </c>
      <c r="K18" s="61">
        <v>0</v>
      </c>
      <c r="L18" s="62">
        <f t="shared" ref="L18:L26" si="10">SUM(I18:K18)</f>
        <v>296298690.35000002</v>
      </c>
      <c r="M18" s="63">
        <f t="shared" si="3"/>
        <v>98.766230116666677</v>
      </c>
      <c r="N18" s="64">
        <f t="shared" si="4"/>
        <v>7.8070000000000001E-2</v>
      </c>
      <c r="O18" s="39">
        <f t="shared" si="5"/>
        <v>23421000</v>
      </c>
      <c r="P18" s="53">
        <f t="shared" si="6"/>
        <v>8</v>
      </c>
      <c r="R18" s="65"/>
    </row>
    <row r="19" spans="1:18">
      <c r="A19" s="51">
        <f t="shared" si="7"/>
        <v>9</v>
      </c>
      <c r="B19" s="57">
        <v>5.8999999999999997E-2</v>
      </c>
      <c r="C19" s="39" t="s">
        <v>73</v>
      </c>
      <c r="D19" s="56">
        <f>DATE(2004,8,24)</f>
        <v>38223</v>
      </c>
      <c r="E19" s="56">
        <f>DATE(2034,8,15)</f>
        <v>49171</v>
      </c>
      <c r="F19" s="58">
        <f t="shared" si="0"/>
        <v>29.975000000000001</v>
      </c>
      <c r="G19" s="58">
        <f t="shared" si="1"/>
        <v>12.375</v>
      </c>
      <c r="H19" s="59">
        <v>200000000</v>
      </c>
      <c r="I19" s="60">
        <v>200000000</v>
      </c>
      <c r="J19" s="61">
        <f>-722000-1750000-142365.3</f>
        <v>-2614365.2999999998</v>
      </c>
      <c r="K19" s="61">
        <v>0</v>
      </c>
      <c r="L19" s="62">
        <f t="shared" si="10"/>
        <v>197385634.69999999</v>
      </c>
      <c r="M19" s="63">
        <f t="shared" si="3"/>
        <v>98.692817349999999</v>
      </c>
      <c r="N19" s="64">
        <f t="shared" si="4"/>
        <v>5.994E-2</v>
      </c>
      <c r="O19" s="39">
        <f t="shared" si="5"/>
        <v>11988000</v>
      </c>
      <c r="P19" s="53">
        <f t="shared" si="6"/>
        <v>9</v>
      </c>
      <c r="R19" s="65"/>
    </row>
    <row r="20" spans="1:18">
      <c r="A20" s="51">
        <f t="shared" si="7"/>
        <v>10</v>
      </c>
      <c r="B20" s="57">
        <v>5.2499999999999998E-2</v>
      </c>
      <c r="C20" s="39" t="s">
        <v>74</v>
      </c>
      <c r="D20" s="56">
        <f>DATE(2005,6,8)</f>
        <v>38511</v>
      </c>
      <c r="E20" s="56">
        <f>DATE(2035,6,15)</f>
        <v>49475</v>
      </c>
      <c r="F20" s="58">
        <f t="shared" si="0"/>
        <v>30.019444444444446</v>
      </c>
      <c r="G20" s="58">
        <f t="shared" si="1"/>
        <v>13.208333333333334</v>
      </c>
      <c r="H20" s="59">
        <v>300000000</v>
      </c>
      <c r="I20" s="60">
        <v>300000000</v>
      </c>
      <c r="J20" s="61">
        <f>-1080000-2625000-287020.96</f>
        <v>-3992020.96</v>
      </c>
      <c r="K20" s="61">
        <v>-1295995.2</v>
      </c>
      <c r="L20" s="62">
        <f t="shared" si="10"/>
        <v>294711983.84000003</v>
      </c>
      <c r="M20" s="63">
        <f t="shared" si="3"/>
        <v>98.237327946666682</v>
      </c>
      <c r="N20" s="64">
        <f t="shared" si="4"/>
        <v>5.3690000000000002E-2</v>
      </c>
      <c r="O20" s="39">
        <f t="shared" si="5"/>
        <v>16107000</v>
      </c>
      <c r="P20" s="53">
        <f t="shared" si="6"/>
        <v>10</v>
      </c>
    </row>
    <row r="21" spans="1:18">
      <c r="A21" s="51">
        <f t="shared" si="7"/>
        <v>11</v>
      </c>
      <c r="B21" s="57">
        <v>6.0999999999999999E-2</v>
      </c>
      <c r="C21" s="39" t="s">
        <v>75</v>
      </c>
      <c r="D21" s="56">
        <f>DATE(2006,8,10)</f>
        <v>38939</v>
      </c>
      <c r="E21" s="56">
        <f>DATE(2036,8,1)</f>
        <v>49888</v>
      </c>
      <c r="F21" s="58">
        <f t="shared" si="0"/>
        <v>29.975000000000001</v>
      </c>
      <c r="G21" s="58">
        <f t="shared" si="1"/>
        <v>14.33611111111111</v>
      </c>
      <c r="H21" s="59">
        <v>350000000</v>
      </c>
      <c r="I21" s="60">
        <v>350000000</v>
      </c>
      <c r="J21" s="61">
        <f>-1141000-2450000-457880.81</f>
        <v>-4048880.81</v>
      </c>
      <c r="K21" s="61">
        <v>0</v>
      </c>
      <c r="L21" s="62">
        <f t="shared" si="10"/>
        <v>345951119.19</v>
      </c>
      <c r="M21" s="63">
        <f t="shared" si="3"/>
        <v>98.843176911428571</v>
      </c>
      <c r="N21" s="64">
        <f t="shared" si="4"/>
        <v>6.1850000000000002E-2</v>
      </c>
      <c r="O21" s="39">
        <f t="shared" si="5"/>
        <v>21647500</v>
      </c>
      <c r="P21" s="53">
        <f t="shared" si="6"/>
        <v>11</v>
      </c>
    </row>
    <row r="22" spans="1:18">
      <c r="A22" s="51">
        <f t="shared" si="7"/>
        <v>12</v>
      </c>
      <c r="B22" s="57">
        <v>5.7500000000000002E-2</v>
      </c>
      <c r="C22" s="39" t="s">
        <v>76</v>
      </c>
      <c r="D22" s="56">
        <f>DATE(2007,3,14)</f>
        <v>39155</v>
      </c>
      <c r="E22" s="56">
        <f>DATE(2037,4,1)</f>
        <v>50131</v>
      </c>
      <c r="F22" s="58">
        <f t="shared" si="0"/>
        <v>30.047222222222221</v>
      </c>
      <c r="G22" s="58">
        <f t="shared" si="1"/>
        <v>15.002777777777778</v>
      </c>
      <c r="H22" s="59">
        <v>600000000</v>
      </c>
      <c r="I22" s="60">
        <v>600000000</v>
      </c>
      <c r="J22" s="61">
        <f>-24000-589216.14</f>
        <v>-613216.14</v>
      </c>
      <c r="K22" s="61">
        <v>0</v>
      </c>
      <c r="L22" s="62">
        <f t="shared" si="10"/>
        <v>599386783.86000001</v>
      </c>
      <c r="M22" s="63">
        <f t="shared" si="3"/>
        <v>99.897797310000001</v>
      </c>
      <c r="N22" s="64">
        <f t="shared" si="4"/>
        <v>5.7570000000000003E-2</v>
      </c>
      <c r="O22" s="39">
        <f t="shared" si="5"/>
        <v>34542000</v>
      </c>
      <c r="P22" s="53">
        <f t="shared" si="6"/>
        <v>12</v>
      </c>
    </row>
    <row r="23" spans="1:18">
      <c r="A23" s="51">
        <f t="shared" si="7"/>
        <v>13</v>
      </c>
      <c r="B23" s="57">
        <v>6.25E-2</v>
      </c>
      <c r="C23" s="39" t="s">
        <v>77</v>
      </c>
      <c r="D23" s="56">
        <f>DATE(2007,10,3)</f>
        <v>39358</v>
      </c>
      <c r="E23" s="56">
        <f>DATE(2037,10,15)</f>
        <v>50328</v>
      </c>
      <c r="F23" s="58">
        <f t="shared" si="0"/>
        <v>30.033333333333335</v>
      </c>
      <c r="G23" s="58">
        <f t="shared" si="1"/>
        <v>15.541666666666666</v>
      </c>
      <c r="H23" s="59">
        <v>600000000</v>
      </c>
      <c r="I23" s="60">
        <v>600000000</v>
      </c>
      <c r="J23" s="61">
        <f>-750000-4650000-477281.03</f>
        <v>-5877281.0300000003</v>
      </c>
      <c r="K23" s="61">
        <v>0</v>
      </c>
      <c r="L23" s="62">
        <f t="shared" si="10"/>
        <v>594122718.97000003</v>
      </c>
      <c r="M23" s="63">
        <f t="shared" si="3"/>
        <v>99.020453161666666</v>
      </c>
      <c r="N23" s="64">
        <f t="shared" si="4"/>
        <v>6.3229999999999995E-2</v>
      </c>
      <c r="O23" s="39">
        <f t="shared" si="5"/>
        <v>37938000</v>
      </c>
      <c r="P23" s="53">
        <f t="shared" si="6"/>
        <v>13</v>
      </c>
    </row>
    <row r="24" spans="1:18">
      <c r="A24" s="51">
        <f t="shared" si="7"/>
        <v>14</v>
      </c>
      <c r="B24" s="57">
        <v>6.3500000000000001E-2</v>
      </c>
      <c r="C24" s="39" t="s">
        <v>78</v>
      </c>
      <c r="D24" s="56">
        <f>DATE(2008,7,17)</f>
        <v>39646</v>
      </c>
      <c r="E24" s="56">
        <f>DATE(2038,7,15)</f>
        <v>50601</v>
      </c>
      <c r="F24" s="58">
        <f t="shared" si="0"/>
        <v>29.994444444444444</v>
      </c>
      <c r="G24" s="58">
        <f t="shared" si="1"/>
        <v>16.291666666666668</v>
      </c>
      <c r="H24" s="59">
        <v>300000000</v>
      </c>
      <c r="I24" s="60">
        <v>300000000</v>
      </c>
      <c r="J24" s="61">
        <f>-1671000-2100000-189957.54-375</f>
        <v>-3961332.54</v>
      </c>
      <c r="K24" s="61">
        <v>0</v>
      </c>
      <c r="L24" s="62">
        <f t="shared" si="10"/>
        <v>296038667.45999998</v>
      </c>
      <c r="M24" s="63">
        <f t="shared" si="3"/>
        <v>98.679555820000004</v>
      </c>
      <c r="N24" s="64">
        <f t="shared" si="4"/>
        <v>6.4500000000000002E-2</v>
      </c>
      <c r="O24" s="39">
        <f t="shared" si="5"/>
        <v>19350000</v>
      </c>
      <c r="P24" s="53">
        <f t="shared" si="6"/>
        <v>14</v>
      </c>
    </row>
    <row r="25" spans="1:18">
      <c r="A25" s="51">
        <f t="shared" si="7"/>
        <v>15</v>
      </c>
      <c r="B25" s="57">
        <v>0.06</v>
      </c>
      <c r="C25" s="39" t="s">
        <v>79</v>
      </c>
      <c r="D25" s="56">
        <f>DATE(2009,1,8)</f>
        <v>39821</v>
      </c>
      <c r="E25" s="56">
        <f>DATE(2039,1,15)</f>
        <v>50785</v>
      </c>
      <c r="F25" s="58">
        <f t="shared" si="0"/>
        <v>30.019444444444446</v>
      </c>
      <c r="G25" s="58">
        <f t="shared" si="1"/>
        <v>16.791666666666668</v>
      </c>
      <c r="H25" s="59">
        <v>650000000</v>
      </c>
      <c r="I25" s="60">
        <v>650000000</v>
      </c>
      <c r="J25" s="61">
        <f>-6175000-5687500-436184.72-11002.1</f>
        <v>-12309686.82</v>
      </c>
      <c r="K25" s="61">
        <v>0</v>
      </c>
      <c r="L25" s="62">
        <f t="shared" si="10"/>
        <v>637690313.17999995</v>
      </c>
      <c r="M25" s="63">
        <f t="shared" si="3"/>
        <v>98.106202027692305</v>
      </c>
      <c r="N25" s="64">
        <f t="shared" si="4"/>
        <v>6.139E-2</v>
      </c>
      <c r="O25" s="39">
        <f t="shared" si="5"/>
        <v>39903500</v>
      </c>
      <c r="P25" s="53">
        <f t="shared" si="6"/>
        <v>15</v>
      </c>
    </row>
    <row r="26" spans="1:18">
      <c r="A26" s="51">
        <f t="shared" si="7"/>
        <v>16</v>
      </c>
      <c r="B26" s="57">
        <v>4.1000000000000002E-2</v>
      </c>
      <c r="C26" s="39" t="s">
        <v>80</v>
      </c>
      <c r="D26" s="56">
        <f>DATE(2012,1,6)</f>
        <v>40914</v>
      </c>
      <c r="E26" s="56">
        <f>DATE(2042,2,1)</f>
        <v>51898</v>
      </c>
      <c r="F26" s="58">
        <f t="shared" si="0"/>
        <v>30.069444444444443</v>
      </c>
      <c r="G26" s="58">
        <f t="shared" si="1"/>
        <v>19.836111111111112</v>
      </c>
      <c r="H26" s="59">
        <v>300000000</v>
      </c>
      <c r="I26" s="60">
        <v>300000000</v>
      </c>
      <c r="J26" s="61">
        <f>-2400000-987000-337549.42-361.51</f>
        <v>-3724910.9299999997</v>
      </c>
      <c r="K26" s="61">
        <v>0</v>
      </c>
      <c r="L26" s="62">
        <f t="shared" si="10"/>
        <v>296275089.06999999</v>
      </c>
      <c r="M26" s="63">
        <f t="shared" si="3"/>
        <v>98.758363023333331</v>
      </c>
      <c r="N26" s="64">
        <f>ROUND(YIELD(D26,E26,B26,M26,100,2,0),5)</f>
        <v>4.1730000000000003E-2</v>
      </c>
      <c r="O26" s="39">
        <f t="shared" si="5"/>
        <v>12519000.000000002</v>
      </c>
      <c r="P26" s="53">
        <f t="shared" si="6"/>
        <v>16</v>
      </c>
    </row>
    <row r="27" spans="1:18">
      <c r="A27" s="51">
        <f t="shared" si="7"/>
        <v>17</v>
      </c>
      <c r="B27" s="57">
        <v>4.1250000000000002E-2</v>
      </c>
      <c r="C27" s="39" t="s">
        <v>81</v>
      </c>
      <c r="D27" s="56">
        <f>DATE(2018,7,13)</f>
        <v>43294</v>
      </c>
      <c r="E27" s="56">
        <f>DATE(2049,1,15)</f>
        <v>54438</v>
      </c>
      <c r="F27" s="58">
        <f t="shared" si="0"/>
        <v>30.505555555555556</v>
      </c>
      <c r="G27" s="58">
        <f t="shared" si="1"/>
        <v>26.791666666666668</v>
      </c>
      <c r="H27" s="59">
        <v>600000000</v>
      </c>
      <c r="I27" s="60">
        <v>600000000</v>
      </c>
      <c r="J27" s="61">
        <f>-1344000-4800000-86899.03-753185.56</f>
        <v>-6984084.5899999999</v>
      </c>
      <c r="K27" s="61">
        <v>0</v>
      </c>
      <c r="L27" s="62">
        <f t="shared" ref="L27" si="11">SUM(I27:K27)</f>
        <v>593015915.40999997</v>
      </c>
      <c r="M27" s="63">
        <f t="shared" si="3"/>
        <v>98.83598590166666</v>
      </c>
      <c r="N27" s="64">
        <f>ROUND(YIELD(D27,E27,B27,M27,100,2,0),5)</f>
        <v>4.1930000000000002E-2</v>
      </c>
      <c r="O27" s="39">
        <f t="shared" si="5"/>
        <v>25158000</v>
      </c>
      <c r="P27" s="53">
        <f t="shared" si="6"/>
        <v>17</v>
      </c>
    </row>
    <row r="28" spans="1:18">
      <c r="A28" s="51">
        <f t="shared" si="7"/>
        <v>18</v>
      </c>
      <c r="B28" s="57">
        <v>4.1500000000000002E-2</v>
      </c>
      <c r="C28" s="39" t="s">
        <v>82</v>
      </c>
      <c r="D28" s="56">
        <f>DATE(2019,3,1)</f>
        <v>43525</v>
      </c>
      <c r="E28" s="56">
        <f>DATE(2050,2,15)</f>
        <v>54834</v>
      </c>
      <c r="F28" s="58">
        <f t="shared" si="0"/>
        <v>30.955555555555556</v>
      </c>
      <c r="G28" s="58">
        <f t="shared" si="1"/>
        <v>27.875</v>
      </c>
      <c r="H28" s="59">
        <v>600000000</v>
      </c>
      <c r="I28" s="60">
        <v>600000000</v>
      </c>
      <c r="J28" s="61">
        <f>-2790000-4500000-89979.46-558791.88</f>
        <v>-7938771.3399999999</v>
      </c>
      <c r="K28" s="61">
        <v>0</v>
      </c>
      <c r="L28" s="62">
        <f t="shared" ref="L28:L29" si="12">SUM(I28:K28)</f>
        <v>592061228.65999997</v>
      </c>
      <c r="M28" s="63">
        <f t="shared" si="3"/>
        <v>98.676871443333326</v>
      </c>
      <c r="N28" s="64">
        <f>ROUND(YIELD(D28,E28,B28,M28,100,2,0),5)</f>
        <v>4.2270000000000002E-2</v>
      </c>
      <c r="O28" s="39">
        <f t="shared" si="5"/>
        <v>25362000</v>
      </c>
      <c r="P28" s="53">
        <f t="shared" si="6"/>
        <v>18</v>
      </c>
    </row>
    <row r="29" spans="1:18">
      <c r="A29" s="51">
        <f t="shared" si="7"/>
        <v>19</v>
      </c>
      <c r="B29" s="57">
        <v>3.3000000000000002E-2</v>
      </c>
      <c r="C29" s="39" t="s">
        <v>83</v>
      </c>
      <c r="D29" s="56">
        <f>DATE(2020,4,8)</f>
        <v>43929</v>
      </c>
      <c r="E29" s="56">
        <f>DATE(2051,3,15)</f>
        <v>55227</v>
      </c>
      <c r="F29" s="58">
        <f t="shared" si="0"/>
        <v>30.93611111111111</v>
      </c>
      <c r="G29" s="58">
        <f t="shared" si="1"/>
        <v>28.958333333333332</v>
      </c>
      <c r="H29" s="59">
        <v>600000000</v>
      </c>
      <c r="I29" s="60">
        <v>600000000</v>
      </c>
      <c r="J29" s="61">
        <f>-4944000-4500000-98100.59-585497.81-338.37</f>
        <v>-10127936.77</v>
      </c>
      <c r="K29" s="61">
        <v>0</v>
      </c>
      <c r="L29" s="62">
        <f t="shared" si="12"/>
        <v>589872063.23000002</v>
      </c>
      <c r="M29" s="63">
        <f t="shared" si="3"/>
        <v>98.31201053833334</v>
      </c>
      <c r="N29" s="64">
        <f>ROUND(YIELD(D29,E29,B29,M29,100,2,0),5)</f>
        <v>3.388E-2</v>
      </c>
      <c r="O29" s="39">
        <f t="shared" si="5"/>
        <v>20328000</v>
      </c>
      <c r="P29" s="53">
        <f t="shared" si="6"/>
        <v>19</v>
      </c>
    </row>
    <row r="30" spans="1:18">
      <c r="A30" s="51">
        <f t="shared" si="7"/>
        <v>20</v>
      </c>
      <c r="B30" s="57">
        <v>2.9000000000000001E-2</v>
      </c>
      <c r="C30" s="39" t="s">
        <v>84</v>
      </c>
      <c r="D30" s="56">
        <f>DATE(2021,7,9)</f>
        <v>44386</v>
      </c>
      <c r="E30" s="56">
        <f>DATE(2052,6,15)</f>
        <v>55685</v>
      </c>
      <c r="F30" s="58">
        <f t="shared" si="0"/>
        <v>30.933333333333334</v>
      </c>
      <c r="G30" s="58">
        <f t="shared" si="1"/>
        <v>30.208333333333332</v>
      </c>
      <c r="H30" s="59">
        <v>1000000000</v>
      </c>
      <c r="I30" s="60">
        <v>1000000000</v>
      </c>
      <c r="J30" s="61">
        <f>-7670000-7500000-38616.9-1150-850357.1-537750</f>
        <v>-16597874</v>
      </c>
      <c r="K30" s="61">
        <v>0</v>
      </c>
      <c r="L30" s="62">
        <f t="shared" ref="L30" si="13">SUM(I30:K30)</f>
        <v>983402126</v>
      </c>
      <c r="M30" s="63">
        <f t="shared" si="3"/>
        <v>98.340212600000001</v>
      </c>
      <c r="N30" s="64">
        <f>ROUND(YIELD(D30,E30,B30,M30,100,2,0),5)</f>
        <v>2.9819999999999999E-2</v>
      </c>
      <c r="O30" s="39">
        <f t="shared" si="5"/>
        <v>29820000</v>
      </c>
      <c r="P30" s="53">
        <f t="shared" si="6"/>
        <v>20</v>
      </c>
      <c r="R30" s="66"/>
    </row>
    <row r="31" spans="1:18">
      <c r="A31" s="51">
        <f t="shared" si="7"/>
        <v>21</v>
      </c>
      <c r="B31" s="67">
        <f>SUMPRODUCT(B13:B30,I13:I30)/I31</f>
        <v>4.5275229357798166E-2</v>
      </c>
      <c r="C31" s="68" t="s">
        <v>86</v>
      </c>
      <c r="D31" s="56"/>
      <c r="E31" s="56"/>
      <c r="F31" s="69">
        <f>SUMPRODUCT(F13:F30,I13:I30)/I31</f>
        <v>25.994410465511383</v>
      </c>
      <c r="G31" s="69">
        <f>SUMPRODUCT(G13:G30,I13:I30)/I31</f>
        <v>17.503049609242272</v>
      </c>
      <c r="I31" s="70">
        <f>SUM(I13:I30)</f>
        <v>8175000000</v>
      </c>
      <c r="J31" s="70">
        <f>SUM(J13:J30)</f>
        <v>-97043579.700000003</v>
      </c>
      <c r="K31" s="70">
        <f>SUM(K13:K30)</f>
        <v>-3239069.72</v>
      </c>
      <c r="L31" s="70">
        <f>SUM(L13:L30)</f>
        <v>8074717350.5799999</v>
      </c>
      <c r="N31" s="71">
        <f>O31/I31</f>
        <v>4.6158562691131499E-2</v>
      </c>
      <c r="O31" s="68">
        <f>SUM(O13:O30)</f>
        <v>377346250</v>
      </c>
      <c r="P31" s="53">
        <f t="shared" si="6"/>
        <v>21</v>
      </c>
    </row>
    <row r="32" spans="1:18">
      <c r="A32" s="51">
        <f t="shared" si="7"/>
        <v>22</v>
      </c>
      <c r="B32" s="67"/>
      <c r="C32" s="68"/>
      <c r="D32" s="56"/>
      <c r="E32" s="56"/>
      <c r="F32" s="69"/>
      <c r="G32" s="69"/>
      <c r="I32" s="70"/>
      <c r="J32" s="70"/>
      <c r="K32" s="70"/>
      <c r="L32" s="70"/>
      <c r="N32" s="71"/>
      <c r="O32" s="68"/>
      <c r="P32" s="53">
        <f t="shared" si="6"/>
        <v>22</v>
      </c>
    </row>
    <row r="33" spans="1:16">
      <c r="A33" s="51">
        <f t="shared" si="7"/>
        <v>23</v>
      </c>
      <c r="B33" s="72">
        <v>8.0500000000000002E-2</v>
      </c>
      <c r="C33" s="39" t="s">
        <v>118</v>
      </c>
      <c r="D33" s="56">
        <f>DATE(1992,9,18)</f>
        <v>33865</v>
      </c>
      <c r="E33" s="56">
        <f>DATE(2022,9,1)</f>
        <v>44805</v>
      </c>
      <c r="F33" s="58">
        <f t="shared" ref="F33:F41" si="14">YEARFRAC(D33,E33)</f>
        <v>29.952777777777779</v>
      </c>
      <c r="G33" s="58">
        <f t="shared" ref="G33:G41" si="15">YEARFRAC($A$4,E33)</f>
        <v>0.41944444444444445</v>
      </c>
      <c r="H33" s="61">
        <v>15000000</v>
      </c>
      <c r="I33" s="73">
        <v>15000000</v>
      </c>
      <c r="J33" s="61">
        <f>-(112500+11357.11+3127.91+233.41+3012.2+490.27+379.71+824.03+1068.66+1044.13+175.82+116.14+31.69+23.55+135.95+11.85+169.91+149.66-3380.62)</f>
        <v>-131471.38000000006</v>
      </c>
      <c r="K33" s="61">
        <v>-1695566.05</v>
      </c>
      <c r="L33" s="61">
        <f t="shared" ref="L33:L41" si="16">SUM(I33:K33)</f>
        <v>13172962.569999998</v>
      </c>
      <c r="M33" s="63">
        <f t="shared" ref="M33:M41" si="17">L33/I33*100</f>
        <v>87.819750466666662</v>
      </c>
      <c r="N33" s="64">
        <f t="shared" ref="N33:N41" si="18">ROUND(YIELD(D33,E33,B33,M33,100,2,0),5)</f>
        <v>9.257E-2</v>
      </c>
      <c r="O33" s="39">
        <f t="shared" ref="O33:O41" si="19">ROUND(N33,5)*I33</f>
        <v>1388550</v>
      </c>
      <c r="P33" s="53">
        <f t="shared" si="6"/>
        <v>23</v>
      </c>
    </row>
    <row r="34" spans="1:16">
      <c r="A34" s="51">
        <f t="shared" si="7"/>
        <v>24</v>
      </c>
      <c r="B34" s="72">
        <v>8.0700000000000008E-2</v>
      </c>
      <c r="C34" s="39" t="s">
        <v>118</v>
      </c>
      <c r="D34" s="56">
        <f>DATE(1992,9,9)</f>
        <v>33856</v>
      </c>
      <c r="E34" s="56">
        <f>DATE(2022,9,9)</f>
        <v>44813</v>
      </c>
      <c r="F34" s="58">
        <f t="shared" si="14"/>
        <v>30</v>
      </c>
      <c r="G34" s="58">
        <f t="shared" si="15"/>
        <v>0.44166666666666665</v>
      </c>
      <c r="H34" s="61">
        <v>8000000</v>
      </c>
      <c r="I34" s="73">
        <v>8000000</v>
      </c>
      <c r="J34" s="61">
        <f>-(60000+6057.13+1668.22+124.49+1606.51+261.48+202.51+439.48+569.95+556.87+93.77+61.94+16.9+12.56+72.51+6.32+90.62+79.82-1803)</f>
        <v>-70118.079999999987</v>
      </c>
      <c r="K34" s="61">
        <v>-904301.89</v>
      </c>
      <c r="L34" s="61">
        <f t="shared" si="16"/>
        <v>7025580.0300000003</v>
      </c>
      <c r="M34" s="63">
        <f t="shared" si="17"/>
        <v>87.819750375000012</v>
      </c>
      <c r="N34" s="64">
        <f t="shared" si="18"/>
        <v>9.2799999999999994E-2</v>
      </c>
      <c r="O34" s="39">
        <f t="shared" si="19"/>
        <v>742400</v>
      </c>
      <c r="P34" s="53">
        <f t="shared" si="6"/>
        <v>24</v>
      </c>
    </row>
    <row r="35" spans="1:16">
      <c r="A35" s="51">
        <f t="shared" si="7"/>
        <v>25</v>
      </c>
      <c r="B35" s="72">
        <v>8.1100000000000005E-2</v>
      </c>
      <c r="C35" s="39" t="s">
        <v>118</v>
      </c>
      <c r="D35" s="56">
        <f>DATE(1992,9,11)</f>
        <v>33858</v>
      </c>
      <c r="E35" s="56">
        <f>DATE(2022,9,9)</f>
        <v>44813</v>
      </c>
      <c r="F35" s="58">
        <f t="shared" si="14"/>
        <v>29.994444444444444</v>
      </c>
      <c r="G35" s="58">
        <f t="shared" si="15"/>
        <v>0.44166666666666665</v>
      </c>
      <c r="H35" s="61">
        <v>12000000</v>
      </c>
      <c r="I35" s="73">
        <v>12000000</v>
      </c>
      <c r="J35" s="61">
        <f>-(90000+9085.69+2502.33+186.73+2409.76+392.22+303.77+659.22+854.93+835.31+140.66+92.92+25.35+18.84+108.76+9.48+135.93+119.73-2704.5)</f>
        <v>-105177.12999999998</v>
      </c>
      <c r="K35" s="61">
        <v>-1356452.84</v>
      </c>
      <c r="L35" s="61">
        <f t="shared" si="16"/>
        <v>10538370.029999999</v>
      </c>
      <c r="M35" s="63">
        <f t="shared" si="17"/>
        <v>87.819750249999998</v>
      </c>
      <c r="N35" s="64">
        <f t="shared" si="18"/>
        <v>9.325E-2</v>
      </c>
      <c r="O35" s="39">
        <f t="shared" si="19"/>
        <v>1119000</v>
      </c>
      <c r="P35" s="53">
        <f t="shared" si="6"/>
        <v>25</v>
      </c>
    </row>
    <row r="36" spans="1:16">
      <c r="A36" s="51">
        <f t="shared" si="7"/>
        <v>26</v>
      </c>
      <c r="B36" s="72">
        <v>8.1200000000000008E-2</v>
      </c>
      <c r="C36" s="39" t="s">
        <v>118</v>
      </c>
      <c r="D36" s="56">
        <f>DATE(1992,9,11)</f>
        <v>33858</v>
      </c>
      <c r="E36" s="56">
        <f>DATE(2022,9,9)</f>
        <v>44813</v>
      </c>
      <c r="F36" s="58">
        <f t="shared" si="14"/>
        <v>29.994444444444444</v>
      </c>
      <c r="G36" s="58">
        <f t="shared" si="15"/>
        <v>0.44166666666666665</v>
      </c>
      <c r="H36" s="61">
        <v>50000000</v>
      </c>
      <c r="I36" s="73">
        <v>50000000</v>
      </c>
      <c r="J36" s="61">
        <f>-(375000+37857.05+10426.39+778.02+10040.66+1634.24+1265.7+2746.76+3562.22+3480.45+586.07+387.15+105.64+78.5+453.17+39.5+566.38+498.86-11268.74)</f>
        <v>-438238.02</v>
      </c>
      <c r="K36" s="61">
        <v>-5651886.8399999999</v>
      </c>
      <c r="L36" s="61">
        <f t="shared" si="16"/>
        <v>43909875.140000001</v>
      </c>
      <c r="M36" s="63">
        <f t="shared" si="17"/>
        <v>87.819750279999994</v>
      </c>
      <c r="N36" s="64">
        <f t="shared" si="18"/>
        <v>9.3359999999999999E-2</v>
      </c>
      <c r="O36" s="39">
        <f t="shared" si="19"/>
        <v>4668000</v>
      </c>
      <c r="P36" s="53">
        <f t="shared" si="6"/>
        <v>26</v>
      </c>
    </row>
    <row r="37" spans="1:16">
      <c r="A37" s="51">
        <f t="shared" si="7"/>
        <v>27</v>
      </c>
      <c r="B37" s="72">
        <v>8.0500000000000002E-2</v>
      </c>
      <c r="C37" s="39" t="s">
        <v>118</v>
      </c>
      <c r="D37" s="56">
        <f>DATE(1992,9,14)</f>
        <v>33861</v>
      </c>
      <c r="E37" s="56">
        <f>DATE(2022,9,14)</f>
        <v>44818</v>
      </c>
      <c r="F37" s="58">
        <f t="shared" si="14"/>
        <v>30</v>
      </c>
      <c r="G37" s="58">
        <f t="shared" si="15"/>
        <v>0.45555555555555555</v>
      </c>
      <c r="H37" s="61">
        <v>10000000</v>
      </c>
      <c r="I37" s="73">
        <v>10000000</v>
      </c>
      <c r="J37" s="61">
        <f>-(75000+7571.41+2085.28+155.6+2008.13+326.85+253.14+549.35+712.44+696.09+117.21+77.43+21.13+15.7+90.63+7.9+113.27+99.77-2253.75)</f>
        <v>-87647.580000000031</v>
      </c>
      <c r="K37" s="61">
        <v>-1130377.3700000001</v>
      </c>
      <c r="L37" s="61">
        <f t="shared" si="16"/>
        <v>8781975.0500000007</v>
      </c>
      <c r="M37" s="63">
        <f t="shared" si="17"/>
        <v>87.819750499999998</v>
      </c>
      <c r="N37" s="64">
        <f t="shared" si="18"/>
        <v>9.2579999999999996E-2</v>
      </c>
      <c r="O37" s="39">
        <f t="shared" si="19"/>
        <v>925800</v>
      </c>
      <c r="P37" s="53">
        <f t="shared" si="6"/>
        <v>27</v>
      </c>
    </row>
    <row r="38" spans="1:16">
      <c r="A38" s="51">
        <f t="shared" si="7"/>
        <v>28</v>
      </c>
      <c r="B38" s="72">
        <v>8.0800000000000011E-2</v>
      </c>
      <c r="C38" s="39" t="s">
        <v>117</v>
      </c>
      <c r="D38" s="56">
        <f>DATE(1992,10,15)</f>
        <v>33892</v>
      </c>
      <c r="E38" s="56">
        <f>DATE(2022,10,14)</f>
        <v>44848</v>
      </c>
      <c r="F38" s="58">
        <f t="shared" si="14"/>
        <v>29.997222222222224</v>
      </c>
      <c r="G38" s="58">
        <f t="shared" si="15"/>
        <v>0.53888888888888886</v>
      </c>
      <c r="H38" s="61">
        <v>25000000</v>
      </c>
      <c r="I38" s="73">
        <v>25000000</v>
      </c>
      <c r="J38" s="61">
        <f>-(187500+5213.19+389.01+5020.33+817.12+632.85+1373.38+1781.11+1740.22+293.04+193.58+52.82+39.25+226.58+19.75+283.19+249.43-5634.37)</f>
        <v>-200190.47999999998</v>
      </c>
      <c r="K38" s="61">
        <f>-(942395.61+1119231.5)</f>
        <v>-2061627.1099999999</v>
      </c>
      <c r="L38" s="61">
        <f t="shared" si="16"/>
        <v>22738182.41</v>
      </c>
      <c r="M38" s="63">
        <f t="shared" si="17"/>
        <v>90.952729640000001</v>
      </c>
      <c r="N38" s="64">
        <f t="shared" si="18"/>
        <v>8.9529999999999998E-2</v>
      </c>
      <c r="O38" s="39">
        <f t="shared" si="19"/>
        <v>2238250</v>
      </c>
      <c r="P38" s="53">
        <f t="shared" si="6"/>
        <v>28</v>
      </c>
    </row>
    <row r="39" spans="1:16">
      <c r="A39" s="51">
        <f t="shared" si="7"/>
        <v>29</v>
      </c>
      <c r="B39" s="72">
        <v>8.0800000000000011E-2</v>
      </c>
      <c r="C39" s="39" t="s">
        <v>117</v>
      </c>
      <c r="D39" s="56">
        <f>DATE(1992,10,15)</f>
        <v>33892</v>
      </c>
      <c r="E39" s="56">
        <f>DATE(2022,10,14)</f>
        <v>44848</v>
      </c>
      <c r="F39" s="58">
        <f t="shared" si="14"/>
        <v>29.997222222222224</v>
      </c>
      <c r="G39" s="58">
        <f t="shared" si="15"/>
        <v>0.53888888888888886</v>
      </c>
      <c r="H39" s="61">
        <v>26000000</v>
      </c>
      <c r="I39" s="73">
        <v>26000000</v>
      </c>
      <c r="J39" s="61">
        <f>-(195000+5421.72+404.57+5221.14+849.8+658.16+1428.31+1852.35+1809.83+304.76+201.32+54.93+40.82+235.65+20.54+294.52+259.41-5859.74)</f>
        <v>-208198.09000000003</v>
      </c>
      <c r="K39" s="61">
        <v>-2938981.15</v>
      </c>
      <c r="L39" s="61">
        <f t="shared" si="16"/>
        <v>22852820.760000002</v>
      </c>
      <c r="M39" s="63">
        <f t="shared" si="17"/>
        <v>87.895464461538467</v>
      </c>
      <c r="N39" s="64">
        <f t="shared" si="18"/>
        <v>9.2829999999999996E-2</v>
      </c>
      <c r="O39" s="39">
        <f t="shared" si="19"/>
        <v>2413580</v>
      </c>
      <c r="P39" s="53">
        <f t="shared" si="6"/>
        <v>29</v>
      </c>
    </row>
    <row r="40" spans="1:16">
      <c r="A40" s="51">
        <f t="shared" si="7"/>
        <v>30</v>
      </c>
      <c r="B40" s="72">
        <v>8.2299999999999998E-2</v>
      </c>
      <c r="C40" s="39" t="s">
        <v>87</v>
      </c>
      <c r="D40" s="56">
        <f>DATE(1993,1,29)</f>
        <v>33998</v>
      </c>
      <c r="E40" s="56">
        <f>DATE(2023,1,20)</f>
        <v>44946</v>
      </c>
      <c r="F40" s="58">
        <f t="shared" si="14"/>
        <v>29.975000000000001</v>
      </c>
      <c r="G40" s="58">
        <f t="shared" si="15"/>
        <v>0.80555555555555558</v>
      </c>
      <c r="H40" s="61">
        <v>4000000</v>
      </c>
      <c r="I40" s="73">
        <v>4000000</v>
      </c>
      <c r="J40" s="61">
        <f>-(30000+130.74+101.26+219.74+284.98+278.44+46.89+30.97+8.45+6.28+36.25+3.16+45.31+39.91-901.5)+81560</f>
        <v>51229.119999999995</v>
      </c>
      <c r="K40" s="61">
        <v>-88988.58</v>
      </c>
      <c r="L40" s="61">
        <f t="shared" si="16"/>
        <v>3962240.54</v>
      </c>
      <c r="M40" s="63">
        <f t="shared" si="17"/>
        <v>99.056013500000006</v>
      </c>
      <c r="N40" s="64">
        <f t="shared" si="18"/>
        <v>8.3159999999999998E-2</v>
      </c>
      <c r="O40" s="39">
        <f t="shared" si="19"/>
        <v>332640</v>
      </c>
      <c r="P40" s="53">
        <f t="shared" si="6"/>
        <v>30</v>
      </c>
    </row>
    <row r="41" spans="1:16">
      <c r="A41" s="51">
        <f t="shared" si="7"/>
        <v>31</v>
      </c>
      <c r="B41" s="72">
        <v>8.2299999999999998E-2</v>
      </c>
      <c r="C41" s="39" t="s">
        <v>87</v>
      </c>
      <c r="D41" s="56">
        <f>DATE(1993,1,20)</f>
        <v>33989</v>
      </c>
      <c r="E41" s="56">
        <f>DATE(2023,1,20)</f>
        <v>44946</v>
      </c>
      <c r="F41" s="58">
        <f t="shared" si="14"/>
        <v>30</v>
      </c>
      <c r="G41" s="58">
        <f t="shared" si="15"/>
        <v>0.80555555555555558</v>
      </c>
      <c r="H41" s="61">
        <v>5000000</v>
      </c>
      <c r="I41" s="73">
        <v>5000000</v>
      </c>
      <c r="J41" s="61">
        <f>-(37500+163.42+126.57+274.68+356.22+348.04+58.61+38.71+10.56+7.85+45.32+3.95+56.64+49.89-1126.87)</f>
        <v>-37913.589999999989</v>
      </c>
      <c r="K41" s="61">
        <v>-335843.38</v>
      </c>
      <c r="L41" s="61">
        <f t="shared" si="16"/>
        <v>4626243.03</v>
      </c>
      <c r="M41" s="63">
        <f t="shared" si="17"/>
        <v>92.524860599999997</v>
      </c>
      <c r="N41" s="64">
        <f t="shared" si="18"/>
        <v>8.9510000000000006E-2</v>
      </c>
      <c r="O41" s="39">
        <f t="shared" si="19"/>
        <v>447550.00000000006</v>
      </c>
      <c r="P41" s="53">
        <f t="shared" si="6"/>
        <v>31</v>
      </c>
    </row>
    <row r="42" spans="1:16">
      <c r="A42" s="51">
        <f t="shared" si="7"/>
        <v>32</v>
      </c>
      <c r="B42" s="67">
        <f>SUMPRODUCT(B33:B41,I33:I41)/I42</f>
        <v>8.0985806451612907E-2</v>
      </c>
      <c r="C42" s="68" t="s">
        <v>88</v>
      </c>
      <c r="D42" s="56"/>
      <c r="E42" s="56"/>
      <c r="F42" s="69">
        <f>SUMPRODUCT(F33:F41,I33:I41)/I42</f>
        <v>29.991648745519711</v>
      </c>
      <c r="G42" s="69">
        <f>SUMPRODUCT(G33:G41,I33:I41)/I42</f>
        <v>0.4935304659498207</v>
      </c>
      <c r="I42" s="70">
        <f>SUM(I33:I41)</f>
        <v>155000000</v>
      </c>
      <c r="J42" s="70">
        <f>SUM(J33:J41)</f>
        <v>-1227725.2300000002</v>
      </c>
      <c r="K42" s="70">
        <f>SUM(K33:K41)</f>
        <v>-16164025.210000003</v>
      </c>
      <c r="L42" s="70">
        <f>SUM(L33:L41)</f>
        <v>137608249.56</v>
      </c>
      <c r="N42" s="71">
        <f>O42/I42</f>
        <v>9.2101741935483872E-2</v>
      </c>
      <c r="O42" s="68">
        <f>SUM(O33:O41)</f>
        <v>14275770</v>
      </c>
      <c r="P42" s="53">
        <f t="shared" si="6"/>
        <v>32</v>
      </c>
    </row>
    <row r="43" spans="1:16">
      <c r="A43" s="51">
        <f t="shared" si="7"/>
        <v>33</v>
      </c>
      <c r="D43" s="56"/>
      <c r="E43" s="56"/>
      <c r="F43" s="58"/>
      <c r="G43" s="58"/>
      <c r="I43" s="74"/>
      <c r="J43" s="62"/>
      <c r="L43" s="62"/>
      <c r="M43" s="64"/>
      <c r="N43" s="64"/>
      <c r="P43" s="53">
        <f t="shared" si="6"/>
        <v>33</v>
      </c>
    </row>
    <row r="44" spans="1:16">
      <c r="A44" s="51">
        <f t="shared" si="7"/>
        <v>34</v>
      </c>
      <c r="B44" s="72">
        <v>7.2599999999999998E-2</v>
      </c>
      <c r="C44" s="39" t="s">
        <v>89</v>
      </c>
      <c r="D44" s="56">
        <f>DATE(1993,7,22)</f>
        <v>34172</v>
      </c>
      <c r="E44" s="56">
        <f>DATE(2023,7,21)</f>
        <v>45128</v>
      </c>
      <c r="F44" s="58">
        <f t="shared" ref="F44:F53" si="20">YEARFRAC(D44,E44)</f>
        <v>29.997222222222224</v>
      </c>
      <c r="G44" s="58">
        <f t="shared" ref="G44:G53" si="21">YEARFRAC($A$4,E44)</f>
        <v>1.3083333333333333</v>
      </c>
      <c r="H44" s="61">
        <v>11000000</v>
      </c>
      <c r="I44" s="73">
        <v>11000000</v>
      </c>
      <c r="J44" s="61">
        <v>-100622</v>
      </c>
      <c r="K44" s="61">
        <v>-589062</v>
      </c>
      <c r="L44" s="61">
        <f t="shared" ref="L44:L53" si="22">SUM(I44:K44)</f>
        <v>10310316</v>
      </c>
      <c r="M44" s="63">
        <f t="shared" ref="M44:M53" si="23">L44/I44*100</f>
        <v>93.73014545454545</v>
      </c>
      <c r="N44" s="64">
        <f t="shared" ref="N44:N53" si="24">ROUND(YIELD(D44,E44,B44,M44,100,2,0),5)</f>
        <v>7.8039999999999998E-2</v>
      </c>
      <c r="O44" s="39">
        <f t="shared" ref="O44:O53" si="25">ROUND(N44,5)*I44</f>
        <v>858440</v>
      </c>
      <c r="P44" s="53">
        <f t="shared" si="6"/>
        <v>34</v>
      </c>
    </row>
    <row r="45" spans="1:16">
      <c r="A45" s="51">
        <f t="shared" si="7"/>
        <v>35</v>
      </c>
      <c r="B45" s="72">
        <v>7.2599999999999998E-2</v>
      </c>
      <c r="C45" s="39" t="s">
        <v>89</v>
      </c>
      <c r="D45" s="56">
        <f>DATE(1993,7,22)</f>
        <v>34172</v>
      </c>
      <c r="E45" s="56">
        <f>DATE(2023,7,21)</f>
        <v>45128</v>
      </c>
      <c r="F45" s="58">
        <f t="shared" si="20"/>
        <v>29.997222222222224</v>
      </c>
      <c r="G45" s="58">
        <f t="shared" si="21"/>
        <v>1.3083333333333333</v>
      </c>
      <c r="H45" s="61">
        <v>27000000</v>
      </c>
      <c r="I45" s="73">
        <v>27000000</v>
      </c>
      <c r="J45" s="61">
        <v>-246981</v>
      </c>
      <c r="K45" s="61">
        <v>-1445879.9</v>
      </c>
      <c r="L45" s="61">
        <f t="shared" si="22"/>
        <v>25307139.100000001</v>
      </c>
      <c r="M45" s="63">
        <f t="shared" si="23"/>
        <v>93.730144814814821</v>
      </c>
      <c r="N45" s="64">
        <f t="shared" si="24"/>
        <v>7.8039999999999998E-2</v>
      </c>
      <c r="O45" s="39">
        <f t="shared" si="25"/>
        <v>2107080</v>
      </c>
      <c r="P45" s="53">
        <f t="shared" si="6"/>
        <v>35</v>
      </c>
    </row>
    <row r="46" spans="1:16">
      <c r="A46" s="51">
        <f t="shared" si="7"/>
        <v>36</v>
      </c>
      <c r="B46" s="72">
        <v>7.2300000000000003E-2</v>
      </c>
      <c r="C46" s="39" t="s">
        <v>90</v>
      </c>
      <c r="D46" s="56">
        <f>DATE(1993,8,16)</f>
        <v>34197</v>
      </c>
      <c r="E46" s="56">
        <f>DATE(2023,8,16)</f>
        <v>45154</v>
      </c>
      <c r="F46" s="58">
        <f t="shared" si="20"/>
        <v>30</v>
      </c>
      <c r="G46" s="58">
        <f t="shared" si="21"/>
        <v>1.3777777777777778</v>
      </c>
      <c r="H46" s="61">
        <v>15000000</v>
      </c>
      <c r="I46" s="73">
        <v>15000000</v>
      </c>
      <c r="J46" s="61">
        <v>-137211</v>
      </c>
      <c r="K46" s="61">
        <f>-504373+235749</f>
        <v>-268624</v>
      </c>
      <c r="L46" s="61">
        <f t="shared" si="22"/>
        <v>14594165</v>
      </c>
      <c r="M46" s="63">
        <f t="shared" si="23"/>
        <v>97.29443333333333</v>
      </c>
      <c r="N46" s="64">
        <f t="shared" si="24"/>
        <v>7.4569999999999997E-2</v>
      </c>
      <c r="O46" s="39">
        <f t="shared" si="25"/>
        <v>1118550</v>
      </c>
      <c r="P46" s="53">
        <f t="shared" si="6"/>
        <v>36</v>
      </c>
    </row>
    <row r="47" spans="1:16">
      <c r="A47" s="51">
        <f t="shared" si="7"/>
        <v>37</v>
      </c>
      <c r="B47" s="72">
        <v>7.2400000000000006E-2</v>
      </c>
      <c r="C47" s="39" t="s">
        <v>90</v>
      </c>
      <c r="D47" s="56">
        <f>DATE(1993,8,16)</f>
        <v>34197</v>
      </c>
      <c r="E47" s="56">
        <f>DATE(2023,8,16)</f>
        <v>45154</v>
      </c>
      <c r="F47" s="58">
        <f t="shared" si="20"/>
        <v>30</v>
      </c>
      <c r="G47" s="58">
        <f t="shared" si="21"/>
        <v>1.3777777777777778</v>
      </c>
      <c r="H47" s="61">
        <v>30000000</v>
      </c>
      <c r="I47" s="73">
        <v>30000000</v>
      </c>
      <c r="J47" s="61">
        <v>-274423</v>
      </c>
      <c r="K47" s="61">
        <f>-1008746+471498</f>
        <v>-537248</v>
      </c>
      <c r="L47" s="61">
        <f t="shared" si="22"/>
        <v>29188329</v>
      </c>
      <c r="M47" s="63">
        <f t="shared" si="23"/>
        <v>97.294430000000006</v>
      </c>
      <c r="N47" s="64">
        <f t="shared" si="24"/>
        <v>7.467E-2</v>
      </c>
      <c r="O47" s="39">
        <f t="shared" si="25"/>
        <v>2240100</v>
      </c>
      <c r="P47" s="53">
        <f t="shared" si="6"/>
        <v>37</v>
      </c>
    </row>
    <row r="48" spans="1:16">
      <c r="A48" s="51">
        <f t="shared" si="7"/>
        <v>38</v>
      </c>
      <c r="B48" s="72">
        <v>6.7500000000000004E-2</v>
      </c>
      <c r="C48" s="39" t="s">
        <v>91</v>
      </c>
      <c r="D48" s="56">
        <f>DATE(1993,9,14)</f>
        <v>34226</v>
      </c>
      <c r="E48" s="56">
        <f>DATE(2023,9,14)</f>
        <v>45183</v>
      </c>
      <c r="F48" s="58">
        <f t="shared" si="20"/>
        <v>30</v>
      </c>
      <c r="G48" s="58">
        <f t="shared" si="21"/>
        <v>1.4555555555555555</v>
      </c>
      <c r="H48" s="61">
        <v>2000000</v>
      </c>
      <c r="I48" s="73">
        <v>2000000</v>
      </c>
      <c r="J48" s="61">
        <v>-15300</v>
      </c>
      <c r="K48" s="61">
        <v>0</v>
      </c>
      <c r="L48" s="61">
        <f t="shared" si="22"/>
        <v>1984700</v>
      </c>
      <c r="M48" s="63">
        <f t="shared" si="23"/>
        <v>99.234999999999999</v>
      </c>
      <c r="N48" s="64">
        <f t="shared" si="24"/>
        <v>6.8099999999999994E-2</v>
      </c>
      <c r="O48" s="39">
        <f t="shared" si="25"/>
        <v>136200</v>
      </c>
      <c r="P48" s="53">
        <f t="shared" si="6"/>
        <v>38</v>
      </c>
    </row>
    <row r="49" spans="1:16">
      <c r="A49" s="51">
        <f t="shared" si="7"/>
        <v>39</v>
      </c>
      <c r="B49" s="72">
        <v>6.720000000000001E-2</v>
      </c>
      <c r="C49" s="39" t="s">
        <v>91</v>
      </c>
      <c r="D49" s="56">
        <f>DATE(1993,9,14)</f>
        <v>34226</v>
      </c>
      <c r="E49" s="56">
        <f>DATE(2023,9,14)</f>
        <v>45183</v>
      </c>
      <c r="F49" s="58">
        <f t="shared" si="20"/>
        <v>30</v>
      </c>
      <c r="G49" s="58">
        <f t="shared" si="21"/>
        <v>1.4555555555555555</v>
      </c>
      <c r="H49" s="61">
        <v>2000000</v>
      </c>
      <c r="I49" s="73">
        <v>2000000</v>
      </c>
      <c r="J49" s="61">
        <v>-15300</v>
      </c>
      <c r="K49" s="61">
        <v>0</v>
      </c>
      <c r="L49" s="61">
        <f t="shared" si="22"/>
        <v>1984700</v>
      </c>
      <c r="M49" s="63">
        <f t="shared" si="23"/>
        <v>99.234999999999999</v>
      </c>
      <c r="N49" s="64">
        <f t="shared" si="24"/>
        <v>6.7799999999999999E-2</v>
      </c>
      <c r="O49" s="39">
        <f t="shared" si="25"/>
        <v>135600</v>
      </c>
      <c r="P49" s="53">
        <f t="shared" si="6"/>
        <v>39</v>
      </c>
    </row>
    <row r="50" spans="1:16">
      <c r="A50" s="51">
        <f t="shared" si="7"/>
        <v>40</v>
      </c>
      <c r="B50" s="72">
        <v>6.7500000000000004E-2</v>
      </c>
      <c r="C50" s="39" t="s">
        <v>91</v>
      </c>
      <c r="D50" s="56">
        <f>DATE(1993,9,14)</f>
        <v>34226</v>
      </c>
      <c r="E50" s="56">
        <f>DATE(2023,9,14)</f>
        <v>45183</v>
      </c>
      <c r="F50" s="58">
        <f t="shared" si="20"/>
        <v>30</v>
      </c>
      <c r="G50" s="58">
        <f t="shared" si="21"/>
        <v>1.4555555555555555</v>
      </c>
      <c r="H50" s="61">
        <v>5000000</v>
      </c>
      <c r="I50" s="73">
        <v>5000000</v>
      </c>
      <c r="J50" s="61">
        <v>-38250</v>
      </c>
      <c r="K50" s="61">
        <f>-64156+29987</f>
        <v>-34169</v>
      </c>
      <c r="L50" s="61">
        <f t="shared" si="22"/>
        <v>4927581</v>
      </c>
      <c r="M50" s="63">
        <f t="shared" si="23"/>
        <v>98.55162</v>
      </c>
      <c r="N50" s="64">
        <f t="shared" si="24"/>
        <v>6.8650000000000003E-2</v>
      </c>
      <c r="O50" s="39">
        <f t="shared" si="25"/>
        <v>343250</v>
      </c>
      <c r="P50" s="53">
        <f t="shared" si="6"/>
        <v>40</v>
      </c>
    </row>
    <row r="51" spans="1:16">
      <c r="A51" s="51">
        <f t="shared" si="7"/>
        <v>41</v>
      </c>
      <c r="B51" s="72">
        <v>6.7500000000000004E-2</v>
      </c>
      <c r="C51" s="39" t="s">
        <v>92</v>
      </c>
      <c r="D51" s="56">
        <f>DATE(1993,10,26)</f>
        <v>34268</v>
      </c>
      <c r="E51" s="56">
        <f>DATE(2023,10,26)</f>
        <v>45225</v>
      </c>
      <c r="F51" s="58">
        <f t="shared" si="20"/>
        <v>30</v>
      </c>
      <c r="G51" s="58">
        <f t="shared" si="21"/>
        <v>1.5722222222222222</v>
      </c>
      <c r="H51" s="61">
        <v>12000000</v>
      </c>
      <c r="I51" s="73">
        <v>12000000</v>
      </c>
      <c r="J51" s="61">
        <v>-91396</v>
      </c>
      <c r="K51" s="61">
        <v>0</v>
      </c>
      <c r="L51" s="61">
        <f t="shared" si="22"/>
        <v>11908604</v>
      </c>
      <c r="M51" s="63">
        <f t="shared" si="23"/>
        <v>99.238366666666664</v>
      </c>
      <c r="N51" s="64">
        <f t="shared" si="24"/>
        <v>6.8099999999999994E-2</v>
      </c>
      <c r="O51" s="39">
        <f t="shared" si="25"/>
        <v>817199.99999999988</v>
      </c>
      <c r="P51" s="53">
        <f t="shared" si="6"/>
        <v>41</v>
      </c>
    </row>
    <row r="52" spans="1:16">
      <c r="A52" s="51">
        <f t="shared" si="7"/>
        <v>42</v>
      </c>
      <c r="B52" s="72">
        <v>6.7500000000000004E-2</v>
      </c>
      <c r="C52" s="39" t="s">
        <v>92</v>
      </c>
      <c r="D52" s="56">
        <f t="shared" ref="D52:D53" si="26">DATE(1993,10,26)</f>
        <v>34268</v>
      </c>
      <c r="E52" s="56">
        <f>DATE(2023,10,26)</f>
        <v>45225</v>
      </c>
      <c r="F52" s="58">
        <f t="shared" si="20"/>
        <v>30</v>
      </c>
      <c r="G52" s="58">
        <f t="shared" si="21"/>
        <v>1.5722222222222222</v>
      </c>
      <c r="H52" s="61">
        <v>16000000</v>
      </c>
      <c r="I52" s="73">
        <v>16000000</v>
      </c>
      <c r="J52" s="61">
        <v>-121861</v>
      </c>
      <c r="K52" s="61">
        <v>0</v>
      </c>
      <c r="L52" s="61">
        <f t="shared" si="22"/>
        <v>15878139</v>
      </c>
      <c r="M52" s="63">
        <f t="shared" si="23"/>
        <v>99.238368749999992</v>
      </c>
      <c r="N52" s="64">
        <f t="shared" si="24"/>
        <v>6.8099999999999994E-2</v>
      </c>
      <c r="O52" s="39">
        <f t="shared" si="25"/>
        <v>1089600</v>
      </c>
      <c r="P52" s="53">
        <f t="shared" si="6"/>
        <v>42</v>
      </c>
    </row>
    <row r="53" spans="1:16">
      <c r="A53" s="51">
        <f t="shared" si="7"/>
        <v>43</v>
      </c>
      <c r="B53" s="72">
        <v>6.7500000000000004E-2</v>
      </c>
      <c r="C53" s="39" t="s">
        <v>92</v>
      </c>
      <c r="D53" s="56">
        <f t="shared" si="26"/>
        <v>34268</v>
      </c>
      <c r="E53" s="56">
        <f>DATE(2023,10,26)</f>
        <v>45225</v>
      </c>
      <c r="F53" s="58">
        <f t="shared" si="20"/>
        <v>30</v>
      </c>
      <c r="G53" s="58">
        <f t="shared" si="21"/>
        <v>1.5722222222222222</v>
      </c>
      <c r="H53" s="61">
        <v>20000000</v>
      </c>
      <c r="I53" s="73">
        <v>20000000</v>
      </c>
      <c r="J53" s="61">
        <v>-152326</v>
      </c>
      <c r="K53" s="61">
        <v>0</v>
      </c>
      <c r="L53" s="61">
        <f t="shared" si="22"/>
        <v>19847674</v>
      </c>
      <c r="M53" s="63">
        <f t="shared" si="23"/>
        <v>99.238370000000003</v>
      </c>
      <c r="N53" s="64">
        <f t="shared" si="24"/>
        <v>6.8099999999999994E-2</v>
      </c>
      <c r="O53" s="39">
        <f t="shared" si="25"/>
        <v>1361999.9999999998</v>
      </c>
      <c r="P53" s="53">
        <f t="shared" si="6"/>
        <v>43</v>
      </c>
    </row>
    <row r="54" spans="1:16">
      <c r="A54" s="51">
        <f t="shared" si="7"/>
        <v>44</v>
      </c>
      <c r="B54" s="67">
        <f>SUMPRODUCT(B44:B53,I44:I53)/I54</f>
        <v>7.0444285714285709E-2</v>
      </c>
      <c r="C54" s="68" t="s">
        <v>93</v>
      </c>
      <c r="D54" s="56"/>
      <c r="E54" s="56"/>
      <c r="F54" s="69">
        <f>SUMPRODUCT(F44:F53,I44:I53)/I54</f>
        <v>29.999246031746033</v>
      </c>
      <c r="G54" s="69">
        <f>SUMPRODUCT(G44:G53,I44:I53)/I54</f>
        <v>1.430595238095238</v>
      </c>
      <c r="I54" s="70">
        <f>SUM(I44:I53)</f>
        <v>140000000</v>
      </c>
      <c r="J54" s="70">
        <f>SUM(J44:J53)</f>
        <v>-1193670</v>
      </c>
      <c r="K54" s="70">
        <f>SUM(K44:K53)</f>
        <v>-2874982.9</v>
      </c>
      <c r="L54" s="70">
        <f>SUM(L44:L53)</f>
        <v>135931347.09999999</v>
      </c>
      <c r="N54" s="71">
        <f>O54/I54</f>
        <v>7.2914428571428574E-2</v>
      </c>
      <c r="O54" s="68">
        <f>SUM(O44:O53)</f>
        <v>10208020</v>
      </c>
      <c r="P54" s="53">
        <f t="shared" si="6"/>
        <v>44</v>
      </c>
    </row>
    <row r="55" spans="1:16">
      <c r="A55" s="51">
        <f t="shared" si="7"/>
        <v>45</v>
      </c>
      <c r="D55" s="56"/>
      <c r="E55" s="56"/>
      <c r="F55" s="58"/>
      <c r="G55" s="58"/>
      <c r="I55" s="74"/>
      <c r="J55" s="62"/>
      <c r="L55" s="62"/>
      <c r="M55" s="64"/>
      <c r="N55" s="64"/>
      <c r="P55" s="53">
        <f t="shared" si="6"/>
        <v>45</v>
      </c>
    </row>
    <row r="56" spans="1:16">
      <c r="A56" s="51">
        <f t="shared" si="7"/>
        <v>46</v>
      </c>
      <c r="B56" s="72">
        <v>6.7100000000000007E-2</v>
      </c>
      <c r="C56" s="39" t="s">
        <v>94</v>
      </c>
      <c r="D56" s="56">
        <f>DATE(1996,1,23)</f>
        <v>35087</v>
      </c>
      <c r="E56" s="56">
        <f>DATE(2026,1,15)</f>
        <v>46037</v>
      </c>
      <c r="F56" s="58">
        <f>YEARFRAC(D56,E56)</f>
        <v>29.977777777777778</v>
      </c>
      <c r="G56" s="58">
        <f>YEARFRAC($A$4,E56)</f>
        <v>3.7916666666666665</v>
      </c>
      <c r="H56" s="61">
        <v>100000000</v>
      </c>
      <c r="I56" s="73">
        <v>100000000</v>
      </c>
      <c r="J56" s="61">
        <f>(I56*-0.00875)-1238.49-2843.43-5000-1895.25-10252.38-2112.63-6124.41</f>
        <v>-904466.5900000002</v>
      </c>
      <c r="K56" s="61">
        <v>0</v>
      </c>
      <c r="L56" s="61">
        <f>SUM(I56:K56)</f>
        <v>99095533.409999996</v>
      </c>
      <c r="M56" s="63">
        <f>L56/I56*100</f>
        <v>99.095533409999987</v>
      </c>
      <c r="N56" s="64">
        <f>ROUND(YIELD(D56,E56,B56,M56,100,2,0),5)</f>
        <v>6.7809999999999995E-2</v>
      </c>
      <c r="O56" s="61">
        <f>ROUND(N56,5)*I56</f>
        <v>6780999.9999999991</v>
      </c>
      <c r="P56" s="53">
        <f t="shared" si="6"/>
        <v>46</v>
      </c>
    </row>
    <row r="57" spans="1:16">
      <c r="A57" s="51">
        <f t="shared" si="7"/>
        <v>47</v>
      </c>
      <c r="B57" s="67">
        <f>SUMPRODUCT(B56:B56,I56:I56)/I57</f>
        <v>6.7100000000000007E-2</v>
      </c>
      <c r="C57" s="68" t="s">
        <v>95</v>
      </c>
      <c r="D57" s="56"/>
      <c r="E57" s="56"/>
      <c r="F57" s="69">
        <f>SUMPRODUCT(F56:F56,I56:I56)/I57</f>
        <v>29.977777777777778</v>
      </c>
      <c r="G57" s="69">
        <f>SUMPRODUCT(G56:G56,I56:I56)/I57</f>
        <v>3.7916666666666661</v>
      </c>
      <c r="I57" s="68">
        <f>SUM(I56:I56)</f>
        <v>100000000</v>
      </c>
      <c r="J57" s="68">
        <f>SUM(J56:J56)</f>
        <v>-904466.5900000002</v>
      </c>
      <c r="K57" s="68">
        <f>SUM(K56:K56)</f>
        <v>0</v>
      </c>
      <c r="L57" s="68">
        <f>SUM(L56:L56)</f>
        <v>99095533.409999996</v>
      </c>
      <c r="M57" s="64"/>
      <c r="N57" s="71">
        <f>O57/I57</f>
        <v>6.7809999999999995E-2</v>
      </c>
      <c r="O57" s="68">
        <f>SUM(O56:O56)</f>
        <v>6780999.9999999991</v>
      </c>
      <c r="P57" s="53">
        <f t="shared" si="6"/>
        <v>47</v>
      </c>
    </row>
    <row r="58" spans="1:16">
      <c r="A58" s="51">
        <f t="shared" si="7"/>
        <v>48</v>
      </c>
      <c r="D58" s="56"/>
      <c r="E58" s="56"/>
      <c r="F58" s="58"/>
      <c r="G58" s="58"/>
      <c r="I58" s="74"/>
      <c r="J58" s="62"/>
      <c r="L58" s="62"/>
      <c r="M58" s="64"/>
      <c r="N58" s="64"/>
      <c r="P58" s="53">
        <f t="shared" si="6"/>
        <v>48</v>
      </c>
    </row>
    <row r="59" spans="1:16">
      <c r="A59" s="51">
        <f t="shared" si="7"/>
        <v>49</v>
      </c>
      <c r="B59" s="67">
        <f>(+B31*I31+B42*I42+B54*I54+B57*I57)/I59</f>
        <v>4.6586931155192531E-2</v>
      </c>
      <c r="C59" s="68" t="s">
        <v>96</v>
      </c>
      <c r="D59" s="56"/>
      <c r="E59" s="56"/>
      <c r="F59" s="69">
        <f>(+F31*I31+F42*I42+F54*I54+F57*I57)/I59</f>
        <v>26.178609490470631</v>
      </c>
      <c r="G59" s="69">
        <f>(+G31*I31+G42*I42+G54*I54+G57*I57)/I59</f>
        <v>16.772856216776873</v>
      </c>
      <c r="I59" s="68">
        <f>+I31+I42+I54+I57</f>
        <v>8570000000</v>
      </c>
      <c r="J59" s="68">
        <f>+J31+J42+J54+J57</f>
        <v>-100369441.52000001</v>
      </c>
      <c r="K59" s="68">
        <f>+K31+K42+K54+K57</f>
        <v>-22278077.830000002</v>
      </c>
      <c r="L59" s="68">
        <f>+L31+L42+L54+L57</f>
        <v>8447352480.6500006</v>
      </c>
      <c r="M59" s="64"/>
      <c r="N59" s="71">
        <f>O59/I59</f>
        <v>4.767923453908985E-2</v>
      </c>
      <c r="O59" s="68">
        <f>+O31+O42+O54+O57</f>
        <v>408611040</v>
      </c>
      <c r="P59" s="53">
        <f t="shared" si="6"/>
        <v>49</v>
      </c>
    </row>
    <row r="60" spans="1:16">
      <c r="A60" s="51">
        <f t="shared" si="7"/>
        <v>50</v>
      </c>
      <c r="D60" s="56"/>
      <c r="E60" s="56"/>
      <c r="F60" s="58"/>
      <c r="G60" s="58"/>
      <c r="I60" s="74"/>
      <c r="J60" s="62"/>
      <c r="L60" s="62"/>
      <c r="M60" s="64"/>
      <c r="N60" s="64"/>
      <c r="O60" s="62"/>
      <c r="P60" s="53">
        <f t="shared" si="6"/>
        <v>50</v>
      </c>
    </row>
    <row r="61" spans="1:16">
      <c r="A61" s="51">
        <f t="shared" si="7"/>
        <v>51</v>
      </c>
      <c r="C61" s="54" t="s">
        <v>97</v>
      </c>
      <c r="D61" s="56"/>
      <c r="E61" s="56"/>
      <c r="F61" s="58"/>
      <c r="G61" s="58"/>
      <c r="I61" s="74"/>
      <c r="J61" s="62"/>
      <c r="L61" s="62"/>
      <c r="M61" s="64"/>
      <c r="N61" s="64"/>
      <c r="O61" s="62"/>
      <c r="P61" s="53">
        <f t="shared" si="6"/>
        <v>51</v>
      </c>
    </row>
    <row r="62" spans="1:16">
      <c r="A62" s="51">
        <f t="shared" si="7"/>
        <v>52</v>
      </c>
      <c r="B62" s="75">
        <v>8.8844737736263717E-3</v>
      </c>
      <c r="C62" s="39" t="s">
        <v>98</v>
      </c>
      <c r="D62" s="56">
        <f>DATE(1994,11,17)</f>
        <v>34655</v>
      </c>
      <c r="E62" s="56">
        <f>DATE(2024,11,1)</f>
        <v>45597</v>
      </c>
      <c r="F62" s="58">
        <f t="shared" ref="F62:F67" si="27">YEARFRAC(D62,E62)</f>
        <v>29.955555555555556</v>
      </c>
      <c r="G62" s="58">
        <f t="shared" ref="G62:G67" si="28">YEARFRAC($A$4,E62)</f>
        <v>2.5861111111111112</v>
      </c>
      <c r="H62" s="61">
        <v>8190000</v>
      </c>
      <c r="I62" s="73">
        <v>8190000</v>
      </c>
      <c r="J62" s="61">
        <f>-183929-93.65-9.49-32.4-20274.2-5147.2+527.73-555.55-263.72-0.15</f>
        <v>-209777.62999999998</v>
      </c>
      <c r="K62" s="61">
        <f>(-86323)</f>
        <v>-86323</v>
      </c>
      <c r="L62" s="61">
        <f t="shared" ref="L62:L67" si="29">SUM(I62:K62)</f>
        <v>7893899.3700000001</v>
      </c>
      <c r="M62" s="63">
        <f t="shared" ref="M62:M67" si="30">L62/I62*100</f>
        <v>96.384607692307682</v>
      </c>
      <c r="N62" s="64">
        <f t="shared" ref="N62:N67" si="31">ROUND(YIELD(D62,E62,B62,M62,100,4,1),5)</f>
        <v>1.0290000000000001E-2</v>
      </c>
      <c r="O62" s="62">
        <f t="shared" ref="O62:O67" si="32">ROUND(N62,5)*I62</f>
        <v>84275.1</v>
      </c>
      <c r="P62" s="53">
        <f t="shared" si="6"/>
        <v>52</v>
      </c>
    </row>
    <row r="63" spans="1:16">
      <c r="A63" s="51">
        <f t="shared" si="7"/>
        <v>53</v>
      </c>
      <c r="B63" s="75">
        <v>8.6573427255699515E-3</v>
      </c>
      <c r="C63" s="39" t="s">
        <v>99</v>
      </c>
      <c r="D63" s="56">
        <f>DATE(1994,11,17)</f>
        <v>34655</v>
      </c>
      <c r="E63" s="56">
        <f>DATE(2024,11,1)</f>
        <v>45597</v>
      </c>
      <c r="F63" s="58">
        <f t="shared" si="27"/>
        <v>29.955555555555556</v>
      </c>
      <c r="G63" s="58">
        <f t="shared" si="28"/>
        <v>2.5861111111111112</v>
      </c>
      <c r="H63" s="61">
        <v>121940000</v>
      </c>
      <c r="I63" s="73">
        <v>121940000</v>
      </c>
      <c r="J63" s="61">
        <f>-2969452-1956.29-141.25-481.71-301860.26-92.38+3920.28-2222.23-1959.09-1.04</f>
        <v>-3274245.9699999997</v>
      </c>
      <c r="K63" s="61">
        <f>(-1935450)+9683</f>
        <v>-1925767</v>
      </c>
      <c r="L63" s="61">
        <f t="shared" si="29"/>
        <v>116739987.03</v>
      </c>
      <c r="M63" s="63">
        <f t="shared" si="30"/>
        <v>95.735597039527647</v>
      </c>
      <c r="N63" s="64">
        <f t="shared" si="31"/>
        <v>1.031E-2</v>
      </c>
      <c r="O63" s="62">
        <f t="shared" si="32"/>
        <v>1257201.3999999999</v>
      </c>
      <c r="P63" s="53">
        <f t="shared" si="6"/>
        <v>53</v>
      </c>
    </row>
    <row r="64" spans="1:16">
      <c r="A64" s="51">
        <f t="shared" si="7"/>
        <v>54</v>
      </c>
      <c r="B64" s="75">
        <v>9.9761196443559092E-3</v>
      </c>
      <c r="C64" s="39" t="s">
        <v>100</v>
      </c>
      <c r="D64" s="56">
        <f>DATE(1994,11,17)</f>
        <v>34655</v>
      </c>
      <c r="E64" s="56">
        <f>DATE(2024,11,1)</f>
        <v>45597</v>
      </c>
      <c r="F64" s="58">
        <f t="shared" si="27"/>
        <v>29.955555555555556</v>
      </c>
      <c r="G64" s="58">
        <f t="shared" si="28"/>
        <v>2.5861111111111112</v>
      </c>
      <c r="H64" s="61">
        <v>15060000</v>
      </c>
      <c r="I64" s="73">
        <v>15060000</v>
      </c>
      <c r="J64" s="61">
        <f>-375570-172.07-17.44-59.52-37280.76-9466.37+527.73-555.56-263.72-0.15</f>
        <v>-422857.86000000004</v>
      </c>
      <c r="K64" s="61">
        <f>(-92641)+11214</f>
        <v>-81427</v>
      </c>
      <c r="L64" s="61">
        <f t="shared" si="29"/>
        <v>14555715.140000001</v>
      </c>
      <c r="M64" s="63">
        <f t="shared" si="30"/>
        <v>96.651494953519261</v>
      </c>
      <c r="N64" s="64">
        <f t="shared" si="31"/>
        <v>1.1299999999999999E-2</v>
      </c>
      <c r="O64" s="62">
        <f t="shared" si="32"/>
        <v>170178</v>
      </c>
      <c r="P64" s="53">
        <f t="shared" si="6"/>
        <v>54</v>
      </c>
    </row>
    <row r="65" spans="1:16">
      <c r="A65" s="51">
        <f t="shared" si="7"/>
        <v>55</v>
      </c>
      <c r="B65" s="75">
        <v>9.220704408466604E-3</v>
      </c>
      <c r="C65" s="39" t="s">
        <v>101</v>
      </c>
      <c r="D65" s="56">
        <f>DATE(1994,11,17)</f>
        <v>34655</v>
      </c>
      <c r="E65" s="56">
        <f>DATE(2024,11,1)</f>
        <v>45597</v>
      </c>
      <c r="F65" s="58">
        <f t="shared" si="27"/>
        <v>29.955555555555556</v>
      </c>
      <c r="G65" s="58">
        <f t="shared" si="28"/>
        <v>2.5861111111111112</v>
      </c>
      <c r="H65" s="61">
        <v>21260000</v>
      </c>
      <c r="I65" s="73">
        <v>21260000</v>
      </c>
      <c r="J65" s="61">
        <f>-412545-242.74-24.63-31480.09-52628.74-13360.33+18.88+678.51-555.55-339.07-0.18</f>
        <v>-510478.94</v>
      </c>
      <c r="K65" s="61">
        <f>(-88352)</f>
        <v>-88352</v>
      </c>
      <c r="L65" s="61">
        <f t="shared" si="29"/>
        <v>20661169.059999999</v>
      </c>
      <c r="M65" s="63">
        <f t="shared" si="30"/>
        <v>97.183297554092178</v>
      </c>
      <c r="N65" s="64">
        <f t="shared" si="31"/>
        <v>1.031E-2</v>
      </c>
      <c r="O65" s="62">
        <f t="shared" si="32"/>
        <v>219190.6</v>
      </c>
      <c r="P65" s="53">
        <f t="shared" si="6"/>
        <v>55</v>
      </c>
    </row>
    <row r="66" spans="1:16">
      <c r="A66" s="51">
        <f t="shared" si="7"/>
        <v>56</v>
      </c>
      <c r="B66" s="75">
        <v>8.9842058905660396E-3</v>
      </c>
      <c r="C66" s="39" t="s">
        <v>102</v>
      </c>
      <c r="D66" s="56">
        <f>DATE(1995,11,17)</f>
        <v>35020</v>
      </c>
      <c r="E66" s="56">
        <f>DATE(2025,11,1)</f>
        <v>45962</v>
      </c>
      <c r="F66" s="58">
        <f t="shared" si="27"/>
        <v>29.955555555555556</v>
      </c>
      <c r="G66" s="58">
        <f t="shared" si="28"/>
        <v>3.5861111111111112</v>
      </c>
      <c r="H66" s="61">
        <v>5300000</v>
      </c>
      <c r="I66" s="73">
        <f>5300000</f>
        <v>5300000</v>
      </c>
      <c r="J66" s="61">
        <f>-4020.01-32463.14-26670.88-14633.18-53933.24-322.71</f>
        <v>-132043.15999999997</v>
      </c>
      <c r="K66" s="61">
        <v>0</v>
      </c>
      <c r="L66" s="61">
        <f t="shared" si="29"/>
        <v>5167956.84</v>
      </c>
      <c r="M66" s="63">
        <f t="shared" si="30"/>
        <v>97.508619622641504</v>
      </c>
      <c r="N66" s="64">
        <f t="shared" si="31"/>
        <v>9.9500000000000005E-3</v>
      </c>
      <c r="O66" s="62">
        <f t="shared" si="32"/>
        <v>52735</v>
      </c>
      <c r="P66" s="53">
        <f t="shared" si="6"/>
        <v>56</v>
      </c>
    </row>
    <row r="67" spans="1:16">
      <c r="A67" s="51">
        <f t="shared" si="7"/>
        <v>57</v>
      </c>
      <c r="B67" s="75">
        <v>9.5146328545454555E-3</v>
      </c>
      <c r="C67" s="39" t="s">
        <v>103</v>
      </c>
      <c r="D67" s="56">
        <f>DATE(1995,11,17)</f>
        <v>35020</v>
      </c>
      <c r="E67" s="56">
        <f>DATE(2025,11,1)</f>
        <v>45962</v>
      </c>
      <c r="F67" s="58">
        <f t="shared" si="27"/>
        <v>29.955555555555556</v>
      </c>
      <c r="G67" s="58">
        <f t="shared" si="28"/>
        <v>3.5861111111111112</v>
      </c>
      <c r="H67" s="61">
        <v>22000000</v>
      </c>
      <c r="I67" s="73">
        <f>22000000</f>
        <v>22000000</v>
      </c>
      <c r="J67" s="61">
        <f>-9071.1-129640.11-189217.86-14682.77-4950-56377.22-322.71</f>
        <v>-404261.76999999996</v>
      </c>
      <c r="K67" s="61">
        <v>0</v>
      </c>
      <c r="L67" s="61">
        <f t="shared" si="29"/>
        <v>21595738.23</v>
      </c>
      <c r="M67" s="63">
        <f t="shared" si="30"/>
        <v>98.162446500000001</v>
      </c>
      <c r="N67" s="64">
        <f t="shared" si="31"/>
        <v>1.023E-2</v>
      </c>
      <c r="O67" s="62">
        <f t="shared" si="32"/>
        <v>225060</v>
      </c>
      <c r="P67" s="53">
        <f t="shared" si="6"/>
        <v>57</v>
      </c>
    </row>
    <row r="68" spans="1:16">
      <c r="A68" s="51">
        <f t="shared" si="7"/>
        <v>58</v>
      </c>
      <c r="B68" s="67">
        <f>SUMPRODUCT(B62:B67,I62:I67)/I68</f>
        <v>8.9375533612903214E-3</v>
      </c>
      <c r="C68" s="68" t="s">
        <v>104</v>
      </c>
      <c r="D68" s="56"/>
      <c r="E68" s="56"/>
      <c r="F68" s="69">
        <f>SUMPRODUCT(F62:F67,I62:I67)/I68</f>
        <v>29.955555555555563</v>
      </c>
      <c r="G68" s="69">
        <f>SUMPRODUCT(G62:G67,I62:I67)/I68</f>
        <v>2.7270143369175628</v>
      </c>
      <c r="I68" s="68">
        <f>SUM(I62:I67)</f>
        <v>193750000</v>
      </c>
      <c r="J68" s="68">
        <f>SUM(J62:J67)</f>
        <v>-4953665.3299999991</v>
      </c>
      <c r="K68" s="68">
        <f>SUM(K62:K67)</f>
        <v>-2181869</v>
      </c>
      <c r="L68" s="68">
        <f>SUM(L62:L67)</f>
        <v>186614465.67000002</v>
      </c>
      <c r="M68" s="64"/>
      <c r="N68" s="71">
        <f>O68/I68</f>
        <v>1.0367174709677419E-2</v>
      </c>
      <c r="O68" s="68">
        <f>SUM(O62:O67)</f>
        <v>2008640.1</v>
      </c>
      <c r="P68" s="53">
        <f t="shared" si="6"/>
        <v>58</v>
      </c>
    </row>
    <row r="69" spans="1:16">
      <c r="A69" s="51">
        <f t="shared" si="7"/>
        <v>59</v>
      </c>
      <c r="D69" s="56"/>
      <c r="E69" s="56"/>
      <c r="F69" s="58"/>
      <c r="G69" s="58"/>
      <c r="I69" s="74"/>
      <c r="J69" s="62"/>
      <c r="L69" s="62"/>
      <c r="M69" s="64"/>
      <c r="N69" s="64"/>
      <c r="O69" s="62"/>
      <c r="P69" s="53">
        <f t="shared" si="6"/>
        <v>59</v>
      </c>
    </row>
    <row r="70" spans="1:16">
      <c r="A70" s="51">
        <f t="shared" si="7"/>
        <v>60</v>
      </c>
      <c r="B70" s="75">
        <v>7.5695949409836059E-3</v>
      </c>
      <c r="C70" s="61" t="s">
        <v>105</v>
      </c>
      <c r="D70" s="56">
        <f>DATE(1995,12,14)</f>
        <v>35047</v>
      </c>
      <c r="E70" s="56">
        <f>DATE(2025,11,1)</f>
        <v>45962</v>
      </c>
      <c r="F70" s="58">
        <f t="shared" ref="F70" si="33">YEARFRAC(D70,E70)</f>
        <v>29.880555555555556</v>
      </c>
      <c r="G70" s="58">
        <f t="shared" ref="G70" si="34">YEARFRAC($A$4,E70)</f>
        <v>3.5861111111111112</v>
      </c>
      <c r="H70" s="61">
        <v>24400000</v>
      </c>
      <c r="I70" s="76">
        <f>24400000</f>
        <v>24400000</v>
      </c>
      <c r="J70" s="61">
        <f>-19002.27-120150.79-10722.63-6607.3-58895.72-9621.24</f>
        <v>-224999.94999999998</v>
      </c>
      <c r="K70" s="61">
        <v>-428469.14</v>
      </c>
      <c r="L70" s="61">
        <f t="shared" ref="L70" si="35">SUM(I70:K70)</f>
        <v>23746530.91</v>
      </c>
      <c r="M70" s="63">
        <f t="shared" ref="M70" si="36">L70/I70*100</f>
        <v>97.321847991803281</v>
      </c>
      <c r="N70" s="64">
        <f t="shared" ref="N70" si="37">ROUND(YIELD(D70,E70,B70,M70,100,4,1),5)</f>
        <v>8.5900000000000004E-3</v>
      </c>
      <c r="O70" s="62">
        <f t="shared" ref="O70" si="38">ROUND(N70,5)*I70</f>
        <v>209596</v>
      </c>
      <c r="P70" s="53">
        <f t="shared" si="6"/>
        <v>60</v>
      </c>
    </row>
    <row r="71" spans="1:16">
      <c r="A71" s="51">
        <f t="shared" si="7"/>
        <v>61</v>
      </c>
      <c r="B71" s="67">
        <f>SUMPRODUCT(B70:B70,I70:I70)/I71</f>
        <v>7.5695949409836059E-3</v>
      </c>
      <c r="C71" s="68" t="s">
        <v>106</v>
      </c>
      <c r="D71" s="56"/>
      <c r="E71" s="56"/>
      <c r="F71" s="69">
        <f>SUMPRODUCT(F70:F70,I70:I70)/I71</f>
        <v>29.880555555555556</v>
      </c>
      <c r="G71" s="69">
        <f>SUMPRODUCT(G70:G70,I70:I70)/I71</f>
        <v>3.5861111111111112</v>
      </c>
      <c r="I71" s="68">
        <f>SUM(I70:I70)</f>
        <v>24400000</v>
      </c>
      <c r="J71" s="68">
        <f>SUM(J70:J70)</f>
        <v>-224999.94999999998</v>
      </c>
      <c r="K71" s="68">
        <f>SUM(K70:K70)</f>
        <v>-428469.14</v>
      </c>
      <c r="L71" s="68">
        <f>SUM(L70:L70)</f>
        <v>23746530.91</v>
      </c>
      <c r="M71" s="64"/>
      <c r="N71" s="71">
        <f>O71/I71</f>
        <v>8.5900000000000004E-3</v>
      </c>
      <c r="O71" s="68">
        <f>SUM(O70:O70)</f>
        <v>209596</v>
      </c>
      <c r="P71" s="53">
        <f t="shared" si="6"/>
        <v>61</v>
      </c>
    </row>
    <row r="72" spans="1:16">
      <c r="A72" s="51">
        <f t="shared" si="7"/>
        <v>62</v>
      </c>
      <c r="D72" s="56"/>
      <c r="E72" s="56"/>
      <c r="F72" s="58"/>
      <c r="G72" s="58"/>
      <c r="I72" s="74"/>
      <c r="J72" s="62"/>
      <c r="L72" s="62"/>
      <c r="M72" s="64"/>
      <c r="N72" s="64"/>
      <c r="O72" s="62"/>
      <c r="P72" s="53">
        <f t="shared" si="6"/>
        <v>62</v>
      </c>
    </row>
    <row r="73" spans="1:16">
      <c r="A73" s="51">
        <f t="shared" si="7"/>
        <v>63</v>
      </c>
      <c r="B73" s="67">
        <f>(B68*I68+B71*I71)/I73</f>
        <v>8.7845476979601187E-3</v>
      </c>
      <c r="C73" s="68" t="s">
        <v>107</v>
      </c>
      <c r="D73" s="56"/>
      <c r="E73" s="56"/>
      <c r="F73" s="69">
        <f>(F68*I68+F71*I71)/I73</f>
        <v>29.947166832200072</v>
      </c>
      <c r="G73" s="69">
        <f>(G68*I68+G71*I71)/I73</f>
        <v>2.8231040059082693</v>
      </c>
      <c r="I73" s="68">
        <f>I68+I71</f>
        <v>218150000</v>
      </c>
      <c r="J73" s="68">
        <f>J68+J71</f>
        <v>-5178665.2799999993</v>
      </c>
      <c r="K73" s="68">
        <f>K68+K71</f>
        <v>-2610338.14</v>
      </c>
      <c r="L73" s="68">
        <f>L68+L71</f>
        <v>210360996.58000001</v>
      </c>
      <c r="M73" s="64"/>
      <c r="N73" s="71">
        <f>O73/I73</f>
        <v>1.016839834975934E-2</v>
      </c>
      <c r="O73" s="68">
        <f>O68+O71</f>
        <v>2218236.1</v>
      </c>
      <c r="P73" s="53">
        <f t="shared" si="6"/>
        <v>63</v>
      </c>
    </row>
    <row r="74" spans="1:16">
      <c r="A74" s="51">
        <f t="shared" si="7"/>
        <v>64</v>
      </c>
      <c r="B74" s="67"/>
      <c r="C74" s="68"/>
      <c r="D74" s="56"/>
      <c r="E74" s="56"/>
      <c r="F74" s="69"/>
      <c r="G74" s="69"/>
      <c r="I74" s="68"/>
      <c r="J74" s="68"/>
      <c r="K74" s="68"/>
      <c r="L74" s="68"/>
      <c r="M74" s="64"/>
      <c r="N74" s="71"/>
      <c r="O74" s="68"/>
      <c r="P74" s="53">
        <f t="shared" si="6"/>
        <v>64</v>
      </c>
    </row>
    <row r="75" spans="1:16">
      <c r="A75" s="51">
        <f t="shared" si="7"/>
        <v>65</v>
      </c>
      <c r="B75" s="67"/>
      <c r="C75" s="68"/>
      <c r="D75" s="45" t="s">
        <v>108</v>
      </c>
      <c r="E75" s="45" t="s">
        <v>109</v>
      </c>
      <c r="F75" s="69"/>
      <c r="G75" s="69"/>
      <c r="I75" s="68"/>
      <c r="J75" s="68"/>
      <c r="K75" s="68"/>
      <c r="L75" s="68"/>
      <c r="M75" s="64"/>
      <c r="N75" s="71"/>
      <c r="O75" s="68"/>
      <c r="P75" s="53">
        <f t="shared" si="6"/>
        <v>65</v>
      </c>
    </row>
    <row r="76" spans="1:16">
      <c r="A76" s="51">
        <f t="shared" si="7"/>
        <v>66</v>
      </c>
      <c r="B76" s="67"/>
      <c r="C76" s="68"/>
      <c r="D76" s="45" t="s">
        <v>43</v>
      </c>
      <c r="E76" s="45" t="s">
        <v>43</v>
      </c>
      <c r="F76" s="69"/>
      <c r="G76" s="69"/>
      <c r="I76" s="68"/>
      <c r="J76" s="68"/>
      <c r="K76" s="68"/>
      <c r="L76" s="68"/>
      <c r="M76" s="64"/>
      <c r="N76" s="71"/>
      <c r="O76" s="68"/>
      <c r="P76" s="53">
        <f t="shared" si="6"/>
        <v>66</v>
      </c>
    </row>
    <row r="77" spans="1:16">
      <c r="A77" s="51">
        <f t="shared" si="7"/>
        <v>67</v>
      </c>
      <c r="B77" s="67"/>
      <c r="C77" s="77" t="s">
        <v>110</v>
      </c>
      <c r="D77" s="56">
        <f>DATE(2000,11,17)</f>
        <v>36847</v>
      </c>
      <c r="E77" s="56">
        <f>DATE(2035,6,30)</f>
        <v>49490</v>
      </c>
      <c r="F77" s="69"/>
      <c r="G77" s="69"/>
      <c r="I77" s="68"/>
      <c r="J77" s="68"/>
      <c r="K77" s="68"/>
      <c r="L77" s="68"/>
      <c r="M77" s="64"/>
      <c r="N77" s="71"/>
      <c r="O77" s="62">
        <f>107887.08</f>
        <v>107887.08</v>
      </c>
      <c r="P77" s="53">
        <f t="shared" ref="P77:P83" si="39">A77</f>
        <v>67</v>
      </c>
    </row>
    <row r="78" spans="1:16">
      <c r="A78" s="51">
        <f t="shared" ref="A78:A81" si="40">A77+1</f>
        <v>68</v>
      </c>
      <c r="B78" s="67"/>
      <c r="C78" s="77" t="s">
        <v>111</v>
      </c>
      <c r="D78" s="56">
        <f>DATE(2000,11,17)</f>
        <v>36847</v>
      </c>
      <c r="E78" s="56">
        <f>DATE(2025,12,31)</f>
        <v>46022</v>
      </c>
      <c r="F78" s="69"/>
      <c r="G78" s="69"/>
      <c r="I78" s="68"/>
      <c r="J78" s="68"/>
      <c r="K78" s="68"/>
      <c r="L78" s="68"/>
      <c r="M78" s="64"/>
      <c r="N78" s="71"/>
      <c r="O78" s="62">
        <v>84083.82</v>
      </c>
      <c r="P78" s="53">
        <f t="shared" si="39"/>
        <v>68</v>
      </c>
    </row>
    <row r="79" spans="1:16">
      <c r="A79" s="51">
        <f t="shared" si="40"/>
        <v>69</v>
      </c>
      <c r="B79" s="67"/>
      <c r="C79" s="39" t="s">
        <v>112</v>
      </c>
      <c r="D79" s="56">
        <f>DATE(2016,2,18)</f>
        <v>42418</v>
      </c>
      <c r="E79" s="56">
        <f>DATE(2024,11,1)</f>
        <v>45597</v>
      </c>
      <c r="F79" s="69"/>
      <c r="G79" s="69"/>
      <c r="I79" s="68"/>
      <c r="J79" s="68"/>
      <c r="K79" s="68"/>
      <c r="L79" s="68"/>
      <c r="M79" s="64"/>
      <c r="N79" s="71"/>
      <c r="O79" s="62">
        <f>920.81*12+175.45*12</f>
        <v>13155.119999999999</v>
      </c>
      <c r="P79" s="53">
        <f t="shared" si="39"/>
        <v>69</v>
      </c>
    </row>
    <row r="80" spans="1:16">
      <c r="A80" s="51">
        <f t="shared" si="40"/>
        <v>70</v>
      </c>
      <c r="B80" s="67"/>
      <c r="C80" s="68" t="s">
        <v>113</v>
      </c>
      <c r="D80" s="56"/>
      <c r="E80" s="56"/>
      <c r="F80" s="69"/>
      <c r="G80" s="69"/>
      <c r="I80" s="68"/>
      <c r="J80" s="68"/>
      <c r="K80" s="68"/>
      <c r="L80" s="68"/>
      <c r="M80" s="64"/>
      <c r="N80" s="71"/>
      <c r="O80" s="68">
        <f>SUM(O77:O79)</f>
        <v>205126.02000000002</v>
      </c>
      <c r="P80" s="53">
        <f t="shared" si="39"/>
        <v>70</v>
      </c>
    </row>
    <row r="81" spans="1:16">
      <c r="A81" s="51">
        <f t="shared" si="40"/>
        <v>71</v>
      </c>
      <c r="D81" s="56"/>
      <c r="E81" s="56"/>
      <c r="F81" s="58"/>
      <c r="G81" s="58"/>
      <c r="I81" s="74"/>
      <c r="J81" s="62"/>
      <c r="L81" s="62"/>
      <c r="M81" s="64"/>
      <c r="N81" s="64"/>
      <c r="O81" s="62"/>
      <c r="P81" s="53">
        <f t="shared" si="39"/>
        <v>71</v>
      </c>
    </row>
    <row r="82" spans="1:16">
      <c r="A82" s="51">
        <f>A81+1</f>
        <v>72</v>
      </c>
      <c r="B82" s="78">
        <f>(B59*I59+B73*I73)/I82</f>
        <v>4.5648555052008669E-2</v>
      </c>
      <c r="C82" s="68" t="s">
        <v>15</v>
      </c>
      <c r="D82" s="56"/>
      <c r="E82" s="56"/>
      <c r="F82" s="69">
        <f>(F59*I59+F73*I73)/I82</f>
        <v>26.272157140897434</v>
      </c>
      <c r="G82" s="69">
        <f>(G59*I59+G73*I73)/I82</f>
        <v>16.426578735759708</v>
      </c>
      <c r="I82" s="68">
        <f>I59+I73</f>
        <v>8788150000</v>
      </c>
      <c r="J82" s="68">
        <f>J59+J73</f>
        <v>-105548106.80000001</v>
      </c>
      <c r="K82" s="68">
        <f>K59+K73</f>
        <v>-24888415.970000003</v>
      </c>
      <c r="L82" s="68">
        <f>L59+L73</f>
        <v>8657713477.2300014</v>
      </c>
      <c r="M82" s="64"/>
      <c r="N82" s="71">
        <f>O82/I82</f>
        <v>4.6771436777933925E-2</v>
      </c>
      <c r="O82" s="70">
        <f>O59+O73+O80</f>
        <v>411034402.12</v>
      </c>
      <c r="P82" s="53">
        <f t="shared" si="39"/>
        <v>72</v>
      </c>
    </row>
    <row r="83" spans="1:16">
      <c r="A83" s="79">
        <f>A82+1</f>
        <v>73</v>
      </c>
      <c r="B83" s="80"/>
      <c r="C83" s="81"/>
      <c r="D83" s="82"/>
      <c r="E83" s="82"/>
      <c r="F83" s="83"/>
      <c r="G83" s="83"/>
      <c r="H83" s="81"/>
      <c r="I83" s="84"/>
      <c r="J83" s="85"/>
      <c r="K83" s="81"/>
      <c r="L83" s="85"/>
      <c r="M83" s="86"/>
      <c r="N83" s="86"/>
      <c r="O83" s="85"/>
      <c r="P83" s="87">
        <f t="shared" si="39"/>
        <v>73</v>
      </c>
    </row>
    <row r="84" spans="1:16">
      <c r="D84" s="56"/>
      <c r="E84" s="56"/>
      <c r="F84" s="58"/>
      <c r="G84" s="58"/>
      <c r="I84" s="74"/>
      <c r="J84" s="62"/>
      <c r="L84" s="62"/>
      <c r="M84" s="64"/>
      <c r="N84" s="64"/>
      <c r="O84" s="62"/>
    </row>
    <row r="85" spans="1:16">
      <c r="D85" s="56"/>
      <c r="E85" s="56"/>
      <c r="F85" s="58"/>
      <c r="G85" s="58"/>
      <c r="I85" s="74"/>
      <c r="J85" s="62"/>
      <c r="L85" s="62"/>
      <c r="M85" s="64"/>
      <c r="N85" s="64"/>
      <c r="O85" s="62"/>
    </row>
    <row r="86" spans="1:16">
      <c r="D86" s="56"/>
      <c r="E86" s="56"/>
      <c r="F86" s="58"/>
      <c r="G86" s="58"/>
      <c r="I86" s="74"/>
      <c r="J86" s="62"/>
      <c r="L86" s="62"/>
      <c r="M86" s="64"/>
      <c r="N86" s="64"/>
      <c r="O86" s="62"/>
    </row>
    <row r="87" spans="1:16">
      <c r="D87" s="56"/>
      <c r="E87" s="56"/>
      <c r="F87" s="58"/>
      <c r="G87" s="58"/>
      <c r="I87" s="74"/>
      <c r="J87" s="62"/>
      <c r="L87" s="62"/>
      <c r="M87" s="64"/>
      <c r="N87" s="64"/>
      <c r="O87" s="62"/>
    </row>
    <row r="88" spans="1:16">
      <c r="D88" s="56"/>
      <c r="E88" s="56"/>
      <c r="F88" s="58"/>
      <c r="G88" s="58"/>
      <c r="I88" s="74"/>
      <c r="J88" s="62"/>
      <c r="L88" s="62"/>
      <c r="M88" s="64"/>
      <c r="N88" s="64"/>
      <c r="O88" s="62"/>
    </row>
    <row r="89" spans="1:16">
      <c r="D89" s="56"/>
      <c r="E89" s="56"/>
      <c r="F89" s="58"/>
      <c r="G89" s="58"/>
      <c r="I89" s="74"/>
      <c r="J89" s="62"/>
      <c r="L89" s="62"/>
      <c r="M89" s="64"/>
      <c r="N89" s="64"/>
      <c r="O89" s="62"/>
    </row>
    <row r="90" spans="1:16">
      <c r="A90" s="39"/>
      <c r="B90" s="39"/>
      <c r="D90" s="56"/>
      <c r="E90" s="56"/>
      <c r="F90" s="58"/>
      <c r="G90" s="58"/>
      <c r="I90" s="74"/>
      <c r="J90" s="62"/>
      <c r="L90" s="62"/>
      <c r="M90" s="64"/>
      <c r="N90" s="64"/>
      <c r="O90" s="62"/>
    </row>
    <row r="91" spans="1:16">
      <c r="A91" s="39"/>
      <c r="B91" s="39"/>
      <c r="D91" s="56"/>
      <c r="E91" s="56"/>
      <c r="F91" s="58"/>
      <c r="G91" s="58"/>
      <c r="I91" s="74"/>
      <c r="J91" s="62"/>
      <c r="L91" s="62"/>
      <c r="M91" s="64"/>
      <c r="N91" s="64"/>
      <c r="O91" s="62"/>
    </row>
    <row r="92" spans="1:16">
      <c r="A92" s="39"/>
      <c r="B92" s="39"/>
      <c r="D92" s="56"/>
      <c r="E92" s="56"/>
      <c r="F92" s="58"/>
      <c r="G92" s="58"/>
      <c r="I92" s="74"/>
      <c r="J92" s="62"/>
      <c r="L92" s="62"/>
      <c r="M92" s="64"/>
      <c r="N92" s="64"/>
      <c r="O92" s="62"/>
    </row>
    <row r="93" spans="1:16">
      <c r="A93" s="39"/>
      <c r="B93" s="39"/>
      <c r="D93" s="56"/>
      <c r="E93" s="56"/>
      <c r="F93" s="58"/>
      <c r="G93" s="58"/>
      <c r="I93" s="74"/>
      <c r="J93" s="62"/>
      <c r="L93" s="62"/>
      <c r="M93" s="64"/>
      <c r="N93" s="64"/>
      <c r="O93" s="62"/>
    </row>
    <row r="94" spans="1:16">
      <c r="A94" s="39"/>
      <c r="B94" s="39"/>
      <c r="D94" s="56"/>
      <c r="E94" s="56"/>
      <c r="F94" s="58"/>
      <c r="G94" s="58"/>
      <c r="I94" s="74"/>
      <c r="J94" s="62"/>
      <c r="L94" s="62"/>
      <c r="M94" s="64"/>
      <c r="N94" s="64"/>
      <c r="O94" s="62"/>
    </row>
    <row r="95" spans="1:16">
      <c r="A95" s="39"/>
      <c r="B95" s="39"/>
      <c r="D95" s="56"/>
      <c r="E95" s="56"/>
      <c r="F95" s="58"/>
      <c r="G95" s="58"/>
      <c r="I95" s="74"/>
      <c r="J95" s="62"/>
      <c r="L95" s="62"/>
      <c r="M95" s="64"/>
      <c r="N95" s="64"/>
      <c r="O95" s="62"/>
    </row>
    <row r="96" spans="1:16">
      <c r="A96" s="39"/>
      <c r="B96" s="39"/>
      <c r="D96" s="56"/>
      <c r="E96" s="56"/>
      <c r="F96" s="58"/>
      <c r="G96" s="58"/>
      <c r="I96" s="74"/>
      <c r="J96" s="62"/>
      <c r="L96" s="62"/>
      <c r="M96" s="64"/>
      <c r="N96" s="64"/>
      <c r="O96" s="62"/>
    </row>
    <row r="97" spans="4:15" s="39" customFormat="1">
      <c r="D97" s="56"/>
      <c r="E97" s="56"/>
      <c r="F97" s="58"/>
      <c r="G97" s="58"/>
      <c r="I97" s="74"/>
      <c r="J97" s="62"/>
      <c r="L97" s="62"/>
      <c r="M97" s="64"/>
      <c r="N97" s="64"/>
      <c r="O97" s="62"/>
    </row>
    <row r="98" spans="4:15" s="39" customFormat="1">
      <c r="D98" s="56"/>
      <c r="E98" s="56"/>
      <c r="F98" s="58"/>
      <c r="G98" s="58"/>
      <c r="I98" s="74"/>
      <c r="J98" s="62"/>
      <c r="L98" s="62"/>
      <c r="M98" s="64"/>
      <c r="N98" s="64"/>
      <c r="O98" s="62"/>
    </row>
    <row r="99" spans="4:15" s="39" customFormat="1">
      <c r="D99" s="56"/>
      <c r="E99" s="56"/>
      <c r="F99" s="58"/>
      <c r="G99" s="58"/>
      <c r="I99" s="74"/>
      <c r="J99" s="62"/>
      <c r="L99" s="62"/>
      <c r="M99" s="64"/>
      <c r="N99" s="64"/>
      <c r="O99" s="62"/>
    </row>
    <row r="100" spans="4:15" s="39" customFormat="1">
      <c r="D100" s="56"/>
      <c r="E100" s="56"/>
      <c r="F100" s="58"/>
      <c r="G100" s="58"/>
      <c r="I100" s="74"/>
      <c r="J100" s="62"/>
      <c r="L100" s="62"/>
      <c r="M100" s="64"/>
      <c r="N100" s="64"/>
      <c r="O100" s="62"/>
    </row>
    <row r="101" spans="4:15" s="39" customFormat="1">
      <c r="D101" s="56"/>
      <c r="E101" s="56"/>
      <c r="F101" s="58"/>
      <c r="G101" s="58"/>
      <c r="I101" s="74"/>
      <c r="J101" s="62"/>
      <c r="L101" s="62"/>
      <c r="M101" s="64"/>
      <c r="N101" s="64"/>
      <c r="O101" s="62"/>
    </row>
    <row r="102" spans="4:15" s="39" customFormat="1">
      <c r="D102" s="56"/>
      <c r="E102" s="56"/>
      <c r="F102" s="58"/>
      <c r="G102" s="58"/>
      <c r="I102" s="74"/>
      <c r="J102" s="62"/>
      <c r="L102" s="62"/>
      <c r="M102" s="64"/>
      <c r="N102" s="64"/>
      <c r="O102" s="62"/>
    </row>
    <row r="103" spans="4:15" s="39" customFormat="1">
      <c r="D103" s="56"/>
      <c r="E103" s="56"/>
      <c r="F103" s="58"/>
      <c r="G103" s="58"/>
      <c r="I103" s="74"/>
      <c r="J103" s="62"/>
      <c r="L103" s="62"/>
      <c r="M103" s="64"/>
      <c r="N103" s="64"/>
      <c r="O103" s="62"/>
    </row>
    <row r="104" spans="4:15" s="39" customFormat="1">
      <c r="D104" s="56"/>
      <c r="E104" s="56"/>
      <c r="F104" s="58"/>
      <c r="G104" s="58"/>
      <c r="I104" s="74"/>
      <c r="J104" s="62"/>
      <c r="L104" s="62"/>
      <c r="M104" s="64"/>
      <c r="N104" s="64"/>
      <c r="O104" s="62"/>
    </row>
    <row r="105" spans="4:15" s="39" customFormat="1">
      <c r="D105" s="56"/>
      <c r="E105" s="56"/>
      <c r="F105" s="58"/>
      <c r="G105" s="58"/>
      <c r="I105" s="74"/>
      <c r="J105" s="62"/>
      <c r="L105" s="62"/>
      <c r="M105" s="64"/>
      <c r="N105" s="64"/>
      <c r="O105" s="62"/>
    </row>
    <row r="106" spans="4:15" s="39" customFormat="1">
      <c r="D106" s="56"/>
      <c r="E106" s="56"/>
      <c r="F106" s="58"/>
      <c r="G106" s="58"/>
      <c r="I106" s="74"/>
      <c r="J106" s="62"/>
      <c r="L106" s="62"/>
      <c r="M106" s="64"/>
      <c r="N106" s="64"/>
      <c r="O106" s="62"/>
    </row>
    <row r="107" spans="4:15" s="39" customFormat="1">
      <c r="D107" s="56"/>
      <c r="E107" s="56"/>
      <c r="F107" s="58"/>
      <c r="G107" s="58"/>
      <c r="I107" s="74"/>
      <c r="J107" s="62"/>
      <c r="L107" s="62"/>
      <c r="M107" s="64"/>
      <c r="N107" s="64"/>
      <c r="O107" s="62"/>
    </row>
    <row r="108" spans="4:15" s="39" customFormat="1">
      <c r="D108" s="56"/>
      <c r="E108" s="56"/>
      <c r="F108" s="58"/>
      <c r="G108" s="58"/>
      <c r="I108" s="74"/>
      <c r="J108" s="62"/>
      <c r="L108" s="62"/>
      <c r="M108" s="64"/>
      <c r="N108" s="64"/>
      <c r="O108" s="62"/>
    </row>
    <row r="109" spans="4:15" s="39" customFormat="1">
      <c r="D109" s="56"/>
      <c r="E109" s="56"/>
      <c r="F109" s="58"/>
      <c r="G109" s="58"/>
      <c r="I109" s="74"/>
      <c r="J109" s="62"/>
      <c r="L109" s="62"/>
      <c r="M109" s="64"/>
      <c r="N109" s="64"/>
      <c r="O109" s="62"/>
    </row>
    <row r="110" spans="4:15" s="39" customFormat="1">
      <c r="D110" s="56"/>
      <c r="E110" s="56"/>
      <c r="F110" s="58"/>
      <c r="G110" s="58"/>
      <c r="I110" s="74"/>
      <c r="J110" s="62"/>
      <c r="L110" s="62"/>
      <c r="M110" s="64"/>
      <c r="N110" s="64"/>
      <c r="O110" s="62"/>
    </row>
    <row r="111" spans="4:15" s="39" customFormat="1">
      <c r="D111" s="56"/>
      <c r="E111" s="56"/>
      <c r="F111" s="58"/>
      <c r="G111" s="58"/>
      <c r="I111" s="74"/>
      <c r="J111" s="62"/>
      <c r="L111" s="62"/>
      <c r="M111" s="64"/>
      <c r="N111" s="64"/>
      <c r="O111" s="62"/>
    </row>
    <row r="112" spans="4:15" s="39" customFormat="1">
      <c r="D112" s="56"/>
      <c r="E112" s="56"/>
      <c r="F112" s="58"/>
      <c r="G112" s="58"/>
      <c r="I112" s="74"/>
      <c r="J112" s="62"/>
      <c r="L112" s="62"/>
      <c r="M112" s="64"/>
      <c r="N112" s="64"/>
      <c r="O112" s="62"/>
    </row>
    <row r="113" spans="4:15" s="39" customFormat="1">
      <c r="D113" s="56"/>
      <c r="E113" s="56"/>
      <c r="F113" s="58"/>
      <c r="G113" s="58"/>
      <c r="I113" s="74"/>
      <c r="J113" s="62"/>
      <c r="L113" s="62"/>
      <c r="M113" s="64"/>
      <c r="N113" s="64"/>
      <c r="O113" s="62"/>
    </row>
    <row r="114" spans="4:15" s="39" customFormat="1">
      <c r="D114" s="56"/>
      <c r="E114" s="56"/>
      <c r="F114" s="58"/>
      <c r="G114" s="58"/>
      <c r="I114" s="74"/>
      <c r="J114" s="62"/>
      <c r="L114" s="62"/>
      <c r="M114" s="64"/>
      <c r="N114" s="64"/>
      <c r="O114" s="62"/>
    </row>
    <row r="115" spans="4:15" s="39" customFormat="1">
      <c r="D115" s="56"/>
      <c r="E115" s="56"/>
      <c r="F115" s="58"/>
      <c r="G115" s="58"/>
      <c r="I115" s="74"/>
      <c r="J115" s="62"/>
      <c r="L115" s="62"/>
      <c r="M115" s="64"/>
      <c r="N115" s="64"/>
      <c r="O115" s="62"/>
    </row>
    <row r="116" spans="4:15" s="39" customFormat="1">
      <c r="D116" s="56"/>
      <c r="E116" s="56"/>
      <c r="F116" s="58"/>
      <c r="G116" s="58"/>
      <c r="I116" s="74"/>
      <c r="J116" s="62"/>
      <c r="L116" s="62"/>
      <c r="M116" s="64"/>
      <c r="N116" s="64"/>
      <c r="O116" s="62"/>
    </row>
    <row r="117" spans="4:15" s="39" customFormat="1">
      <c r="D117" s="56"/>
      <c r="E117" s="56"/>
      <c r="F117" s="58"/>
      <c r="G117" s="58"/>
      <c r="I117" s="74"/>
      <c r="J117" s="62"/>
      <c r="L117" s="62"/>
      <c r="M117" s="64"/>
      <c r="N117" s="64"/>
      <c r="O117" s="62"/>
    </row>
    <row r="118" spans="4:15" s="39" customFormat="1">
      <c r="D118" s="56"/>
      <c r="E118" s="56"/>
      <c r="F118" s="58"/>
      <c r="G118" s="58"/>
      <c r="I118" s="74"/>
      <c r="J118" s="62"/>
      <c r="L118" s="62"/>
      <c r="M118" s="64"/>
      <c r="N118" s="64"/>
      <c r="O118" s="62"/>
    </row>
    <row r="119" spans="4:15" s="39" customFormat="1">
      <c r="D119" s="56"/>
      <c r="E119" s="56"/>
      <c r="F119" s="58"/>
      <c r="G119" s="58"/>
      <c r="I119" s="74"/>
      <c r="J119" s="62"/>
      <c r="L119" s="62"/>
      <c r="M119" s="64"/>
      <c r="N119" s="64"/>
      <c r="O119" s="62"/>
    </row>
    <row r="120" spans="4:15" s="39" customFormat="1">
      <c r="D120" s="56"/>
      <c r="E120" s="56"/>
      <c r="F120" s="58"/>
      <c r="G120" s="58"/>
      <c r="I120" s="74"/>
      <c r="J120" s="62"/>
      <c r="L120" s="62"/>
      <c r="M120" s="64"/>
      <c r="N120" s="64"/>
      <c r="O120" s="62"/>
    </row>
    <row r="121" spans="4:15" s="39" customFormat="1">
      <c r="D121" s="56"/>
      <c r="E121" s="56"/>
      <c r="F121" s="58"/>
      <c r="G121" s="58"/>
      <c r="I121" s="74"/>
      <c r="J121" s="62"/>
      <c r="L121" s="62"/>
      <c r="M121" s="64"/>
      <c r="N121" s="64"/>
      <c r="O121" s="62"/>
    </row>
    <row r="122" spans="4:15" s="39" customFormat="1">
      <c r="D122" s="56"/>
      <c r="E122" s="56"/>
      <c r="F122" s="58"/>
      <c r="G122" s="58"/>
      <c r="I122" s="74"/>
      <c r="J122" s="62"/>
      <c r="L122" s="62"/>
      <c r="M122" s="64"/>
      <c r="N122" s="64"/>
      <c r="O122" s="62"/>
    </row>
    <row r="123" spans="4:15" s="39" customFormat="1">
      <c r="D123" s="56"/>
      <c r="E123" s="56"/>
      <c r="F123" s="58"/>
      <c r="G123" s="58"/>
      <c r="I123" s="74"/>
      <c r="J123" s="62"/>
      <c r="L123" s="62"/>
      <c r="M123" s="64"/>
      <c r="N123" s="64"/>
      <c r="O123" s="62"/>
    </row>
    <row r="124" spans="4:15" s="39" customFormat="1">
      <c r="D124" s="56"/>
      <c r="E124" s="56"/>
      <c r="F124" s="58"/>
      <c r="G124" s="58"/>
      <c r="I124" s="74"/>
      <c r="J124" s="62"/>
      <c r="L124" s="62"/>
      <c r="M124" s="64"/>
      <c r="N124" s="64"/>
      <c r="O124" s="62"/>
    </row>
    <row r="125" spans="4:15" s="39" customFormat="1">
      <c r="D125" s="56"/>
      <c r="E125" s="56"/>
      <c r="F125" s="58"/>
      <c r="G125" s="58"/>
      <c r="I125" s="74"/>
      <c r="J125" s="62"/>
      <c r="L125" s="62"/>
      <c r="M125" s="64"/>
      <c r="N125" s="64"/>
      <c r="O125" s="62"/>
    </row>
    <row r="126" spans="4:15" s="39" customFormat="1">
      <c r="D126" s="56"/>
      <c r="E126" s="56"/>
      <c r="F126" s="58"/>
      <c r="G126" s="58"/>
      <c r="I126" s="74"/>
      <c r="J126" s="62"/>
      <c r="L126" s="62"/>
      <c r="M126" s="64"/>
      <c r="N126" s="64"/>
      <c r="O126" s="62"/>
    </row>
    <row r="127" spans="4:15" s="39" customFormat="1">
      <c r="D127" s="56"/>
      <c r="E127" s="56"/>
      <c r="F127" s="58"/>
      <c r="G127" s="58"/>
      <c r="I127" s="74"/>
      <c r="J127" s="62"/>
      <c r="L127" s="62"/>
      <c r="M127" s="64"/>
      <c r="N127" s="64"/>
      <c r="O127" s="62"/>
    </row>
    <row r="128" spans="4:15" s="39" customFormat="1">
      <c r="D128" s="56"/>
      <c r="E128" s="56"/>
      <c r="F128" s="58"/>
      <c r="G128" s="58"/>
      <c r="I128" s="74"/>
      <c r="J128" s="62"/>
      <c r="L128" s="62"/>
      <c r="M128" s="64"/>
      <c r="N128" s="64"/>
      <c r="O128" s="62"/>
    </row>
    <row r="129" spans="4:15" s="39" customFormat="1">
      <c r="D129" s="56"/>
      <c r="E129" s="56"/>
      <c r="F129" s="58"/>
      <c r="G129" s="58"/>
      <c r="I129" s="74"/>
      <c r="J129" s="62"/>
      <c r="L129" s="62"/>
      <c r="M129" s="64"/>
      <c r="N129" s="64"/>
      <c r="O129" s="62"/>
    </row>
    <row r="130" spans="4:15" s="39" customFormat="1">
      <c r="D130" s="56"/>
      <c r="E130" s="56"/>
      <c r="F130" s="58"/>
      <c r="G130" s="58"/>
      <c r="I130" s="74"/>
      <c r="J130" s="62"/>
      <c r="L130" s="62"/>
      <c r="M130" s="64"/>
      <c r="N130" s="64"/>
      <c r="O130" s="62"/>
    </row>
    <row r="131" spans="4:15" s="39" customFormat="1">
      <c r="D131" s="56"/>
      <c r="E131" s="56"/>
      <c r="F131" s="58"/>
      <c r="G131" s="58"/>
      <c r="I131" s="74"/>
      <c r="J131" s="62"/>
      <c r="L131" s="62"/>
      <c r="M131" s="64"/>
      <c r="N131" s="64"/>
      <c r="O131" s="62"/>
    </row>
    <row r="132" spans="4:15" s="39" customFormat="1">
      <c r="D132" s="56"/>
      <c r="E132" s="56"/>
      <c r="F132" s="58"/>
      <c r="G132" s="58"/>
      <c r="I132" s="74"/>
      <c r="J132" s="62"/>
      <c r="L132" s="62"/>
      <c r="M132" s="64"/>
      <c r="N132" s="64"/>
      <c r="O132" s="62"/>
    </row>
    <row r="133" spans="4:15" s="39" customFormat="1">
      <c r="D133" s="56"/>
      <c r="E133" s="56"/>
      <c r="F133" s="58"/>
      <c r="G133" s="58"/>
      <c r="I133" s="74"/>
      <c r="J133" s="62"/>
      <c r="L133" s="62"/>
      <c r="M133" s="64"/>
      <c r="N133" s="64"/>
      <c r="O133" s="62"/>
    </row>
    <row r="134" spans="4:15" s="39" customFormat="1">
      <c r="D134" s="56"/>
      <c r="E134" s="56"/>
      <c r="F134" s="58"/>
      <c r="G134" s="58"/>
      <c r="I134" s="74"/>
      <c r="J134" s="62"/>
      <c r="L134" s="62"/>
      <c r="M134" s="64"/>
      <c r="N134" s="64"/>
      <c r="O134" s="62"/>
    </row>
    <row r="135" spans="4:15" s="39" customFormat="1">
      <c r="D135" s="56"/>
      <c r="E135" s="56"/>
      <c r="F135" s="58"/>
      <c r="G135" s="58"/>
      <c r="I135" s="74"/>
      <c r="J135" s="62"/>
      <c r="L135" s="62"/>
      <c r="M135" s="64"/>
      <c r="N135" s="64"/>
      <c r="O135" s="62"/>
    </row>
    <row r="136" spans="4:15" s="39" customFormat="1">
      <c r="D136" s="56"/>
      <c r="E136" s="56"/>
      <c r="F136" s="58"/>
      <c r="G136" s="58"/>
      <c r="I136" s="74"/>
      <c r="J136" s="62"/>
      <c r="L136" s="62"/>
      <c r="M136" s="64"/>
      <c r="N136" s="64"/>
      <c r="O136" s="62"/>
    </row>
    <row r="137" spans="4:15" s="39" customFormat="1">
      <c r="D137" s="56"/>
      <c r="E137" s="56"/>
      <c r="F137" s="58"/>
      <c r="G137" s="58"/>
      <c r="I137" s="74"/>
      <c r="J137" s="62"/>
      <c r="L137" s="62"/>
      <c r="M137" s="64"/>
      <c r="N137" s="64"/>
      <c r="O137" s="62"/>
    </row>
    <row r="138" spans="4:15" s="39" customFormat="1">
      <c r="D138" s="56"/>
      <c r="E138" s="56"/>
      <c r="F138" s="58"/>
      <c r="G138" s="58"/>
      <c r="I138" s="74"/>
      <c r="J138" s="62"/>
      <c r="L138" s="62"/>
      <c r="M138" s="64"/>
      <c r="N138" s="64"/>
      <c r="O138" s="62"/>
    </row>
    <row r="139" spans="4:15" s="39" customFormat="1">
      <c r="D139" s="56"/>
      <c r="E139" s="56"/>
      <c r="F139" s="58"/>
      <c r="G139" s="58"/>
      <c r="I139" s="74"/>
      <c r="J139" s="62"/>
      <c r="L139" s="62"/>
      <c r="M139" s="64"/>
      <c r="N139" s="64"/>
      <c r="O139" s="62"/>
    </row>
    <row r="140" spans="4:15" s="39" customFormat="1">
      <c r="D140" s="56"/>
      <c r="E140" s="56"/>
      <c r="F140" s="58"/>
      <c r="G140" s="58"/>
      <c r="I140" s="74"/>
      <c r="J140" s="62"/>
      <c r="L140" s="62"/>
      <c r="M140" s="64"/>
      <c r="N140" s="64"/>
      <c r="O140" s="62"/>
    </row>
    <row r="141" spans="4:15" s="39" customFormat="1">
      <c r="D141" s="56"/>
      <c r="E141" s="56"/>
      <c r="F141" s="58"/>
      <c r="G141" s="58"/>
      <c r="I141" s="74"/>
      <c r="J141" s="62"/>
      <c r="L141" s="62"/>
      <c r="M141" s="64"/>
      <c r="N141" s="64"/>
      <c r="O141" s="62"/>
    </row>
    <row r="142" spans="4:15" s="39" customFormat="1">
      <c r="D142" s="56"/>
      <c r="E142" s="56"/>
      <c r="F142" s="58"/>
      <c r="G142" s="58"/>
      <c r="I142" s="74"/>
      <c r="J142" s="62"/>
      <c r="L142" s="62"/>
      <c r="M142" s="64"/>
      <c r="N142" s="64"/>
      <c r="O142" s="62"/>
    </row>
    <row r="143" spans="4:15" s="39" customFormat="1">
      <c r="D143" s="56"/>
      <c r="E143" s="56"/>
      <c r="F143" s="58"/>
      <c r="G143" s="58"/>
      <c r="I143" s="74"/>
      <c r="J143" s="62"/>
      <c r="L143" s="62"/>
      <c r="M143" s="64"/>
      <c r="N143" s="64"/>
      <c r="O143" s="62"/>
    </row>
    <row r="144" spans="4:15" s="39" customFormat="1">
      <c r="D144" s="56"/>
      <c r="E144" s="56"/>
      <c r="F144" s="58"/>
      <c r="G144" s="58"/>
      <c r="I144" s="74"/>
      <c r="J144" s="62"/>
      <c r="L144" s="62"/>
      <c r="M144" s="64"/>
      <c r="N144" s="64"/>
      <c r="O144" s="62"/>
    </row>
    <row r="145" spans="4:15" s="39" customFormat="1">
      <c r="D145" s="56"/>
      <c r="E145" s="56"/>
      <c r="F145" s="58"/>
      <c r="G145" s="58"/>
      <c r="I145" s="74"/>
      <c r="J145" s="62"/>
      <c r="L145" s="62"/>
      <c r="M145" s="64"/>
      <c r="N145" s="64"/>
      <c r="O145" s="62"/>
    </row>
    <row r="146" spans="4:15" s="39" customFormat="1">
      <c r="D146" s="56"/>
      <c r="E146" s="56"/>
      <c r="F146" s="58"/>
      <c r="G146" s="58"/>
      <c r="I146" s="74"/>
      <c r="J146" s="62"/>
      <c r="L146" s="62"/>
      <c r="M146" s="64"/>
      <c r="N146" s="64"/>
      <c r="O146" s="62"/>
    </row>
    <row r="147" spans="4:15" s="39" customFormat="1">
      <c r="D147" s="56"/>
      <c r="E147" s="56"/>
      <c r="F147" s="58"/>
      <c r="G147" s="58"/>
      <c r="I147" s="74"/>
      <c r="J147" s="62"/>
      <c r="L147" s="62"/>
      <c r="M147" s="64"/>
      <c r="N147" s="64"/>
      <c r="O147" s="62"/>
    </row>
    <row r="148" spans="4:15" s="39" customFormat="1">
      <c r="D148" s="56"/>
      <c r="E148" s="56"/>
      <c r="F148" s="58"/>
      <c r="G148" s="58"/>
      <c r="I148" s="74"/>
      <c r="J148" s="62"/>
      <c r="L148" s="62"/>
      <c r="M148" s="64"/>
      <c r="N148" s="64"/>
      <c r="O148" s="62"/>
    </row>
    <row r="149" spans="4:15" s="39" customFormat="1">
      <c r="D149" s="56"/>
      <c r="E149" s="56"/>
      <c r="F149" s="58"/>
      <c r="G149" s="58"/>
      <c r="I149" s="74"/>
      <c r="J149" s="62"/>
      <c r="L149" s="62"/>
      <c r="M149" s="64"/>
      <c r="N149" s="64"/>
      <c r="O149" s="62"/>
    </row>
    <row r="150" spans="4:15" s="39" customFormat="1">
      <c r="D150" s="56"/>
      <c r="E150" s="56"/>
      <c r="F150" s="58"/>
      <c r="G150" s="58"/>
      <c r="I150" s="74"/>
      <c r="J150" s="62"/>
      <c r="L150" s="62"/>
      <c r="M150" s="64"/>
      <c r="N150" s="64"/>
      <c r="O150" s="62"/>
    </row>
    <row r="151" spans="4:15" s="39" customFormat="1">
      <c r="D151" s="56"/>
      <c r="E151" s="56"/>
      <c r="F151" s="58"/>
      <c r="G151" s="58"/>
      <c r="I151" s="74"/>
      <c r="J151" s="62"/>
      <c r="L151" s="62"/>
      <c r="M151" s="64"/>
      <c r="N151" s="64"/>
      <c r="O151" s="62"/>
    </row>
    <row r="152" spans="4:15" s="39" customFormat="1">
      <c r="D152" s="56"/>
      <c r="E152" s="56"/>
      <c r="F152" s="58"/>
      <c r="G152" s="58"/>
      <c r="I152" s="74"/>
      <c r="J152" s="62"/>
      <c r="L152" s="62"/>
      <c r="M152" s="64"/>
      <c r="N152" s="64"/>
      <c r="O152" s="62"/>
    </row>
    <row r="153" spans="4:15" s="39" customFormat="1">
      <c r="D153" s="56"/>
      <c r="E153" s="56"/>
      <c r="F153" s="58"/>
      <c r="G153" s="58"/>
      <c r="I153" s="74"/>
      <c r="J153" s="62"/>
      <c r="L153" s="62"/>
      <c r="M153" s="64"/>
      <c r="N153" s="64"/>
      <c r="O153" s="62"/>
    </row>
    <row r="154" spans="4:15" s="39" customFormat="1">
      <c r="D154" s="56"/>
      <c r="E154" s="56"/>
      <c r="F154" s="58"/>
      <c r="G154" s="58"/>
      <c r="I154" s="74"/>
      <c r="J154" s="62"/>
      <c r="L154" s="62"/>
      <c r="M154" s="64"/>
      <c r="N154" s="64"/>
      <c r="O154" s="62"/>
    </row>
    <row r="155" spans="4:15" s="39" customFormat="1">
      <c r="D155" s="56"/>
      <c r="E155" s="56"/>
      <c r="F155" s="58"/>
      <c r="G155" s="58"/>
      <c r="I155" s="74"/>
      <c r="J155" s="62"/>
      <c r="L155" s="62"/>
      <c r="M155" s="64"/>
      <c r="N155" s="64"/>
      <c r="O155" s="62"/>
    </row>
    <row r="156" spans="4:15" s="39" customFormat="1">
      <c r="D156" s="56"/>
      <c r="E156" s="56"/>
      <c r="F156" s="58"/>
      <c r="G156" s="58"/>
      <c r="I156" s="74"/>
      <c r="J156" s="62"/>
      <c r="L156" s="62"/>
      <c r="M156" s="64"/>
      <c r="N156" s="64"/>
      <c r="O156" s="62"/>
    </row>
    <row r="157" spans="4:15" s="39" customFormat="1">
      <c r="D157" s="56"/>
      <c r="E157" s="56"/>
      <c r="F157" s="58"/>
      <c r="G157" s="58"/>
      <c r="I157" s="74"/>
      <c r="J157" s="62"/>
      <c r="L157" s="62"/>
      <c r="M157" s="64"/>
      <c r="N157" s="64"/>
      <c r="O157" s="62"/>
    </row>
    <row r="158" spans="4:15" s="39" customFormat="1">
      <c r="D158" s="56"/>
      <c r="E158" s="56"/>
      <c r="F158" s="58"/>
      <c r="G158" s="58"/>
      <c r="I158" s="74"/>
      <c r="J158" s="62"/>
      <c r="L158" s="62"/>
      <c r="M158" s="64"/>
      <c r="N158" s="64"/>
      <c r="O158" s="62"/>
    </row>
    <row r="159" spans="4:15" s="39" customFormat="1">
      <c r="D159" s="56"/>
      <c r="E159" s="56"/>
      <c r="F159" s="58"/>
      <c r="G159" s="58"/>
      <c r="I159" s="74"/>
      <c r="J159" s="62"/>
      <c r="L159" s="62"/>
      <c r="M159" s="64"/>
      <c r="N159" s="64"/>
      <c r="O159" s="62"/>
    </row>
    <row r="160" spans="4:15" s="39" customFormat="1">
      <c r="D160" s="56"/>
      <c r="E160" s="56"/>
      <c r="F160" s="58"/>
      <c r="G160" s="58"/>
      <c r="I160" s="74"/>
      <c r="J160" s="62"/>
      <c r="L160" s="62"/>
      <c r="M160" s="64"/>
      <c r="N160" s="64"/>
      <c r="O160" s="62"/>
    </row>
    <row r="161" spans="4:15" s="39" customFormat="1">
      <c r="D161" s="56"/>
      <c r="E161" s="56"/>
      <c r="F161" s="58"/>
      <c r="G161" s="58"/>
      <c r="I161" s="74"/>
      <c r="J161" s="62"/>
      <c r="L161" s="62"/>
      <c r="M161" s="64"/>
      <c r="N161" s="64"/>
      <c r="O161" s="62"/>
    </row>
    <row r="162" spans="4:15" s="39" customFormat="1">
      <c r="D162" s="56"/>
      <c r="E162" s="56"/>
      <c r="F162" s="58"/>
      <c r="G162" s="58"/>
      <c r="I162" s="74"/>
      <c r="J162" s="62"/>
      <c r="L162" s="62"/>
      <c r="M162" s="64"/>
      <c r="N162" s="64"/>
      <c r="O162" s="62"/>
    </row>
    <row r="163" spans="4:15" s="39" customFormat="1">
      <c r="D163" s="56"/>
      <c r="E163" s="56"/>
      <c r="F163" s="58"/>
      <c r="G163" s="58"/>
      <c r="I163" s="74"/>
      <c r="J163" s="62"/>
      <c r="L163" s="62"/>
      <c r="M163" s="64"/>
      <c r="N163" s="64"/>
      <c r="O163" s="62"/>
    </row>
    <row r="164" spans="4:15" s="39" customFormat="1">
      <c r="D164" s="56"/>
      <c r="E164" s="56"/>
      <c r="F164" s="58"/>
      <c r="G164" s="58"/>
      <c r="I164" s="74"/>
      <c r="J164" s="62"/>
      <c r="L164" s="62"/>
      <c r="M164" s="64"/>
      <c r="N164" s="64"/>
      <c r="O164" s="62"/>
    </row>
    <row r="165" spans="4:15" s="39" customFormat="1">
      <c r="D165" s="56"/>
      <c r="E165" s="56"/>
      <c r="F165" s="58"/>
      <c r="G165" s="58"/>
      <c r="I165" s="74"/>
      <c r="J165" s="62"/>
      <c r="L165" s="62"/>
      <c r="M165" s="64"/>
      <c r="N165" s="64"/>
      <c r="O165" s="62"/>
    </row>
    <row r="166" spans="4:15" s="39" customFormat="1">
      <c r="D166" s="56"/>
      <c r="E166" s="56"/>
      <c r="F166" s="58"/>
      <c r="G166" s="58"/>
      <c r="I166" s="74"/>
      <c r="J166" s="62"/>
      <c r="L166" s="62"/>
      <c r="M166" s="64"/>
      <c r="N166" s="64"/>
      <c r="O166" s="62"/>
    </row>
    <row r="167" spans="4:15" s="39" customFormat="1">
      <c r="D167" s="56"/>
      <c r="E167" s="56"/>
      <c r="F167" s="58"/>
      <c r="G167" s="58"/>
      <c r="I167" s="74"/>
      <c r="J167" s="62"/>
      <c r="L167" s="62"/>
      <c r="M167" s="64"/>
      <c r="N167" s="64"/>
      <c r="O167" s="62"/>
    </row>
    <row r="168" spans="4:15" s="39" customFormat="1">
      <c r="D168" s="56"/>
      <c r="E168" s="56"/>
      <c r="F168" s="58"/>
      <c r="G168" s="58"/>
      <c r="I168" s="74"/>
      <c r="J168" s="62"/>
      <c r="L168" s="62"/>
      <c r="M168" s="64"/>
      <c r="N168" s="64"/>
      <c r="O168" s="62"/>
    </row>
    <row r="169" spans="4:15" s="39" customFormat="1">
      <c r="D169" s="56"/>
      <c r="E169" s="56"/>
      <c r="F169" s="58"/>
      <c r="G169" s="58"/>
      <c r="I169" s="74"/>
      <c r="J169" s="62"/>
      <c r="L169" s="62"/>
      <c r="M169" s="64"/>
      <c r="N169" s="64"/>
      <c r="O169" s="62"/>
    </row>
    <row r="170" spans="4:15" s="39" customFormat="1">
      <c r="D170" s="56"/>
      <c r="E170" s="56"/>
      <c r="F170" s="58"/>
      <c r="G170" s="58"/>
      <c r="I170" s="74"/>
      <c r="J170" s="62"/>
      <c r="L170" s="62"/>
      <c r="M170" s="64"/>
      <c r="N170" s="64"/>
      <c r="O170" s="62"/>
    </row>
    <row r="171" spans="4:15" s="39" customFormat="1">
      <c r="D171" s="56"/>
      <c r="E171" s="56"/>
      <c r="F171" s="58"/>
      <c r="G171" s="58"/>
      <c r="I171" s="74"/>
      <c r="J171" s="62"/>
      <c r="L171" s="62"/>
      <c r="M171" s="64"/>
      <c r="N171" s="64"/>
      <c r="O171" s="62"/>
    </row>
    <row r="172" spans="4:15" s="39" customFormat="1">
      <c r="D172" s="56"/>
      <c r="E172" s="56"/>
      <c r="F172" s="58"/>
      <c r="G172" s="58"/>
      <c r="I172" s="74"/>
      <c r="J172" s="62"/>
      <c r="L172" s="62"/>
      <c r="M172" s="64"/>
      <c r="N172" s="64"/>
      <c r="O172" s="62"/>
    </row>
    <row r="173" spans="4:15" s="39" customFormat="1">
      <c r="D173" s="56"/>
      <c r="E173" s="56"/>
      <c r="F173" s="58"/>
      <c r="G173" s="58"/>
      <c r="I173" s="74"/>
      <c r="J173" s="62"/>
      <c r="L173" s="62"/>
      <c r="M173" s="64"/>
      <c r="N173" s="64"/>
      <c r="O173" s="62"/>
    </row>
    <row r="174" spans="4:15" s="39" customFormat="1">
      <c r="D174" s="56"/>
      <c r="E174" s="56"/>
      <c r="F174" s="58"/>
      <c r="G174" s="58"/>
      <c r="I174" s="74"/>
      <c r="J174" s="62"/>
      <c r="L174" s="62"/>
      <c r="M174" s="64"/>
      <c r="N174" s="64"/>
      <c r="O174" s="62"/>
    </row>
    <row r="175" spans="4:15" s="39" customFormat="1">
      <c r="D175" s="56"/>
      <c r="E175" s="56"/>
      <c r="F175" s="58"/>
      <c r="G175" s="58"/>
      <c r="I175" s="74"/>
      <c r="J175" s="62"/>
      <c r="L175" s="62"/>
      <c r="M175" s="64"/>
      <c r="N175" s="64"/>
      <c r="O175" s="62"/>
    </row>
    <row r="176" spans="4:15" s="39" customFormat="1">
      <c r="D176" s="56"/>
      <c r="E176" s="56"/>
      <c r="F176" s="58"/>
      <c r="G176" s="58"/>
      <c r="I176" s="74"/>
      <c r="J176" s="62"/>
      <c r="L176" s="62"/>
      <c r="M176" s="64"/>
      <c r="N176" s="64"/>
      <c r="O176" s="62"/>
    </row>
    <row r="177" spans="4:15" s="39" customFormat="1">
      <c r="D177" s="56"/>
      <c r="E177" s="56"/>
      <c r="F177" s="58"/>
      <c r="G177" s="58"/>
      <c r="I177" s="74"/>
      <c r="J177" s="62"/>
      <c r="L177" s="62"/>
      <c r="M177" s="64"/>
      <c r="N177" s="64"/>
      <c r="O177" s="62"/>
    </row>
    <row r="178" spans="4:15" s="39" customFormat="1">
      <c r="D178" s="56"/>
      <c r="E178" s="56"/>
      <c r="F178" s="58"/>
      <c r="G178" s="58"/>
      <c r="I178" s="74"/>
      <c r="J178" s="62"/>
      <c r="L178" s="62"/>
      <c r="M178" s="64"/>
      <c r="N178" s="64"/>
      <c r="O178" s="62"/>
    </row>
    <row r="179" spans="4:15" s="39" customFormat="1">
      <c r="D179" s="56"/>
      <c r="E179" s="56"/>
      <c r="F179" s="58"/>
      <c r="G179" s="58"/>
      <c r="I179" s="74"/>
      <c r="J179" s="62"/>
      <c r="L179" s="62"/>
      <c r="M179" s="64"/>
      <c r="N179" s="64"/>
      <c r="O179" s="62"/>
    </row>
    <row r="180" spans="4:15" s="39" customFormat="1">
      <c r="D180" s="56"/>
      <c r="E180" s="56"/>
      <c r="F180" s="58"/>
      <c r="G180" s="58"/>
      <c r="I180" s="74"/>
      <c r="J180" s="62"/>
      <c r="L180" s="62"/>
      <c r="M180" s="64"/>
      <c r="N180" s="64"/>
      <c r="O180" s="62"/>
    </row>
    <row r="181" spans="4:15" s="39" customFormat="1">
      <c r="D181" s="56"/>
      <c r="E181" s="56"/>
      <c r="F181" s="58"/>
      <c r="G181" s="58"/>
      <c r="I181" s="74"/>
      <c r="J181" s="62"/>
      <c r="L181" s="62"/>
      <c r="M181" s="64"/>
      <c r="N181" s="64"/>
      <c r="O181" s="62"/>
    </row>
    <row r="182" spans="4:15" s="39" customFormat="1">
      <c r="D182" s="56"/>
      <c r="E182" s="56"/>
      <c r="F182" s="58"/>
      <c r="G182" s="58"/>
      <c r="I182" s="74"/>
      <c r="J182" s="62"/>
      <c r="L182" s="62"/>
      <c r="M182" s="64"/>
      <c r="N182" s="64"/>
      <c r="O182" s="62"/>
    </row>
    <row r="183" spans="4:15" s="39" customFormat="1">
      <c r="D183" s="56"/>
      <c r="E183" s="56"/>
      <c r="F183" s="58"/>
      <c r="G183" s="58"/>
      <c r="I183" s="74"/>
      <c r="J183" s="62"/>
      <c r="L183" s="62"/>
      <c r="M183" s="64"/>
      <c r="N183" s="64"/>
      <c r="O183" s="62"/>
    </row>
    <row r="184" spans="4:15" s="39" customFormat="1">
      <c r="D184" s="56"/>
      <c r="E184" s="56"/>
      <c r="F184" s="58"/>
      <c r="G184" s="58"/>
      <c r="I184" s="74"/>
      <c r="J184" s="62"/>
      <c r="L184" s="62"/>
      <c r="M184" s="64"/>
      <c r="N184" s="64"/>
      <c r="O184" s="62"/>
    </row>
    <row r="185" spans="4:15" s="39" customFormat="1">
      <c r="D185" s="56"/>
      <c r="E185" s="56"/>
      <c r="F185" s="58"/>
      <c r="G185" s="58"/>
      <c r="I185" s="74"/>
      <c r="J185" s="62"/>
      <c r="L185" s="62"/>
      <c r="M185" s="64"/>
      <c r="N185" s="64"/>
      <c r="O185" s="62"/>
    </row>
    <row r="186" spans="4:15" s="39" customFormat="1">
      <c r="D186" s="56"/>
      <c r="E186" s="56"/>
      <c r="F186" s="58"/>
      <c r="G186" s="58"/>
      <c r="I186" s="74"/>
      <c r="J186" s="62"/>
      <c r="L186" s="62"/>
      <c r="M186" s="64"/>
      <c r="N186" s="64"/>
      <c r="O186" s="62"/>
    </row>
    <row r="187" spans="4:15" s="39" customFormat="1">
      <c r="D187" s="56"/>
      <c r="E187" s="56"/>
      <c r="F187" s="58"/>
      <c r="G187" s="58"/>
      <c r="I187" s="74"/>
      <c r="J187" s="62"/>
      <c r="L187" s="62"/>
      <c r="M187" s="64"/>
      <c r="N187" s="64"/>
      <c r="O187" s="62"/>
    </row>
    <row r="188" spans="4:15" s="39" customFormat="1">
      <c r="D188" s="56"/>
      <c r="E188" s="56"/>
      <c r="F188" s="58"/>
      <c r="G188" s="58"/>
      <c r="I188" s="74"/>
      <c r="J188" s="62"/>
      <c r="L188" s="62"/>
      <c r="M188" s="64"/>
      <c r="N188" s="64"/>
      <c r="O188" s="62"/>
    </row>
    <row r="189" spans="4:15" s="39" customFormat="1">
      <c r="D189" s="56"/>
      <c r="E189" s="56"/>
      <c r="F189" s="58"/>
      <c r="G189" s="58"/>
      <c r="I189" s="74"/>
      <c r="J189" s="62"/>
      <c r="L189" s="62"/>
      <c r="M189" s="64"/>
      <c r="N189" s="64"/>
      <c r="O189" s="62"/>
    </row>
    <row r="190" spans="4:15" s="39" customFormat="1">
      <c r="D190" s="56"/>
      <c r="E190" s="56"/>
      <c r="F190" s="58"/>
      <c r="G190" s="58"/>
      <c r="I190" s="74"/>
      <c r="J190" s="62"/>
      <c r="L190" s="62"/>
      <c r="M190" s="64"/>
      <c r="N190" s="64"/>
      <c r="O190" s="62"/>
    </row>
    <row r="191" spans="4:15" s="39" customFormat="1">
      <c r="D191" s="56"/>
      <c r="E191" s="56"/>
      <c r="F191" s="58"/>
      <c r="G191" s="58"/>
      <c r="I191" s="74"/>
      <c r="J191" s="62"/>
      <c r="L191" s="62"/>
      <c r="M191" s="64"/>
      <c r="N191" s="64"/>
      <c r="O191" s="62"/>
    </row>
    <row r="192" spans="4:15" s="39" customFormat="1">
      <c r="D192" s="56"/>
      <c r="E192" s="56"/>
      <c r="F192" s="58"/>
      <c r="G192" s="58"/>
      <c r="I192" s="74"/>
      <c r="J192" s="62"/>
      <c r="L192" s="62"/>
      <c r="M192" s="64"/>
      <c r="N192" s="64"/>
      <c r="O192" s="62"/>
    </row>
    <row r="193" spans="4:15" s="39" customFormat="1">
      <c r="D193" s="56"/>
      <c r="E193" s="56"/>
      <c r="F193" s="58"/>
      <c r="G193" s="58"/>
      <c r="I193" s="74"/>
      <c r="J193" s="62"/>
      <c r="L193" s="62"/>
      <c r="M193" s="64"/>
      <c r="N193" s="64"/>
      <c r="O193" s="62"/>
    </row>
    <row r="194" spans="4:15" s="39" customFormat="1">
      <c r="D194" s="56"/>
      <c r="E194" s="56"/>
      <c r="F194" s="58"/>
      <c r="G194" s="58"/>
      <c r="I194" s="74"/>
      <c r="J194" s="62"/>
      <c r="L194" s="62"/>
      <c r="M194" s="64"/>
      <c r="N194" s="64"/>
      <c r="O194" s="62"/>
    </row>
    <row r="195" spans="4:15" s="39" customFormat="1">
      <c r="D195" s="56"/>
      <c r="E195" s="56"/>
      <c r="F195" s="58"/>
      <c r="G195" s="58"/>
      <c r="I195" s="74"/>
      <c r="J195" s="62"/>
      <c r="L195" s="62"/>
      <c r="M195" s="64"/>
      <c r="N195" s="64"/>
      <c r="O195" s="62"/>
    </row>
    <row r="196" spans="4:15" s="39" customFormat="1">
      <c r="D196" s="56"/>
      <c r="E196" s="56"/>
      <c r="F196" s="58"/>
      <c r="G196" s="58"/>
      <c r="I196" s="74"/>
      <c r="J196" s="62"/>
      <c r="L196" s="62"/>
      <c r="M196" s="64"/>
      <c r="N196" s="64"/>
      <c r="O196" s="62"/>
    </row>
    <row r="197" spans="4:15" s="39" customFormat="1">
      <c r="D197" s="56"/>
      <c r="E197" s="56"/>
      <c r="F197" s="58"/>
      <c r="G197" s="58"/>
      <c r="I197" s="74"/>
      <c r="J197" s="62"/>
      <c r="L197" s="62"/>
      <c r="M197" s="64"/>
      <c r="N197" s="64"/>
      <c r="O197" s="62"/>
    </row>
    <row r="198" spans="4:15" s="39" customFormat="1">
      <c r="D198" s="56"/>
      <c r="E198" s="56"/>
      <c r="F198" s="58"/>
      <c r="G198" s="58"/>
      <c r="I198" s="74"/>
      <c r="J198" s="62"/>
      <c r="L198" s="62"/>
      <c r="M198" s="64"/>
      <c r="N198" s="64"/>
      <c r="O198" s="62"/>
    </row>
    <row r="199" spans="4:15" s="39" customFormat="1">
      <c r="D199" s="56"/>
      <c r="E199" s="56"/>
      <c r="F199" s="58"/>
      <c r="G199" s="58"/>
      <c r="I199" s="74"/>
      <c r="J199" s="62"/>
      <c r="L199" s="62"/>
      <c r="M199" s="64"/>
      <c r="N199" s="64"/>
      <c r="O199" s="62"/>
    </row>
    <row r="200" spans="4:15" s="39" customFormat="1">
      <c r="D200" s="56"/>
      <c r="E200" s="56"/>
      <c r="F200" s="58"/>
      <c r="G200" s="58"/>
      <c r="I200" s="74"/>
      <c r="J200" s="62"/>
      <c r="L200" s="62"/>
      <c r="M200" s="64"/>
      <c r="N200" s="64"/>
      <c r="O200" s="62"/>
    </row>
    <row r="201" spans="4:15" s="39" customFormat="1">
      <c r="D201" s="56"/>
      <c r="E201" s="56"/>
      <c r="F201" s="58"/>
      <c r="G201" s="58"/>
      <c r="I201" s="74"/>
      <c r="J201" s="62"/>
      <c r="L201" s="62"/>
      <c r="M201" s="64"/>
      <c r="N201" s="64"/>
      <c r="O201" s="62"/>
    </row>
    <row r="202" spans="4:15" s="39" customFormat="1">
      <c r="D202" s="56"/>
      <c r="E202" s="56"/>
      <c r="F202" s="58"/>
      <c r="G202" s="58"/>
      <c r="I202" s="74"/>
      <c r="J202" s="62"/>
      <c r="L202" s="62"/>
      <c r="M202" s="64"/>
      <c r="N202" s="64"/>
      <c r="O202" s="62"/>
    </row>
    <row r="203" spans="4:15" s="39" customFormat="1">
      <c r="D203" s="56"/>
      <c r="E203" s="56"/>
      <c r="F203" s="58"/>
      <c r="G203" s="58"/>
      <c r="I203" s="74"/>
      <c r="J203" s="62"/>
      <c r="L203" s="62"/>
      <c r="M203" s="64"/>
      <c r="N203" s="64"/>
      <c r="O203" s="62"/>
    </row>
    <row r="204" spans="4:15" s="39" customFormat="1">
      <c r="D204" s="56"/>
      <c r="E204" s="56"/>
      <c r="F204" s="58"/>
      <c r="G204" s="58"/>
      <c r="I204" s="74"/>
      <c r="J204" s="62"/>
      <c r="L204" s="62"/>
      <c r="M204" s="64"/>
      <c r="N204" s="64"/>
      <c r="O204" s="62"/>
    </row>
    <row r="205" spans="4:15" s="39" customFormat="1">
      <c r="D205" s="56"/>
      <c r="E205" s="56"/>
      <c r="F205" s="58"/>
      <c r="G205" s="58"/>
      <c r="I205" s="74"/>
      <c r="J205" s="62"/>
      <c r="L205" s="62"/>
      <c r="M205" s="64"/>
      <c r="N205" s="64"/>
      <c r="O205" s="62"/>
    </row>
    <row r="206" spans="4:15" s="39" customFormat="1">
      <c r="D206" s="56"/>
      <c r="E206" s="56"/>
      <c r="F206" s="58"/>
      <c r="G206" s="58"/>
      <c r="I206" s="74"/>
      <c r="J206" s="62"/>
      <c r="L206" s="62"/>
      <c r="M206" s="64"/>
      <c r="N206" s="64"/>
      <c r="O206" s="62"/>
    </row>
    <row r="207" spans="4:15" s="39" customFormat="1">
      <c r="D207" s="56"/>
      <c r="E207" s="56"/>
      <c r="F207" s="58"/>
      <c r="G207" s="58"/>
      <c r="I207" s="74"/>
      <c r="J207" s="62"/>
      <c r="L207" s="62"/>
      <c r="M207" s="64"/>
      <c r="N207" s="64"/>
      <c r="O207" s="62"/>
    </row>
    <row r="208" spans="4:15" s="39" customFormat="1">
      <c r="D208" s="56"/>
      <c r="E208" s="56"/>
      <c r="F208" s="58"/>
      <c r="G208" s="58"/>
      <c r="I208" s="74"/>
      <c r="J208" s="62"/>
      <c r="L208" s="62"/>
      <c r="M208" s="64"/>
      <c r="N208" s="64"/>
      <c r="O208" s="62"/>
    </row>
    <row r="209" spans="4:15" s="39" customFormat="1">
      <c r="D209" s="56"/>
      <c r="E209" s="56"/>
      <c r="F209" s="58"/>
      <c r="G209" s="58"/>
      <c r="I209" s="74"/>
      <c r="J209" s="62"/>
      <c r="L209" s="62"/>
      <c r="M209" s="64"/>
      <c r="N209" s="64"/>
      <c r="O209" s="62"/>
    </row>
    <row r="210" spans="4:15" s="39" customFormat="1">
      <c r="D210" s="56"/>
      <c r="E210" s="56"/>
      <c r="F210" s="58"/>
      <c r="G210" s="58"/>
      <c r="I210" s="74"/>
      <c r="J210" s="62"/>
      <c r="L210" s="62"/>
      <c r="M210" s="64"/>
      <c r="N210" s="64"/>
      <c r="O210" s="62"/>
    </row>
    <row r="211" spans="4:15" s="39" customFormat="1">
      <c r="D211" s="56"/>
      <c r="E211" s="56"/>
      <c r="F211" s="58"/>
      <c r="G211" s="58"/>
      <c r="I211" s="74"/>
      <c r="J211" s="62"/>
      <c r="L211" s="62"/>
      <c r="M211" s="64"/>
      <c r="N211" s="64"/>
      <c r="O211" s="62"/>
    </row>
    <row r="212" spans="4:15" s="39" customFormat="1">
      <c r="D212" s="56"/>
      <c r="E212" s="56"/>
      <c r="F212" s="58"/>
      <c r="G212" s="58"/>
      <c r="I212" s="74"/>
      <c r="J212" s="62"/>
      <c r="L212" s="62"/>
      <c r="M212" s="64"/>
      <c r="N212" s="64"/>
      <c r="O212" s="62"/>
    </row>
    <row r="213" spans="4:15" s="39" customFormat="1">
      <c r="D213" s="56"/>
      <c r="E213" s="56"/>
      <c r="F213" s="58"/>
      <c r="G213" s="58"/>
      <c r="I213" s="74"/>
      <c r="J213" s="62"/>
      <c r="L213" s="62"/>
      <c r="M213" s="64"/>
      <c r="N213" s="64"/>
      <c r="O213" s="62"/>
    </row>
    <row r="214" spans="4:15" s="39" customFormat="1">
      <c r="D214" s="56"/>
      <c r="E214" s="56"/>
      <c r="F214" s="58"/>
      <c r="G214" s="58"/>
      <c r="I214" s="74"/>
      <c r="J214" s="62"/>
      <c r="L214" s="62"/>
      <c r="M214" s="64"/>
      <c r="N214" s="64"/>
      <c r="O214" s="62"/>
    </row>
    <row r="215" spans="4:15" s="39" customFormat="1">
      <c r="D215" s="56"/>
      <c r="E215" s="56"/>
      <c r="F215" s="58"/>
      <c r="G215" s="58"/>
      <c r="I215" s="74"/>
      <c r="J215" s="62"/>
      <c r="L215" s="62"/>
      <c r="M215" s="64"/>
      <c r="N215" s="64"/>
      <c r="O215" s="62"/>
    </row>
    <row r="216" spans="4:15" s="39" customFormat="1">
      <c r="D216" s="56"/>
      <c r="E216" s="56"/>
      <c r="F216" s="58"/>
      <c r="G216" s="58"/>
      <c r="I216" s="74"/>
      <c r="J216" s="62"/>
      <c r="L216" s="62"/>
      <c r="M216" s="64"/>
      <c r="N216" s="64"/>
      <c r="O216" s="62"/>
    </row>
    <row r="217" spans="4:15" s="39" customFormat="1">
      <c r="D217" s="56"/>
      <c r="E217" s="56"/>
      <c r="F217" s="58"/>
      <c r="G217" s="58"/>
      <c r="I217" s="74"/>
      <c r="J217" s="62"/>
      <c r="L217" s="62"/>
      <c r="M217" s="64"/>
      <c r="N217" s="64"/>
      <c r="O217" s="62"/>
    </row>
    <row r="218" spans="4:15" s="39" customFormat="1">
      <c r="D218" s="56"/>
      <c r="E218" s="56"/>
      <c r="F218" s="58"/>
      <c r="G218" s="58"/>
      <c r="I218" s="74"/>
      <c r="J218" s="62"/>
      <c r="L218" s="62"/>
      <c r="M218" s="64"/>
      <c r="N218" s="64"/>
      <c r="O218" s="62"/>
    </row>
    <row r="219" spans="4:15" s="39" customFormat="1">
      <c r="D219" s="56"/>
      <c r="E219" s="56"/>
      <c r="F219" s="58"/>
      <c r="G219" s="58"/>
      <c r="I219" s="74"/>
      <c r="J219" s="62"/>
      <c r="L219" s="62"/>
      <c r="M219" s="64"/>
      <c r="N219" s="64"/>
      <c r="O219" s="62"/>
    </row>
    <row r="220" spans="4:15" s="39" customFormat="1">
      <c r="D220" s="56"/>
      <c r="E220" s="56"/>
      <c r="F220" s="58"/>
      <c r="G220" s="58"/>
      <c r="I220" s="74"/>
      <c r="J220" s="62"/>
      <c r="L220" s="62"/>
      <c r="M220" s="64"/>
      <c r="N220" s="64"/>
      <c r="O220" s="62"/>
    </row>
    <row r="221" spans="4:15" s="39" customFormat="1">
      <c r="D221" s="56"/>
      <c r="E221" s="56"/>
      <c r="F221" s="58"/>
      <c r="G221" s="58"/>
      <c r="I221" s="74"/>
      <c r="J221" s="62"/>
      <c r="L221" s="62"/>
      <c r="M221" s="64"/>
      <c r="N221" s="64"/>
      <c r="O221" s="62"/>
    </row>
    <row r="222" spans="4:15" s="39" customFormat="1">
      <c r="D222" s="56"/>
      <c r="E222" s="56"/>
      <c r="F222" s="58"/>
      <c r="G222" s="58"/>
      <c r="I222" s="74"/>
      <c r="J222" s="62"/>
      <c r="L222" s="62"/>
      <c r="M222" s="64"/>
      <c r="N222" s="64"/>
      <c r="O222" s="62"/>
    </row>
    <row r="223" spans="4:15" s="39" customFormat="1">
      <c r="D223" s="56"/>
      <c r="E223" s="56"/>
      <c r="F223" s="58"/>
      <c r="G223" s="58"/>
      <c r="I223" s="74"/>
      <c r="J223" s="62"/>
      <c r="L223" s="62"/>
      <c r="M223" s="64"/>
      <c r="N223" s="64"/>
      <c r="O223" s="62"/>
    </row>
    <row r="224" spans="4:15" s="39" customFormat="1">
      <c r="D224" s="56"/>
      <c r="E224" s="56"/>
      <c r="F224" s="58"/>
      <c r="G224" s="58"/>
      <c r="I224" s="74"/>
      <c r="J224" s="62"/>
      <c r="L224" s="62"/>
      <c r="M224" s="64"/>
      <c r="N224" s="64"/>
      <c r="O224" s="62"/>
    </row>
    <row r="225" spans="4:15" s="39" customFormat="1">
      <c r="D225" s="56"/>
      <c r="E225" s="56"/>
      <c r="F225" s="58"/>
      <c r="G225" s="58"/>
      <c r="I225" s="74"/>
      <c r="J225" s="62"/>
      <c r="L225" s="62"/>
      <c r="M225" s="64"/>
      <c r="N225" s="64"/>
      <c r="O225" s="62"/>
    </row>
    <row r="226" spans="4:15" s="39" customFormat="1">
      <c r="D226" s="56"/>
      <c r="E226" s="56"/>
      <c r="F226" s="58"/>
      <c r="G226" s="58"/>
      <c r="I226" s="74"/>
      <c r="J226" s="62"/>
      <c r="L226" s="62"/>
      <c r="M226" s="64"/>
      <c r="N226" s="64"/>
      <c r="O226" s="62"/>
    </row>
    <row r="227" spans="4:15" s="39" customFormat="1">
      <c r="D227" s="56"/>
      <c r="E227" s="56"/>
      <c r="F227" s="58"/>
      <c r="G227" s="58"/>
      <c r="I227" s="74"/>
      <c r="J227" s="62"/>
      <c r="L227" s="62"/>
      <c r="M227" s="64"/>
      <c r="N227" s="64"/>
      <c r="O227" s="62"/>
    </row>
    <row r="228" spans="4:15" s="39" customFormat="1">
      <c r="D228" s="56"/>
      <c r="E228" s="56"/>
      <c r="F228" s="58"/>
      <c r="G228" s="58"/>
      <c r="I228" s="74"/>
      <c r="J228" s="62"/>
      <c r="L228" s="62"/>
      <c r="M228" s="64"/>
      <c r="N228" s="64"/>
      <c r="O228" s="62"/>
    </row>
    <row r="229" spans="4:15" s="39" customFormat="1">
      <c r="D229" s="56"/>
      <c r="E229" s="56"/>
      <c r="F229" s="58"/>
      <c r="G229" s="58"/>
      <c r="I229" s="74"/>
      <c r="J229" s="62"/>
      <c r="L229" s="62"/>
      <c r="M229" s="64"/>
      <c r="N229" s="64"/>
      <c r="O229" s="62"/>
    </row>
    <row r="230" spans="4:15" s="39" customFormat="1">
      <c r="D230" s="56"/>
      <c r="E230" s="56"/>
      <c r="F230" s="58"/>
      <c r="G230" s="58"/>
      <c r="I230" s="74"/>
      <c r="J230" s="62"/>
      <c r="L230" s="62"/>
      <c r="M230" s="64"/>
      <c r="N230" s="64"/>
      <c r="O230" s="62"/>
    </row>
    <row r="231" spans="4:15" s="39" customFormat="1">
      <c r="D231" s="56"/>
      <c r="E231" s="56"/>
      <c r="F231" s="58"/>
      <c r="G231" s="58"/>
      <c r="I231" s="74"/>
      <c r="J231" s="62"/>
      <c r="L231" s="62"/>
      <c r="M231" s="64"/>
      <c r="N231" s="64"/>
      <c r="O231" s="62"/>
    </row>
    <row r="232" spans="4:15" s="39" customFormat="1">
      <c r="D232" s="56"/>
      <c r="E232" s="56"/>
      <c r="F232" s="58"/>
      <c r="G232" s="58"/>
      <c r="I232" s="74"/>
      <c r="J232" s="62"/>
      <c r="L232" s="62"/>
      <c r="M232" s="64"/>
      <c r="N232" s="64"/>
      <c r="O232" s="62"/>
    </row>
    <row r="233" spans="4:15" s="39" customFormat="1">
      <c r="D233" s="56"/>
      <c r="E233" s="56"/>
      <c r="F233" s="58"/>
      <c r="G233" s="58"/>
      <c r="I233" s="74"/>
      <c r="J233" s="62"/>
      <c r="L233" s="62"/>
      <c r="M233" s="64"/>
      <c r="N233" s="64"/>
      <c r="O233" s="62"/>
    </row>
    <row r="234" spans="4:15" s="39" customFormat="1">
      <c r="D234" s="56"/>
      <c r="E234" s="56"/>
      <c r="F234" s="58"/>
      <c r="G234" s="58"/>
      <c r="I234" s="74"/>
      <c r="J234" s="62"/>
      <c r="L234" s="62"/>
      <c r="M234" s="64"/>
      <c r="N234" s="64"/>
      <c r="O234" s="62"/>
    </row>
    <row r="235" spans="4:15" s="39" customFormat="1">
      <c r="D235" s="56"/>
      <c r="E235" s="56"/>
      <c r="F235" s="58"/>
      <c r="G235" s="58"/>
      <c r="I235" s="74"/>
      <c r="J235" s="62"/>
      <c r="L235" s="62"/>
      <c r="M235" s="64"/>
      <c r="N235" s="64"/>
      <c r="O235" s="62"/>
    </row>
    <row r="236" spans="4:15" s="39" customFormat="1">
      <c r="D236" s="56"/>
      <c r="E236" s="56"/>
      <c r="F236" s="58"/>
      <c r="G236" s="58"/>
      <c r="I236" s="74"/>
      <c r="J236" s="62"/>
      <c r="L236" s="62"/>
      <c r="M236" s="64"/>
      <c r="N236" s="64"/>
      <c r="O236" s="62"/>
    </row>
    <row r="237" spans="4:15" s="39" customFormat="1">
      <c r="D237" s="56"/>
      <c r="E237" s="56"/>
      <c r="F237" s="58"/>
      <c r="G237" s="58"/>
      <c r="I237" s="74"/>
      <c r="J237" s="62"/>
      <c r="L237" s="62"/>
      <c r="M237" s="64"/>
      <c r="N237" s="64"/>
      <c r="O237" s="62"/>
    </row>
    <row r="238" spans="4:15" s="39" customFormat="1">
      <c r="D238" s="56"/>
      <c r="E238" s="56"/>
      <c r="F238" s="58"/>
      <c r="G238" s="58"/>
      <c r="I238" s="74"/>
      <c r="J238" s="62"/>
      <c r="L238" s="62"/>
      <c r="M238" s="64"/>
      <c r="N238" s="64"/>
      <c r="O238" s="62"/>
    </row>
    <row r="239" spans="4:15" s="39" customFormat="1">
      <c r="D239" s="56"/>
      <c r="E239" s="56"/>
      <c r="F239" s="58"/>
      <c r="G239" s="58"/>
      <c r="I239" s="74"/>
      <c r="J239" s="62"/>
      <c r="L239" s="62"/>
      <c r="M239" s="64"/>
      <c r="N239" s="64"/>
      <c r="O239" s="62"/>
    </row>
    <row r="240" spans="4:15" s="39" customFormat="1">
      <c r="D240" s="56"/>
      <c r="E240" s="56"/>
      <c r="F240" s="58"/>
      <c r="G240" s="58"/>
      <c r="I240" s="74"/>
      <c r="J240" s="62"/>
      <c r="L240" s="62"/>
      <c r="M240" s="64"/>
      <c r="N240" s="64"/>
      <c r="O240" s="62"/>
    </row>
    <row r="241" spans="4:15" s="39" customFormat="1">
      <c r="D241" s="56"/>
      <c r="E241" s="56"/>
      <c r="F241" s="58"/>
      <c r="G241" s="58"/>
      <c r="I241" s="74"/>
      <c r="J241" s="62"/>
      <c r="L241" s="62"/>
      <c r="M241" s="64"/>
      <c r="N241" s="64"/>
      <c r="O241" s="62"/>
    </row>
    <row r="242" spans="4:15" s="39" customFormat="1">
      <c r="D242" s="56"/>
      <c r="E242" s="56"/>
      <c r="F242" s="58"/>
      <c r="G242" s="58"/>
      <c r="I242" s="74"/>
      <c r="J242" s="62"/>
      <c r="L242" s="62"/>
      <c r="M242" s="64"/>
      <c r="N242" s="64"/>
      <c r="O242" s="62"/>
    </row>
    <row r="243" spans="4:15" s="39" customFormat="1">
      <c r="D243" s="56"/>
      <c r="E243" s="56"/>
      <c r="F243" s="58"/>
      <c r="G243" s="58"/>
      <c r="I243" s="74"/>
      <c r="J243" s="62"/>
      <c r="L243" s="62"/>
      <c r="M243" s="64"/>
      <c r="N243" s="64"/>
      <c r="O243" s="62"/>
    </row>
    <row r="244" spans="4:15" s="39" customFormat="1">
      <c r="D244" s="56"/>
      <c r="E244" s="56"/>
      <c r="F244" s="58"/>
      <c r="G244" s="58"/>
      <c r="I244" s="74"/>
      <c r="J244" s="62"/>
      <c r="L244" s="62"/>
      <c r="M244" s="64"/>
      <c r="N244" s="64"/>
      <c r="O244" s="62"/>
    </row>
    <row r="245" spans="4:15" s="39" customFormat="1">
      <c r="D245" s="56"/>
      <c r="E245" s="56"/>
      <c r="F245" s="58"/>
      <c r="G245" s="58"/>
      <c r="I245" s="74"/>
      <c r="J245" s="62"/>
      <c r="L245" s="62"/>
      <c r="M245" s="64"/>
      <c r="N245" s="64"/>
      <c r="O245" s="62"/>
    </row>
    <row r="246" spans="4:15" s="39" customFormat="1">
      <c r="D246" s="56"/>
      <c r="E246" s="56"/>
      <c r="F246" s="58"/>
      <c r="G246" s="58"/>
      <c r="I246" s="74"/>
      <c r="J246" s="62"/>
      <c r="L246" s="62"/>
      <c r="M246" s="64"/>
      <c r="N246" s="64"/>
      <c r="O246" s="62"/>
    </row>
    <row r="247" spans="4:15" s="39" customFormat="1">
      <c r="D247" s="56"/>
      <c r="E247" s="56"/>
      <c r="F247" s="58"/>
      <c r="G247" s="58"/>
      <c r="I247" s="74"/>
      <c r="J247" s="62"/>
      <c r="L247" s="62"/>
      <c r="M247" s="64"/>
      <c r="N247" s="64"/>
      <c r="O247" s="62"/>
    </row>
    <row r="248" spans="4:15" s="39" customFormat="1">
      <c r="D248" s="56"/>
      <c r="E248" s="56"/>
      <c r="F248" s="58"/>
      <c r="G248" s="58"/>
      <c r="I248" s="74"/>
      <c r="J248" s="62"/>
      <c r="L248" s="62"/>
      <c r="M248" s="64"/>
      <c r="N248" s="64"/>
      <c r="O248" s="62"/>
    </row>
    <row r="249" spans="4:15" s="39" customFormat="1">
      <c r="D249" s="56"/>
      <c r="E249" s="56"/>
      <c r="F249" s="58"/>
      <c r="G249" s="58"/>
      <c r="I249" s="74"/>
      <c r="J249" s="62"/>
      <c r="L249" s="62"/>
      <c r="M249" s="64"/>
      <c r="N249" s="64"/>
      <c r="O249" s="62"/>
    </row>
    <row r="250" spans="4:15" s="39" customFormat="1">
      <c r="D250" s="56"/>
      <c r="E250" s="56"/>
      <c r="F250" s="58"/>
      <c r="G250" s="58"/>
      <c r="I250" s="74"/>
      <c r="J250" s="62"/>
      <c r="L250" s="62"/>
      <c r="M250" s="64"/>
      <c r="N250" s="64"/>
      <c r="O250" s="62"/>
    </row>
    <row r="251" spans="4:15" s="39" customFormat="1">
      <c r="D251" s="56"/>
      <c r="E251" s="56"/>
      <c r="F251" s="58"/>
      <c r="G251" s="58"/>
      <c r="I251" s="74"/>
      <c r="J251" s="62"/>
      <c r="L251" s="62"/>
      <c r="M251" s="64"/>
      <c r="N251" s="64"/>
      <c r="O251" s="62"/>
    </row>
    <row r="252" spans="4:15" s="39" customFormat="1">
      <c r="D252" s="56"/>
      <c r="E252" s="56"/>
      <c r="F252" s="58"/>
      <c r="G252" s="58"/>
      <c r="I252" s="74"/>
      <c r="J252" s="62"/>
      <c r="L252" s="62"/>
      <c r="M252" s="64"/>
      <c r="N252" s="64"/>
      <c r="O252" s="62"/>
    </row>
    <row r="253" spans="4:15" s="39" customFormat="1">
      <c r="D253" s="56"/>
      <c r="E253" s="56"/>
      <c r="F253" s="58"/>
      <c r="G253" s="58"/>
      <c r="I253" s="74"/>
      <c r="J253" s="62"/>
      <c r="L253" s="62"/>
      <c r="M253" s="64"/>
      <c r="N253" s="64"/>
      <c r="O253" s="62"/>
    </row>
    <row r="254" spans="4:15" s="39" customFormat="1">
      <c r="D254" s="56"/>
      <c r="E254" s="56"/>
      <c r="F254" s="58"/>
      <c r="G254" s="58"/>
      <c r="I254" s="74"/>
      <c r="J254" s="62"/>
      <c r="L254" s="62"/>
      <c r="M254" s="64"/>
      <c r="N254" s="64"/>
      <c r="O254" s="62"/>
    </row>
    <row r="255" spans="4:15" s="39" customFormat="1">
      <c r="D255" s="56"/>
      <c r="E255" s="56"/>
      <c r="F255" s="58"/>
      <c r="G255" s="58"/>
      <c r="I255" s="74"/>
      <c r="J255" s="62"/>
      <c r="L255" s="62"/>
      <c r="M255" s="64"/>
      <c r="N255" s="64"/>
      <c r="O255" s="62"/>
    </row>
    <row r="256" spans="4:15" s="39" customFormat="1">
      <c r="D256" s="56"/>
      <c r="E256" s="56"/>
      <c r="F256" s="58"/>
      <c r="G256" s="58"/>
      <c r="I256" s="74"/>
      <c r="J256" s="62"/>
      <c r="L256" s="62"/>
      <c r="M256" s="64"/>
      <c r="N256" s="64"/>
      <c r="O256" s="62"/>
    </row>
    <row r="257" spans="4:15" s="39" customFormat="1">
      <c r="D257" s="56"/>
      <c r="E257" s="56"/>
      <c r="F257" s="58"/>
      <c r="G257" s="58"/>
      <c r="I257" s="74"/>
      <c r="J257" s="62"/>
      <c r="L257" s="62"/>
      <c r="M257" s="64"/>
      <c r="N257" s="64"/>
      <c r="O257" s="62"/>
    </row>
    <row r="258" spans="4:15" s="39" customFormat="1">
      <c r="D258" s="56"/>
      <c r="E258" s="56"/>
      <c r="F258" s="58"/>
      <c r="G258" s="58"/>
      <c r="I258" s="74"/>
      <c r="J258" s="62"/>
      <c r="L258" s="62"/>
      <c r="M258" s="64"/>
      <c r="N258" s="64"/>
      <c r="O258" s="62"/>
    </row>
    <row r="259" spans="4:15" s="39" customFormat="1">
      <c r="D259" s="56"/>
      <c r="E259" s="56"/>
      <c r="F259" s="58"/>
      <c r="G259" s="58"/>
      <c r="I259" s="74"/>
      <c r="J259" s="62"/>
      <c r="L259" s="62"/>
      <c r="M259" s="64"/>
      <c r="N259" s="64"/>
      <c r="O259" s="62"/>
    </row>
    <row r="260" spans="4:15" s="39" customFormat="1">
      <c r="D260" s="56"/>
      <c r="E260" s="56"/>
      <c r="F260" s="58"/>
      <c r="G260" s="58"/>
      <c r="I260" s="74"/>
      <c r="J260" s="62"/>
      <c r="L260" s="62"/>
      <c r="M260" s="64"/>
      <c r="N260" s="64"/>
      <c r="O260" s="62"/>
    </row>
    <row r="261" spans="4:15" s="39" customFormat="1">
      <c r="D261" s="56"/>
      <c r="E261" s="56"/>
      <c r="F261" s="58"/>
      <c r="G261" s="58"/>
      <c r="I261" s="74"/>
      <c r="J261" s="62"/>
      <c r="L261" s="62"/>
      <c r="M261" s="64"/>
      <c r="N261" s="64"/>
      <c r="O261" s="62"/>
    </row>
    <row r="262" spans="4:15" s="39" customFormat="1">
      <c r="D262" s="56"/>
      <c r="E262" s="56"/>
      <c r="F262" s="58"/>
      <c r="G262" s="58"/>
      <c r="I262" s="74"/>
      <c r="J262" s="62"/>
      <c r="L262" s="62"/>
      <c r="M262" s="64"/>
      <c r="N262" s="64"/>
      <c r="O262" s="62"/>
    </row>
    <row r="263" spans="4:15" s="39" customFormat="1">
      <c r="D263" s="56"/>
      <c r="E263" s="56"/>
      <c r="F263" s="58"/>
      <c r="G263" s="58"/>
      <c r="I263" s="74"/>
      <c r="J263" s="62"/>
      <c r="L263" s="62"/>
      <c r="M263" s="64"/>
      <c r="N263" s="64"/>
      <c r="O263" s="62"/>
    </row>
    <row r="264" spans="4:15" s="39" customFormat="1">
      <c r="D264" s="56"/>
      <c r="E264" s="56"/>
      <c r="F264" s="58"/>
      <c r="G264" s="58"/>
      <c r="I264" s="74"/>
      <c r="J264" s="62"/>
      <c r="L264" s="62"/>
      <c r="M264" s="64"/>
      <c r="N264" s="64"/>
      <c r="O264" s="62"/>
    </row>
    <row r="265" spans="4:15" s="39" customFormat="1">
      <c r="D265" s="56"/>
      <c r="E265" s="56"/>
      <c r="F265" s="58"/>
      <c r="G265" s="58"/>
      <c r="I265" s="74"/>
      <c r="J265" s="62"/>
      <c r="L265" s="62"/>
      <c r="M265" s="64"/>
      <c r="N265" s="64"/>
      <c r="O265" s="62"/>
    </row>
    <row r="266" spans="4:15" s="39" customFormat="1">
      <c r="D266" s="56"/>
      <c r="E266" s="56"/>
      <c r="F266" s="58"/>
      <c r="G266" s="58"/>
      <c r="I266" s="74"/>
      <c r="J266" s="62"/>
      <c r="L266" s="62"/>
      <c r="M266" s="64"/>
      <c r="N266" s="64"/>
      <c r="O266" s="62"/>
    </row>
    <row r="267" spans="4:15" s="39" customFormat="1">
      <c r="D267" s="56"/>
      <c r="E267" s="56"/>
      <c r="F267" s="58"/>
      <c r="G267" s="58"/>
      <c r="I267" s="74"/>
      <c r="J267" s="62"/>
      <c r="L267" s="62"/>
      <c r="M267" s="64"/>
      <c r="N267" s="64"/>
      <c r="O267" s="62"/>
    </row>
    <row r="268" spans="4:15" s="39" customFormat="1">
      <c r="D268" s="56"/>
      <c r="E268" s="56"/>
      <c r="F268" s="58"/>
      <c r="G268" s="58"/>
      <c r="I268" s="74"/>
      <c r="J268" s="62"/>
      <c r="L268" s="62"/>
      <c r="M268" s="64"/>
      <c r="N268" s="64"/>
      <c r="O268" s="62"/>
    </row>
    <row r="269" spans="4:15" s="39" customFormat="1">
      <c r="D269" s="56"/>
      <c r="E269" s="56"/>
      <c r="F269" s="58"/>
      <c r="G269" s="58"/>
      <c r="I269" s="74"/>
      <c r="J269" s="62"/>
      <c r="L269" s="62"/>
      <c r="M269" s="64"/>
      <c r="N269" s="64"/>
      <c r="O269" s="62"/>
    </row>
    <row r="270" spans="4:15" s="39" customFormat="1">
      <c r="D270" s="56"/>
      <c r="E270" s="56"/>
      <c r="F270" s="58"/>
      <c r="G270" s="58"/>
      <c r="I270" s="74"/>
      <c r="J270" s="62"/>
      <c r="L270" s="62"/>
      <c r="M270" s="64"/>
      <c r="N270" s="64"/>
      <c r="O270" s="62"/>
    </row>
    <row r="271" spans="4:15" s="39" customFormat="1">
      <c r="D271" s="56"/>
      <c r="E271" s="56"/>
      <c r="F271" s="58"/>
      <c r="G271" s="58"/>
      <c r="I271" s="74"/>
      <c r="J271" s="62"/>
      <c r="L271" s="62"/>
      <c r="M271" s="64"/>
      <c r="N271" s="64"/>
      <c r="O271" s="62"/>
    </row>
    <row r="272" spans="4:15" s="39" customFormat="1">
      <c r="D272" s="56"/>
      <c r="E272" s="56"/>
      <c r="F272" s="58"/>
      <c r="G272" s="58"/>
      <c r="I272" s="74"/>
      <c r="J272" s="62"/>
      <c r="L272" s="62"/>
      <c r="M272" s="64"/>
      <c r="N272" s="64"/>
      <c r="O272" s="62"/>
    </row>
    <row r="273" spans="4:15" s="39" customFormat="1">
      <c r="D273" s="56"/>
      <c r="E273" s="56"/>
      <c r="F273" s="58"/>
      <c r="G273" s="58"/>
      <c r="I273" s="74"/>
      <c r="J273" s="62"/>
      <c r="L273" s="62"/>
      <c r="M273" s="64"/>
      <c r="N273" s="64"/>
      <c r="O273" s="62"/>
    </row>
    <row r="274" spans="4:15" s="39" customFormat="1">
      <c r="D274" s="56"/>
      <c r="E274" s="56"/>
      <c r="F274" s="58"/>
      <c r="G274" s="58"/>
      <c r="I274" s="74"/>
      <c r="J274" s="62"/>
      <c r="L274" s="62"/>
      <c r="M274" s="64"/>
      <c r="N274" s="64"/>
      <c r="O274" s="62"/>
    </row>
    <row r="275" spans="4:15" s="39" customFormat="1">
      <c r="D275" s="56"/>
      <c r="E275" s="56"/>
      <c r="F275" s="58"/>
      <c r="G275" s="58"/>
      <c r="I275" s="74"/>
      <c r="J275" s="62"/>
      <c r="L275" s="62"/>
      <c r="M275" s="64"/>
      <c r="N275" s="64"/>
      <c r="O275" s="62"/>
    </row>
    <row r="276" spans="4:15" s="39" customFormat="1">
      <c r="D276" s="56"/>
      <c r="E276" s="56"/>
      <c r="F276" s="58"/>
      <c r="G276" s="58"/>
      <c r="I276" s="74"/>
      <c r="J276" s="62"/>
      <c r="L276" s="62"/>
      <c r="M276" s="64"/>
      <c r="N276" s="64"/>
      <c r="O276" s="62"/>
    </row>
    <row r="277" spans="4:15" s="39" customFormat="1">
      <c r="D277" s="56"/>
      <c r="E277" s="56"/>
      <c r="F277" s="58"/>
      <c r="G277" s="58"/>
      <c r="I277" s="74"/>
      <c r="J277" s="62"/>
      <c r="L277" s="62"/>
      <c r="M277" s="64"/>
      <c r="N277" s="64"/>
      <c r="O277" s="62"/>
    </row>
    <row r="278" spans="4:15" s="39" customFormat="1">
      <c r="D278" s="56"/>
      <c r="E278" s="56"/>
      <c r="F278" s="58"/>
      <c r="G278" s="58"/>
      <c r="I278" s="74"/>
      <c r="J278" s="62"/>
      <c r="L278" s="62"/>
      <c r="M278" s="64"/>
      <c r="N278" s="64"/>
      <c r="O278" s="62"/>
    </row>
    <row r="279" spans="4:15" s="39" customFormat="1">
      <c r="D279" s="56"/>
      <c r="E279" s="56"/>
      <c r="F279" s="58"/>
      <c r="G279" s="58"/>
      <c r="I279" s="74"/>
      <c r="J279" s="62"/>
      <c r="L279" s="62"/>
      <c r="M279" s="64"/>
      <c r="N279" s="64"/>
      <c r="O279" s="62"/>
    </row>
    <row r="280" spans="4:15" s="39" customFormat="1">
      <c r="D280" s="56"/>
      <c r="E280" s="56"/>
      <c r="F280" s="58"/>
      <c r="G280" s="58"/>
      <c r="I280" s="74"/>
      <c r="J280" s="62"/>
      <c r="L280" s="62"/>
      <c r="M280" s="64"/>
      <c r="N280" s="64"/>
      <c r="O280" s="62"/>
    </row>
    <row r="281" spans="4:15" s="39" customFormat="1">
      <c r="D281" s="56"/>
      <c r="E281" s="56"/>
      <c r="F281" s="58"/>
      <c r="G281" s="58"/>
      <c r="I281" s="74"/>
      <c r="J281" s="62"/>
      <c r="L281" s="62"/>
      <c r="M281" s="64"/>
      <c r="N281" s="64"/>
      <c r="O281" s="62"/>
    </row>
    <row r="282" spans="4:15" s="39" customFormat="1">
      <c r="D282" s="56"/>
      <c r="E282" s="56"/>
      <c r="F282" s="58"/>
      <c r="G282" s="58"/>
      <c r="I282" s="74"/>
      <c r="J282" s="62"/>
      <c r="L282" s="62"/>
      <c r="M282" s="64"/>
      <c r="N282" s="64"/>
      <c r="O282" s="62"/>
    </row>
    <row r="283" spans="4:15" s="39" customFormat="1">
      <c r="D283" s="56"/>
      <c r="E283" s="56"/>
      <c r="F283" s="58"/>
      <c r="G283" s="58"/>
      <c r="I283" s="74"/>
      <c r="J283" s="62"/>
      <c r="L283" s="62"/>
      <c r="M283" s="64"/>
      <c r="N283" s="64"/>
      <c r="O283" s="62"/>
    </row>
    <row r="284" spans="4:15" s="39" customFormat="1">
      <c r="D284" s="56"/>
      <c r="E284" s="56"/>
      <c r="F284" s="58"/>
      <c r="G284" s="58"/>
      <c r="I284" s="74"/>
      <c r="J284" s="62"/>
      <c r="L284" s="62"/>
      <c r="M284" s="64"/>
      <c r="N284" s="64"/>
      <c r="O284" s="62"/>
    </row>
    <row r="285" spans="4:15" s="39" customFormat="1">
      <c r="D285" s="56"/>
      <c r="E285" s="56"/>
      <c r="F285" s="58"/>
      <c r="G285" s="58"/>
      <c r="I285" s="74"/>
      <c r="J285" s="62"/>
      <c r="L285" s="62"/>
      <c r="M285" s="64"/>
      <c r="N285" s="64"/>
      <c r="O285" s="62"/>
    </row>
    <row r="286" spans="4:15" s="39" customFormat="1">
      <c r="D286" s="56"/>
      <c r="E286" s="56"/>
      <c r="F286" s="58"/>
      <c r="G286" s="58"/>
      <c r="I286" s="74"/>
      <c r="J286" s="62"/>
      <c r="L286" s="62"/>
      <c r="M286" s="64"/>
      <c r="N286" s="64"/>
      <c r="O286" s="62"/>
    </row>
    <row r="287" spans="4:15" s="39" customFormat="1">
      <c r="D287" s="56"/>
      <c r="E287" s="56"/>
      <c r="F287" s="58"/>
      <c r="G287" s="58"/>
      <c r="I287" s="74"/>
      <c r="J287" s="62"/>
      <c r="L287" s="62"/>
      <c r="M287" s="64"/>
      <c r="N287" s="64"/>
      <c r="O287" s="62"/>
    </row>
    <row r="288" spans="4:15" s="39" customFormat="1">
      <c r="D288" s="56"/>
      <c r="E288" s="56"/>
      <c r="F288" s="58"/>
      <c r="G288" s="58"/>
      <c r="I288" s="74"/>
      <c r="J288" s="62"/>
      <c r="L288" s="62"/>
      <c r="M288" s="64"/>
      <c r="N288" s="64"/>
      <c r="O288" s="62"/>
    </row>
    <row r="289" spans="4:15" s="39" customFormat="1">
      <c r="D289" s="56"/>
      <c r="E289" s="56"/>
      <c r="F289" s="58"/>
      <c r="G289" s="58"/>
      <c r="I289" s="74"/>
      <c r="J289" s="62"/>
      <c r="L289" s="62"/>
      <c r="M289" s="64"/>
      <c r="N289" s="64"/>
      <c r="O289" s="62"/>
    </row>
    <row r="290" spans="4:15" s="39" customFormat="1">
      <c r="D290" s="56"/>
      <c r="E290" s="56"/>
      <c r="F290" s="58"/>
      <c r="G290" s="58"/>
      <c r="I290" s="74"/>
      <c r="J290" s="62"/>
      <c r="L290" s="62"/>
      <c r="M290" s="64"/>
      <c r="N290" s="64"/>
      <c r="O290" s="62"/>
    </row>
    <row r="291" spans="4:15" s="39" customFormat="1">
      <c r="D291" s="56"/>
      <c r="E291" s="56"/>
      <c r="F291" s="58"/>
      <c r="G291" s="58"/>
      <c r="I291" s="74"/>
      <c r="J291" s="62"/>
      <c r="L291" s="62"/>
      <c r="M291" s="64"/>
      <c r="N291" s="64"/>
      <c r="O291" s="62"/>
    </row>
    <row r="292" spans="4:15" s="39" customFormat="1">
      <c r="D292" s="56"/>
      <c r="E292" s="56"/>
      <c r="F292" s="58"/>
      <c r="G292" s="58"/>
      <c r="I292" s="74"/>
      <c r="J292" s="62"/>
      <c r="L292" s="62"/>
      <c r="M292" s="64"/>
      <c r="N292" s="64"/>
      <c r="O292" s="62"/>
    </row>
    <row r="293" spans="4:15" s="39" customFormat="1">
      <c r="D293" s="56"/>
      <c r="E293" s="56"/>
      <c r="F293" s="58"/>
      <c r="G293" s="58"/>
      <c r="I293" s="74"/>
      <c r="J293" s="62"/>
      <c r="L293" s="62"/>
      <c r="M293" s="64"/>
      <c r="N293" s="64"/>
      <c r="O293" s="62"/>
    </row>
    <row r="294" spans="4:15" s="39" customFormat="1">
      <c r="D294" s="56"/>
      <c r="E294" s="56"/>
      <c r="F294" s="58"/>
      <c r="G294" s="58"/>
      <c r="I294" s="74"/>
      <c r="J294" s="62"/>
      <c r="L294" s="62"/>
      <c r="M294" s="64"/>
      <c r="N294" s="64"/>
      <c r="O294" s="62"/>
    </row>
    <row r="295" spans="4:15" s="39" customFormat="1">
      <c r="D295" s="56"/>
      <c r="E295" s="56"/>
      <c r="F295" s="58"/>
      <c r="G295" s="58"/>
      <c r="I295" s="74"/>
      <c r="J295" s="62"/>
      <c r="L295" s="62"/>
      <c r="M295" s="64"/>
      <c r="N295" s="64"/>
      <c r="O295" s="62"/>
    </row>
    <row r="296" spans="4:15" s="39" customFormat="1">
      <c r="D296" s="56"/>
      <c r="E296" s="56"/>
      <c r="F296" s="58"/>
      <c r="G296" s="58"/>
      <c r="I296" s="74"/>
      <c r="J296" s="62"/>
      <c r="L296" s="62"/>
      <c r="M296" s="64"/>
      <c r="N296" s="64"/>
      <c r="O296" s="62"/>
    </row>
    <row r="297" spans="4:15" s="39" customFormat="1">
      <c r="D297" s="56"/>
      <c r="E297" s="56"/>
      <c r="F297" s="58"/>
      <c r="G297" s="58"/>
      <c r="I297" s="74"/>
      <c r="J297" s="62"/>
      <c r="L297" s="62"/>
      <c r="M297" s="64"/>
      <c r="N297" s="64"/>
      <c r="O297" s="62"/>
    </row>
    <row r="298" spans="4:15" s="39" customFormat="1">
      <c r="D298" s="56"/>
      <c r="E298" s="56"/>
      <c r="F298" s="58"/>
      <c r="G298" s="58"/>
      <c r="I298" s="74"/>
      <c r="J298" s="62"/>
      <c r="L298" s="62"/>
      <c r="M298" s="64"/>
      <c r="N298" s="64"/>
      <c r="O298" s="62"/>
    </row>
    <row r="299" spans="4:15" s="39" customFormat="1">
      <c r="D299" s="56"/>
      <c r="E299" s="56"/>
      <c r="F299" s="58"/>
      <c r="G299" s="58"/>
      <c r="I299" s="74"/>
      <c r="J299" s="62"/>
      <c r="L299" s="62"/>
      <c r="M299" s="64"/>
      <c r="N299" s="64"/>
      <c r="O299" s="62"/>
    </row>
    <row r="300" spans="4:15" s="39" customFormat="1">
      <c r="D300" s="56"/>
      <c r="E300" s="56"/>
      <c r="F300" s="58"/>
      <c r="G300" s="58"/>
      <c r="I300" s="74"/>
      <c r="J300" s="62"/>
      <c r="L300" s="62"/>
      <c r="M300" s="64"/>
      <c r="N300" s="64"/>
      <c r="O300" s="62"/>
    </row>
    <row r="301" spans="4:15" s="39" customFormat="1">
      <c r="D301" s="56"/>
      <c r="E301" s="56"/>
      <c r="F301" s="58"/>
      <c r="G301" s="58"/>
      <c r="I301" s="74"/>
      <c r="J301" s="62"/>
      <c r="L301" s="62"/>
      <c r="M301" s="64"/>
      <c r="N301" s="64"/>
      <c r="O301" s="62"/>
    </row>
    <row r="302" spans="4:15" s="39" customFormat="1">
      <c r="D302" s="56"/>
      <c r="E302" s="56"/>
      <c r="F302" s="58"/>
      <c r="G302" s="58"/>
      <c r="I302" s="74"/>
      <c r="J302" s="62"/>
      <c r="L302" s="62"/>
      <c r="M302" s="64"/>
      <c r="N302" s="64"/>
      <c r="O302" s="62"/>
    </row>
    <row r="303" spans="4:15" s="39" customFormat="1">
      <c r="D303" s="56"/>
      <c r="E303" s="56"/>
      <c r="F303" s="58"/>
      <c r="G303" s="58"/>
      <c r="I303" s="74"/>
      <c r="J303" s="62"/>
      <c r="L303" s="62"/>
      <c r="M303" s="64"/>
      <c r="N303" s="64"/>
      <c r="O303" s="62"/>
    </row>
    <row r="304" spans="4:15" s="39" customFormat="1">
      <c r="D304" s="56"/>
      <c r="E304" s="56"/>
      <c r="F304" s="58"/>
      <c r="G304" s="58"/>
      <c r="I304" s="74"/>
      <c r="J304" s="62"/>
      <c r="L304" s="62"/>
      <c r="M304" s="64"/>
      <c r="N304" s="64"/>
      <c r="O304" s="62"/>
    </row>
    <row r="305" spans="4:15" s="39" customFormat="1">
      <c r="D305" s="56"/>
      <c r="E305" s="56"/>
      <c r="F305" s="58"/>
      <c r="G305" s="58"/>
      <c r="I305" s="74"/>
      <c r="J305" s="62"/>
      <c r="L305" s="62"/>
      <c r="M305" s="64"/>
      <c r="N305" s="64"/>
      <c r="O305" s="62"/>
    </row>
    <row r="306" spans="4:15" s="39" customFormat="1">
      <c r="D306" s="56"/>
      <c r="E306" s="56"/>
      <c r="F306" s="58"/>
      <c r="G306" s="58"/>
      <c r="I306" s="74"/>
      <c r="J306" s="62"/>
      <c r="L306" s="62"/>
      <c r="M306" s="64"/>
      <c r="N306" s="64"/>
      <c r="O306" s="62"/>
    </row>
    <row r="307" spans="4:15" s="39" customFormat="1">
      <c r="D307" s="56"/>
      <c r="E307" s="56"/>
      <c r="F307" s="58"/>
      <c r="G307" s="58"/>
      <c r="I307" s="74"/>
      <c r="J307" s="62"/>
      <c r="L307" s="62"/>
      <c r="M307" s="64"/>
      <c r="N307" s="64"/>
      <c r="O307" s="62"/>
    </row>
    <row r="308" spans="4:15" s="39" customFormat="1">
      <c r="D308" s="56"/>
      <c r="E308" s="56"/>
      <c r="F308" s="58"/>
      <c r="G308" s="58"/>
      <c r="I308" s="74"/>
      <c r="J308" s="62"/>
      <c r="L308" s="62"/>
      <c r="M308" s="64"/>
      <c r="N308" s="64"/>
      <c r="O308" s="62"/>
    </row>
    <row r="309" spans="4:15" s="39" customFormat="1">
      <c r="D309" s="56"/>
      <c r="E309" s="56"/>
      <c r="F309" s="58"/>
      <c r="G309" s="58"/>
      <c r="I309" s="74"/>
      <c r="J309" s="62"/>
      <c r="L309" s="62"/>
      <c r="M309" s="64"/>
      <c r="N309" s="64"/>
      <c r="O309" s="62"/>
    </row>
    <row r="310" spans="4:15" s="39" customFormat="1">
      <c r="D310" s="56"/>
      <c r="E310" s="56"/>
      <c r="F310" s="58"/>
      <c r="G310" s="58"/>
      <c r="I310" s="74"/>
      <c r="J310" s="62"/>
      <c r="L310" s="62"/>
      <c r="M310" s="64"/>
      <c r="N310" s="64"/>
      <c r="O310" s="62"/>
    </row>
    <row r="311" spans="4:15" s="39" customFormat="1">
      <c r="D311" s="56"/>
      <c r="E311" s="56"/>
      <c r="F311" s="58"/>
      <c r="G311" s="58"/>
      <c r="I311" s="74"/>
      <c r="J311" s="62"/>
      <c r="L311" s="62"/>
      <c r="M311" s="64"/>
      <c r="N311" s="64"/>
      <c r="O311" s="62"/>
    </row>
    <row r="312" spans="4:15" s="39" customFormat="1">
      <c r="D312" s="56"/>
      <c r="E312" s="56"/>
      <c r="F312" s="58"/>
      <c r="G312" s="58"/>
      <c r="I312" s="74"/>
      <c r="J312" s="62"/>
      <c r="L312" s="62"/>
      <c r="M312" s="64"/>
      <c r="N312" s="64"/>
      <c r="O312" s="62"/>
    </row>
    <row r="313" spans="4:15" s="39" customFormat="1">
      <c r="D313" s="56"/>
      <c r="E313" s="56"/>
      <c r="F313" s="58"/>
      <c r="G313" s="58"/>
      <c r="I313" s="74"/>
      <c r="J313" s="62"/>
      <c r="L313" s="62"/>
      <c r="M313" s="64"/>
      <c r="N313" s="64"/>
      <c r="O313" s="62"/>
    </row>
    <row r="314" spans="4:15" s="39" customFormat="1">
      <c r="D314" s="56"/>
      <c r="E314" s="56"/>
      <c r="F314" s="58"/>
      <c r="G314" s="58"/>
      <c r="I314" s="74"/>
      <c r="J314" s="62"/>
      <c r="L314" s="62"/>
      <c r="M314" s="64"/>
      <c r="N314" s="64"/>
      <c r="O314" s="62"/>
    </row>
    <row r="315" spans="4:15" s="39" customFormat="1">
      <c r="D315" s="56"/>
      <c r="E315" s="56"/>
      <c r="F315" s="58"/>
      <c r="G315" s="58"/>
      <c r="I315" s="74"/>
      <c r="J315" s="62"/>
      <c r="L315" s="62"/>
      <c r="M315" s="64"/>
      <c r="N315" s="64"/>
      <c r="O315" s="62"/>
    </row>
    <row r="316" spans="4:15" s="39" customFormat="1">
      <c r="D316" s="56"/>
      <c r="E316" s="56"/>
      <c r="F316" s="58"/>
      <c r="G316" s="58"/>
      <c r="I316" s="74"/>
      <c r="J316" s="62"/>
      <c r="L316" s="62"/>
      <c r="M316" s="64"/>
      <c r="N316" s="64"/>
      <c r="O316" s="62"/>
    </row>
    <row r="317" spans="4:15" s="39" customFormat="1">
      <c r="D317" s="56"/>
      <c r="E317" s="56"/>
      <c r="F317" s="58"/>
      <c r="G317" s="58"/>
      <c r="I317" s="74"/>
      <c r="J317" s="62"/>
      <c r="L317" s="62"/>
      <c r="M317" s="64"/>
      <c r="N317" s="64"/>
      <c r="O317" s="62"/>
    </row>
    <row r="318" spans="4:15" s="39" customFormat="1">
      <c r="D318" s="56"/>
      <c r="E318" s="56"/>
      <c r="F318" s="58"/>
      <c r="G318" s="58"/>
      <c r="I318" s="74"/>
      <c r="J318" s="62"/>
      <c r="L318" s="62"/>
      <c r="M318" s="64"/>
      <c r="N318" s="64"/>
      <c r="O318" s="62"/>
    </row>
    <row r="319" spans="4:15" s="39" customFormat="1">
      <c r="D319" s="56"/>
      <c r="E319" s="56"/>
      <c r="F319" s="58"/>
      <c r="G319" s="58"/>
      <c r="I319" s="74"/>
      <c r="J319" s="62"/>
      <c r="L319" s="62"/>
      <c r="M319" s="64"/>
      <c r="N319" s="64"/>
      <c r="O319" s="62"/>
    </row>
    <row r="320" spans="4:15" s="39" customFormat="1">
      <c r="D320" s="56"/>
      <c r="E320" s="56"/>
      <c r="F320" s="58"/>
      <c r="G320" s="58"/>
      <c r="I320" s="74"/>
      <c r="J320" s="62"/>
      <c r="L320" s="62"/>
      <c r="M320" s="64"/>
      <c r="N320" s="64"/>
      <c r="O320" s="62"/>
    </row>
    <row r="321" spans="4:15" s="39" customFormat="1">
      <c r="D321" s="56"/>
      <c r="E321" s="56"/>
      <c r="F321" s="58"/>
      <c r="G321" s="58"/>
      <c r="I321" s="74"/>
      <c r="J321" s="62"/>
      <c r="L321" s="62"/>
      <c r="M321" s="64"/>
      <c r="N321" s="64"/>
      <c r="O321" s="62"/>
    </row>
    <row r="322" spans="4:15" s="39" customFormat="1">
      <c r="D322" s="56"/>
      <c r="E322" s="56"/>
      <c r="F322" s="58"/>
      <c r="G322" s="58"/>
      <c r="I322" s="74"/>
      <c r="J322" s="62"/>
      <c r="L322" s="62"/>
      <c r="M322" s="64"/>
      <c r="N322" s="64"/>
      <c r="O322" s="62"/>
    </row>
    <row r="323" spans="4:15" s="39" customFormat="1">
      <c r="D323" s="56"/>
      <c r="E323" s="56"/>
      <c r="F323" s="58"/>
      <c r="G323" s="58"/>
      <c r="I323" s="74"/>
      <c r="J323" s="62"/>
      <c r="L323" s="62"/>
      <c r="M323" s="64"/>
      <c r="N323" s="64"/>
      <c r="O323" s="62"/>
    </row>
    <row r="324" spans="4:15" s="39" customFormat="1">
      <c r="D324" s="56"/>
      <c r="E324" s="56"/>
      <c r="F324" s="58"/>
      <c r="G324" s="58"/>
      <c r="I324" s="74"/>
      <c r="J324" s="62"/>
      <c r="L324" s="62"/>
      <c r="M324" s="64"/>
      <c r="N324" s="64"/>
      <c r="O324" s="62"/>
    </row>
    <row r="325" spans="4:15" s="39" customFormat="1">
      <c r="D325" s="56"/>
      <c r="E325" s="56"/>
      <c r="F325" s="58"/>
      <c r="G325" s="58"/>
      <c r="I325" s="74"/>
      <c r="J325" s="62"/>
      <c r="L325" s="62"/>
      <c r="M325" s="64"/>
      <c r="N325" s="64"/>
      <c r="O325" s="62"/>
    </row>
    <row r="326" spans="4:15" s="39" customFormat="1">
      <c r="D326" s="56"/>
      <c r="E326" s="56"/>
      <c r="F326" s="58"/>
      <c r="G326" s="58"/>
      <c r="I326" s="74"/>
      <c r="J326" s="62"/>
      <c r="L326" s="62"/>
      <c r="M326" s="64"/>
      <c r="N326" s="64"/>
      <c r="O326" s="62"/>
    </row>
    <row r="327" spans="4:15" s="39" customFormat="1">
      <c r="D327" s="56"/>
      <c r="E327" s="56"/>
      <c r="F327" s="58"/>
      <c r="G327" s="58"/>
      <c r="I327" s="74"/>
      <c r="J327" s="62"/>
      <c r="L327" s="62"/>
      <c r="M327" s="64"/>
      <c r="N327" s="64"/>
      <c r="O327" s="62"/>
    </row>
    <row r="328" spans="4:15" s="39" customFormat="1">
      <c r="D328" s="56"/>
      <c r="E328" s="56"/>
      <c r="F328" s="58"/>
      <c r="G328" s="58"/>
      <c r="I328" s="74"/>
      <c r="J328" s="62"/>
      <c r="L328" s="62"/>
      <c r="M328" s="64"/>
      <c r="N328" s="64"/>
      <c r="O328" s="62"/>
    </row>
    <row r="329" spans="4:15" s="39" customFormat="1">
      <c r="D329" s="56"/>
      <c r="E329" s="56"/>
      <c r="F329" s="58"/>
      <c r="G329" s="58"/>
      <c r="I329" s="74"/>
      <c r="J329" s="62"/>
      <c r="L329" s="62"/>
      <c r="M329" s="64"/>
      <c r="N329" s="64"/>
      <c r="O329" s="62"/>
    </row>
    <row r="330" spans="4:15" s="39" customFormat="1">
      <c r="D330" s="56"/>
      <c r="E330" s="56"/>
      <c r="F330" s="58"/>
      <c r="G330" s="58"/>
      <c r="I330" s="74"/>
      <c r="J330" s="62"/>
      <c r="L330" s="62"/>
      <c r="M330" s="64"/>
      <c r="N330" s="64"/>
      <c r="O330" s="62"/>
    </row>
    <row r="331" spans="4:15" s="39" customFormat="1">
      <c r="D331" s="56"/>
      <c r="E331" s="56"/>
      <c r="F331" s="58"/>
      <c r="G331" s="58"/>
      <c r="I331" s="74"/>
      <c r="J331" s="62"/>
      <c r="L331" s="62"/>
      <c r="M331" s="64"/>
      <c r="N331" s="64"/>
      <c r="O331" s="62"/>
    </row>
    <row r="332" spans="4:15" s="39" customFormat="1">
      <c r="D332" s="56"/>
      <c r="E332" s="56"/>
      <c r="F332" s="58"/>
      <c r="G332" s="58"/>
      <c r="I332" s="74"/>
      <c r="J332" s="62"/>
      <c r="L332" s="62"/>
      <c r="M332" s="64"/>
      <c r="N332" s="64"/>
      <c r="O332" s="62"/>
    </row>
    <row r="333" spans="4:15" s="39" customFormat="1">
      <c r="D333" s="56"/>
      <c r="E333" s="56"/>
      <c r="F333" s="58"/>
      <c r="G333" s="58"/>
      <c r="I333" s="74"/>
      <c r="J333" s="62"/>
      <c r="L333" s="62"/>
      <c r="M333" s="64"/>
      <c r="N333" s="64"/>
      <c r="O333" s="62"/>
    </row>
    <row r="334" spans="4:15" s="39" customFormat="1">
      <c r="D334" s="56"/>
      <c r="E334" s="56"/>
      <c r="F334" s="58"/>
      <c r="G334" s="58"/>
      <c r="I334" s="74"/>
      <c r="J334" s="62"/>
      <c r="L334" s="62"/>
      <c r="M334" s="64"/>
      <c r="N334" s="64"/>
      <c r="O334" s="62"/>
    </row>
    <row r="335" spans="4:15" s="39" customFormat="1">
      <c r="D335" s="56"/>
      <c r="E335" s="56"/>
      <c r="F335" s="58"/>
      <c r="G335" s="58"/>
      <c r="I335" s="74"/>
      <c r="J335" s="62"/>
      <c r="L335" s="62"/>
      <c r="M335" s="64"/>
      <c r="N335" s="64"/>
      <c r="O335" s="62"/>
    </row>
    <row r="336" spans="4:15" s="39" customFormat="1">
      <c r="D336" s="56"/>
      <c r="E336" s="56"/>
      <c r="F336" s="58"/>
      <c r="G336" s="58"/>
      <c r="I336" s="74"/>
      <c r="J336" s="62"/>
      <c r="L336" s="62"/>
      <c r="M336" s="64"/>
      <c r="N336" s="64"/>
      <c r="O336" s="62"/>
    </row>
    <row r="337" spans="4:15" s="39" customFormat="1">
      <c r="D337" s="56"/>
      <c r="E337" s="56"/>
      <c r="F337" s="58"/>
      <c r="G337" s="58"/>
      <c r="I337" s="74"/>
      <c r="J337" s="62"/>
      <c r="L337" s="62"/>
      <c r="M337" s="64"/>
      <c r="N337" s="64"/>
      <c r="O337" s="62"/>
    </row>
    <row r="338" spans="4:15" s="39" customFormat="1">
      <c r="D338" s="56"/>
      <c r="E338" s="56"/>
      <c r="F338" s="58"/>
      <c r="G338" s="58"/>
      <c r="I338" s="74"/>
      <c r="J338" s="62"/>
      <c r="L338" s="62"/>
      <c r="M338" s="64"/>
      <c r="N338" s="64"/>
      <c r="O338" s="62"/>
    </row>
    <row r="339" spans="4:15" s="39" customFormat="1">
      <c r="D339" s="56"/>
      <c r="E339" s="56"/>
      <c r="F339" s="58"/>
      <c r="G339" s="58"/>
      <c r="I339" s="74"/>
      <c r="J339" s="62"/>
      <c r="L339" s="62"/>
      <c r="M339" s="64"/>
      <c r="N339" s="64"/>
      <c r="O339" s="62"/>
    </row>
    <row r="340" spans="4:15" s="39" customFormat="1">
      <c r="D340" s="56"/>
      <c r="E340" s="56"/>
      <c r="F340" s="58"/>
      <c r="G340" s="58"/>
      <c r="I340" s="74"/>
      <c r="J340" s="62"/>
      <c r="L340" s="62"/>
      <c r="M340" s="64"/>
      <c r="N340" s="64"/>
      <c r="O340" s="62"/>
    </row>
    <row r="341" spans="4:15" s="39" customFormat="1">
      <c r="D341" s="56"/>
      <c r="E341" s="56"/>
      <c r="F341" s="58"/>
      <c r="G341" s="58"/>
      <c r="I341" s="74"/>
      <c r="J341" s="62"/>
      <c r="L341" s="62"/>
      <c r="M341" s="64"/>
      <c r="N341" s="64"/>
      <c r="O341" s="62"/>
    </row>
    <row r="342" spans="4:15" s="39" customFormat="1">
      <c r="D342" s="56"/>
      <c r="E342" s="56"/>
      <c r="F342" s="58"/>
      <c r="G342" s="58"/>
      <c r="I342" s="74"/>
      <c r="J342" s="62"/>
      <c r="L342" s="62"/>
      <c r="M342" s="64"/>
      <c r="N342" s="64"/>
      <c r="O342" s="62"/>
    </row>
    <row r="343" spans="4:15" s="39" customFormat="1">
      <c r="D343" s="56"/>
      <c r="E343" s="56"/>
      <c r="F343" s="58"/>
      <c r="G343" s="58"/>
      <c r="I343" s="74"/>
      <c r="J343" s="62"/>
      <c r="L343" s="62"/>
      <c r="M343" s="64"/>
      <c r="N343" s="64"/>
      <c r="O343" s="62"/>
    </row>
    <row r="344" spans="4:15" s="39" customFormat="1">
      <c r="D344" s="56"/>
      <c r="E344" s="56"/>
      <c r="F344" s="58"/>
      <c r="G344" s="58"/>
      <c r="I344" s="74"/>
      <c r="J344" s="62"/>
      <c r="L344" s="62"/>
      <c r="M344" s="64"/>
      <c r="N344" s="64"/>
      <c r="O344" s="62"/>
    </row>
    <row r="345" spans="4:15" s="39" customFormat="1">
      <c r="D345" s="56"/>
      <c r="E345" s="56"/>
      <c r="F345" s="58"/>
      <c r="G345" s="58"/>
      <c r="I345" s="74"/>
      <c r="J345" s="62"/>
      <c r="L345" s="62"/>
      <c r="M345" s="64"/>
      <c r="N345" s="64"/>
      <c r="O345" s="62"/>
    </row>
    <row r="346" spans="4:15" s="39" customFormat="1">
      <c r="D346" s="56"/>
      <c r="E346" s="56"/>
      <c r="F346" s="58"/>
      <c r="G346" s="58"/>
      <c r="I346" s="74"/>
      <c r="J346" s="62"/>
      <c r="L346" s="62"/>
      <c r="M346" s="64"/>
      <c r="N346" s="64"/>
      <c r="O346" s="62"/>
    </row>
    <row r="347" spans="4:15" s="39" customFormat="1">
      <c r="D347" s="56"/>
      <c r="E347" s="56"/>
      <c r="F347" s="58"/>
      <c r="G347" s="58"/>
      <c r="I347" s="74"/>
      <c r="J347" s="62"/>
      <c r="L347" s="62"/>
      <c r="M347" s="64"/>
      <c r="N347" s="64"/>
      <c r="O347" s="62"/>
    </row>
    <row r="348" spans="4:15" s="39" customFormat="1">
      <c r="D348" s="56"/>
      <c r="E348" s="56"/>
      <c r="F348" s="58"/>
      <c r="G348" s="58"/>
      <c r="I348" s="74"/>
      <c r="J348" s="62"/>
      <c r="L348" s="62"/>
      <c r="M348" s="64"/>
      <c r="N348" s="64"/>
      <c r="O348" s="62"/>
    </row>
    <row r="349" spans="4:15" s="39" customFormat="1">
      <c r="D349" s="56"/>
      <c r="E349" s="56"/>
      <c r="F349" s="58"/>
      <c r="G349" s="58"/>
      <c r="I349" s="74"/>
      <c r="J349" s="62"/>
      <c r="L349" s="62"/>
      <c r="M349" s="64"/>
      <c r="N349" s="64"/>
      <c r="O349" s="62"/>
    </row>
    <row r="350" spans="4:15" s="39" customFormat="1">
      <c r="D350" s="56"/>
      <c r="E350" s="56"/>
      <c r="F350" s="58"/>
      <c r="G350" s="58"/>
      <c r="I350" s="74"/>
      <c r="J350" s="62"/>
      <c r="L350" s="62"/>
      <c r="M350" s="64"/>
      <c r="N350" s="64"/>
      <c r="O350" s="62"/>
    </row>
    <row r="351" spans="4:15" s="39" customFormat="1">
      <c r="D351" s="56"/>
      <c r="E351" s="56"/>
      <c r="F351" s="58"/>
      <c r="G351" s="58"/>
      <c r="I351" s="74"/>
      <c r="J351" s="62"/>
      <c r="L351" s="62"/>
      <c r="M351" s="64"/>
      <c r="N351" s="64"/>
      <c r="O351" s="62"/>
    </row>
    <row r="352" spans="4:15" s="39" customFormat="1">
      <c r="D352" s="56"/>
      <c r="E352" s="56"/>
      <c r="F352" s="58"/>
      <c r="G352" s="58"/>
      <c r="I352" s="74"/>
      <c r="J352" s="62"/>
      <c r="L352" s="62"/>
      <c r="M352" s="64"/>
      <c r="N352" s="64"/>
      <c r="O352" s="62"/>
    </row>
    <row r="353" spans="4:15" s="39" customFormat="1">
      <c r="D353" s="56"/>
      <c r="E353" s="56"/>
      <c r="F353" s="58"/>
      <c r="G353" s="58"/>
      <c r="I353" s="74"/>
      <c r="J353" s="62"/>
      <c r="L353" s="62"/>
      <c r="M353" s="64"/>
      <c r="N353" s="64"/>
      <c r="O353" s="62"/>
    </row>
    <row r="354" spans="4:15" s="39" customFormat="1">
      <c r="D354" s="56"/>
      <c r="E354" s="56"/>
      <c r="F354" s="58"/>
      <c r="G354" s="58"/>
      <c r="I354" s="74"/>
      <c r="J354" s="62"/>
      <c r="L354" s="62"/>
      <c r="M354" s="64"/>
      <c r="N354" s="64"/>
      <c r="O354" s="62"/>
    </row>
    <row r="355" spans="4:15" s="39" customFormat="1">
      <c r="D355" s="56"/>
      <c r="E355" s="56"/>
      <c r="F355" s="58"/>
      <c r="G355" s="58"/>
      <c r="I355" s="74"/>
      <c r="J355" s="62"/>
      <c r="L355" s="62"/>
      <c r="M355" s="64"/>
      <c r="N355" s="64"/>
      <c r="O355" s="62"/>
    </row>
    <row r="356" spans="4:15" s="39" customFormat="1">
      <c r="D356" s="56"/>
      <c r="E356" s="56"/>
      <c r="F356" s="58"/>
      <c r="G356" s="58"/>
      <c r="I356" s="74"/>
      <c r="J356" s="62"/>
      <c r="L356" s="62"/>
      <c r="M356" s="64"/>
      <c r="N356" s="64"/>
      <c r="O356" s="62"/>
    </row>
    <row r="357" spans="4:15" s="39" customFormat="1">
      <c r="D357" s="56"/>
      <c r="E357" s="56"/>
      <c r="F357" s="58"/>
      <c r="G357" s="58"/>
      <c r="I357" s="74"/>
      <c r="J357" s="62"/>
      <c r="L357" s="62"/>
      <c r="M357" s="64"/>
      <c r="N357" s="64"/>
      <c r="O357" s="62"/>
    </row>
    <row r="358" spans="4:15" s="39" customFormat="1">
      <c r="D358" s="56"/>
      <c r="E358" s="56"/>
      <c r="F358" s="58"/>
      <c r="G358" s="58"/>
      <c r="I358" s="74"/>
      <c r="J358" s="62"/>
      <c r="L358" s="62"/>
      <c r="M358" s="64"/>
      <c r="N358" s="64"/>
      <c r="O358" s="62"/>
    </row>
    <row r="359" spans="4:15" s="39" customFormat="1">
      <c r="D359" s="56"/>
      <c r="E359" s="56"/>
      <c r="F359" s="58"/>
      <c r="G359" s="58"/>
      <c r="I359" s="74"/>
      <c r="J359" s="62"/>
      <c r="L359" s="62"/>
      <c r="M359" s="64"/>
      <c r="N359" s="64"/>
      <c r="O359" s="62"/>
    </row>
    <row r="360" spans="4:15" s="39" customFormat="1">
      <c r="D360" s="56"/>
      <c r="E360" s="56"/>
      <c r="F360" s="58"/>
      <c r="G360" s="58"/>
      <c r="I360" s="74"/>
      <c r="J360" s="62"/>
      <c r="L360" s="62"/>
      <c r="M360" s="64"/>
      <c r="N360" s="64"/>
      <c r="O360" s="62"/>
    </row>
    <row r="361" spans="4:15" s="39" customFormat="1">
      <c r="D361" s="56"/>
      <c r="E361" s="56"/>
      <c r="F361" s="58"/>
      <c r="G361" s="58"/>
      <c r="I361" s="74"/>
      <c r="J361" s="62"/>
      <c r="L361" s="62"/>
      <c r="M361" s="64"/>
      <c r="N361" s="64"/>
      <c r="O361" s="62"/>
    </row>
    <row r="362" spans="4:15" s="39" customFormat="1">
      <c r="D362" s="56"/>
      <c r="E362" s="56"/>
      <c r="F362" s="58"/>
      <c r="G362" s="58"/>
      <c r="I362" s="74"/>
      <c r="J362" s="62"/>
      <c r="L362" s="62"/>
      <c r="M362" s="64"/>
      <c r="N362" s="64"/>
      <c r="O362" s="62"/>
    </row>
    <row r="363" spans="4:15" s="39" customFormat="1">
      <c r="D363" s="56"/>
      <c r="E363" s="56"/>
      <c r="F363" s="58"/>
      <c r="G363" s="58"/>
      <c r="I363" s="74"/>
      <c r="J363" s="62"/>
      <c r="L363" s="62"/>
      <c r="M363" s="64"/>
      <c r="N363" s="64"/>
      <c r="O363" s="62"/>
    </row>
    <row r="364" spans="4:15" s="39" customFormat="1">
      <c r="D364" s="56"/>
      <c r="E364" s="56"/>
      <c r="F364" s="58"/>
      <c r="G364" s="58"/>
      <c r="I364" s="74"/>
      <c r="J364" s="62"/>
      <c r="L364" s="62"/>
      <c r="M364" s="64"/>
      <c r="N364" s="64"/>
      <c r="O364" s="62"/>
    </row>
    <row r="365" spans="4:15" s="39" customFormat="1">
      <c r="D365" s="56"/>
      <c r="E365" s="56"/>
      <c r="F365" s="58"/>
      <c r="G365" s="58"/>
      <c r="I365" s="74"/>
      <c r="J365" s="62"/>
      <c r="L365" s="62"/>
      <c r="M365" s="64"/>
      <c r="N365" s="64"/>
      <c r="O365" s="62"/>
    </row>
    <row r="366" spans="4:15" s="39" customFormat="1">
      <c r="D366" s="56"/>
      <c r="E366" s="56"/>
      <c r="F366" s="58"/>
      <c r="G366" s="58"/>
      <c r="I366" s="74"/>
      <c r="J366" s="62"/>
      <c r="L366" s="62"/>
      <c r="M366" s="64"/>
      <c r="N366" s="64"/>
      <c r="O366" s="62"/>
    </row>
    <row r="367" spans="4:15" s="39" customFormat="1">
      <c r="D367" s="56"/>
      <c r="E367" s="56"/>
      <c r="F367" s="58"/>
      <c r="G367" s="58"/>
      <c r="I367" s="74"/>
      <c r="J367" s="62"/>
      <c r="L367" s="62"/>
      <c r="M367" s="64"/>
      <c r="N367" s="64"/>
      <c r="O367" s="62"/>
    </row>
    <row r="368" spans="4:15" s="39" customFormat="1">
      <c r="D368" s="56"/>
      <c r="E368" s="56"/>
      <c r="F368" s="58"/>
      <c r="G368" s="58"/>
      <c r="I368" s="74"/>
      <c r="J368" s="62"/>
      <c r="L368" s="62"/>
      <c r="M368" s="64"/>
      <c r="N368" s="64"/>
      <c r="O368" s="62"/>
    </row>
    <row r="369" spans="4:15" s="39" customFormat="1">
      <c r="D369" s="56"/>
      <c r="E369" s="56"/>
      <c r="F369" s="58"/>
      <c r="G369" s="58"/>
      <c r="I369" s="74"/>
      <c r="J369" s="62"/>
      <c r="L369" s="62"/>
      <c r="M369" s="64"/>
      <c r="N369" s="64"/>
      <c r="O369" s="62"/>
    </row>
    <row r="370" spans="4:15" s="39" customFormat="1">
      <c r="D370" s="56"/>
      <c r="E370" s="56"/>
      <c r="F370" s="58"/>
      <c r="G370" s="58"/>
      <c r="I370" s="74"/>
      <c r="J370" s="62"/>
      <c r="L370" s="62"/>
      <c r="M370" s="64"/>
      <c r="N370" s="64"/>
      <c r="O370" s="62"/>
    </row>
    <row r="371" spans="4:15" s="39" customFormat="1">
      <c r="D371" s="56"/>
      <c r="E371" s="56"/>
      <c r="F371" s="58"/>
      <c r="G371" s="58"/>
      <c r="I371" s="74"/>
      <c r="J371" s="62"/>
      <c r="L371" s="62"/>
      <c r="M371" s="64"/>
      <c r="N371" s="64"/>
      <c r="O371" s="62"/>
    </row>
    <row r="372" spans="4:15" s="39" customFormat="1">
      <c r="D372" s="56"/>
      <c r="E372" s="56"/>
      <c r="F372" s="58"/>
      <c r="G372" s="58"/>
      <c r="I372" s="74"/>
      <c r="J372" s="62"/>
      <c r="L372" s="62"/>
      <c r="M372" s="64"/>
      <c r="N372" s="64"/>
      <c r="O372" s="62"/>
    </row>
    <row r="373" spans="4:15" s="39" customFormat="1">
      <c r="D373" s="56"/>
      <c r="E373" s="56"/>
      <c r="F373" s="58"/>
      <c r="G373" s="58"/>
      <c r="I373" s="74"/>
      <c r="J373" s="62"/>
      <c r="L373" s="62"/>
      <c r="M373" s="64"/>
      <c r="N373" s="64"/>
      <c r="O373" s="62"/>
    </row>
    <row r="374" spans="4:15" s="39" customFormat="1">
      <c r="D374" s="56"/>
      <c r="E374" s="56"/>
      <c r="F374" s="58"/>
      <c r="G374" s="58"/>
      <c r="I374" s="74"/>
      <c r="J374" s="62"/>
      <c r="L374" s="62"/>
      <c r="M374" s="64"/>
      <c r="N374" s="64"/>
      <c r="O374" s="62"/>
    </row>
    <row r="375" spans="4:15" s="39" customFormat="1">
      <c r="D375" s="56"/>
      <c r="E375" s="56"/>
      <c r="F375" s="58"/>
      <c r="G375" s="58"/>
      <c r="I375" s="74"/>
      <c r="J375" s="62"/>
      <c r="L375" s="62"/>
      <c r="M375" s="64"/>
      <c r="N375" s="64"/>
      <c r="O375" s="62"/>
    </row>
    <row r="376" spans="4:15" s="39" customFormat="1">
      <c r="D376" s="56"/>
      <c r="E376" s="56"/>
      <c r="F376" s="58"/>
      <c r="G376" s="58"/>
      <c r="I376" s="74"/>
      <c r="J376" s="62"/>
      <c r="L376" s="62"/>
      <c r="M376" s="64"/>
      <c r="N376" s="64"/>
      <c r="O376" s="62"/>
    </row>
    <row r="377" spans="4:15" s="39" customFormat="1">
      <c r="D377" s="56"/>
      <c r="E377" s="56"/>
      <c r="F377" s="58"/>
      <c r="G377" s="58"/>
      <c r="I377" s="74"/>
      <c r="J377" s="62"/>
      <c r="L377" s="62"/>
      <c r="M377" s="64"/>
      <c r="N377" s="64"/>
      <c r="O377" s="62"/>
    </row>
    <row r="378" spans="4:15" s="39" customFormat="1">
      <c r="D378" s="56"/>
      <c r="E378" s="56"/>
      <c r="F378" s="58"/>
      <c r="G378" s="58"/>
      <c r="I378" s="74"/>
      <c r="J378" s="62"/>
      <c r="L378" s="62"/>
      <c r="M378" s="64"/>
      <c r="N378" s="64"/>
      <c r="O378" s="62"/>
    </row>
    <row r="379" spans="4:15" s="39" customFormat="1">
      <c r="D379" s="56"/>
      <c r="E379" s="56"/>
      <c r="F379" s="58"/>
      <c r="G379" s="58"/>
      <c r="I379" s="74"/>
      <c r="J379" s="62"/>
      <c r="L379" s="62"/>
      <c r="M379" s="64"/>
      <c r="N379" s="64"/>
      <c r="O379" s="62"/>
    </row>
    <row r="380" spans="4:15" s="39" customFormat="1">
      <c r="D380" s="56"/>
      <c r="E380" s="56"/>
      <c r="F380" s="58"/>
      <c r="G380" s="58"/>
      <c r="I380" s="74"/>
      <c r="J380" s="62"/>
      <c r="L380" s="62"/>
      <c r="M380" s="64"/>
      <c r="N380" s="64"/>
      <c r="O380" s="62"/>
    </row>
    <row r="381" spans="4:15" s="39" customFormat="1">
      <c r="D381" s="56"/>
      <c r="E381" s="56"/>
      <c r="F381" s="58"/>
      <c r="G381" s="58"/>
      <c r="I381" s="74"/>
      <c r="J381" s="62"/>
      <c r="L381" s="62"/>
      <c r="M381" s="64"/>
      <c r="N381" s="64"/>
      <c r="O381" s="62"/>
    </row>
    <row r="382" spans="4:15" s="39" customFormat="1">
      <c r="D382" s="56"/>
      <c r="E382" s="56"/>
      <c r="F382" s="58"/>
      <c r="G382" s="58"/>
      <c r="I382" s="74"/>
      <c r="J382" s="62"/>
      <c r="L382" s="62"/>
      <c r="M382" s="64"/>
      <c r="N382" s="64"/>
      <c r="O382" s="62"/>
    </row>
    <row r="383" spans="4:15" s="39" customFormat="1">
      <c r="D383" s="56"/>
      <c r="E383" s="56"/>
      <c r="F383" s="58"/>
      <c r="G383" s="58"/>
      <c r="I383" s="74"/>
      <c r="J383" s="62"/>
      <c r="L383" s="62"/>
      <c r="M383" s="64"/>
      <c r="N383" s="64"/>
      <c r="O383" s="62"/>
    </row>
    <row r="384" spans="4:15" s="39" customFormat="1">
      <c r="D384" s="56"/>
      <c r="E384" s="56"/>
      <c r="F384" s="58"/>
      <c r="G384" s="58"/>
      <c r="I384" s="74"/>
      <c r="J384" s="62"/>
      <c r="L384" s="62"/>
      <c r="M384" s="64"/>
      <c r="N384" s="64"/>
      <c r="O384" s="62"/>
    </row>
    <row r="385" spans="4:15" s="39" customFormat="1">
      <c r="D385" s="56"/>
      <c r="E385" s="56"/>
      <c r="F385" s="58"/>
      <c r="G385" s="58"/>
      <c r="I385" s="74"/>
      <c r="J385" s="62"/>
      <c r="L385" s="62"/>
      <c r="M385" s="64"/>
      <c r="N385" s="64"/>
      <c r="O385" s="62"/>
    </row>
    <row r="386" spans="4:15" s="39" customFormat="1">
      <c r="D386" s="56"/>
      <c r="E386" s="56"/>
      <c r="F386" s="58"/>
      <c r="G386" s="58"/>
      <c r="I386" s="74"/>
      <c r="J386" s="62"/>
      <c r="L386" s="62"/>
      <c r="M386" s="64"/>
      <c r="N386" s="64"/>
      <c r="O386" s="62"/>
    </row>
    <row r="387" spans="4:15" s="39" customFormat="1">
      <c r="D387" s="56"/>
      <c r="E387" s="56"/>
      <c r="F387" s="58"/>
      <c r="G387" s="58"/>
      <c r="I387" s="74"/>
      <c r="J387" s="62"/>
      <c r="L387" s="62"/>
      <c r="M387" s="64"/>
      <c r="N387" s="64"/>
      <c r="O387" s="62"/>
    </row>
    <row r="388" spans="4:15" s="39" customFormat="1">
      <c r="D388" s="56"/>
      <c r="E388" s="56"/>
      <c r="F388" s="58"/>
      <c r="G388" s="58"/>
      <c r="I388" s="74"/>
      <c r="J388" s="62"/>
      <c r="L388" s="62"/>
      <c r="M388" s="64"/>
      <c r="N388" s="64"/>
      <c r="O388" s="62"/>
    </row>
    <row r="389" spans="4:15" s="39" customFormat="1">
      <c r="D389" s="56"/>
      <c r="E389" s="56"/>
      <c r="F389" s="58"/>
      <c r="G389" s="58"/>
      <c r="I389" s="74"/>
      <c r="J389" s="62"/>
      <c r="L389" s="62"/>
      <c r="M389" s="64"/>
      <c r="N389" s="64"/>
      <c r="O389" s="62"/>
    </row>
    <row r="390" spans="4:15" s="39" customFormat="1">
      <c r="D390" s="56"/>
      <c r="E390" s="56"/>
      <c r="F390" s="58"/>
      <c r="G390" s="58"/>
      <c r="I390" s="74"/>
      <c r="J390" s="62"/>
      <c r="L390" s="62"/>
      <c r="M390" s="64"/>
      <c r="N390" s="64"/>
      <c r="O390" s="62"/>
    </row>
    <row r="391" spans="4:15" s="39" customFormat="1">
      <c r="D391" s="56"/>
      <c r="E391" s="56"/>
      <c r="F391" s="58"/>
      <c r="G391" s="58"/>
      <c r="I391" s="74"/>
      <c r="J391" s="62"/>
      <c r="L391" s="62"/>
      <c r="M391" s="64"/>
      <c r="N391" s="64"/>
      <c r="O391" s="62"/>
    </row>
    <row r="392" spans="4:15" s="39" customFormat="1">
      <c r="D392" s="56"/>
      <c r="E392" s="56"/>
      <c r="F392" s="58"/>
      <c r="G392" s="58"/>
      <c r="I392" s="74"/>
      <c r="J392" s="62"/>
      <c r="L392" s="62"/>
      <c r="M392" s="64"/>
      <c r="N392" s="64"/>
      <c r="O392" s="62"/>
    </row>
    <row r="393" spans="4:15" s="39" customFormat="1">
      <c r="D393" s="56"/>
      <c r="E393" s="56"/>
      <c r="F393" s="58"/>
      <c r="G393" s="58"/>
      <c r="I393" s="74"/>
      <c r="J393" s="62"/>
      <c r="L393" s="62"/>
      <c r="M393" s="64"/>
      <c r="N393" s="64"/>
      <c r="O393" s="62"/>
    </row>
    <row r="394" spans="4:15" s="39" customFormat="1">
      <c r="D394" s="56"/>
      <c r="E394" s="56"/>
      <c r="F394" s="58"/>
      <c r="G394" s="58"/>
      <c r="I394" s="74"/>
      <c r="J394" s="62"/>
      <c r="L394" s="62"/>
      <c r="M394" s="64"/>
      <c r="N394" s="64"/>
      <c r="O394" s="62"/>
    </row>
    <row r="395" spans="4:15" s="39" customFormat="1">
      <c r="D395" s="56"/>
      <c r="E395" s="56"/>
      <c r="F395" s="58"/>
      <c r="G395" s="58"/>
      <c r="I395" s="74"/>
      <c r="J395" s="62"/>
      <c r="L395" s="62"/>
      <c r="M395" s="64"/>
      <c r="N395" s="64"/>
      <c r="O395" s="62"/>
    </row>
    <row r="396" spans="4:15" s="39" customFormat="1">
      <c r="D396" s="56"/>
      <c r="E396" s="56"/>
      <c r="F396" s="58"/>
      <c r="G396" s="58"/>
      <c r="I396" s="74"/>
      <c r="J396" s="62"/>
      <c r="L396" s="62"/>
      <c r="M396" s="64"/>
      <c r="N396" s="64"/>
      <c r="O396" s="62"/>
    </row>
    <row r="397" spans="4:15" s="39" customFormat="1">
      <c r="D397" s="56"/>
      <c r="E397" s="56"/>
      <c r="F397" s="58"/>
      <c r="G397" s="58"/>
      <c r="I397" s="74"/>
      <c r="J397" s="62"/>
      <c r="L397" s="62"/>
      <c r="M397" s="64"/>
      <c r="N397" s="64"/>
      <c r="O397" s="62"/>
    </row>
    <row r="398" spans="4:15" s="39" customFormat="1">
      <c r="D398" s="56"/>
      <c r="E398" s="56"/>
      <c r="F398" s="58"/>
      <c r="G398" s="58"/>
      <c r="I398" s="74"/>
      <c r="J398" s="62"/>
      <c r="L398" s="62"/>
      <c r="M398" s="64"/>
      <c r="N398" s="64"/>
      <c r="O398" s="62"/>
    </row>
    <row r="399" spans="4:15" s="39" customFormat="1">
      <c r="D399" s="56"/>
      <c r="E399" s="56"/>
      <c r="F399" s="58"/>
      <c r="G399" s="58"/>
      <c r="I399" s="74"/>
      <c r="J399" s="62"/>
      <c r="L399" s="62"/>
      <c r="M399" s="64"/>
      <c r="N399" s="64"/>
      <c r="O399" s="62"/>
    </row>
    <row r="400" spans="4:15" s="39" customFormat="1">
      <c r="D400" s="56"/>
      <c r="E400" s="56"/>
      <c r="F400" s="58"/>
      <c r="G400" s="58"/>
      <c r="I400" s="74"/>
      <c r="J400" s="62"/>
      <c r="L400" s="62"/>
      <c r="M400" s="64"/>
      <c r="N400" s="64"/>
      <c r="O400" s="62"/>
    </row>
    <row r="401" spans="4:15" s="39" customFormat="1">
      <c r="D401" s="56"/>
      <c r="E401" s="56"/>
      <c r="F401" s="58"/>
      <c r="G401" s="58"/>
      <c r="I401" s="74"/>
      <c r="J401" s="62"/>
      <c r="L401" s="62"/>
      <c r="M401" s="64"/>
      <c r="N401" s="64"/>
      <c r="O401" s="62"/>
    </row>
    <row r="402" spans="4:15" s="39" customFormat="1">
      <c r="D402" s="56"/>
      <c r="E402" s="56"/>
      <c r="F402" s="58"/>
      <c r="G402" s="58"/>
      <c r="I402" s="74"/>
      <c r="J402" s="62"/>
      <c r="L402" s="62"/>
      <c r="M402" s="64"/>
      <c r="N402" s="64"/>
      <c r="O402" s="62"/>
    </row>
    <row r="403" spans="4:15" s="39" customFormat="1">
      <c r="D403" s="56"/>
      <c r="E403" s="56"/>
      <c r="F403" s="58"/>
      <c r="G403" s="58"/>
      <c r="I403" s="74"/>
      <c r="J403" s="62"/>
      <c r="L403" s="62"/>
      <c r="M403" s="64"/>
      <c r="N403" s="64"/>
      <c r="O403" s="62"/>
    </row>
    <row r="404" spans="4:15" s="39" customFormat="1">
      <c r="D404" s="56"/>
      <c r="E404" s="56"/>
      <c r="F404" s="58"/>
      <c r="G404" s="58"/>
      <c r="I404" s="74"/>
      <c r="J404" s="62"/>
      <c r="L404" s="62"/>
      <c r="M404" s="64"/>
      <c r="N404" s="64"/>
      <c r="O404" s="62"/>
    </row>
    <row r="405" spans="4:15" s="39" customFormat="1">
      <c r="D405" s="56"/>
      <c r="E405" s="56"/>
      <c r="F405" s="58"/>
      <c r="G405" s="58"/>
      <c r="I405" s="74"/>
      <c r="J405" s="62"/>
      <c r="L405" s="62"/>
      <c r="M405" s="64"/>
      <c r="N405" s="64"/>
      <c r="O405" s="62"/>
    </row>
    <row r="406" spans="4:15" s="39" customFormat="1">
      <c r="D406" s="56"/>
      <c r="E406" s="56"/>
      <c r="F406" s="58"/>
      <c r="G406" s="58"/>
      <c r="I406" s="74"/>
      <c r="J406" s="62"/>
      <c r="L406" s="62"/>
      <c r="M406" s="64"/>
      <c r="N406" s="64"/>
      <c r="O406" s="62"/>
    </row>
    <row r="407" spans="4:15" s="39" customFormat="1">
      <c r="D407" s="56"/>
      <c r="E407" s="56"/>
      <c r="F407" s="58"/>
      <c r="G407" s="58"/>
      <c r="I407" s="74"/>
      <c r="J407" s="62"/>
      <c r="L407" s="62"/>
      <c r="M407" s="64"/>
      <c r="N407" s="64"/>
      <c r="O407" s="62"/>
    </row>
    <row r="408" spans="4:15" s="39" customFormat="1">
      <c r="D408" s="56"/>
      <c r="E408" s="56"/>
      <c r="F408" s="58"/>
      <c r="G408" s="58"/>
      <c r="I408" s="74"/>
      <c r="J408" s="62"/>
      <c r="L408" s="62"/>
      <c r="M408" s="64"/>
      <c r="N408" s="64"/>
      <c r="O408" s="62"/>
    </row>
    <row r="409" spans="4:15" s="39" customFormat="1">
      <c r="D409" s="56"/>
      <c r="E409" s="56"/>
      <c r="F409" s="58"/>
      <c r="G409" s="58"/>
      <c r="I409" s="74"/>
      <c r="J409" s="62"/>
      <c r="L409" s="62"/>
      <c r="M409" s="64"/>
      <c r="N409" s="64"/>
      <c r="O409" s="62"/>
    </row>
    <row r="410" spans="4:15" s="39" customFormat="1">
      <c r="D410" s="56"/>
      <c r="E410" s="56"/>
      <c r="F410" s="58"/>
      <c r="G410" s="58"/>
      <c r="I410" s="74"/>
      <c r="J410" s="62"/>
      <c r="L410" s="62"/>
      <c r="M410" s="64"/>
      <c r="N410" s="64"/>
      <c r="O410" s="62"/>
    </row>
    <row r="411" spans="4:15" s="39" customFormat="1">
      <c r="D411" s="56"/>
      <c r="E411" s="56"/>
      <c r="F411" s="58"/>
      <c r="G411" s="58"/>
      <c r="I411" s="74"/>
      <c r="J411" s="62"/>
      <c r="L411" s="62"/>
      <c r="M411" s="64"/>
      <c r="N411" s="64"/>
      <c r="O411" s="62"/>
    </row>
    <row r="412" spans="4:15" s="39" customFormat="1">
      <c r="D412" s="56"/>
      <c r="E412" s="56"/>
      <c r="F412" s="58"/>
      <c r="G412" s="58"/>
      <c r="I412" s="74"/>
      <c r="J412" s="62"/>
      <c r="L412" s="62"/>
      <c r="M412" s="64"/>
      <c r="N412" s="64"/>
      <c r="O412" s="62"/>
    </row>
    <row r="413" spans="4:15" s="39" customFormat="1">
      <c r="D413" s="56"/>
      <c r="E413" s="56"/>
      <c r="F413" s="58"/>
      <c r="G413" s="58"/>
      <c r="I413" s="74"/>
      <c r="J413" s="62"/>
      <c r="L413" s="62"/>
      <c r="M413" s="64"/>
      <c r="N413" s="64"/>
      <c r="O413" s="62"/>
    </row>
    <row r="414" spans="4:15" s="39" customFormat="1">
      <c r="D414" s="56"/>
      <c r="E414" s="56"/>
      <c r="F414" s="58"/>
      <c r="G414" s="58"/>
      <c r="I414" s="74"/>
      <c r="J414" s="62"/>
      <c r="L414" s="62"/>
      <c r="M414" s="64"/>
      <c r="N414" s="64"/>
      <c r="O414" s="62"/>
    </row>
    <row r="415" spans="4:15" s="39" customFormat="1">
      <c r="D415" s="56"/>
      <c r="E415" s="56"/>
      <c r="F415" s="58"/>
      <c r="G415" s="58"/>
      <c r="I415" s="74"/>
      <c r="J415" s="62"/>
      <c r="L415" s="62"/>
      <c r="M415" s="64"/>
      <c r="N415" s="64"/>
      <c r="O415" s="62"/>
    </row>
    <row r="416" spans="4:15" s="39" customFormat="1">
      <c r="D416" s="56"/>
      <c r="E416" s="56"/>
      <c r="F416" s="58"/>
      <c r="G416" s="58"/>
      <c r="I416" s="74"/>
      <c r="J416" s="62"/>
      <c r="L416" s="62"/>
      <c r="M416" s="64"/>
      <c r="N416" s="64"/>
      <c r="O416" s="62"/>
    </row>
    <row r="417" spans="4:15" s="39" customFormat="1">
      <c r="D417" s="56"/>
      <c r="E417" s="56"/>
      <c r="F417" s="58"/>
      <c r="G417" s="58"/>
      <c r="I417" s="74"/>
      <c r="J417" s="62"/>
      <c r="L417" s="62"/>
      <c r="M417" s="64"/>
      <c r="N417" s="64"/>
      <c r="O417" s="62"/>
    </row>
    <row r="418" spans="4:15" s="39" customFormat="1">
      <c r="D418" s="56"/>
      <c r="E418" s="56"/>
      <c r="F418" s="58"/>
      <c r="G418" s="58"/>
      <c r="I418" s="74"/>
      <c r="J418" s="62"/>
      <c r="L418" s="62"/>
      <c r="M418" s="64"/>
      <c r="N418" s="64"/>
      <c r="O418" s="62"/>
    </row>
    <row r="419" spans="4:15" s="39" customFormat="1">
      <c r="D419" s="56"/>
      <c r="E419" s="56"/>
      <c r="F419" s="58"/>
      <c r="G419" s="58"/>
      <c r="I419" s="74"/>
      <c r="J419" s="62"/>
      <c r="L419" s="62"/>
      <c r="M419" s="64"/>
      <c r="N419" s="64"/>
      <c r="O419" s="62"/>
    </row>
    <row r="420" spans="4:15" s="39" customFormat="1">
      <c r="D420" s="56"/>
      <c r="E420" s="56"/>
      <c r="F420" s="58"/>
      <c r="G420" s="58"/>
      <c r="I420" s="74"/>
      <c r="J420" s="62"/>
      <c r="L420" s="62"/>
      <c r="M420" s="64"/>
      <c r="N420" s="64"/>
      <c r="O420" s="62"/>
    </row>
    <row r="421" spans="4:15" s="39" customFormat="1">
      <c r="D421" s="56"/>
      <c r="E421" s="56"/>
      <c r="F421" s="58"/>
      <c r="G421" s="58"/>
      <c r="I421" s="74"/>
      <c r="J421" s="62"/>
      <c r="L421" s="62"/>
      <c r="M421" s="64"/>
      <c r="N421" s="64"/>
      <c r="O421" s="62"/>
    </row>
    <row r="422" spans="4:15" s="39" customFormat="1">
      <c r="D422" s="56"/>
      <c r="E422" s="56"/>
      <c r="F422" s="58"/>
      <c r="G422" s="58"/>
      <c r="I422" s="74"/>
      <c r="J422" s="62"/>
      <c r="L422" s="62"/>
      <c r="M422" s="64"/>
      <c r="N422" s="64"/>
      <c r="O422" s="62"/>
    </row>
    <row r="423" spans="4:15" s="39" customFormat="1">
      <c r="D423" s="56"/>
      <c r="E423" s="56"/>
      <c r="F423" s="58"/>
      <c r="G423" s="58"/>
      <c r="I423" s="74"/>
      <c r="J423" s="62"/>
      <c r="L423" s="62"/>
      <c r="M423" s="64"/>
      <c r="N423" s="64"/>
      <c r="O423" s="62"/>
    </row>
    <row r="424" spans="4:15" s="39" customFormat="1">
      <c r="D424" s="56"/>
      <c r="E424" s="56"/>
      <c r="F424" s="58"/>
      <c r="G424" s="58"/>
      <c r="I424" s="74"/>
      <c r="J424" s="62"/>
      <c r="L424" s="62"/>
      <c r="M424" s="64"/>
      <c r="N424" s="64"/>
      <c r="O424" s="62"/>
    </row>
    <row r="425" spans="4:15" s="39" customFormat="1">
      <c r="D425" s="56"/>
      <c r="E425" s="56"/>
      <c r="F425" s="58"/>
      <c r="G425" s="58"/>
      <c r="I425" s="74"/>
      <c r="J425" s="62"/>
      <c r="L425" s="62"/>
      <c r="M425" s="64"/>
      <c r="N425" s="64"/>
      <c r="O425" s="62"/>
    </row>
    <row r="426" spans="4:15" s="39" customFormat="1">
      <c r="D426" s="56"/>
      <c r="E426" s="56"/>
      <c r="F426" s="58"/>
      <c r="G426" s="58"/>
      <c r="I426" s="74"/>
      <c r="J426" s="62"/>
      <c r="L426" s="62"/>
      <c r="M426" s="64"/>
      <c r="N426" s="64"/>
      <c r="O426" s="62"/>
    </row>
    <row r="427" spans="4:15" s="39" customFormat="1">
      <c r="D427" s="56"/>
      <c r="E427" s="56"/>
      <c r="F427" s="58"/>
      <c r="G427" s="58"/>
      <c r="I427" s="74"/>
      <c r="J427" s="62"/>
      <c r="L427" s="62"/>
      <c r="M427" s="64"/>
      <c r="N427" s="64"/>
      <c r="O427" s="62"/>
    </row>
    <row r="428" spans="4:15" s="39" customFormat="1">
      <c r="D428" s="56"/>
      <c r="E428" s="56"/>
      <c r="F428" s="58"/>
      <c r="G428" s="58"/>
      <c r="I428" s="74"/>
      <c r="J428" s="62"/>
      <c r="L428" s="62"/>
      <c r="M428" s="64"/>
      <c r="N428" s="64"/>
      <c r="O428" s="62"/>
    </row>
    <row r="429" spans="4:15" s="39" customFormat="1">
      <c r="D429" s="56"/>
      <c r="E429" s="56"/>
      <c r="F429" s="58"/>
      <c r="G429" s="58"/>
      <c r="I429" s="74"/>
      <c r="J429" s="62"/>
      <c r="L429" s="62"/>
      <c r="M429" s="64"/>
      <c r="N429" s="64"/>
      <c r="O429" s="62"/>
    </row>
    <row r="430" spans="4:15" s="39" customFormat="1">
      <c r="D430" s="56"/>
      <c r="E430" s="56"/>
      <c r="F430" s="58"/>
      <c r="G430" s="58"/>
      <c r="I430" s="74"/>
      <c r="J430" s="62"/>
      <c r="L430" s="62"/>
      <c r="M430" s="64"/>
      <c r="N430" s="64"/>
      <c r="O430" s="62"/>
    </row>
    <row r="431" spans="4:15" s="39" customFormat="1">
      <c r="D431" s="56"/>
      <c r="E431" s="56"/>
      <c r="F431" s="58"/>
      <c r="G431" s="58"/>
      <c r="I431" s="74"/>
      <c r="J431" s="62"/>
      <c r="L431" s="62"/>
      <c r="M431" s="64"/>
      <c r="N431" s="64"/>
      <c r="O431" s="62"/>
    </row>
    <row r="432" spans="4:15" s="39" customFormat="1">
      <c r="D432" s="56"/>
      <c r="E432" s="56"/>
      <c r="F432" s="58"/>
      <c r="G432" s="58"/>
      <c r="I432" s="74"/>
      <c r="J432" s="62"/>
      <c r="L432" s="62"/>
      <c r="M432" s="64"/>
      <c r="N432" s="64"/>
      <c r="O432" s="62"/>
    </row>
    <row r="433" spans="1:15">
      <c r="A433" s="39"/>
      <c r="B433" s="39"/>
      <c r="D433" s="56"/>
      <c r="E433" s="56"/>
      <c r="F433" s="58"/>
      <c r="G433" s="58"/>
      <c r="I433" s="74"/>
      <c r="J433" s="62"/>
      <c r="L433" s="62"/>
      <c r="M433" s="64"/>
      <c r="N433" s="64"/>
      <c r="O433" s="62"/>
    </row>
  </sheetData>
  <mergeCells count="6">
    <mergeCell ref="H7:I7"/>
    <mergeCell ref="A1:P1"/>
    <mergeCell ref="A2:P2"/>
    <mergeCell ref="A3:P3"/>
    <mergeCell ref="A4:P4"/>
    <mergeCell ref="L6:M6"/>
  </mergeCells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F31D-DB7B-484B-9293-0F0309357E59}">
  <sheetPr transitionEvaluation="1" transitionEntry="1">
    <pageSetUpPr fitToPage="1"/>
  </sheetPr>
  <dimension ref="A1:R438"/>
  <sheetViews>
    <sheetView defaultGridColor="0" colorId="22" zoomScale="87" zoomScaleNormal="87" workbookViewId="0">
      <pane ySplit="10" topLeftCell="A59" activePane="bottomLeft" state="frozen"/>
      <selection pane="bottomLeft" activeCell="L48" sqref="L48"/>
    </sheetView>
  </sheetViews>
  <sheetFormatPr defaultColWidth="9.7109375" defaultRowHeight="12.75"/>
  <cols>
    <col min="1" max="1" width="5.5703125" style="52" customWidth="1"/>
    <col min="2" max="2" width="10.28515625" style="52" bestFit="1" customWidth="1"/>
    <col min="3" max="3" width="32.42578125" style="39" bestFit="1" customWidth="1"/>
    <col min="4" max="4" width="10.5703125" style="52" bestFit="1" customWidth="1"/>
    <col min="5" max="5" width="10.85546875" style="52" bestFit="1" customWidth="1"/>
    <col min="6" max="7" width="6.42578125" style="52" bestFit="1" customWidth="1"/>
    <col min="8" max="8" width="14.140625" style="39" bestFit="1" customWidth="1"/>
    <col min="9" max="9" width="14.85546875" style="39" customWidth="1"/>
    <col min="10" max="10" width="13.28515625" style="39" bestFit="1" customWidth="1"/>
    <col min="11" max="11" width="14.7109375" style="39" bestFit="1" customWidth="1"/>
    <col min="12" max="12" width="16.5703125" style="39" customWidth="1"/>
    <col min="13" max="13" width="11.28515625" style="39" customWidth="1"/>
    <col min="14" max="14" width="11" style="39" bestFit="1" customWidth="1"/>
    <col min="15" max="15" width="14.5703125" style="39" bestFit="1" customWidth="1"/>
    <col min="16" max="16" width="5.42578125" style="39" bestFit="1" customWidth="1"/>
    <col min="17" max="17" width="12" style="39" bestFit="1" customWidth="1"/>
    <col min="18" max="18" width="13.7109375" style="39" bestFit="1" customWidth="1"/>
    <col min="19" max="16384" width="9.7109375" style="39"/>
  </cols>
  <sheetData>
    <row r="1" spans="1:16" ht="15.75" customHeight="1">
      <c r="A1" s="143" t="str">
        <f>[4]Summary!A1</f>
        <v>PACIFICORP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.75" customHeight="1">
      <c r="A2" s="146" t="str">
        <f>[4]Summary!A2</f>
        <v>Electric Operations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16" ht="15.75" customHeight="1">
      <c r="A3" s="146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ht="15.75">
      <c r="A4" s="149">
        <f>[4]Summary!A4</f>
        <v>44561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4" customFormat="1" ht="11.25">
      <c r="A5" s="40"/>
      <c r="B5" s="41"/>
      <c r="C5" s="42"/>
      <c r="D5" s="41"/>
      <c r="E5" s="41"/>
      <c r="F5" s="41"/>
      <c r="G5" s="41"/>
      <c r="H5" s="42"/>
      <c r="I5" s="42"/>
      <c r="J5" s="42"/>
      <c r="K5" s="42"/>
      <c r="L5" s="42"/>
      <c r="M5" s="42"/>
      <c r="N5" s="42"/>
      <c r="O5" s="42"/>
      <c r="P5" s="43"/>
    </row>
    <row r="6" spans="1:16">
      <c r="A6" s="40"/>
      <c r="B6" s="45"/>
      <c r="C6" s="46"/>
      <c r="D6" s="45"/>
      <c r="E6" s="45"/>
      <c r="F6" s="45"/>
      <c r="G6" s="45"/>
      <c r="H6" s="47"/>
      <c r="I6" s="47"/>
      <c r="J6" s="46"/>
      <c r="K6" s="46"/>
      <c r="L6" s="142" t="s">
        <v>23</v>
      </c>
      <c r="M6" s="142"/>
      <c r="O6" s="44"/>
      <c r="P6" s="43"/>
    </row>
    <row r="7" spans="1:16">
      <c r="A7" s="40"/>
      <c r="B7" s="45"/>
      <c r="C7" s="46"/>
      <c r="D7" s="45"/>
      <c r="E7" s="45"/>
      <c r="F7" s="45"/>
      <c r="G7" s="45"/>
      <c r="H7" s="142" t="s">
        <v>24</v>
      </c>
      <c r="I7" s="142"/>
      <c r="J7" s="46"/>
      <c r="K7" s="46"/>
      <c r="L7" s="45" t="s">
        <v>25</v>
      </c>
      <c r="M7" s="45" t="s">
        <v>26</v>
      </c>
      <c r="O7" s="44"/>
      <c r="P7" s="43"/>
    </row>
    <row r="8" spans="1:16">
      <c r="A8" s="40" t="s">
        <v>27</v>
      </c>
      <c r="B8" s="45" t="s">
        <v>28</v>
      </c>
      <c r="C8" s="46" t="s">
        <v>29</v>
      </c>
      <c r="D8" s="45" t="s">
        <v>30</v>
      </c>
      <c r="E8" s="45" t="s">
        <v>31</v>
      </c>
      <c r="F8" s="45" t="s">
        <v>32</v>
      </c>
      <c r="G8" s="45"/>
      <c r="H8" s="45" t="s">
        <v>33</v>
      </c>
      <c r="I8" s="45" t="s">
        <v>34</v>
      </c>
      <c r="J8" s="45" t="s">
        <v>30</v>
      </c>
      <c r="K8" s="45" t="s">
        <v>35</v>
      </c>
      <c r="L8" s="45" t="s">
        <v>36</v>
      </c>
      <c r="M8" s="45" t="s">
        <v>37</v>
      </c>
      <c r="N8" s="45" t="s">
        <v>38</v>
      </c>
      <c r="O8" s="45" t="s">
        <v>39</v>
      </c>
      <c r="P8" s="43" t="s">
        <v>27</v>
      </c>
    </row>
    <row r="9" spans="1:16">
      <c r="A9" s="40" t="s">
        <v>40</v>
      </c>
      <c r="B9" s="45" t="s">
        <v>41</v>
      </c>
      <c r="C9" s="45" t="s">
        <v>42</v>
      </c>
      <c r="D9" s="45" t="s">
        <v>43</v>
      </c>
      <c r="E9" s="45" t="s">
        <v>43</v>
      </c>
      <c r="F9" s="45" t="s">
        <v>44</v>
      </c>
      <c r="G9" s="45" t="s">
        <v>45</v>
      </c>
      <c r="H9" s="45" t="s">
        <v>46</v>
      </c>
      <c r="I9" s="45" t="s">
        <v>47</v>
      </c>
      <c r="J9" s="45" t="s">
        <v>48</v>
      </c>
      <c r="K9" s="45" t="s">
        <v>48</v>
      </c>
      <c r="L9" s="45" t="s">
        <v>49</v>
      </c>
      <c r="M9" s="45" t="s">
        <v>49</v>
      </c>
      <c r="N9" s="45" t="s">
        <v>50</v>
      </c>
      <c r="O9" s="45" t="s">
        <v>51</v>
      </c>
      <c r="P9" s="43" t="s">
        <v>40</v>
      </c>
    </row>
    <row r="10" spans="1:16">
      <c r="A10" s="48"/>
      <c r="B10" s="49" t="s">
        <v>52</v>
      </c>
      <c r="C10" s="49" t="s">
        <v>53</v>
      </c>
      <c r="D10" s="49" t="s">
        <v>54</v>
      </c>
      <c r="E10" s="49" t="s">
        <v>55</v>
      </c>
      <c r="F10" s="49" t="s">
        <v>56</v>
      </c>
      <c r="G10" s="49" t="s">
        <v>57</v>
      </c>
      <c r="H10" s="49" t="s">
        <v>58</v>
      </c>
      <c r="I10" s="49" t="s">
        <v>59</v>
      </c>
      <c r="J10" s="49" t="s">
        <v>60</v>
      </c>
      <c r="K10" s="49" t="s">
        <v>61</v>
      </c>
      <c r="L10" s="49" t="s">
        <v>62</v>
      </c>
      <c r="M10" s="49" t="s">
        <v>63</v>
      </c>
      <c r="N10" s="49" t="s">
        <v>64</v>
      </c>
      <c r="O10" s="49" t="s">
        <v>65</v>
      </c>
      <c r="P10" s="50"/>
    </row>
    <row r="11" spans="1:16">
      <c r="A11" s="51">
        <v>1</v>
      </c>
      <c r="P11" s="53">
        <f>A11</f>
        <v>1</v>
      </c>
    </row>
    <row r="12" spans="1:16">
      <c r="A12" s="51">
        <f>A11+1</f>
        <v>2</v>
      </c>
      <c r="C12" s="54" t="s">
        <v>66</v>
      </c>
      <c r="D12" s="55"/>
      <c r="E12" s="56"/>
      <c r="P12" s="53">
        <f>A12</f>
        <v>2</v>
      </c>
    </row>
    <row r="13" spans="1:16">
      <c r="A13" s="51">
        <f>A12+1</f>
        <v>3</v>
      </c>
      <c r="B13" s="57">
        <v>2.9499999999999998E-2</v>
      </c>
      <c r="C13" s="39" t="s">
        <v>67</v>
      </c>
      <c r="D13" s="56">
        <f>DATE(2013,6,6)</f>
        <v>41431</v>
      </c>
      <c r="E13" s="56">
        <f>DATE(2023,6,1)</f>
        <v>45078</v>
      </c>
      <c r="F13" s="58">
        <f t="shared" ref="F13:F30" si="0">YEARFRAC(D13,E13)</f>
        <v>9.9861111111111107</v>
      </c>
      <c r="G13" s="58">
        <f t="shared" ref="G13:G30" si="1">YEARFRAC($A$4,E13)</f>
        <v>1.4194444444444445</v>
      </c>
      <c r="H13" s="59">
        <v>300000000</v>
      </c>
      <c r="I13" s="60">
        <v>300000000</v>
      </c>
      <c r="J13" s="61">
        <f>-1350000-900000-494850.25-14501.29</f>
        <v>-2759351.54</v>
      </c>
      <c r="K13" s="61">
        <v>0</v>
      </c>
      <c r="L13" s="62">
        <f t="shared" ref="L13" si="2">SUM(I13:K13)</f>
        <v>297240648.45999998</v>
      </c>
      <c r="M13" s="63">
        <f t="shared" ref="M13:M30" si="3">L13/I13*100</f>
        <v>99.080216153333325</v>
      </c>
      <c r="N13" s="64">
        <f t="shared" ref="N13:N25" si="4">ROUND(YIELD(D13,E13,B13,M13,100,2,0),5)</f>
        <v>3.058E-2</v>
      </c>
      <c r="O13" s="39">
        <f t="shared" ref="O13:O30" si="5">ROUND(N13,5)*I13</f>
        <v>9174000</v>
      </c>
      <c r="P13" s="53">
        <f t="shared" ref="P13:P76" si="6">A13</f>
        <v>3</v>
      </c>
    </row>
    <row r="14" spans="1:16">
      <c r="A14" s="51">
        <f t="shared" ref="A14:A77" si="7">A13+1</f>
        <v>4</v>
      </c>
      <c r="B14" s="57">
        <v>3.5999999999999997E-2</v>
      </c>
      <c r="C14" s="39" t="s">
        <v>68</v>
      </c>
      <c r="D14" s="56">
        <f>DATE(2014,3,13)</f>
        <v>41711</v>
      </c>
      <c r="E14" s="56">
        <f>DATE(2024,4,1)</f>
        <v>45383</v>
      </c>
      <c r="F14" s="58">
        <f t="shared" si="0"/>
        <v>10.050000000000001</v>
      </c>
      <c r="G14" s="58">
        <f t="shared" si="1"/>
        <v>2.2527777777777778</v>
      </c>
      <c r="H14" s="59">
        <v>425000000</v>
      </c>
      <c r="I14" s="60">
        <v>425000000</v>
      </c>
      <c r="J14" s="61">
        <f>-255000-2635000-710164.21</f>
        <v>-3600164.21</v>
      </c>
      <c r="K14" s="61">
        <f>-1756408.34-183498.35-3167.83</f>
        <v>-1943074.5200000003</v>
      </c>
      <c r="L14" s="62">
        <f t="shared" ref="L14" si="8">SUM(I14:K14)</f>
        <v>419456761.27000004</v>
      </c>
      <c r="M14" s="63">
        <f t="shared" si="3"/>
        <v>98.695708534117657</v>
      </c>
      <c r="N14" s="64">
        <f t="shared" si="4"/>
        <v>3.7569999999999999E-2</v>
      </c>
      <c r="O14" s="39">
        <f t="shared" si="5"/>
        <v>15967250</v>
      </c>
      <c r="P14" s="53">
        <f t="shared" si="6"/>
        <v>4</v>
      </c>
    </row>
    <row r="15" spans="1:16">
      <c r="A15" s="51">
        <f t="shared" si="7"/>
        <v>5</v>
      </c>
      <c r="B15" s="57">
        <v>3.3500000000000002E-2</v>
      </c>
      <c r="C15" s="39" t="s">
        <v>69</v>
      </c>
      <c r="D15" s="56">
        <f>DATE(2015,6,19)</f>
        <v>42174</v>
      </c>
      <c r="E15" s="56">
        <f>DATE(2025,7,1)</f>
        <v>45839</v>
      </c>
      <c r="F15" s="58">
        <f t="shared" si="0"/>
        <v>10.033333333333333</v>
      </c>
      <c r="G15" s="58">
        <f t="shared" si="1"/>
        <v>3.5027777777777778</v>
      </c>
      <c r="H15" s="59">
        <v>250000000</v>
      </c>
      <c r="I15" s="60">
        <v>250000000</v>
      </c>
      <c r="J15" s="61">
        <f>-320000-1625000-496421.02</f>
        <v>-2441421.02</v>
      </c>
      <c r="K15" s="61">
        <v>0</v>
      </c>
      <c r="L15" s="62">
        <f t="shared" ref="L15" si="9">SUM(I15:K15)</f>
        <v>247558578.97999999</v>
      </c>
      <c r="M15" s="63">
        <f t="shared" si="3"/>
        <v>99.023431591999994</v>
      </c>
      <c r="N15" s="64">
        <f t="shared" si="4"/>
        <v>3.4660000000000003E-2</v>
      </c>
      <c r="O15" s="39">
        <f t="shared" si="5"/>
        <v>8665000</v>
      </c>
      <c r="P15" s="53">
        <f t="shared" si="6"/>
        <v>5</v>
      </c>
    </row>
    <row r="16" spans="1:16">
      <c r="A16" s="51">
        <f t="shared" si="7"/>
        <v>6</v>
      </c>
      <c r="B16" s="57">
        <v>3.5000000000000003E-2</v>
      </c>
      <c r="C16" s="39" t="s">
        <v>70</v>
      </c>
      <c r="D16" s="56">
        <f>DATE(2019,3,1)</f>
        <v>43525</v>
      </c>
      <c r="E16" s="56">
        <f>DATE(2029,6,15)</f>
        <v>47284</v>
      </c>
      <c r="F16" s="58">
        <f>YEARFRAC(D16,E16)</f>
        <v>10.28888888888889</v>
      </c>
      <c r="G16" s="58">
        <f>YEARFRAC($A$4,E16)</f>
        <v>7.458333333333333</v>
      </c>
      <c r="H16" s="59">
        <v>400000000</v>
      </c>
      <c r="I16" s="60">
        <v>400000000</v>
      </c>
      <c r="J16" s="61">
        <f>-740000-1700000-59986.3-374194.58</f>
        <v>-2874180.88</v>
      </c>
      <c r="K16" s="61">
        <v>0</v>
      </c>
      <c r="L16" s="62">
        <f>SUM(I16:K16)</f>
        <v>397125819.12</v>
      </c>
      <c r="M16" s="63">
        <f>L16/I16*100</f>
        <v>99.281454780000004</v>
      </c>
      <c r="N16" s="64">
        <f>ROUND(YIELD(D16,E16,B16,M16,100,2,0),5)</f>
        <v>3.5839999999999997E-2</v>
      </c>
      <c r="O16" s="39">
        <f>ROUND(N16,5)*I16</f>
        <v>14335999.999999998</v>
      </c>
      <c r="P16" s="53">
        <f t="shared" si="6"/>
        <v>6</v>
      </c>
    </row>
    <row r="17" spans="1:18">
      <c r="A17" s="51">
        <f t="shared" si="7"/>
        <v>7</v>
      </c>
      <c r="B17" s="57">
        <v>2.7E-2</v>
      </c>
      <c r="C17" s="39" t="s">
        <v>71</v>
      </c>
      <c r="D17" s="56">
        <f>DATE(2020,4,8)</f>
        <v>43929</v>
      </c>
      <c r="E17" s="56">
        <f>DATE(2030,9,15)</f>
        <v>47741</v>
      </c>
      <c r="F17" s="58">
        <f>YEARFRAC(D17,E17)</f>
        <v>10.436111111111112</v>
      </c>
      <c r="G17" s="58">
        <f>YEARFRAC($A$4,E17)</f>
        <v>8.7083333333333339</v>
      </c>
      <c r="H17" s="59">
        <v>400000000</v>
      </c>
      <c r="I17" s="60">
        <v>400000000</v>
      </c>
      <c r="J17" s="61">
        <f>-720000-1700000-65400.39-391165.2-225.58</f>
        <v>-2876791.1700000004</v>
      </c>
      <c r="K17" s="61">
        <v>0</v>
      </c>
      <c r="L17" s="62">
        <f>SUM(I17:K17)</f>
        <v>397123208.82999998</v>
      </c>
      <c r="M17" s="63">
        <f>L17/I17*100</f>
        <v>99.280802207500003</v>
      </c>
      <c r="N17" s="64">
        <f>ROUND(YIELD(D17,E17,B17,M17,100,2,0),5)</f>
        <v>2.7799999999999998E-2</v>
      </c>
      <c r="O17" s="39">
        <f>ROUND(N17,5)*I17</f>
        <v>11120000</v>
      </c>
      <c r="P17" s="53">
        <f t="shared" si="6"/>
        <v>7</v>
      </c>
    </row>
    <row r="18" spans="1:18">
      <c r="A18" s="51">
        <f t="shared" si="7"/>
        <v>8</v>
      </c>
      <c r="B18" s="57">
        <v>7.6999999999999999E-2</v>
      </c>
      <c r="C18" s="39" t="s">
        <v>72</v>
      </c>
      <c r="D18" s="56">
        <f>DATE(2001,11,21)</f>
        <v>37216</v>
      </c>
      <c r="E18" s="56">
        <f>DATE(2031,11,15)</f>
        <v>48167</v>
      </c>
      <c r="F18" s="58">
        <f t="shared" si="0"/>
        <v>29.983333333333334</v>
      </c>
      <c r="G18" s="58">
        <f t="shared" si="1"/>
        <v>9.875</v>
      </c>
      <c r="H18" s="59">
        <v>300000000</v>
      </c>
      <c r="I18" s="60">
        <v>300000000</v>
      </c>
      <c r="J18" s="61">
        <f>-2625000-864000-212309.65</f>
        <v>-3701309.65</v>
      </c>
      <c r="K18" s="61">
        <v>0</v>
      </c>
      <c r="L18" s="62">
        <f t="shared" ref="L18:L26" si="10">SUM(I18:K18)</f>
        <v>296298690.35000002</v>
      </c>
      <c r="M18" s="63">
        <f t="shared" si="3"/>
        <v>98.766230116666677</v>
      </c>
      <c r="N18" s="64">
        <f t="shared" si="4"/>
        <v>7.8070000000000001E-2</v>
      </c>
      <c r="O18" s="39">
        <f t="shared" si="5"/>
        <v>23421000</v>
      </c>
      <c r="P18" s="53">
        <f t="shared" si="6"/>
        <v>8</v>
      </c>
      <c r="R18" s="65"/>
    </row>
    <row r="19" spans="1:18">
      <c r="A19" s="51">
        <f t="shared" si="7"/>
        <v>9</v>
      </c>
      <c r="B19" s="57">
        <v>5.8999999999999997E-2</v>
      </c>
      <c r="C19" s="39" t="s">
        <v>73</v>
      </c>
      <c r="D19" s="56">
        <f>DATE(2004,8,24)</f>
        <v>38223</v>
      </c>
      <c r="E19" s="56">
        <f>DATE(2034,8,15)</f>
        <v>49171</v>
      </c>
      <c r="F19" s="58">
        <f t="shared" si="0"/>
        <v>29.975000000000001</v>
      </c>
      <c r="G19" s="58">
        <f t="shared" si="1"/>
        <v>12.625</v>
      </c>
      <c r="H19" s="59">
        <v>200000000</v>
      </c>
      <c r="I19" s="60">
        <v>200000000</v>
      </c>
      <c r="J19" s="61">
        <f>-722000-1750000-142365.3</f>
        <v>-2614365.2999999998</v>
      </c>
      <c r="K19" s="61">
        <v>0</v>
      </c>
      <c r="L19" s="62">
        <f t="shared" si="10"/>
        <v>197385634.69999999</v>
      </c>
      <c r="M19" s="63">
        <f t="shared" si="3"/>
        <v>98.692817349999999</v>
      </c>
      <c r="N19" s="64">
        <f t="shared" si="4"/>
        <v>5.994E-2</v>
      </c>
      <c r="O19" s="39">
        <f t="shared" si="5"/>
        <v>11988000</v>
      </c>
      <c r="P19" s="53">
        <f t="shared" si="6"/>
        <v>9</v>
      </c>
      <c r="R19" s="65"/>
    </row>
    <row r="20" spans="1:18">
      <c r="A20" s="51">
        <f t="shared" si="7"/>
        <v>10</v>
      </c>
      <c r="B20" s="57">
        <v>5.2499999999999998E-2</v>
      </c>
      <c r="C20" s="39" t="s">
        <v>74</v>
      </c>
      <c r="D20" s="56">
        <f>DATE(2005,6,8)</f>
        <v>38511</v>
      </c>
      <c r="E20" s="56">
        <f>DATE(2035,6,15)</f>
        <v>49475</v>
      </c>
      <c r="F20" s="58">
        <f t="shared" si="0"/>
        <v>30.019444444444446</v>
      </c>
      <c r="G20" s="58">
        <f t="shared" si="1"/>
        <v>13.458333333333334</v>
      </c>
      <c r="H20" s="59">
        <v>300000000</v>
      </c>
      <c r="I20" s="60">
        <v>300000000</v>
      </c>
      <c r="J20" s="61">
        <f>-1080000-2625000-287020.96</f>
        <v>-3992020.96</v>
      </c>
      <c r="K20" s="61">
        <v>-1295995.2</v>
      </c>
      <c r="L20" s="62">
        <f t="shared" si="10"/>
        <v>294711983.84000003</v>
      </c>
      <c r="M20" s="63">
        <f t="shared" si="3"/>
        <v>98.237327946666682</v>
      </c>
      <c r="N20" s="64">
        <f t="shared" si="4"/>
        <v>5.3690000000000002E-2</v>
      </c>
      <c r="O20" s="39">
        <f t="shared" si="5"/>
        <v>16107000</v>
      </c>
      <c r="P20" s="53">
        <f t="shared" si="6"/>
        <v>10</v>
      </c>
    </row>
    <row r="21" spans="1:18">
      <c r="A21" s="51">
        <f t="shared" si="7"/>
        <v>11</v>
      </c>
      <c r="B21" s="57">
        <v>6.0999999999999999E-2</v>
      </c>
      <c r="C21" s="39" t="s">
        <v>75</v>
      </c>
      <c r="D21" s="56">
        <f>DATE(2006,8,10)</f>
        <v>38939</v>
      </c>
      <c r="E21" s="56">
        <f>DATE(2036,8,1)</f>
        <v>49888</v>
      </c>
      <c r="F21" s="58">
        <f t="shared" si="0"/>
        <v>29.975000000000001</v>
      </c>
      <c r="G21" s="58">
        <f t="shared" si="1"/>
        <v>14.58611111111111</v>
      </c>
      <c r="H21" s="59">
        <v>350000000</v>
      </c>
      <c r="I21" s="60">
        <v>350000000</v>
      </c>
      <c r="J21" s="61">
        <f>-1141000-2450000-457880.81</f>
        <v>-4048880.81</v>
      </c>
      <c r="K21" s="61">
        <v>0</v>
      </c>
      <c r="L21" s="62">
        <f t="shared" si="10"/>
        <v>345951119.19</v>
      </c>
      <c r="M21" s="63">
        <f t="shared" si="3"/>
        <v>98.843176911428571</v>
      </c>
      <c r="N21" s="64">
        <f t="shared" si="4"/>
        <v>6.1850000000000002E-2</v>
      </c>
      <c r="O21" s="39">
        <f t="shared" si="5"/>
        <v>21647500</v>
      </c>
      <c r="P21" s="53">
        <f t="shared" si="6"/>
        <v>11</v>
      </c>
    </row>
    <row r="22" spans="1:18">
      <c r="A22" s="51">
        <f t="shared" si="7"/>
        <v>12</v>
      </c>
      <c r="B22" s="57">
        <v>5.7500000000000002E-2</v>
      </c>
      <c r="C22" s="39" t="s">
        <v>76</v>
      </c>
      <c r="D22" s="56">
        <f>DATE(2007,3,14)</f>
        <v>39155</v>
      </c>
      <c r="E22" s="56">
        <f>DATE(2037,4,1)</f>
        <v>50131</v>
      </c>
      <c r="F22" s="58">
        <f t="shared" si="0"/>
        <v>30.047222222222221</v>
      </c>
      <c r="G22" s="58">
        <f t="shared" si="1"/>
        <v>15.252777777777778</v>
      </c>
      <c r="H22" s="59">
        <v>600000000</v>
      </c>
      <c r="I22" s="60">
        <v>600000000</v>
      </c>
      <c r="J22" s="61">
        <f>-24000-589216.14</f>
        <v>-613216.14</v>
      </c>
      <c r="K22" s="61">
        <v>0</v>
      </c>
      <c r="L22" s="62">
        <f t="shared" si="10"/>
        <v>599386783.86000001</v>
      </c>
      <c r="M22" s="63">
        <f t="shared" si="3"/>
        <v>99.897797310000001</v>
      </c>
      <c r="N22" s="64">
        <f t="shared" si="4"/>
        <v>5.7570000000000003E-2</v>
      </c>
      <c r="O22" s="39">
        <f t="shared" si="5"/>
        <v>34542000</v>
      </c>
      <c r="P22" s="53">
        <f t="shared" si="6"/>
        <v>12</v>
      </c>
    </row>
    <row r="23" spans="1:18">
      <c r="A23" s="51">
        <f t="shared" si="7"/>
        <v>13</v>
      </c>
      <c r="B23" s="57">
        <v>6.25E-2</v>
      </c>
      <c r="C23" s="39" t="s">
        <v>77</v>
      </c>
      <c r="D23" s="56">
        <f>DATE(2007,10,3)</f>
        <v>39358</v>
      </c>
      <c r="E23" s="56">
        <f>DATE(2037,10,15)</f>
        <v>50328</v>
      </c>
      <c r="F23" s="58">
        <f t="shared" si="0"/>
        <v>30.033333333333335</v>
      </c>
      <c r="G23" s="58">
        <f t="shared" si="1"/>
        <v>15.791666666666666</v>
      </c>
      <c r="H23" s="59">
        <v>600000000</v>
      </c>
      <c r="I23" s="60">
        <v>600000000</v>
      </c>
      <c r="J23" s="61">
        <f>-750000-4650000-477281.03</f>
        <v>-5877281.0300000003</v>
      </c>
      <c r="K23" s="61">
        <v>0</v>
      </c>
      <c r="L23" s="62">
        <f t="shared" si="10"/>
        <v>594122718.97000003</v>
      </c>
      <c r="M23" s="63">
        <f t="shared" si="3"/>
        <v>99.020453161666666</v>
      </c>
      <c r="N23" s="64">
        <f t="shared" si="4"/>
        <v>6.3229999999999995E-2</v>
      </c>
      <c r="O23" s="39">
        <f t="shared" si="5"/>
        <v>37938000</v>
      </c>
      <c r="P23" s="53">
        <f t="shared" si="6"/>
        <v>13</v>
      </c>
    </row>
    <row r="24" spans="1:18">
      <c r="A24" s="51">
        <f t="shared" si="7"/>
        <v>14</v>
      </c>
      <c r="B24" s="57">
        <v>6.3500000000000001E-2</v>
      </c>
      <c r="C24" s="39" t="s">
        <v>78</v>
      </c>
      <c r="D24" s="56">
        <f>DATE(2008,7,17)</f>
        <v>39646</v>
      </c>
      <c r="E24" s="56">
        <f>DATE(2038,7,15)</f>
        <v>50601</v>
      </c>
      <c r="F24" s="58">
        <f t="shared" si="0"/>
        <v>29.994444444444444</v>
      </c>
      <c r="G24" s="58">
        <f t="shared" si="1"/>
        <v>16.541666666666668</v>
      </c>
      <c r="H24" s="59">
        <v>300000000</v>
      </c>
      <c r="I24" s="60">
        <v>300000000</v>
      </c>
      <c r="J24" s="61">
        <f>-1671000-2100000-189957.54-375</f>
        <v>-3961332.54</v>
      </c>
      <c r="K24" s="61">
        <v>0</v>
      </c>
      <c r="L24" s="62">
        <f t="shared" si="10"/>
        <v>296038667.45999998</v>
      </c>
      <c r="M24" s="63">
        <f t="shared" si="3"/>
        <v>98.679555820000004</v>
      </c>
      <c r="N24" s="64">
        <f t="shared" si="4"/>
        <v>6.4500000000000002E-2</v>
      </c>
      <c r="O24" s="39">
        <f t="shared" si="5"/>
        <v>19350000</v>
      </c>
      <c r="P24" s="53">
        <f t="shared" si="6"/>
        <v>14</v>
      </c>
    </row>
    <row r="25" spans="1:18">
      <c r="A25" s="51">
        <f t="shared" si="7"/>
        <v>15</v>
      </c>
      <c r="B25" s="57">
        <v>0.06</v>
      </c>
      <c r="C25" s="39" t="s">
        <v>79</v>
      </c>
      <c r="D25" s="56">
        <f>DATE(2009,1,8)</f>
        <v>39821</v>
      </c>
      <c r="E25" s="56">
        <f>DATE(2039,1,15)</f>
        <v>50785</v>
      </c>
      <c r="F25" s="58">
        <f t="shared" si="0"/>
        <v>30.019444444444446</v>
      </c>
      <c r="G25" s="58">
        <f t="shared" si="1"/>
        <v>17.041666666666668</v>
      </c>
      <c r="H25" s="59">
        <v>650000000</v>
      </c>
      <c r="I25" s="60">
        <v>650000000</v>
      </c>
      <c r="J25" s="61">
        <f>-6175000-5687500-436184.72-11002.1</f>
        <v>-12309686.82</v>
      </c>
      <c r="K25" s="61">
        <v>0</v>
      </c>
      <c r="L25" s="62">
        <f t="shared" si="10"/>
        <v>637690313.17999995</v>
      </c>
      <c r="M25" s="63">
        <f t="shared" si="3"/>
        <v>98.106202027692305</v>
      </c>
      <c r="N25" s="64">
        <f t="shared" si="4"/>
        <v>6.139E-2</v>
      </c>
      <c r="O25" s="39">
        <f t="shared" si="5"/>
        <v>39903500</v>
      </c>
      <c r="P25" s="53">
        <f t="shared" si="6"/>
        <v>15</v>
      </c>
    </row>
    <row r="26" spans="1:18">
      <c r="A26" s="51">
        <f t="shared" si="7"/>
        <v>16</v>
      </c>
      <c r="B26" s="57">
        <v>4.1000000000000002E-2</v>
      </c>
      <c r="C26" s="39" t="s">
        <v>80</v>
      </c>
      <c r="D26" s="56">
        <f>DATE(2012,1,6)</f>
        <v>40914</v>
      </c>
      <c r="E26" s="56">
        <f>DATE(2042,2,1)</f>
        <v>51898</v>
      </c>
      <c r="F26" s="58">
        <f t="shared" si="0"/>
        <v>30.069444444444443</v>
      </c>
      <c r="G26" s="58">
        <f t="shared" si="1"/>
        <v>20.086111111111112</v>
      </c>
      <c r="H26" s="59">
        <v>300000000</v>
      </c>
      <c r="I26" s="60">
        <v>300000000</v>
      </c>
      <c r="J26" s="61">
        <f>-2400000-987000-337549.42-361.51</f>
        <v>-3724910.9299999997</v>
      </c>
      <c r="K26" s="61">
        <v>0</v>
      </c>
      <c r="L26" s="62">
        <f t="shared" si="10"/>
        <v>296275089.06999999</v>
      </c>
      <c r="M26" s="63">
        <f t="shared" si="3"/>
        <v>98.758363023333331</v>
      </c>
      <c r="N26" s="64">
        <f>ROUND(YIELD(D26,E26,B26,M26,100,2,0),5)</f>
        <v>4.1730000000000003E-2</v>
      </c>
      <c r="O26" s="39">
        <f t="shared" si="5"/>
        <v>12519000.000000002</v>
      </c>
      <c r="P26" s="53">
        <f t="shared" si="6"/>
        <v>16</v>
      </c>
    </row>
    <row r="27" spans="1:18">
      <c r="A27" s="51">
        <f t="shared" si="7"/>
        <v>17</v>
      </c>
      <c r="B27" s="57">
        <v>4.1250000000000002E-2</v>
      </c>
      <c r="C27" s="39" t="s">
        <v>81</v>
      </c>
      <c r="D27" s="56">
        <f>DATE(2018,7,13)</f>
        <v>43294</v>
      </c>
      <c r="E27" s="56">
        <f>DATE(2049,1,15)</f>
        <v>54438</v>
      </c>
      <c r="F27" s="58">
        <f t="shared" si="0"/>
        <v>30.505555555555556</v>
      </c>
      <c r="G27" s="58">
        <f t="shared" si="1"/>
        <v>27.041666666666668</v>
      </c>
      <c r="H27" s="59">
        <v>600000000</v>
      </c>
      <c r="I27" s="60">
        <v>600000000</v>
      </c>
      <c r="J27" s="61">
        <f>-1344000-4800000-86899.03-753185.56</f>
        <v>-6984084.5899999999</v>
      </c>
      <c r="K27" s="61">
        <v>0</v>
      </c>
      <c r="L27" s="62">
        <f t="shared" ref="L27" si="11">SUM(I27:K27)</f>
        <v>593015915.40999997</v>
      </c>
      <c r="M27" s="63">
        <f t="shared" si="3"/>
        <v>98.83598590166666</v>
      </c>
      <c r="N27" s="64">
        <f>ROUND(YIELD(D27,E27,B27,M27,100,2,0),5)</f>
        <v>4.1930000000000002E-2</v>
      </c>
      <c r="O27" s="39">
        <f t="shared" si="5"/>
        <v>25158000</v>
      </c>
      <c r="P27" s="53">
        <f t="shared" si="6"/>
        <v>17</v>
      </c>
    </row>
    <row r="28" spans="1:18">
      <c r="A28" s="51">
        <f t="shared" si="7"/>
        <v>18</v>
      </c>
      <c r="B28" s="57">
        <v>4.1500000000000002E-2</v>
      </c>
      <c r="C28" s="39" t="s">
        <v>82</v>
      </c>
      <c r="D28" s="56">
        <f>DATE(2019,3,1)</f>
        <v>43525</v>
      </c>
      <c r="E28" s="56">
        <f>DATE(2050,2,15)</f>
        <v>54834</v>
      </c>
      <c r="F28" s="58">
        <f t="shared" si="0"/>
        <v>30.955555555555556</v>
      </c>
      <c r="G28" s="58">
        <f t="shared" si="1"/>
        <v>28.125</v>
      </c>
      <c r="H28" s="59">
        <v>600000000</v>
      </c>
      <c r="I28" s="60">
        <v>600000000</v>
      </c>
      <c r="J28" s="61">
        <f>-2790000-4500000-89979.46-558791.88</f>
        <v>-7938771.3399999999</v>
      </c>
      <c r="K28" s="61">
        <v>0</v>
      </c>
      <c r="L28" s="62">
        <f t="shared" ref="L28:L29" si="12">SUM(I28:K28)</f>
        <v>592061228.65999997</v>
      </c>
      <c r="M28" s="63">
        <f t="shared" si="3"/>
        <v>98.676871443333326</v>
      </c>
      <c r="N28" s="64">
        <f>ROUND(YIELD(D28,E28,B28,M28,100,2,0),5)</f>
        <v>4.2270000000000002E-2</v>
      </c>
      <c r="O28" s="39">
        <f t="shared" si="5"/>
        <v>25362000</v>
      </c>
      <c r="P28" s="53">
        <f t="shared" si="6"/>
        <v>18</v>
      </c>
    </row>
    <row r="29" spans="1:18">
      <c r="A29" s="51">
        <f t="shared" si="7"/>
        <v>19</v>
      </c>
      <c r="B29" s="57">
        <v>3.3000000000000002E-2</v>
      </c>
      <c r="C29" s="39" t="s">
        <v>83</v>
      </c>
      <c r="D29" s="56">
        <f>DATE(2020,4,8)</f>
        <v>43929</v>
      </c>
      <c r="E29" s="56">
        <f>DATE(2051,3,15)</f>
        <v>55227</v>
      </c>
      <c r="F29" s="58">
        <f t="shared" si="0"/>
        <v>30.93611111111111</v>
      </c>
      <c r="G29" s="58">
        <f t="shared" si="1"/>
        <v>29.208333333333332</v>
      </c>
      <c r="H29" s="59">
        <v>600000000</v>
      </c>
      <c r="I29" s="60">
        <v>600000000</v>
      </c>
      <c r="J29" s="61">
        <f>-4944000-4500000-98100.59-585497.81-338.37</f>
        <v>-10127936.77</v>
      </c>
      <c r="K29" s="61">
        <v>0</v>
      </c>
      <c r="L29" s="62">
        <f t="shared" si="12"/>
        <v>589872063.23000002</v>
      </c>
      <c r="M29" s="63">
        <f t="shared" si="3"/>
        <v>98.31201053833334</v>
      </c>
      <c r="N29" s="64">
        <f>ROUND(YIELD(D29,E29,B29,M29,100,2,0),5)</f>
        <v>3.388E-2</v>
      </c>
      <c r="O29" s="39">
        <f t="shared" si="5"/>
        <v>20328000</v>
      </c>
      <c r="P29" s="53">
        <f t="shared" si="6"/>
        <v>19</v>
      </c>
    </row>
    <row r="30" spans="1:18">
      <c r="A30" s="51">
        <f t="shared" si="7"/>
        <v>20</v>
      </c>
      <c r="B30" s="57">
        <v>2.9000000000000001E-2</v>
      </c>
      <c r="C30" s="39" t="s">
        <v>84</v>
      </c>
      <c r="D30" s="56">
        <f>DATE(2021,7,9)</f>
        <v>44386</v>
      </c>
      <c r="E30" s="56">
        <f>DATE(2052,6,15)</f>
        <v>55685</v>
      </c>
      <c r="F30" s="58">
        <f t="shared" si="0"/>
        <v>30.933333333333334</v>
      </c>
      <c r="G30" s="58">
        <f t="shared" si="1"/>
        <v>30.458333333333332</v>
      </c>
      <c r="H30" s="59">
        <v>1000000000</v>
      </c>
      <c r="I30" s="60">
        <v>1000000000</v>
      </c>
      <c r="J30" s="61">
        <f>-7670000-7500000-38616.9-1150-850357.1-537750</f>
        <v>-16597874</v>
      </c>
      <c r="K30" s="61">
        <v>0</v>
      </c>
      <c r="L30" s="62">
        <f t="shared" ref="L30" si="13">SUM(I30:K30)</f>
        <v>983402126</v>
      </c>
      <c r="M30" s="63">
        <f t="shared" si="3"/>
        <v>98.340212600000001</v>
      </c>
      <c r="N30" s="64">
        <f>ROUND(YIELD(D30,E30,B30,M30,100,2,0),5)</f>
        <v>2.9819999999999999E-2</v>
      </c>
      <c r="O30" s="39">
        <f t="shared" si="5"/>
        <v>29820000</v>
      </c>
      <c r="P30" s="53">
        <f t="shared" si="6"/>
        <v>20</v>
      </c>
      <c r="R30" s="66"/>
    </row>
    <row r="31" spans="1:18">
      <c r="A31" s="51">
        <f t="shared" si="7"/>
        <v>21</v>
      </c>
      <c r="B31" s="67">
        <f>SUMPRODUCT(B13:B30,I13:I30)/I31</f>
        <v>4.5275229357798166E-2</v>
      </c>
      <c r="C31" s="68" t="s">
        <v>86</v>
      </c>
      <c r="D31" s="56"/>
      <c r="E31" s="56"/>
      <c r="F31" s="69">
        <f>SUMPRODUCT(F13:F30,I13:I30)/I31</f>
        <v>25.994410465511383</v>
      </c>
      <c r="G31" s="69">
        <f>SUMPRODUCT(G13:G30,I13:I30)/I31</f>
        <v>17.753049609242272</v>
      </c>
      <c r="I31" s="70">
        <f>SUM(I13:I30)</f>
        <v>8175000000</v>
      </c>
      <c r="J31" s="70">
        <f>SUM(J13:J30)</f>
        <v>-97043579.700000003</v>
      </c>
      <c r="K31" s="70">
        <f>SUM(K13:K30)</f>
        <v>-3239069.72</v>
      </c>
      <c r="L31" s="70">
        <f>SUM(L13:L30)</f>
        <v>8074717350.5799999</v>
      </c>
      <c r="N31" s="71">
        <f>O31/I31</f>
        <v>4.6158562691131499E-2</v>
      </c>
      <c r="O31" s="68">
        <f>SUM(O13:O30)</f>
        <v>377346250</v>
      </c>
      <c r="P31" s="53">
        <f t="shared" si="6"/>
        <v>21</v>
      </c>
    </row>
    <row r="32" spans="1:18">
      <c r="A32" s="51">
        <f t="shared" si="7"/>
        <v>22</v>
      </c>
      <c r="B32" s="67"/>
      <c r="C32" s="68"/>
      <c r="D32" s="56"/>
      <c r="E32" s="56"/>
      <c r="F32" s="69"/>
      <c r="G32" s="69"/>
      <c r="I32" s="70"/>
      <c r="J32" s="70"/>
      <c r="K32" s="70"/>
      <c r="L32" s="70"/>
      <c r="N32" s="71"/>
      <c r="O32" s="68"/>
      <c r="P32" s="53">
        <f t="shared" si="6"/>
        <v>22</v>
      </c>
    </row>
    <row r="33" spans="1:16">
      <c r="A33" s="51">
        <f t="shared" si="7"/>
        <v>23</v>
      </c>
      <c r="B33" s="72">
        <v>8.2600000000000007E-2</v>
      </c>
      <c r="C33" s="39" t="s">
        <v>119</v>
      </c>
      <c r="D33" s="56">
        <f>DATE(1992,1,8)</f>
        <v>33611</v>
      </c>
      <c r="E33" s="56">
        <f>DATE(2022,1,7)</f>
        <v>44568</v>
      </c>
      <c r="F33" s="58">
        <f t="shared" ref="F33:F34" si="14">YEARFRAC(D33,E33)</f>
        <v>29.997222222222224</v>
      </c>
      <c r="G33" s="58">
        <f t="shared" ref="G33:G34" si="15">YEARFRAC($A$4,E33)</f>
        <v>1.9444444444444445E-2</v>
      </c>
      <c r="H33" s="61">
        <v>5000000</v>
      </c>
      <c r="I33" s="73">
        <v>5000000</v>
      </c>
      <c r="J33" s="61">
        <f>-(32500+80.21+31.25+489.58+150-8.33)</f>
        <v>-33242.71</v>
      </c>
      <c r="K33" s="61">
        <v>-684640.5</v>
      </c>
      <c r="L33" s="61">
        <f t="shared" ref="L33:L34" si="16">SUM(I33:K33)</f>
        <v>4282116.79</v>
      </c>
      <c r="M33" s="63">
        <f t="shared" ref="M33:M34" si="17">L33/I33*100</f>
        <v>85.642335799999998</v>
      </c>
      <c r="N33" s="64">
        <f t="shared" ref="N33:N34" si="18">ROUND(YIELD(D33,E33,B33,M33,100,2,0),5)</f>
        <v>9.7449999999999995E-2</v>
      </c>
      <c r="O33" s="39">
        <f t="shared" ref="O33:O34" si="19">ROUND(N33,5)*I33</f>
        <v>487250</v>
      </c>
      <c r="P33" s="53">
        <f t="shared" si="6"/>
        <v>23</v>
      </c>
    </row>
    <row r="34" spans="1:16">
      <c r="A34" s="51">
        <f t="shared" si="7"/>
        <v>24</v>
      </c>
      <c r="B34" s="72">
        <v>8.270000000000001E-2</v>
      </c>
      <c r="C34" s="39" t="s">
        <v>119</v>
      </c>
      <c r="D34" s="56">
        <f>DATE(1992,1,9)</f>
        <v>33612</v>
      </c>
      <c r="E34" s="56">
        <f>DATE(2022,1,10)</f>
        <v>44571</v>
      </c>
      <c r="F34" s="58">
        <f t="shared" si="14"/>
        <v>30.002777777777776</v>
      </c>
      <c r="G34" s="58">
        <f t="shared" si="15"/>
        <v>2.7777777777777776E-2</v>
      </c>
      <c r="H34" s="61">
        <v>4000000</v>
      </c>
      <c r="I34" s="73">
        <v>4000000</v>
      </c>
      <c r="J34" s="61">
        <f>-(30000+64.17+25+391.67+120-6.67)</f>
        <v>-30594.17</v>
      </c>
      <c r="K34" s="61">
        <v>-547712.4</v>
      </c>
      <c r="L34" s="61">
        <f t="shared" si="16"/>
        <v>3421693.43</v>
      </c>
      <c r="M34" s="63">
        <f t="shared" si="17"/>
        <v>85.542335750000007</v>
      </c>
      <c r="N34" s="64">
        <f t="shared" si="18"/>
        <v>9.7680000000000003E-2</v>
      </c>
      <c r="O34" s="39">
        <f t="shared" si="19"/>
        <v>390720</v>
      </c>
      <c r="P34" s="53">
        <f t="shared" si="6"/>
        <v>24</v>
      </c>
    </row>
    <row r="35" spans="1:16">
      <c r="A35" s="51">
        <f t="shared" si="7"/>
        <v>25</v>
      </c>
      <c r="B35" s="67">
        <f>SUMPRODUCT(B33:B34,I33:I34)/I35</f>
        <v>8.2644444444444451E-2</v>
      </c>
      <c r="C35" s="68" t="s">
        <v>120</v>
      </c>
      <c r="D35" s="56"/>
      <c r="E35" s="56"/>
      <c r="F35" s="69">
        <f>SUMPRODUCT(F33:F34,I33:I34)/I35</f>
        <v>29.999691358024691</v>
      </c>
      <c r="G35" s="69">
        <f>SUMPRODUCT(G33:G34,I33:I34)/I35</f>
        <v>2.3148148148148147E-2</v>
      </c>
      <c r="I35" s="70">
        <f>SUM(I33:I34)</f>
        <v>9000000</v>
      </c>
      <c r="J35" s="70">
        <f>SUM(J33:J34)</f>
        <v>-63836.88</v>
      </c>
      <c r="K35" s="70">
        <f>SUM(K33:K34)</f>
        <v>-1232352.8999999999</v>
      </c>
      <c r="L35" s="70">
        <f>SUM(L33:L34)</f>
        <v>7703810.2200000007</v>
      </c>
      <c r="N35" s="71">
        <f>O35/I35</f>
        <v>9.7552222222222221E-2</v>
      </c>
      <c r="O35" s="68">
        <f>SUM(O33:O34)</f>
        <v>877970</v>
      </c>
      <c r="P35" s="53">
        <f t="shared" si="6"/>
        <v>25</v>
      </c>
    </row>
    <row r="36" spans="1:16">
      <c r="A36" s="51">
        <f t="shared" si="7"/>
        <v>26</v>
      </c>
      <c r="D36" s="56"/>
      <c r="E36" s="56"/>
      <c r="F36" s="58"/>
      <c r="G36" s="58"/>
      <c r="I36" s="74"/>
      <c r="J36" s="62"/>
      <c r="L36" s="62"/>
      <c r="M36" s="64"/>
      <c r="N36" s="64"/>
      <c r="P36" s="53">
        <f t="shared" si="6"/>
        <v>26</v>
      </c>
    </row>
    <row r="37" spans="1:16">
      <c r="A37" s="51">
        <f t="shared" si="7"/>
        <v>27</v>
      </c>
      <c r="B37" s="72">
        <v>8.0500000000000002E-2</v>
      </c>
      <c r="C37" s="39" t="s">
        <v>118</v>
      </c>
      <c r="D37" s="56">
        <f>DATE(1992,9,18)</f>
        <v>33865</v>
      </c>
      <c r="E37" s="56">
        <f>DATE(2022,9,1)</f>
        <v>44805</v>
      </c>
      <c r="F37" s="58">
        <f t="shared" ref="F37:F45" si="20">YEARFRAC(D37,E37)</f>
        <v>29.952777777777779</v>
      </c>
      <c r="G37" s="58">
        <f t="shared" ref="G37:G45" si="21">YEARFRAC($A$4,E37)</f>
        <v>0.6694444444444444</v>
      </c>
      <c r="H37" s="61">
        <v>15000000</v>
      </c>
      <c r="I37" s="73">
        <v>15000000</v>
      </c>
      <c r="J37" s="61">
        <f>-(112500+11357.11+3127.91+233.41+3012.2+490.27+379.71+824.03+1068.66+1044.13+175.82+116.14+31.69+23.55+135.95+11.85+169.91+149.66-3380.62)</f>
        <v>-131471.38000000006</v>
      </c>
      <c r="K37" s="61">
        <v>-1695566.05</v>
      </c>
      <c r="L37" s="61">
        <f t="shared" ref="L37:L45" si="22">SUM(I37:K37)</f>
        <v>13172962.569999998</v>
      </c>
      <c r="M37" s="63">
        <f t="shared" ref="M37:M45" si="23">L37/I37*100</f>
        <v>87.819750466666662</v>
      </c>
      <c r="N37" s="64">
        <f t="shared" ref="N37:N45" si="24">ROUND(YIELD(D37,E37,B37,M37,100,2,0),5)</f>
        <v>9.257E-2</v>
      </c>
      <c r="O37" s="39">
        <f t="shared" ref="O37:O45" si="25">ROUND(N37,5)*I37</f>
        <v>1388550</v>
      </c>
      <c r="P37" s="53">
        <f t="shared" si="6"/>
        <v>27</v>
      </c>
    </row>
    <row r="38" spans="1:16">
      <c r="A38" s="51">
        <f t="shared" si="7"/>
        <v>28</v>
      </c>
      <c r="B38" s="72">
        <v>8.0700000000000008E-2</v>
      </c>
      <c r="C38" s="39" t="s">
        <v>118</v>
      </c>
      <c r="D38" s="56">
        <f>DATE(1992,9,9)</f>
        <v>33856</v>
      </c>
      <c r="E38" s="56">
        <f>DATE(2022,9,9)</f>
        <v>44813</v>
      </c>
      <c r="F38" s="58">
        <f t="shared" si="20"/>
        <v>30</v>
      </c>
      <c r="G38" s="58">
        <f t="shared" si="21"/>
        <v>0.69166666666666665</v>
      </c>
      <c r="H38" s="61">
        <v>8000000</v>
      </c>
      <c r="I38" s="73">
        <v>8000000</v>
      </c>
      <c r="J38" s="61">
        <f>-(60000+6057.13+1668.22+124.49+1606.51+261.48+202.51+439.48+569.95+556.87+93.77+61.94+16.9+12.56+72.51+6.32+90.62+79.82-1803)</f>
        <v>-70118.079999999987</v>
      </c>
      <c r="K38" s="61">
        <v>-904301.89</v>
      </c>
      <c r="L38" s="61">
        <f t="shared" si="22"/>
        <v>7025580.0300000003</v>
      </c>
      <c r="M38" s="63">
        <f t="shared" si="23"/>
        <v>87.819750375000012</v>
      </c>
      <c r="N38" s="64">
        <f t="shared" si="24"/>
        <v>9.2799999999999994E-2</v>
      </c>
      <c r="O38" s="39">
        <f t="shared" si="25"/>
        <v>742400</v>
      </c>
      <c r="P38" s="53">
        <f t="shared" si="6"/>
        <v>28</v>
      </c>
    </row>
    <row r="39" spans="1:16">
      <c r="A39" s="51">
        <f t="shared" si="7"/>
        <v>29</v>
      </c>
      <c r="B39" s="72">
        <v>8.1100000000000005E-2</v>
      </c>
      <c r="C39" s="39" t="s">
        <v>118</v>
      </c>
      <c r="D39" s="56">
        <f>DATE(1992,9,11)</f>
        <v>33858</v>
      </c>
      <c r="E39" s="56">
        <f>DATE(2022,9,9)</f>
        <v>44813</v>
      </c>
      <c r="F39" s="58">
        <f t="shared" si="20"/>
        <v>29.994444444444444</v>
      </c>
      <c r="G39" s="58">
        <f t="shared" si="21"/>
        <v>0.69166666666666665</v>
      </c>
      <c r="H39" s="61">
        <v>12000000</v>
      </c>
      <c r="I39" s="73">
        <v>12000000</v>
      </c>
      <c r="J39" s="61">
        <f>-(90000+9085.69+2502.33+186.73+2409.76+392.22+303.77+659.22+854.93+835.31+140.66+92.92+25.35+18.84+108.76+9.48+135.93+119.73-2704.5)</f>
        <v>-105177.12999999998</v>
      </c>
      <c r="K39" s="61">
        <v>-1356452.84</v>
      </c>
      <c r="L39" s="61">
        <f t="shared" si="22"/>
        <v>10538370.029999999</v>
      </c>
      <c r="M39" s="63">
        <f t="shared" si="23"/>
        <v>87.819750249999998</v>
      </c>
      <c r="N39" s="64">
        <f t="shared" si="24"/>
        <v>9.325E-2</v>
      </c>
      <c r="O39" s="39">
        <f t="shared" si="25"/>
        <v>1119000</v>
      </c>
      <c r="P39" s="53">
        <f t="shared" si="6"/>
        <v>29</v>
      </c>
    </row>
    <row r="40" spans="1:16">
      <c r="A40" s="51">
        <f t="shared" si="7"/>
        <v>30</v>
      </c>
      <c r="B40" s="72">
        <v>8.1200000000000008E-2</v>
      </c>
      <c r="C40" s="39" t="s">
        <v>118</v>
      </c>
      <c r="D40" s="56">
        <f>DATE(1992,9,11)</f>
        <v>33858</v>
      </c>
      <c r="E40" s="56">
        <f>DATE(2022,9,9)</f>
        <v>44813</v>
      </c>
      <c r="F40" s="58">
        <f t="shared" si="20"/>
        <v>29.994444444444444</v>
      </c>
      <c r="G40" s="58">
        <f t="shared" si="21"/>
        <v>0.69166666666666665</v>
      </c>
      <c r="H40" s="61">
        <v>50000000</v>
      </c>
      <c r="I40" s="73">
        <v>50000000</v>
      </c>
      <c r="J40" s="61">
        <f>-(375000+37857.05+10426.39+778.02+10040.66+1634.24+1265.7+2746.76+3562.22+3480.45+586.07+387.15+105.64+78.5+453.17+39.5+566.38+498.86-11268.74)</f>
        <v>-438238.02</v>
      </c>
      <c r="K40" s="61">
        <v>-5651886.8399999999</v>
      </c>
      <c r="L40" s="61">
        <f t="shared" si="22"/>
        <v>43909875.140000001</v>
      </c>
      <c r="M40" s="63">
        <f t="shared" si="23"/>
        <v>87.819750279999994</v>
      </c>
      <c r="N40" s="64">
        <f t="shared" si="24"/>
        <v>9.3359999999999999E-2</v>
      </c>
      <c r="O40" s="39">
        <f t="shared" si="25"/>
        <v>4668000</v>
      </c>
      <c r="P40" s="53">
        <f t="shared" si="6"/>
        <v>30</v>
      </c>
    </row>
    <row r="41" spans="1:16">
      <c r="A41" s="51">
        <f t="shared" si="7"/>
        <v>31</v>
      </c>
      <c r="B41" s="72">
        <v>8.0500000000000002E-2</v>
      </c>
      <c r="C41" s="39" t="s">
        <v>118</v>
      </c>
      <c r="D41" s="56">
        <f>DATE(1992,9,14)</f>
        <v>33861</v>
      </c>
      <c r="E41" s="56">
        <f>DATE(2022,9,14)</f>
        <v>44818</v>
      </c>
      <c r="F41" s="58">
        <f t="shared" si="20"/>
        <v>30</v>
      </c>
      <c r="G41" s="58">
        <f t="shared" si="21"/>
        <v>0.7055555555555556</v>
      </c>
      <c r="H41" s="61">
        <v>10000000</v>
      </c>
      <c r="I41" s="73">
        <v>10000000</v>
      </c>
      <c r="J41" s="61">
        <f>-(75000+7571.41+2085.28+155.6+2008.13+326.85+253.14+549.35+712.44+696.09+117.21+77.43+21.13+15.7+90.63+7.9+113.27+99.77-2253.75)</f>
        <v>-87647.580000000031</v>
      </c>
      <c r="K41" s="61">
        <v>-1130377.3700000001</v>
      </c>
      <c r="L41" s="61">
        <f t="shared" si="22"/>
        <v>8781975.0500000007</v>
      </c>
      <c r="M41" s="63">
        <f t="shared" si="23"/>
        <v>87.819750499999998</v>
      </c>
      <c r="N41" s="64">
        <f t="shared" si="24"/>
        <v>9.2579999999999996E-2</v>
      </c>
      <c r="O41" s="39">
        <f t="shared" si="25"/>
        <v>925800</v>
      </c>
      <c r="P41" s="53">
        <f t="shared" si="6"/>
        <v>31</v>
      </c>
    </row>
    <row r="42" spans="1:16">
      <c r="A42" s="51">
        <f t="shared" si="7"/>
        <v>32</v>
      </c>
      <c r="B42" s="72">
        <v>8.0800000000000011E-2</v>
      </c>
      <c r="C42" s="39" t="s">
        <v>117</v>
      </c>
      <c r="D42" s="56">
        <f>DATE(1992,10,15)</f>
        <v>33892</v>
      </c>
      <c r="E42" s="56">
        <f>DATE(2022,10,14)</f>
        <v>44848</v>
      </c>
      <c r="F42" s="58">
        <f t="shared" si="20"/>
        <v>29.997222222222224</v>
      </c>
      <c r="G42" s="58">
        <f t="shared" si="21"/>
        <v>0.78888888888888886</v>
      </c>
      <c r="H42" s="61">
        <v>25000000</v>
      </c>
      <c r="I42" s="73">
        <v>25000000</v>
      </c>
      <c r="J42" s="61">
        <f>-(187500+5213.19+389.01+5020.33+817.12+632.85+1373.38+1781.11+1740.22+293.04+193.58+52.82+39.25+226.58+19.75+283.19+249.43-5634.37)</f>
        <v>-200190.47999999998</v>
      </c>
      <c r="K42" s="61">
        <f>-(942395.61+1119231.5)</f>
        <v>-2061627.1099999999</v>
      </c>
      <c r="L42" s="61">
        <f t="shared" si="22"/>
        <v>22738182.41</v>
      </c>
      <c r="M42" s="63">
        <f t="shared" si="23"/>
        <v>90.952729640000001</v>
      </c>
      <c r="N42" s="64">
        <f t="shared" si="24"/>
        <v>8.9529999999999998E-2</v>
      </c>
      <c r="O42" s="39">
        <f t="shared" si="25"/>
        <v>2238250</v>
      </c>
      <c r="P42" s="53">
        <f t="shared" si="6"/>
        <v>32</v>
      </c>
    </row>
    <row r="43" spans="1:16">
      <c r="A43" s="51">
        <f t="shared" si="7"/>
        <v>33</v>
      </c>
      <c r="B43" s="72">
        <v>8.0800000000000011E-2</v>
      </c>
      <c r="C43" s="39" t="s">
        <v>117</v>
      </c>
      <c r="D43" s="56">
        <f>DATE(1992,10,15)</f>
        <v>33892</v>
      </c>
      <c r="E43" s="56">
        <f>DATE(2022,10,14)</f>
        <v>44848</v>
      </c>
      <c r="F43" s="58">
        <f t="shared" si="20"/>
        <v>29.997222222222224</v>
      </c>
      <c r="G43" s="58">
        <f t="shared" si="21"/>
        <v>0.78888888888888886</v>
      </c>
      <c r="H43" s="61">
        <v>26000000</v>
      </c>
      <c r="I43" s="73">
        <v>26000000</v>
      </c>
      <c r="J43" s="61">
        <f>-(195000+5421.72+404.57+5221.14+849.8+658.16+1428.31+1852.35+1809.83+304.76+201.32+54.93+40.82+235.65+20.54+294.52+259.41-5859.74)</f>
        <v>-208198.09000000003</v>
      </c>
      <c r="K43" s="61">
        <v>-2938981.15</v>
      </c>
      <c r="L43" s="61">
        <f t="shared" si="22"/>
        <v>22852820.760000002</v>
      </c>
      <c r="M43" s="63">
        <f t="shared" si="23"/>
        <v>87.895464461538467</v>
      </c>
      <c r="N43" s="64">
        <f t="shared" si="24"/>
        <v>9.2829999999999996E-2</v>
      </c>
      <c r="O43" s="39">
        <f t="shared" si="25"/>
        <v>2413580</v>
      </c>
      <c r="P43" s="53">
        <f t="shared" si="6"/>
        <v>33</v>
      </c>
    </row>
    <row r="44" spans="1:16">
      <c r="A44" s="51">
        <f t="shared" si="7"/>
        <v>34</v>
      </c>
      <c r="B44" s="72">
        <v>8.2299999999999998E-2</v>
      </c>
      <c r="C44" s="39" t="s">
        <v>87</v>
      </c>
      <c r="D44" s="56">
        <f>DATE(1993,1,29)</f>
        <v>33998</v>
      </c>
      <c r="E44" s="56">
        <f>DATE(2023,1,20)</f>
        <v>44946</v>
      </c>
      <c r="F44" s="58">
        <f t="shared" si="20"/>
        <v>29.975000000000001</v>
      </c>
      <c r="G44" s="58">
        <f t="shared" si="21"/>
        <v>1.0555555555555556</v>
      </c>
      <c r="H44" s="61">
        <v>4000000</v>
      </c>
      <c r="I44" s="73">
        <v>4000000</v>
      </c>
      <c r="J44" s="61">
        <f>-(30000+130.74+101.26+219.74+284.98+278.44+46.89+30.97+8.45+6.28+36.25+3.16+45.31+39.91-901.5)+81560</f>
        <v>51229.119999999995</v>
      </c>
      <c r="K44" s="61">
        <v>-88988.58</v>
      </c>
      <c r="L44" s="61">
        <f t="shared" si="22"/>
        <v>3962240.54</v>
      </c>
      <c r="M44" s="63">
        <f t="shared" si="23"/>
        <v>99.056013500000006</v>
      </c>
      <c r="N44" s="64">
        <f t="shared" si="24"/>
        <v>8.3159999999999998E-2</v>
      </c>
      <c r="O44" s="39">
        <f t="shared" si="25"/>
        <v>332640</v>
      </c>
      <c r="P44" s="53">
        <f t="shared" si="6"/>
        <v>34</v>
      </c>
    </row>
    <row r="45" spans="1:16">
      <c r="A45" s="51">
        <f t="shared" si="7"/>
        <v>35</v>
      </c>
      <c r="B45" s="72">
        <v>8.2299999999999998E-2</v>
      </c>
      <c r="C45" s="39" t="s">
        <v>87</v>
      </c>
      <c r="D45" s="56">
        <f>DATE(1993,1,20)</f>
        <v>33989</v>
      </c>
      <c r="E45" s="56">
        <f>DATE(2023,1,20)</f>
        <v>44946</v>
      </c>
      <c r="F45" s="58">
        <f t="shared" si="20"/>
        <v>30</v>
      </c>
      <c r="G45" s="58">
        <f t="shared" si="21"/>
        <v>1.0555555555555556</v>
      </c>
      <c r="H45" s="61">
        <v>5000000</v>
      </c>
      <c r="I45" s="73">
        <v>5000000</v>
      </c>
      <c r="J45" s="61">
        <f>-(37500+163.42+126.57+274.68+356.22+348.04+58.61+38.71+10.56+7.85+45.32+3.95+56.64+49.89-1126.87)</f>
        <v>-37913.589999999989</v>
      </c>
      <c r="K45" s="61">
        <v>-335843.38</v>
      </c>
      <c r="L45" s="61">
        <f t="shared" si="22"/>
        <v>4626243.03</v>
      </c>
      <c r="M45" s="63">
        <f t="shared" si="23"/>
        <v>92.524860599999997</v>
      </c>
      <c r="N45" s="64">
        <f t="shared" si="24"/>
        <v>8.9510000000000006E-2</v>
      </c>
      <c r="O45" s="39">
        <f t="shared" si="25"/>
        <v>447550.00000000006</v>
      </c>
      <c r="P45" s="53">
        <f t="shared" si="6"/>
        <v>35</v>
      </c>
    </row>
    <row r="46" spans="1:16">
      <c r="A46" s="51">
        <f t="shared" si="7"/>
        <v>36</v>
      </c>
      <c r="B46" s="67">
        <f>SUMPRODUCT(B37:B45,I37:I45)/I46</f>
        <v>8.0985806451612907E-2</v>
      </c>
      <c r="C46" s="68" t="s">
        <v>88</v>
      </c>
      <c r="D46" s="56"/>
      <c r="E46" s="56"/>
      <c r="F46" s="69">
        <f>SUMPRODUCT(F37:F45,I37:I45)/I46</f>
        <v>29.991648745519711</v>
      </c>
      <c r="G46" s="69">
        <f>SUMPRODUCT(G37:G45,I37:I45)/I46</f>
        <v>0.74353046594982086</v>
      </c>
      <c r="I46" s="70">
        <f>SUM(I37:I45)</f>
        <v>155000000</v>
      </c>
      <c r="J46" s="70">
        <f>SUM(J37:J45)</f>
        <v>-1227725.2300000002</v>
      </c>
      <c r="K46" s="70">
        <f>SUM(K37:K45)</f>
        <v>-16164025.210000003</v>
      </c>
      <c r="L46" s="70">
        <f>SUM(L37:L45)</f>
        <v>137608249.56</v>
      </c>
      <c r="N46" s="71">
        <f>O46/I46</f>
        <v>9.2101741935483872E-2</v>
      </c>
      <c r="O46" s="68">
        <f>SUM(O37:O45)</f>
        <v>14275770</v>
      </c>
      <c r="P46" s="53">
        <f t="shared" si="6"/>
        <v>36</v>
      </c>
    </row>
    <row r="47" spans="1:16">
      <c r="A47" s="51">
        <f t="shared" si="7"/>
        <v>37</v>
      </c>
      <c r="D47" s="56"/>
      <c r="E47" s="56"/>
      <c r="F47" s="58"/>
      <c r="G47" s="58"/>
      <c r="I47" s="74"/>
      <c r="J47" s="62"/>
      <c r="L47" s="62"/>
      <c r="M47" s="64"/>
      <c r="N47" s="64"/>
      <c r="P47" s="53">
        <f t="shared" si="6"/>
        <v>37</v>
      </c>
    </row>
    <row r="48" spans="1:16">
      <c r="A48" s="51">
        <f t="shared" si="7"/>
        <v>38</v>
      </c>
      <c r="B48" s="72">
        <v>7.2599999999999998E-2</v>
      </c>
      <c r="C48" s="39" t="s">
        <v>89</v>
      </c>
      <c r="D48" s="56">
        <f>DATE(1993,7,22)</f>
        <v>34172</v>
      </c>
      <c r="E48" s="56">
        <f>DATE(2023,7,21)</f>
        <v>45128</v>
      </c>
      <c r="F48" s="58">
        <f t="shared" ref="F48:F57" si="26">YEARFRAC(D48,E48)</f>
        <v>29.997222222222224</v>
      </c>
      <c r="G48" s="58">
        <f t="shared" ref="G48:G57" si="27">YEARFRAC($A$4,E48)</f>
        <v>1.5583333333333333</v>
      </c>
      <c r="H48" s="61">
        <v>11000000</v>
      </c>
      <c r="I48" s="73">
        <v>11000000</v>
      </c>
      <c r="J48" s="61">
        <v>-100622</v>
      </c>
      <c r="K48" s="61">
        <v>-589062</v>
      </c>
      <c r="L48" s="61">
        <f t="shared" ref="L48:L57" si="28">SUM(I48:K48)</f>
        <v>10310316</v>
      </c>
      <c r="M48" s="63">
        <f t="shared" ref="M48:M57" si="29">L48/I48*100</f>
        <v>93.73014545454545</v>
      </c>
      <c r="N48" s="64">
        <f t="shared" ref="N48:N57" si="30">ROUND(YIELD(D48,E48,B48,M48,100,2,0),5)</f>
        <v>7.8039999999999998E-2</v>
      </c>
      <c r="O48" s="39">
        <f t="shared" ref="O48:O57" si="31">ROUND(N48,5)*I48</f>
        <v>858440</v>
      </c>
      <c r="P48" s="53">
        <f t="shared" si="6"/>
        <v>38</v>
      </c>
    </row>
    <row r="49" spans="1:16">
      <c r="A49" s="51">
        <f t="shared" si="7"/>
        <v>39</v>
      </c>
      <c r="B49" s="72">
        <v>7.2599999999999998E-2</v>
      </c>
      <c r="C49" s="39" t="s">
        <v>89</v>
      </c>
      <c r="D49" s="56">
        <f>DATE(1993,7,22)</f>
        <v>34172</v>
      </c>
      <c r="E49" s="56">
        <f>DATE(2023,7,21)</f>
        <v>45128</v>
      </c>
      <c r="F49" s="58">
        <f t="shared" si="26"/>
        <v>29.997222222222224</v>
      </c>
      <c r="G49" s="58">
        <f t="shared" si="27"/>
        <v>1.5583333333333333</v>
      </c>
      <c r="H49" s="61">
        <v>27000000</v>
      </c>
      <c r="I49" s="73">
        <v>27000000</v>
      </c>
      <c r="J49" s="61">
        <v>-246981</v>
      </c>
      <c r="K49" s="61">
        <v>-1445879.9</v>
      </c>
      <c r="L49" s="61">
        <f t="shared" si="28"/>
        <v>25307139.100000001</v>
      </c>
      <c r="M49" s="63">
        <f t="shared" si="29"/>
        <v>93.730144814814821</v>
      </c>
      <c r="N49" s="64">
        <f t="shared" si="30"/>
        <v>7.8039999999999998E-2</v>
      </c>
      <c r="O49" s="39">
        <f t="shared" si="31"/>
        <v>2107080</v>
      </c>
      <c r="P49" s="53">
        <f t="shared" si="6"/>
        <v>39</v>
      </c>
    </row>
    <row r="50" spans="1:16">
      <c r="A50" s="51">
        <f t="shared" si="7"/>
        <v>40</v>
      </c>
      <c r="B50" s="72">
        <v>7.2300000000000003E-2</v>
      </c>
      <c r="C50" s="39" t="s">
        <v>90</v>
      </c>
      <c r="D50" s="56">
        <f>DATE(1993,8,16)</f>
        <v>34197</v>
      </c>
      <c r="E50" s="56">
        <f>DATE(2023,8,16)</f>
        <v>45154</v>
      </c>
      <c r="F50" s="58">
        <f t="shared" si="26"/>
        <v>30</v>
      </c>
      <c r="G50" s="58">
        <f t="shared" si="27"/>
        <v>1.6277777777777778</v>
      </c>
      <c r="H50" s="61">
        <v>15000000</v>
      </c>
      <c r="I50" s="73">
        <v>15000000</v>
      </c>
      <c r="J50" s="61">
        <v>-137211</v>
      </c>
      <c r="K50" s="61">
        <f>-504373+235749</f>
        <v>-268624</v>
      </c>
      <c r="L50" s="61">
        <f t="shared" si="28"/>
        <v>14594165</v>
      </c>
      <c r="M50" s="63">
        <f t="shared" si="29"/>
        <v>97.29443333333333</v>
      </c>
      <c r="N50" s="64">
        <f t="shared" si="30"/>
        <v>7.4569999999999997E-2</v>
      </c>
      <c r="O50" s="39">
        <f t="shared" si="31"/>
        <v>1118550</v>
      </c>
      <c r="P50" s="53">
        <f t="shared" si="6"/>
        <v>40</v>
      </c>
    </row>
    <row r="51" spans="1:16">
      <c r="A51" s="51">
        <f t="shared" si="7"/>
        <v>41</v>
      </c>
      <c r="B51" s="72">
        <v>7.2400000000000006E-2</v>
      </c>
      <c r="C51" s="39" t="s">
        <v>90</v>
      </c>
      <c r="D51" s="56">
        <f>DATE(1993,8,16)</f>
        <v>34197</v>
      </c>
      <c r="E51" s="56">
        <f>DATE(2023,8,16)</f>
        <v>45154</v>
      </c>
      <c r="F51" s="58">
        <f t="shared" si="26"/>
        <v>30</v>
      </c>
      <c r="G51" s="58">
        <f t="shared" si="27"/>
        <v>1.6277777777777778</v>
      </c>
      <c r="H51" s="61">
        <v>30000000</v>
      </c>
      <c r="I51" s="73">
        <v>30000000</v>
      </c>
      <c r="J51" s="61">
        <v>-274423</v>
      </c>
      <c r="K51" s="61">
        <f>-1008746+471498</f>
        <v>-537248</v>
      </c>
      <c r="L51" s="61">
        <f t="shared" si="28"/>
        <v>29188329</v>
      </c>
      <c r="M51" s="63">
        <f t="shared" si="29"/>
        <v>97.294430000000006</v>
      </c>
      <c r="N51" s="64">
        <f t="shared" si="30"/>
        <v>7.467E-2</v>
      </c>
      <c r="O51" s="39">
        <f t="shared" si="31"/>
        <v>2240100</v>
      </c>
      <c r="P51" s="53">
        <f t="shared" si="6"/>
        <v>41</v>
      </c>
    </row>
    <row r="52" spans="1:16">
      <c r="A52" s="51">
        <f t="shared" si="7"/>
        <v>42</v>
      </c>
      <c r="B52" s="72">
        <v>6.7500000000000004E-2</v>
      </c>
      <c r="C52" s="39" t="s">
        <v>91</v>
      </c>
      <c r="D52" s="56">
        <f>DATE(1993,9,14)</f>
        <v>34226</v>
      </c>
      <c r="E52" s="56">
        <f>DATE(2023,9,14)</f>
        <v>45183</v>
      </c>
      <c r="F52" s="58">
        <f t="shared" si="26"/>
        <v>30</v>
      </c>
      <c r="G52" s="58">
        <f t="shared" si="27"/>
        <v>1.7055555555555555</v>
      </c>
      <c r="H52" s="61">
        <v>2000000</v>
      </c>
      <c r="I52" s="73">
        <v>2000000</v>
      </c>
      <c r="J52" s="61">
        <v>-15300</v>
      </c>
      <c r="K52" s="61">
        <v>0</v>
      </c>
      <c r="L52" s="61">
        <f t="shared" si="28"/>
        <v>1984700</v>
      </c>
      <c r="M52" s="63">
        <f t="shared" si="29"/>
        <v>99.234999999999999</v>
      </c>
      <c r="N52" s="64">
        <f t="shared" si="30"/>
        <v>6.8099999999999994E-2</v>
      </c>
      <c r="O52" s="39">
        <f t="shared" si="31"/>
        <v>136200</v>
      </c>
      <c r="P52" s="53">
        <f t="shared" si="6"/>
        <v>42</v>
      </c>
    </row>
    <row r="53" spans="1:16">
      <c r="A53" s="51">
        <f t="shared" si="7"/>
        <v>43</v>
      </c>
      <c r="B53" s="72">
        <v>6.720000000000001E-2</v>
      </c>
      <c r="C53" s="39" t="s">
        <v>91</v>
      </c>
      <c r="D53" s="56">
        <f>DATE(1993,9,14)</f>
        <v>34226</v>
      </c>
      <c r="E53" s="56">
        <f>DATE(2023,9,14)</f>
        <v>45183</v>
      </c>
      <c r="F53" s="58">
        <f t="shared" si="26"/>
        <v>30</v>
      </c>
      <c r="G53" s="58">
        <f t="shared" si="27"/>
        <v>1.7055555555555555</v>
      </c>
      <c r="H53" s="61">
        <v>2000000</v>
      </c>
      <c r="I53" s="73">
        <v>2000000</v>
      </c>
      <c r="J53" s="61">
        <v>-15300</v>
      </c>
      <c r="K53" s="61">
        <v>0</v>
      </c>
      <c r="L53" s="61">
        <f t="shared" si="28"/>
        <v>1984700</v>
      </c>
      <c r="M53" s="63">
        <f t="shared" si="29"/>
        <v>99.234999999999999</v>
      </c>
      <c r="N53" s="64">
        <f t="shared" si="30"/>
        <v>6.7799999999999999E-2</v>
      </c>
      <c r="O53" s="39">
        <f t="shared" si="31"/>
        <v>135600</v>
      </c>
      <c r="P53" s="53">
        <f t="shared" si="6"/>
        <v>43</v>
      </c>
    </row>
    <row r="54" spans="1:16">
      <c r="A54" s="51">
        <f t="shared" si="7"/>
        <v>44</v>
      </c>
      <c r="B54" s="72">
        <v>6.7500000000000004E-2</v>
      </c>
      <c r="C54" s="39" t="s">
        <v>91</v>
      </c>
      <c r="D54" s="56">
        <f>DATE(1993,9,14)</f>
        <v>34226</v>
      </c>
      <c r="E54" s="56">
        <f>DATE(2023,9,14)</f>
        <v>45183</v>
      </c>
      <c r="F54" s="58">
        <f t="shared" si="26"/>
        <v>30</v>
      </c>
      <c r="G54" s="58">
        <f t="shared" si="27"/>
        <v>1.7055555555555555</v>
      </c>
      <c r="H54" s="61">
        <v>5000000</v>
      </c>
      <c r="I54" s="73">
        <v>5000000</v>
      </c>
      <c r="J54" s="61">
        <v>-38250</v>
      </c>
      <c r="K54" s="61">
        <f>-64156+29987</f>
        <v>-34169</v>
      </c>
      <c r="L54" s="61">
        <f t="shared" si="28"/>
        <v>4927581</v>
      </c>
      <c r="M54" s="63">
        <f t="shared" si="29"/>
        <v>98.55162</v>
      </c>
      <c r="N54" s="64">
        <f t="shared" si="30"/>
        <v>6.8650000000000003E-2</v>
      </c>
      <c r="O54" s="39">
        <f t="shared" si="31"/>
        <v>343250</v>
      </c>
      <c r="P54" s="53">
        <f t="shared" si="6"/>
        <v>44</v>
      </c>
    </row>
    <row r="55" spans="1:16">
      <c r="A55" s="51">
        <f t="shared" si="7"/>
        <v>45</v>
      </c>
      <c r="B55" s="72">
        <v>6.7500000000000004E-2</v>
      </c>
      <c r="C55" s="39" t="s">
        <v>92</v>
      </c>
      <c r="D55" s="56">
        <f>DATE(1993,10,26)</f>
        <v>34268</v>
      </c>
      <c r="E55" s="56">
        <f>DATE(2023,10,26)</f>
        <v>45225</v>
      </c>
      <c r="F55" s="58">
        <f t="shared" si="26"/>
        <v>30</v>
      </c>
      <c r="G55" s="58">
        <f t="shared" si="27"/>
        <v>1.8222222222222222</v>
      </c>
      <c r="H55" s="61">
        <v>12000000</v>
      </c>
      <c r="I55" s="73">
        <v>12000000</v>
      </c>
      <c r="J55" s="61">
        <v>-91396</v>
      </c>
      <c r="K55" s="61">
        <v>0</v>
      </c>
      <c r="L55" s="61">
        <f t="shared" si="28"/>
        <v>11908604</v>
      </c>
      <c r="M55" s="63">
        <f t="shared" si="29"/>
        <v>99.238366666666664</v>
      </c>
      <c r="N55" s="64">
        <f t="shared" si="30"/>
        <v>6.8099999999999994E-2</v>
      </c>
      <c r="O55" s="39">
        <f t="shared" si="31"/>
        <v>817199.99999999988</v>
      </c>
      <c r="P55" s="53">
        <f t="shared" si="6"/>
        <v>45</v>
      </c>
    </row>
    <row r="56" spans="1:16">
      <c r="A56" s="51">
        <f t="shared" si="7"/>
        <v>46</v>
      </c>
      <c r="B56" s="72">
        <v>6.7500000000000004E-2</v>
      </c>
      <c r="C56" s="39" t="s">
        <v>92</v>
      </c>
      <c r="D56" s="56">
        <f t="shared" ref="D56:D57" si="32">DATE(1993,10,26)</f>
        <v>34268</v>
      </c>
      <c r="E56" s="56">
        <f>DATE(2023,10,26)</f>
        <v>45225</v>
      </c>
      <c r="F56" s="58">
        <f t="shared" si="26"/>
        <v>30</v>
      </c>
      <c r="G56" s="58">
        <f t="shared" si="27"/>
        <v>1.8222222222222222</v>
      </c>
      <c r="H56" s="61">
        <v>16000000</v>
      </c>
      <c r="I56" s="73">
        <v>16000000</v>
      </c>
      <c r="J56" s="61">
        <v>-121861</v>
      </c>
      <c r="K56" s="61">
        <v>0</v>
      </c>
      <c r="L56" s="61">
        <f t="shared" si="28"/>
        <v>15878139</v>
      </c>
      <c r="M56" s="63">
        <f t="shared" si="29"/>
        <v>99.238368749999992</v>
      </c>
      <c r="N56" s="64">
        <f t="shared" si="30"/>
        <v>6.8099999999999994E-2</v>
      </c>
      <c r="O56" s="39">
        <f t="shared" si="31"/>
        <v>1089600</v>
      </c>
      <c r="P56" s="53">
        <f t="shared" si="6"/>
        <v>46</v>
      </c>
    </row>
    <row r="57" spans="1:16">
      <c r="A57" s="51">
        <f t="shared" si="7"/>
        <v>47</v>
      </c>
      <c r="B57" s="72">
        <v>6.7500000000000004E-2</v>
      </c>
      <c r="C57" s="39" t="s">
        <v>92</v>
      </c>
      <c r="D57" s="56">
        <f t="shared" si="32"/>
        <v>34268</v>
      </c>
      <c r="E57" s="56">
        <f>DATE(2023,10,26)</f>
        <v>45225</v>
      </c>
      <c r="F57" s="58">
        <f t="shared" si="26"/>
        <v>30</v>
      </c>
      <c r="G57" s="58">
        <f t="shared" si="27"/>
        <v>1.8222222222222222</v>
      </c>
      <c r="H57" s="61">
        <v>20000000</v>
      </c>
      <c r="I57" s="73">
        <v>20000000</v>
      </c>
      <c r="J57" s="61">
        <v>-152326</v>
      </c>
      <c r="K57" s="61">
        <v>0</v>
      </c>
      <c r="L57" s="61">
        <f t="shared" si="28"/>
        <v>19847674</v>
      </c>
      <c r="M57" s="63">
        <f t="shared" si="29"/>
        <v>99.238370000000003</v>
      </c>
      <c r="N57" s="64">
        <f t="shared" si="30"/>
        <v>6.8099999999999994E-2</v>
      </c>
      <c r="O57" s="39">
        <f t="shared" si="31"/>
        <v>1361999.9999999998</v>
      </c>
      <c r="P57" s="53">
        <f t="shared" si="6"/>
        <v>47</v>
      </c>
    </row>
    <row r="58" spans="1:16">
      <c r="A58" s="51">
        <f t="shared" si="7"/>
        <v>48</v>
      </c>
      <c r="B58" s="67">
        <f>SUMPRODUCT(B48:B57,I48:I57)/I58</f>
        <v>7.0444285714285709E-2</v>
      </c>
      <c r="C58" s="68" t="s">
        <v>93</v>
      </c>
      <c r="D58" s="56"/>
      <c r="E58" s="56"/>
      <c r="F58" s="69">
        <f>SUMPRODUCT(F48:F57,I48:I57)/I58</f>
        <v>29.999246031746033</v>
      </c>
      <c r="G58" s="69">
        <f>SUMPRODUCT(G48:G57,I48:I57)/I58</f>
        <v>1.6805952380952383</v>
      </c>
      <c r="I58" s="70">
        <f>SUM(I48:I57)</f>
        <v>140000000</v>
      </c>
      <c r="J58" s="70">
        <f>SUM(J48:J57)</f>
        <v>-1193670</v>
      </c>
      <c r="K58" s="70">
        <f>SUM(K48:K57)</f>
        <v>-2874982.9</v>
      </c>
      <c r="L58" s="70">
        <f>SUM(L48:L57)</f>
        <v>135931347.09999999</v>
      </c>
      <c r="N58" s="71">
        <f>O58/I58</f>
        <v>7.2914428571428574E-2</v>
      </c>
      <c r="O58" s="68">
        <f>SUM(O48:O57)</f>
        <v>10208020</v>
      </c>
      <c r="P58" s="53">
        <f t="shared" si="6"/>
        <v>48</v>
      </c>
    </row>
    <row r="59" spans="1:16">
      <c r="A59" s="51">
        <f t="shared" si="7"/>
        <v>49</v>
      </c>
      <c r="D59" s="56"/>
      <c r="E59" s="56"/>
      <c r="F59" s="58"/>
      <c r="G59" s="58"/>
      <c r="I59" s="74"/>
      <c r="J59" s="62"/>
      <c r="L59" s="62"/>
      <c r="M59" s="64"/>
      <c r="N59" s="64"/>
      <c r="P59" s="53">
        <f t="shared" si="6"/>
        <v>49</v>
      </c>
    </row>
    <row r="60" spans="1:16">
      <c r="A60" s="51">
        <f t="shared" si="7"/>
        <v>50</v>
      </c>
      <c r="B60" s="72">
        <v>6.7100000000000007E-2</v>
      </c>
      <c r="C60" s="39" t="s">
        <v>94</v>
      </c>
      <c r="D60" s="56">
        <f>DATE(1996,1,23)</f>
        <v>35087</v>
      </c>
      <c r="E60" s="56">
        <f>DATE(2026,1,15)</f>
        <v>46037</v>
      </c>
      <c r="F60" s="58">
        <f>YEARFRAC(D60,E60)</f>
        <v>29.977777777777778</v>
      </c>
      <c r="G60" s="58">
        <f>YEARFRAC($A$4,E60)</f>
        <v>4.041666666666667</v>
      </c>
      <c r="H60" s="61">
        <v>100000000</v>
      </c>
      <c r="I60" s="73">
        <v>100000000</v>
      </c>
      <c r="J60" s="61">
        <f>(I60*-0.00875)-1238.49-2843.43-5000-1895.25-10252.38-2112.63-6124.41</f>
        <v>-904466.5900000002</v>
      </c>
      <c r="K60" s="61">
        <v>0</v>
      </c>
      <c r="L60" s="61">
        <f>SUM(I60:K60)</f>
        <v>99095533.409999996</v>
      </c>
      <c r="M60" s="63">
        <f>L60/I60*100</f>
        <v>99.095533409999987</v>
      </c>
      <c r="N60" s="64">
        <f>ROUND(YIELD(D60,E60,B60,M60,100,2,0),5)</f>
        <v>6.7809999999999995E-2</v>
      </c>
      <c r="O60" s="61">
        <f>ROUND(N60,5)*I60</f>
        <v>6780999.9999999991</v>
      </c>
      <c r="P60" s="53">
        <f t="shared" si="6"/>
        <v>50</v>
      </c>
    </row>
    <row r="61" spans="1:16">
      <c r="A61" s="51">
        <f t="shared" si="7"/>
        <v>51</v>
      </c>
      <c r="B61" s="67">
        <f>SUMPRODUCT(B60:B60,I60:I60)/I61</f>
        <v>6.7100000000000007E-2</v>
      </c>
      <c r="C61" s="68" t="s">
        <v>95</v>
      </c>
      <c r="D61" s="56"/>
      <c r="E61" s="56"/>
      <c r="F61" s="69">
        <f>SUMPRODUCT(F60:F60,I60:I60)/I61</f>
        <v>29.977777777777778</v>
      </c>
      <c r="G61" s="69">
        <f>SUMPRODUCT(G60:G60,I60:I60)/I61</f>
        <v>4.041666666666667</v>
      </c>
      <c r="I61" s="68">
        <f>SUM(I60:I60)</f>
        <v>100000000</v>
      </c>
      <c r="J61" s="68">
        <f>SUM(J60:J60)</f>
        <v>-904466.5900000002</v>
      </c>
      <c r="K61" s="68">
        <f>SUM(K60:K60)</f>
        <v>0</v>
      </c>
      <c r="L61" s="68">
        <f>SUM(L60:L60)</f>
        <v>99095533.409999996</v>
      </c>
      <c r="M61" s="64"/>
      <c r="N61" s="71">
        <f>O61/I61</f>
        <v>6.7809999999999995E-2</v>
      </c>
      <c r="O61" s="68">
        <f>SUM(O60:O60)</f>
        <v>6780999.9999999991</v>
      </c>
      <c r="P61" s="53">
        <f t="shared" si="6"/>
        <v>51</v>
      </c>
    </row>
    <row r="62" spans="1:16">
      <c r="A62" s="51">
        <f t="shared" si="7"/>
        <v>52</v>
      </c>
      <c r="D62" s="56"/>
      <c r="E62" s="56"/>
      <c r="F62" s="58"/>
      <c r="G62" s="58"/>
      <c r="I62" s="74"/>
      <c r="J62" s="62"/>
      <c r="L62" s="62"/>
      <c r="M62" s="64"/>
      <c r="N62" s="64"/>
      <c r="P62" s="53">
        <f t="shared" si="6"/>
        <v>52</v>
      </c>
    </row>
    <row r="63" spans="1:16">
      <c r="A63" s="51">
        <f t="shared" si="7"/>
        <v>53</v>
      </c>
      <c r="B63" s="67">
        <f>(+B31*I31+B35*I35+B46*I46+B58*I58+B61*I61)/I63</f>
        <v>4.6624758130318217E-2</v>
      </c>
      <c r="C63" s="68" t="s">
        <v>96</v>
      </c>
      <c r="D63" s="56"/>
      <c r="E63" s="56"/>
      <c r="F63" s="69">
        <f>(+F31*I31+F35*I35+F46*I46+F58*I58+F61*I61)/I63</f>
        <v>26.18261808550595</v>
      </c>
      <c r="G63" s="69">
        <f>(+G31*I31+G35*I35+G46*I46+G58*I58+G61*I61)/I63</f>
        <v>17.005022276618622</v>
      </c>
      <c r="I63" s="68">
        <f>+I31+I35+I46+I58+I61</f>
        <v>8579000000</v>
      </c>
      <c r="J63" s="68">
        <f>+J31+J35+J46+J58+J61</f>
        <v>-100433278.40000001</v>
      </c>
      <c r="K63" s="68">
        <f>+K31+K35+K46+K58+K61</f>
        <v>-23510430.73</v>
      </c>
      <c r="L63" s="68">
        <f>+L31+L35+L46+L58+L61</f>
        <v>8455056290.8700008</v>
      </c>
      <c r="M63" s="64"/>
      <c r="N63" s="71">
        <f>O63/I63</f>
        <v>4.7731554959785524E-2</v>
      </c>
      <c r="O63" s="68">
        <f>+O31+O35+O46+O58+O61</f>
        <v>409489010</v>
      </c>
      <c r="P63" s="53">
        <f t="shared" si="6"/>
        <v>53</v>
      </c>
    </row>
    <row r="64" spans="1:16">
      <c r="A64" s="51">
        <f t="shared" si="7"/>
        <v>54</v>
      </c>
      <c r="D64" s="56"/>
      <c r="E64" s="56"/>
      <c r="F64" s="58"/>
      <c r="G64" s="58"/>
      <c r="I64" s="74"/>
      <c r="J64" s="62"/>
      <c r="L64" s="62"/>
      <c r="M64" s="64"/>
      <c r="N64" s="64"/>
      <c r="O64" s="62"/>
      <c r="P64" s="53">
        <f t="shared" si="6"/>
        <v>54</v>
      </c>
    </row>
    <row r="65" spans="1:16">
      <c r="A65" s="51">
        <f t="shared" si="7"/>
        <v>55</v>
      </c>
      <c r="C65" s="54" t="s">
        <v>97</v>
      </c>
      <c r="D65" s="56"/>
      <c r="E65" s="56"/>
      <c r="F65" s="58"/>
      <c r="G65" s="58"/>
      <c r="I65" s="74"/>
      <c r="J65" s="62"/>
      <c r="L65" s="62"/>
      <c r="M65" s="64"/>
      <c r="N65" s="64"/>
      <c r="O65" s="62"/>
      <c r="P65" s="53">
        <f t="shared" si="6"/>
        <v>55</v>
      </c>
    </row>
    <row r="66" spans="1:16">
      <c r="A66" s="51">
        <f t="shared" si="7"/>
        <v>56</v>
      </c>
      <c r="B66" s="75">
        <v>4.4834971736263732E-3</v>
      </c>
      <c r="C66" s="39" t="s">
        <v>98</v>
      </c>
      <c r="D66" s="56">
        <f>DATE(1994,11,17)</f>
        <v>34655</v>
      </c>
      <c r="E66" s="56">
        <f>DATE(2024,11,1)</f>
        <v>45597</v>
      </c>
      <c r="F66" s="58">
        <f t="shared" ref="F66:F71" si="33">YEARFRAC(D66,E66)</f>
        <v>29.955555555555556</v>
      </c>
      <c r="G66" s="58">
        <f t="shared" ref="G66:G71" si="34">YEARFRAC($A$4,E66)</f>
        <v>2.8361111111111112</v>
      </c>
      <c r="H66" s="61">
        <v>8190000</v>
      </c>
      <c r="I66" s="73">
        <v>8190000</v>
      </c>
      <c r="J66" s="61">
        <f>-183929-93.65-9.49-32.4-20274.2-5147.2+527.73-555.55-263.72-0.15</f>
        <v>-209777.62999999998</v>
      </c>
      <c r="K66" s="61">
        <f>(-86323)</f>
        <v>-86323</v>
      </c>
      <c r="L66" s="61">
        <f t="shared" ref="L66:L71" si="35">SUM(I66:K66)</f>
        <v>7893899.3700000001</v>
      </c>
      <c r="M66" s="63">
        <f t="shared" ref="M66:M71" si="36">L66/I66*100</f>
        <v>96.384607692307682</v>
      </c>
      <c r="N66" s="64">
        <f t="shared" ref="N66:N71" si="37">ROUND(YIELD(D66,E66,B66,M66,100,4,1),5)</f>
        <v>5.7999999999999996E-3</v>
      </c>
      <c r="O66" s="62">
        <f t="shared" ref="O66:O71" si="38">ROUND(N66,5)*I66</f>
        <v>47502</v>
      </c>
      <c r="P66" s="53">
        <f t="shared" si="6"/>
        <v>56</v>
      </c>
    </row>
    <row r="67" spans="1:16">
      <c r="A67" s="51">
        <f t="shared" si="7"/>
        <v>57</v>
      </c>
      <c r="B67" s="75">
        <v>4.3563661255699524E-3</v>
      </c>
      <c r="C67" s="39" t="s">
        <v>99</v>
      </c>
      <c r="D67" s="56">
        <f>DATE(1994,11,17)</f>
        <v>34655</v>
      </c>
      <c r="E67" s="56">
        <f>DATE(2024,11,1)</f>
        <v>45597</v>
      </c>
      <c r="F67" s="58">
        <f t="shared" si="33"/>
        <v>29.955555555555556</v>
      </c>
      <c r="G67" s="58">
        <f t="shared" si="34"/>
        <v>2.8361111111111112</v>
      </c>
      <c r="H67" s="61">
        <v>121940000</v>
      </c>
      <c r="I67" s="73">
        <v>121940000</v>
      </c>
      <c r="J67" s="61">
        <f>-2969452-1956.29-141.25-481.71-301860.26-92.38+3920.28-2222.23-1959.09-1.04</f>
        <v>-3274245.9699999997</v>
      </c>
      <c r="K67" s="61">
        <f>(-1935450)+9683</f>
        <v>-1925767</v>
      </c>
      <c r="L67" s="61">
        <f t="shared" si="35"/>
        <v>116739987.03</v>
      </c>
      <c r="M67" s="63">
        <f t="shared" si="36"/>
        <v>95.735597039527647</v>
      </c>
      <c r="N67" s="64">
        <f t="shared" si="37"/>
        <v>5.9100000000000003E-3</v>
      </c>
      <c r="O67" s="62">
        <f t="shared" si="38"/>
        <v>720665.4</v>
      </c>
      <c r="P67" s="53">
        <f t="shared" si="6"/>
        <v>57</v>
      </c>
    </row>
    <row r="68" spans="1:16">
      <c r="A68" s="51">
        <f t="shared" si="7"/>
        <v>58</v>
      </c>
      <c r="B68" s="75">
        <v>5.5751430443559081E-3</v>
      </c>
      <c r="C68" s="39" t="s">
        <v>100</v>
      </c>
      <c r="D68" s="56">
        <f>DATE(1994,11,17)</f>
        <v>34655</v>
      </c>
      <c r="E68" s="56">
        <f>DATE(2024,11,1)</f>
        <v>45597</v>
      </c>
      <c r="F68" s="58">
        <f t="shared" si="33"/>
        <v>29.955555555555556</v>
      </c>
      <c r="G68" s="58">
        <f t="shared" si="34"/>
        <v>2.8361111111111112</v>
      </c>
      <c r="H68" s="61">
        <v>15060000</v>
      </c>
      <c r="I68" s="73">
        <v>15060000</v>
      </c>
      <c r="J68" s="61">
        <f>-375570-172.07-17.44-59.52-37280.76-9466.37+527.73-555.56-263.72-0.15</f>
        <v>-422857.86000000004</v>
      </c>
      <c r="K68" s="61">
        <f>(-92641)+11214</f>
        <v>-81427</v>
      </c>
      <c r="L68" s="61">
        <f t="shared" si="35"/>
        <v>14555715.140000001</v>
      </c>
      <c r="M68" s="63">
        <f t="shared" si="36"/>
        <v>96.651494953519261</v>
      </c>
      <c r="N68" s="64">
        <f t="shared" si="37"/>
        <v>6.8100000000000001E-3</v>
      </c>
      <c r="O68" s="62">
        <f t="shared" si="38"/>
        <v>102558.6</v>
      </c>
      <c r="P68" s="53">
        <f t="shared" si="6"/>
        <v>58</v>
      </c>
    </row>
    <row r="69" spans="1:16">
      <c r="A69" s="51">
        <f t="shared" si="7"/>
        <v>59</v>
      </c>
      <c r="B69" s="75">
        <v>4.8197278084666038E-3</v>
      </c>
      <c r="C69" s="39" t="s">
        <v>101</v>
      </c>
      <c r="D69" s="56">
        <f>DATE(1994,11,17)</f>
        <v>34655</v>
      </c>
      <c r="E69" s="56">
        <f>DATE(2024,11,1)</f>
        <v>45597</v>
      </c>
      <c r="F69" s="58">
        <f t="shared" si="33"/>
        <v>29.955555555555556</v>
      </c>
      <c r="G69" s="58">
        <f t="shared" si="34"/>
        <v>2.8361111111111112</v>
      </c>
      <c r="H69" s="61">
        <v>21260000</v>
      </c>
      <c r="I69" s="73">
        <v>21260000</v>
      </c>
      <c r="J69" s="61">
        <f>-412545-242.74-24.63-31480.09-52628.74-13360.33+18.88+678.51-555.55-339.07-0.18</f>
        <v>-510478.94</v>
      </c>
      <c r="K69" s="61">
        <f>(-88352)</f>
        <v>-88352</v>
      </c>
      <c r="L69" s="61">
        <f t="shared" si="35"/>
        <v>20661169.059999999</v>
      </c>
      <c r="M69" s="63">
        <f t="shared" si="36"/>
        <v>97.183297554092178</v>
      </c>
      <c r="N69" s="64">
        <f t="shared" si="37"/>
        <v>5.8500000000000002E-3</v>
      </c>
      <c r="O69" s="62">
        <f t="shared" si="38"/>
        <v>124371</v>
      </c>
      <c r="P69" s="53">
        <f t="shared" si="6"/>
        <v>59</v>
      </c>
    </row>
    <row r="70" spans="1:16">
      <c r="A70" s="51">
        <f t="shared" si="7"/>
        <v>60</v>
      </c>
      <c r="B70" s="75">
        <v>4.0832292905660372E-3</v>
      </c>
      <c r="C70" s="39" t="s">
        <v>102</v>
      </c>
      <c r="D70" s="56">
        <f>DATE(1995,11,17)</f>
        <v>35020</v>
      </c>
      <c r="E70" s="56">
        <f>DATE(2025,11,1)</f>
        <v>45962</v>
      </c>
      <c r="F70" s="58">
        <f t="shared" si="33"/>
        <v>29.955555555555556</v>
      </c>
      <c r="G70" s="58">
        <f t="shared" si="34"/>
        <v>3.8361111111111112</v>
      </c>
      <c r="H70" s="61">
        <v>5300000</v>
      </c>
      <c r="I70" s="73">
        <f>5300000</f>
        <v>5300000</v>
      </c>
      <c r="J70" s="61">
        <f>-4020.01-32463.14-26670.88-14633.18-53933.24-322.71</f>
        <v>-132043.15999999997</v>
      </c>
      <c r="K70" s="61">
        <v>0</v>
      </c>
      <c r="L70" s="61">
        <f t="shared" si="35"/>
        <v>5167956.84</v>
      </c>
      <c r="M70" s="63">
        <f t="shared" si="36"/>
        <v>97.508619622641504</v>
      </c>
      <c r="N70" s="64">
        <f t="shared" si="37"/>
        <v>4.9800000000000001E-3</v>
      </c>
      <c r="O70" s="62">
        <f t="shared" si="38"/>
        <v>26394</v>
      </c>
      <c r="P70" s="53">
        <f t="shared" si="6"/>
        <v>60</v>
      </c>
    </row>
    <row r="71" spans="1:16">
      <c r="A71" s="51">
        <f t="shared" si="7"/>
        <v>61</v>
      </c>
      <c r="B71" s="75">
        <v>5.0136562545454533E-3</v>
      </c>
      <c r="C71" s="39" t="s">
        <v>103</v>
      </c>
      <c r="D71" s="56">
        <f>DATE(1995,11,17)</f>
        <v>35020</v>
      </c>
      <c r="E71" s="56">
        <f>DATE(2025,11,1)</f>
        <v>45962</v>
      </c>
      <c r="F71" s="58">
        <f t="shared" si="33"/>
        <v>29.955555555555556</v>
      </c>
      <c r="G71" s="58">
        <f t="shared" si="34"/>
        <v>3.8361111111111112</v>
      </c>
      <c r="H71" s="61">
        <v>22000000</v>
      </c>
      <c r="I71" s="73">
        <f>22000000</f>
        <v>22000000</v>
      </c>
      <c r="J71" s="61">
        <f>-9071.1-129640.11-189217.86-14682.77-4950-56377.22-322.71</f>
        <v>-404261.76999999996</v>
      </c>
      <c r="K71" s="61">
        <v>0</v>
      </c>
      <c r="L71" s="61">
        <f t="shared" si="35"/>
        <v>21595738.23</v>
      </c>
      <c r="M71" s="63">
        <f t="shared" si="36"/>
        <v>98.162446500000001</v>
      </c>
      <c r="N71" s="64">
        <f t="shared" si="37"/>
        <v>5.6800000000000002E-3</v>
      </c>
      <c r="O71" s="62">
        <f t="shared" si="38"/>
        <v>124960</v>
      </c>
      <c r="P71" s="53">
        <f t="shared" si="6"/>
        <v>61</v>
      </c>
    </row>
    <row r="72" spans="1:16">
      <c r="A72" s="51">
        <f t="shared" si="7"/>
        <v>62</v>
      </c>
      <c r="B72" s="67">
        <f>SUMPRODUCT(B66:B71,I66:I71)/I72</f>
        <v>4.5744812774193549E-3</v>
      </c>
      <c r="C72" s="68" t="s">
        <v>104</v>
      </c>
      <c r="D72" s="56"/>
      <c r="E72" s="56"/>
      <c r="F72" s="69">
        <f>SUMPRODUCT(F66:F71,I66:I71)/I72</f>
        <v>29.955555555555563</v>
      </c>
      <c r="G72" s="69">
        <f>SUMPRODUCT(G66:G71,I66:I71)/I72</f>
        <v>2.9770143369175628</v>
      </c>
      <c r="I72" s="68">
        <f>SUM(I66:I71)</f>
        <v>193750000</v>
      </c>
      <c r="J72" s="68">
        <f>SUM(J66:J71)</f>
        <v>-4953665.3299999991</v>
      </c>
      <c r="K72" s="68">
        <f>SUM(K66:K71)</f>
        <v>-2181869</v>
      </c>
      <c r="L72" s="68">
        <f>SUM(L66:L71)</f>
        <v>186614465.67000002</v>
      </c>
      <c r="M72" s="64"/>
      <c r="N72" s="71">
        <f>O72/I72</f>
        <v>5.9171664516129031E-3</v>
      </c>
      <c r="O72" s="68">
        <f>SUM(O66:O71)</f>
        <v>1146451</v>
      </c>
      <c r="P72" s="53">
        <f t="shared" si="6"/>
        <v>62</v>
      </c>
    </row>
    <row r="73" spans="1:16">
      <c r="A73" s="51">
        <f t="shared" si="7"/>
        <v>63</v>
      </c>
      <c r="D73" s="56"/>
      <c r="E73" s="56"/>
      <c r="F73" s="58"/>
      <c r="G73" s="58"/>
      <c r="I73" s="74"/>
      <c r="J73" s="62"/>
      <c r="L73" s="62"/>
      <c r="M73" s="64"/>
      <c r="N73" s="64"/>
      <c r="O73" s="62"/>
      <c r="P73" s="53">
        <f t="shared" si="6"/>
        <v>63</v>
      </c>
    </row>
    <row r="74" spans="1:16">
      <c r="A74" s="51">
        <f t="shared" si="7"/>
        <v>64</v>
      </c>
      <c r="B74" s="75">
        <v>4.1686183409836057E-3</v>
      </c>
      <c r="C74" s="61" t="s">
        <v>105</v>
      </c>
      <c r="D74" s="56">
        <f>DATE(1995,12,14)</f>
        <v>35047</v>
      </c>
      <c r="E74" s="56">
        <f>DATE(2025,11,1)</f>
        <v>45962</v>
      </c>
      <c r="F74" s="58">
        <f t="shared" ref="F74" si="39">YEARFRAC(D74,E74)</f>
        <v>29.880555555555556</v>
      </c>
      <c r="G74" s="58">
        <f t="shared" ref="G74" si="40">YEARFRAC($A$4,E74)</f>
        <v>3.8361111111111112</v>
      </c>
      <c r="H74" s="61">
        <v>24400000</v>
      </c>
      <c r="I74" s="76">
        <f>24400000</f>
        <v>24400000</v>
      </c>
      <c r="J74" s="61">
        <f>-19002.27-120150.79-10722.63-6607.3-58895.72-9621.24</f>
        <v>-224999.94999999998</v>
      </c>
      <c r="K74" s="61">
        <v>-428469.14</v>
      </c>
      <c r="L74" s="61">
        <f t="shared" ref="L74" si="41">SUM(I74:K74)</f>
        <v>23746530.91</v>
      </c>
      <c r="M74" s="63">
        <f t="shared" ref="M74" si="42">L74/I74*100</f>
        <v>97.321847991803281</v>
      </c>
      <c r="N74" s="64">
        <f t="shared" ref="N74" si="43">ROUND(YIELD(D74,E74,B74,M74,100,4,1),5)</f>
        <v>5.1399999999999996E-3</v>
      </c>
      <c r="O74" s="62">
        <f t="shared" ref="O74" si="44">ROUND(N74,5)*I74</f>
        <v>125415.99999999999</v>
      </c>
      <c r="P74" s="53">
        <f t="shared" si="6"/>
        <v>64</v>
      </c>
    </row>
    <row r="75" spans="1:16">
      <c r="A75" s="51">
        <f t="shared" si="7"/>
        <v>65</v>
      </c>
      <c r="B75" s="67">
        <f>SUMPRODUCT(B74:B74,I74:I74)/I75</f>
        <v>4.1686183409836057E-3</v>
      </c>
      <c r="C75" s="68" t="s">
        <v>106</v>
      </c>
      <c r="D75" s="56"/>
      <c r="E75" s="56"/>
      <c r="F75" s="69">
        <f>SUMPRODUCT(F74:F74,I74:I74)/I75</f>
        <v>29.880555555555556</v>
      </c>
      <c r="G75" s="69">
        <f>SUMPRODUCT(G74:G74,I74:I74)/I75</f>
        <v>3.8361111111111112</v>
      </c>
      <c r="I75" s="68">
        <f>SUM(I74:I74)</f>
        <v>24400000</v>
      </c>
      <c r="J75" s="68">
        <f>SUM(J74:J74)</f>
        <v>-224999.94999999998</v>
      </c>
      <c r="K75" s="68">
        <f>SUM(K74:K74)</f>
        <v>-428469.14</v>
      </c>
      <c r="L75" s="68">
        <f>SUM(L74:L74)</f>
        <v>23746530.91</v>
      </c>
      <c r="M75" s="64"/>
      <c r="N75" s="71">
        <f>O75/I75</f>
        <v>5.1399999999999996E-3</v>
      </c>
      <c r="O75" s="68">
        <f>SUM(O74:O74)</f>
        <v>125415.99999999999</v>
      </c>
      <c r="P75" s="53">
        <f t="shared" si="6"/>
        <v>65</v>
      </c>
    </row>
    <row r="76" spans="1:16">
      <c r="A76" s="51">
        <f t="shared" si="7"/>
        <v>66</v>
      </c>
      <c r="D76" s="56"/>
      <c r="E76" s="56"/>
      <c r="F76" s="58"/>
      <c r="G76" s="58"/>
      <c r="I76" s="74"/>
      <c r="J76" s="62"/>
      <c r="L76" s="62"/>
      <c r="M76" s="64"/>
      <c r="N76" s="64"/>
      <c r="O76" s="62"/>
      <c r="P76" s="53">
        <f t="shared" si="6"/>
        <v>66</v>
      </c>
    </row>
    <row r="77" spans="1:16">
      <c r="A77" s="51">
        <f t="shared" si="7"/>
        <v>67</v>
      </c>
      <c r="B77" s="67">
        <f>(B72*I72+B75*I75)/I77</f>
        <v>4.5290856521659414E-3</v>
      </c>
      <c r="C77" s="68" t="s">
        <v>107</v>
      </c>
      <c r="D77" s="56"/>
      <c r="E77" s="56"/>
      <c r="F77" s="69">
        <f>(F72*I72+F75*I75)/I77</f>
        <v>29.947166832200072</v>
      </c>
      <c r="G77" s="69">
        <f>(G72*I72+G75*I75)/I77</f>
        <v>3.0731040059082693</v>
      </c>
      <c r="I77" s="68">
        <f>I72+I75</f>
        <v>218150000</v>
      </c>
      <c r="J77" s="68">
        <f>J72+J75</f>
        <v>-5178665.2799999993</v>
      </c>
      <c r="K77" s="68">
        <f>K72+K75</f>
        <v>-2610338.14</v>
      </c>
      <c r="L77" s="68">
        <f>L72+L75</f>
        <v>210360996.58000001</v>
      </c>
      <c r="M77" s="64"/>
      <c r="N77" s="71">
        <f>O77/I77</f>
        <v>5.8302406600962637E-3</v>
      </c>
      <c r="O77" s="68">
        <f>O72+O75</f>
        <v>1271867</v>
      </c>
      <c r="P77" s="53">
        <f t="shared" ref="P77:P88" si="45">A77</f>
        <v>67</v>
      </c>
    </row>
    <row r="78" spans="1:16">
      <c r="A78" s="51">
        <f t="shared" ref="A78:A86" si="46">A77+1</f>
        <v>68</v>
      </c>
      <c r="B78" s="67"/>
      <c r="C78" s="68"/>
      <c r="D78" s="56"/>
      <c r="E78" s="56"/>
      <c r="F78" s="69"/>
      <c r="G78" s="69"/>
      <c r="I78" s="68"/>
      <c r="J78" s="68"/>
      <c r="K78" s="68"/>
      <c r="L78" s="68"/>
      <c r="M78" s="64"/>
      <c r="N78" s="71"/>
      <c r="O78" s="68"/>
      <c r="P78" s="53">
        <f t="shared" si="45"/>
        <v>68</v>
      </c>
    </row>
    <row r="79" spans="1:16">
      <c r="A79" s="51">
        <f t="shared" si="46"/>
        <v>69</v>
      </c>
      <c r="B79" s="67"/>
      <c r="C79" s="68"/>
      <c r="D79" s="45" t="s">
        <v>108</v>
      </c>
      <c r="E79" s="45" t="s">
        <v>109</v>
      </c>
      <c r="F79" s="69"/>
      <c r="G79" s="69"/>
      <c r="I79" s="68"/>
      <c r="J79" s="68"/>
      <c r="K79" s="68"/>
      <c r="L79" s="68"/>
      <c r="M79" s="64"/>
      <c r="N79" s="71"/>
      <c r="O79" s="68"/>
      <c r="P79" s="53">
        <f t="shared" si="45"/>
        <v>69</v>
      </c>
    </row>
    <row r="80" spans="1:16">
      <c r="A80" s="51">
        <f t="shared" si="46"/>
        <v>70</v>
      </c>
      <c r="B80" s="67"/>
      <c r="C80" s="68"/>
      <c r="D80" s="45" t="s">
        <v>43</v>
      </c>
      <c r="E80" s="45" t="s">
        <v>43</v>
      </c>
      <c r="F80" s="69"/>
      <c r="G80" s="69"/>
      <c r="I80" s="68"/>
      <c r="J80" s="68"/>
      <c r="K80" s="68"/>
      <c r="L80" s="68"/>
      <c r="M80" s="64"/>
      <c r="N80" s="71"/>
      <c r="O80" s="68"/>
      <c r="P80" s="53">
        <f t="shared" si="45"/>
        <v>70</v>
      </c>
    </row>
    <row r="81" spans="1:16">
      <c r="A81" s="51">
        <f t="shared" si="46"/>
        <v>71</v>
      </c>
      <c r="B81" s="67"/>
      <c r="C81" s="77" t="s">
        <v>110</v>
      </c>
      <c r="D81" s="56">
        <f>DATE(2000,11,17)</f>
        <v>36847</v>
      </c>
      <c r="E81" s="56">
        <f>DATE(2035,6,30)</f>
        <v>49490</v>
      </c>
      <c r="F81" s="69"/>
      <c r="G81" s="69"/>
      <c r="I81" s="68"/>
      <c r="J81" s="68"/>
      <c r="K81" s="68"/>
      <c r="L81" s="68"/>
      <c r="M81" s="64"/>
      <c r="N81" s="71"/>
      <c r="O81" s="62">
        <f>107887.08</f>
        <v>107887.08</v>
      </c>
      <c r="P81" s="53">
        <f t="shared" si="45"/>
        <v>71</v>
      </c>
    </row>
    <row r="82" spans="1:16">
      <c r="A82" s="51">
        <f t="shared" si="46"/>
        <v>72</v>
      </c>
      <c r="B82" s="67"/>
      <c r="C82" s="77" t="s">
        <v>111</v>
      </c>
      <c r="D82" s="56">
        <f>DATE(2000,11,17)</f>
        <v>36847</v>
      </c>
      <c r="E82" s="56">
        <f>DATE(2025,12,31)</f>
        <v>46022</v>
      </c>
      <c r="F82" s="69"/>
      <c r="G82" s="69"/>
      <c r="I82" s="68"/>
      <c r="J82" s="68"/>
      <c r="K82" s="68"/>
      <c r="L82" s="68"/>
      <c r="M82" s="64"/>
      <c r="N82" s="71"/>
      <c r="O82" s="62">
        <v>84083.82</v>
      </c>
      <c r="P82" s="53">
        <f t="shared" si="45"/>
        <v>72</v>
      </c>
    </row>
    <row r="83" spans="1:16">
      <c r="A83" s="51">
        <f t="shared" si="46"/>
        <v>73</v>
      </c>
      <c r="B83" s="67"/>
      <c r="C83" s="39" t="s">
        <v>112</v>
      </c>
      <c r="D83" s="56">
        <f>DATE(2016,2,18)</f>
        <v>42418</v>
      </c>
      <c r="E83" s="56">
        <f>DATE(2024,11,1)</f>
        <v>45597</v>
      </c>
      <c r="F83" s="69"/>
      <c r="G83" s="69"/>
      <c r="I83" s="68"/>
      <c r="J83" s="68"/>
      <c r="K83" s="68"/>
      <c r="L83" s="68"/>
      <c r="M83" s="64"/>
      <c r="N83" s="71"/>
      <c r="O83" s="62">
        <f>920.81*12+175.45*12</f>
        <v>13155.119999999999</v>
      </c>
      <c r="P83" s="53">
        <f t="shared" si="45"/>
        <v>73</v>
      </c>
    </row>
    <row r="84" spans="1:16">
      <c r="A84" s="51">
        <f t="shared" si="46"/>
        <v>74</v>
      </c>
      <c r="B84" s="67"/>
      <c r="C84" s="91" t="s">
        <v>121</v>
      </c>
      <c r="D84" s="56">
        <f>DATE(2021,11,1)</f>
        <v>44501</v>
      </c>
      <c r="E84" s="56">
        <f>DATE(2022,2,1)</f>
        <v>44593</v>
      </c>
      <c r="F84" s="69"/>
      <c r="G84" s="69"/>
      <c r="I84" s="68"/>
      <c r="J84" s="68"/>
      <c r="K84" s="68"/>
      <c r="L84" s="68"/>
      <c r="M84" s="64"/>
      <c r="N84" s="71"/>
      <c r="O84" s="62">
        <f>54741.7</f>
        <v>54741.7</v>
      </c>
      <c r="P84" s="53">
        <f t="shared" si="45"/>
        <v>74</v>
      </c>
    </row>
    <row r="85" spans="1:16">
      <c r="A85" s="51">
        <f t="shared" si="46"/>
        <v>75</v>
      </c>
      <c r="B85" s="67"/>
      <c r="C85" s="68" t="s">
        <v>113</v>
      </c>
      <c r="D85" s="56"/>
      <c r="E85" s="56"/>
      <c r="F85" s="69"/>
      <c r="G85" s="69"/>
      <c r="I85" s="68"/>
      <c r="J85" s="68"/>
      <c r="K85" s="68"/>
      <c r="L85" s="68"/>
      <c r="M85" s="64"/>
      <c r="N85" s="71"/>
      <c r="O85" s="68">
        <f>SUM(O81:O84)</f>
        <v>259867.72000000003</v>
      </c>
      <c r="P85" s="53">
        <f t="shared" si="45"/>
        <v>75</v>
      </c>
    </row>
    <row r="86" spans="1:16">
      <c r="A86" s="51">
        <f t="shared" si="46"/>
        <v>76</v>
      </c>
      <c r="D86" s="56"/>
      <c r="E86" s="56"/>
      <c r="F86" s="58"/>
      <c r="G86" s="58"/>
      <c r="I86" s="74"/>
      <c r="J86" s="62"/>
      <c r="L86" s="62"/>
      <c r="M86" s="64"/>
      <c r="N86" s="64"/>
      <c r="O86" s="62"/>
      <c r="P86" s="53">
        <f t="shared" si="45"/>
        <v>76</v>
      </c>
    </row>
    <row r="87" spans="1:16">
      <c r="A87" s="51">
        <f>A86+1</f>
        <v>77</v>
      </c>
      <c r="B87" s="78">
        <f>(B63*I63+B77*I77)/I87</f>
        <v>4.558087790193642E-2</v>
      </c>
      <c r="C87" s="68" t="s">
        <v>15</v>
      </c>
      <c r="D87" s="56"/>
      <c r="E87" s="56"/>
      <c r="F87" s="69">
        <f>(F63*I63+F77*I77)/I87</f>
        <v>26.275970626850743</v>
      </c>
      <c r="G87" s="69">
        <f>(G63*I63+G77*I77)/I87</f>
        <v>16.659541300307488</v>
      </c>
      <c r="I87" s="68">
        <f>I63+I77</f>
        <v>8797150000</v>
      </c>
      <c r="J87" s="68">
        <f>J63+J77</f>
        <v>-105611943.68000001</v>
      </c>
      <c r="K87" s="68">
        <f>K63+K77</f>
        <v>-26120768.870000001</v>
      </c>
      <c r="L87" s="68">
        <f>L63+L77</f>
        <v>8665417287.4500008</v>
      </c>
      <c r="M87" s="64"/>
      <c r="N87" s="71">
        <f>O87/I87</f>
        <v>4.6722034377042566E-2</v>
      </c>
      <c r="O87" s="70">
        <f>O63+O77+O85</f>
        <v>411020744.72000003</v>
      </c>
      <c r="P87" s="53">
        <f t="shared" si="45"/>
        <v>77</v>
      </c>
    </row>
    <row r="88" spans="1:16">
      <c r="A88" s="79">
        <f>A87+1</f>
        <v>78</v>
      </c>
      <c r="B88" s="80"/>
      <c r="C88" s="81"/>
      <c r="D88" s="82"/>
      <c r="E88" s="82"/>
      <c r="F88" s="83"/>
      <c r="G88" s="83"/>
      <c r="H88" s="81"/>
      <c r="I88" s="84"/>
      <c r="J88" s="85"/>
      <c r="K88" s="81"/>
      <c r="L88" s="85"/>
      <c r="M88" s="86"/>
      <c r="N88" s="86"/>
      <c r="O88" s="85"/>
      <c r="P88" s="87">
        <f t="shared" si="45"/>
        <v>78</v>
      </c>
    </row>
    <row r="89" spans="1:16">
      <c r="D89" s="56"/>
      <c r="E89" s="56"/>
      <c r="F89" s="58"/>
      <c r="G89" s="58"/>
      <c r="I89" s="74"/>
      <c r="J89" s="62"/>
      <c r="L89" s="62"/>
      <c r="M89" s="64"/>
      <c r="N89" s="64"/>
      <c r="O89" s="62"/>
    </row>
    <row r="90" spans="1:16">
      <c r="D90" s="56"/>
      <c r="E90" s="56"/>
      <c r="F90" s="58"/>
      <c r="G90" s="58"/>
      <c r="I90" s="74"/>
      <c r="J90" s="62"/>
      <c r="L90" s="62"/>
      <c r="M90" s="64"/>
      <c r="N90" s="64"/>
      <c r="O90" s="62"/>
    </row>
    <row r="91" spans="1:16">
      <c r="D91" s="56"/>
      <c r="E91" s="56"/>
      <c r="F91" s="58"/>
      <c r="G91" s="58"/>
      <c r="I91" s="74"/>
      <c r="J91" s="62"/>
      <c r="L91" s="62"/>
      <c r="M91" s="64"/>
      <c r="N91" s="64"/>
      <c r="O91" s="62"/>
    </row>
    <row r="92" spans="1:16">
      <c r="D92" s="56"/>
      <c r="E92" s="56"/>
      <c r="F92" s="58"/>
      <c r="G92" s="58"/>
      <c r="I92" s="74"/>
      <c r="J92" s="62"/>
      <c r="L92" s="62"/>
      <c r="M92" s="64"/>
      <c r="N92" s="64"/>
      <c r="O92" s="62"/>
    </row>
    <row r="93" spans="1:16">
      <c r="D93" s="56"/>
      <c r="E93" s="56"/>
      <c r="F93" s="58"/>
      <c r="G93" s="58"/>
      <c r="I93" s="74"/>
      <c r="J93" s="62"/>
      <c r="L93" s="62"/>
      <c r="M93" s="64"/>
      <c r="N93" s="64"/>
      <c r="O93" s="62"/>
    </row>
    <row r="94" spans="1:16">
      <c r="D94" s="56"/>
      <c r="E94" s="56"/>
      <c r="F94" s="58"/>
      <c r="G94" s="58"/>
      <c r="I94" s="74"/>
      <c r="J94" s="62"/>
      <c r="L94" s="62"/>
      <c r="M94" s="64"/>
      <c r="N94" s="64"/>
      <c r="O94" s="62"/>
    </row>
    <row r="95" spans="1:16">
      <c r="A95" s="39"/>
      <c r="B95" s="39"/>
      <c r="D95" s="56"/>
      <c r="E95" s="56"/>
      <c r="F95" s="58"/>
      <c r="G95" s="58"/>
      <c r="I95" s="74"/>
      <c r="J95" s="62"/>
      <c r="L95" s="62"/>
      <c r="M95" s="64"/>
      <c r="N95" s="64"/>
      <c r="O95" s="62"/>
    </row>
    <row r="96" spans="1:16">
      <c r="A96" s="39"/>
      <c r="B96" s="39"/>
      <c r="D96" s="56"/>
      <c r="E96" s="56"/>
      <c r="F96" s="58"/>
      <c r="G96" s="58"/>
      <c r="I96" s="74"/>
      <c r="J96" s="62"/>
      <c r="L96" s="62"/>
      <c r="M96" s="64"/>
      <c r="N96" s="64"/>
      <c r="O96" s="62"/>
    </row>
    <row r="97" spans="4:15" s="39" customFormat="1">
      <c r="D97" s="56"/>
      <c r="E97" s="56"/>
      <c r="F97" s="58"/>
      <c r="G97" s="58"/>
      <c r="I97" s="74"/>
      <c r="J97" s="62"/>
      <c r="L97" s="62"/>
      <c r="M97" s="64"/>
      <c r="N97" s="64"/>
      <c r="O97" s="62"/>
    </row>
    <row r="98" spans="4:15" s="39" customFormat="1">
      <c r="D98" s="56"/>
      <c r="E98" s="56"/>
      <c r="F98" s="58"/>
      <c r="G98" s="58"/>
      <c r="I98" s="74"/>
      <c r="J98" s="62"/>
      <c r="L98" s="62"/>
      <c r="M98" s="64"/>
      <c r="N98" s="64"/>
      <c r="O98" s="62"/>
    </row>
    <row r="99" spans="4:15" s="39" customFormat="1">
      <c r="D99" s="56"/>
      <c r="E99" s="56"/>
      <c r="F99" s="58"/>
      <c r="G99" s="58"/>
      <c r="I99" s="74"/>
      <c r="J99" s="62"/>
      <c r="L99" s="62"/>
      <c r="M99" s="64"/>
      <c r="N99" s="64"/>
      <c r="O99" s="62"/>
    </row>
    <row r="100" spans="4:15" s="39" customFormat="1">
      <c r="D100" s="56"/>
      <c r="E100" s="56"/>
      <c r="F100" s="58"/>
      <c r="G100" s="58"/>
      <c r="I100" s="74"/>
      <c r="J100" s="62"/>
      <c r="L100" s="62"/>
      <c r="M100" s="64"/>
      <c r="N100" s="64"/>
      <c r="O100" s="62"/>
    </row>
    <row r="101" spans="4:15" s="39" customFormat="1">
      <c r="D101" s="56"/>
      <c r="E101" s="56"/>
      <c r="F101" s="58"/>
      <c r="G101" s="58"/>
      <c r="I101" s="74"/>
      <c r="J101" s="62"/>
      <c r="L101" s="62"/>
      <c r="M101" s="64"/>
      <c r="N101" s="64"/>
      <c r="O101" s="62"/>
    </row>
    <row r="102" spans="4:15" s="39" customFormat="1">
      <c r="D102" s="56"/>
      <c r="E102" s="56"/>
      <c r="F102" s="58"/>
      <c r="G102" s="58"/>
      <c r="I102" s="74"/>
      <c r="J102" s="62"/>
      <c r="L102" s="62"/>
      <c r="M102" s="64"/>
      <c r="N102" s="64"/>
      <c r="O102" s="62"/>
    </row>
    <row r="103" spans="4:15" s="39" customFormat="1">
      <c r="D103" s="56"/>
      <c r="E103" s="56"/>
      <c r="F103" s="58"/>
      <c r="G103" s="58"/>
      <c r="I103" s="74"/>
      <c r="J103" s="62"/>
      <c r="L103" s="62"/>
      <c r="M103" s="64"/>
      <c r="N103" s="64"/>
      <c r="O103" s="62"/>
    </row>
    <row r="104" spans="4:15" s="39" customFormat="1">
      <c r="D104" s="56"/>
      <c r="E104" s="56"/>
      <c r="F104" s="58"/>
      <c r="G104" s="58"/>
      <c r="I104" s="74"/>
      <c r="J104" s="62"/>
      <c r="L104" s="62"/>
      <c r="M104" s="64"/>
      <c r="N104" s="64"/>
      <c r="O104" s="62"/>
    </row>
    <row r="105" spans="4:15" s="39" customFormat="1">
      <c r="D105" s="56"/>
      <c r="E105" s="56"/>
      <c r="F105" s="58"/>
      <c r="G105" s="58"/>
      <c r="I105" s="74"/>
      <c r="J105" s="62"/>
      <c r="L105" s="62"/>
      <c r="M105" s="64"/>
      <c r="N105" s="64"/>
      <c r="O105" s="62"/>
    </row>
    <row r="106" spans="4:15" s="39" customFormat="1">
      <c r="D106" s="56"/>
      <c r="E106" s="56"/>
      <c r="F106" s="58"/>
      <c r="G106" s="58"/>
      <c r="I106" s="74"/>
      <c r="J106" s="62"/>
      <c r="L106" s="62"/>
      <c r="M106" s="64"/>
      <c r="N106" s="64"/>
      <c r="O106" s="62"/>
    </row>
    <row r="107" spans="4:15" s="39" customFormat="1">
      <c r="D107" s="56"/>
      <c r="E107" s="56"/>
      <c r="F107" s="58"/>
      <c r="G107" s="58"/>
      <c r="I107" s="74"/>
      <c r="J107" s="62"/>
      <c r="L107" s="62"/>
      <c r="M107" s="64"/>
      <c r="N107" s="64"/>
      <c r="O107" s="62"/>
    </row>
    <row r="108" spans="4:15" s="39" customFormat="1">
      <c r="D108" s="56"/>
      <c r="E108" s="56"/>
      <c r="F108" s="58"/>
      <c r="G108" s="58"/>
      <c r="I108" s="74"/>
      <c r="J108" s="62"/>
      <c r="L108" s="62"/>
      <c r="M108" s="64"/>
      <c r="N108" s="64"/>
      <c r="O108" s="62"/>
    </row>
    <row r="109" spans="4:15" s="39" customFormat="1">
      <c r="D109" s="56"/>
      <c r="E109" s="56"/>
      <c r="F109" s="58"/>
      <c r="G109" s="58"/>
      <c r="I109" s="74"/>
      <c r="J109" s="62"/>
      <c r="L109" s="62"/>
      <c r="M109" s="64"/>
      <c r="N109" s="64"/>
      <c r="O109" s="62"/>
    </row>
    <row r="110" spans="4:15" s="39" customFormat="1">
      <c r="D110" s="56"/>
      <c r="E110" s="56"/>
      <c r="F110" s="58"/>
      <c r="G110" s="58"/>
      <c r="I110" s="74"/>
      <c r="J110" s="62"/>
      <c r="L110" s="62"/>
      <c r="M110" s="64"/>
      <c r="N110" s="64"/>
      <c r="O110" s="62"/>
    </row>
    <row r="111" spans="4:15" s="39" customFormat="1">
      <c r="D111" s="56"/>
      <c r="E111" s="56"/>
      <c r="F111" s="58"/>
      <c r="G111" s="58"/>
      <c r="I111" s="74"/>
      <c r="J111" s="62"/>
      <c r="L111" s="62"/>
      <c r="M111" s="64"/>
      <c r="N111" s="64"/>
      <c r="O111" s="62"/>
    </row>
    <row r="112" spans="4:15" s="39" customFormat="1">
      <c r="D112" s="56"/>
      <c r="E112" s="56"/>
      <c r="F112" s="58"/>
      <c r="G112" s="58"/>
      <c r="I112" s="74"/>
      <c r="J112" s="62"/>
      <c r="L112" s="62"/>
      <c r="M112" s="64"/>
      <c r="N112" s="64"/>
      <c r="O112" s="62"/>
    </row>
    <row r="113" spans="4:15" s="39" customFormat="1">
      <c r="D113" s="56"/>
      <c r="E113" s="56"/>
      <c r="F113" s="58"/>
      <c r="G113" s="58"/>
      <c r="I113" s="74"/>
      <c r="J113" s="62"/>
      <c r="L113" s="62"/>
      <c r="M113" s="64"/>
      <c r="N113" s="64"/>
      <c r="O113" s="62"/>
    </row>
    <row r="114" spans="4:15" s="39" customFormat="1">
      <c r="D114" s="56"/>
      <c r="E114" s="56"/>
      <c r="F114" s="58"/>
      <c r="G114" s="58"/>
      <c r="I114" s="74"/>
      <c r="J114" s="62"/>
      <c r="L114" s="62"/>
      <c r="M114" s="64"/>
      <c r="N114" s="64"/>
      <c r="O114" s="62"/>
    </row>
    <row r="115" spans="4:15" s="39" customFormat="1">
      <c r="D115" s="56"/>
      <c r="E115" s="56"/>
      <c r="F115" s="58"/>
      <c r="G115" s="58"/>
      <c r="I115" s="74"/>
      <c r="J115" s="62"/>
      <c r="L115" s="62"/>
      <c r="M115" s="64"/>
      <c r="N115" s="64"/>
      <c r="O115" s="62"/>
    </row>
    <row r="116" spans="4:15" s="39" customFormat="1">
      <c r="D116" s="56"/>
      <c r="E116" s="56"/>
      <c r="F116" s="58"/>
      <c r="G116" s="58"/>
      <c r="I116" s="74"/>
      <c r="J116" s="62"/>
      <c r="L116" s="62"/>
      <c r="M116" s="64"/>
      <c r="N116" s="64"/>
      <c r="O116" s="62"/>
    </row>
    <row r="117" spans="4:15" s="39" customFormat="1">
      <c r="D117" s="56"/>
      <c r="E117" s="56"/>
      <c r="F117" s="58"/>
      <c r="G117" s="58"/>
      <c r="I117" s="74"/>
      <c r="J117" s="62"/>
      <c r="L117" s="62"/>
      <c r="M117" s="64"/>
      <c r="N117" s="64"/>
      <c r="O117" s="62"/>
    </row>
    <row r="118" spans="4:15" s="39" customFormat="1">
      <c r="D118" s="56"/>
      <c r="E118" s="56"/>
      <c r="F118" s="58"/>
      <c r="G118" s="58"/>
      <c r="I118" s="74"/>
      <c r="J118" s="62"/>
      <c r="L118" s="62"/>
      <c r="M118" s="64"/>
      <c r="N118" s="64"/>
      <c r="O118" s="62"/>
    </row>
    <row r="119" spans="4:15" s="39" customFormat="1">
      <c r="D119" s="56"/>
      <c r="E119" s="56"/>
      <c r="F119" s="58"/>
      <c r="G119" s="58"/>
      <c r="I119" s="74"/>
      <c r="J119" s="62"/>
      <c r="L119" s="62"/>
      <c r="M119" s="64"/>
      <c r="N119" s="64"/>
      <c r="O119" s="62"/>
    </row>
    <row r="120" spans="4:15" s="39" customFormat="1">
      <c r="D120" s="56"/>
      <c r="E120" s="56"/>
      <c r="F120" s="58"/>
      <c r="G120" s="58"/>
      <c r="I120" s="74"/>
      <c r="J120" s="62"/>
      <c r="L120" s="62"/>
      <c r="M120" s="64"/>
      <c r="N120" s="64"/>
      <c r="O120" s="62"/>
    </row>
    <row r="121" spans="4:15" s="39" customFormat="1">
      <c r="D121" s="56"/>
      <c r="E121" s="56"/>
      <c r="F121" s="58"/>
      <c r="G121" s="58"/>
      <c r="I121" s="74"/>
      <c r="J121" s="62"/>
      <c r="L121" s="62"/>
      <c r="M121" s="64"/>
      <c r="N121" s="64"/>
      <c r="O121" s="62"/>
    </row>
    <row r="122" spans="4:15" s="39" customFormat="1">
      <c r="D122" s="56"/>
      <c r="E122" s="56"/>
      <c r="F122" s="58"/>
      <c r="G122" s="58"/>
      <c r="I122" s="74"/>
      <c r="J122" s="62"/>
      <c r="L122" s="62"/>
      <c r="M122" s="64"/>
      <c r="N122" s="64"/>
      <c r="O122" s="62"/>
    </row>
    <row r="123" spans="4:15" s="39" customFormat="1">
      <c r="D123" s="56"/>
      <c r="E123" s="56"/>
      <c r="F123" s="58"/>
      <c r="G123" s="58"/>
      <c r="I123" s="74"/>
      <c r="J123" s="62"/>
      <c r="L123" s="62"/>
      <c r="M123" s="64"/>
      <c r="N123" s="64"/>
      <c r="O123" s="62"/>
    </row>
    <row r="124" spans="4:15" s="39" customFormat="1">
      <c r="D124" s="56"/>
      <c r="E124" s="56"/>
      <c r="F124" s="58"/>
      <c r="G124" s="58"/>
      <c r="I124" s="74"/>
      <c r="J124" s="62"/>
      <c r="L124" s="62"/>
      <c r="M124" s="64"/>
      <c r="N124" s="64"/>
      <c r="O124" s="62"/>
    </row>
    <row r="125" spans="4:15" s="39" customFormat="1">
      <c r="D125" s="56"/>
      <c r="E125" s="56"/>
      <c r="F125" s="58"/>
      <c r="G125" s="58"/>
      <c r="I125" s="74"/>
      <c r="J125" s="62"/>
      <c r="L125" s="62"/>
      <c r="M125" s="64"/>
      <c r="N125" s="64"/>
      <c r="O125" s="62"/>
    </row>
    <row r="126" spans="4:15" s="39" customFormat="1">
      <c r="D126" s="56"/>
      <c r="E126" s="56"/>
      <c r="F126" s="58"/>
      <c r="G126" s="58"/>
      <c r="I126" s="74"/>
      <c r="J126" s="62"/>
      <c r="L126" s="62"/>
      <c r="M126" s="64"/>
      <c r="N126" s="64"/>
      <c r="O126" s="62"/>
    </row>
    <row r="127" spans="4:15" s="39" customFormat="1">
      <c r="D127" s="56"/>
      <c r="E127" s="56"/>
      <c r="F127" s="58"/>
      <c r="G127" s="58"/>
      <c r="I127" s="74"/>
      <c r="J127" s="62"/>
      <c r="L127" s="62"/>
      <c r="M127" s="64"/>
      <c r="N127" s="64"/>
      <c r="O127" s="62"/>
    </row>
    <row r="128" spans="4:15" s="39" customFormat="1">
      <c r="D128" s="56"/>
      <c r="E128" s="56"/>
      <c r="F128" s="58"/>
      <c r="G128" s="58"/>
      <c r="I128" s="74"/>
      <c r="J128" s="62"/>
      <c r="L128" s="62"/>
      <c r="M128" s="64"/>
      <c r="N128" s="64"/>
      <c r="O128" s="62"/>
    </row>
    <row r="129" spans="4:15" s="39" customFormat="1">
      <c r="D129" s="56"/>
      <c r="E129" s="56"/>
      <c r="F129" s="58"/>
      <c r="G129" s="58"/>
      <c r="I129" s="74"/>
      <c r="J129" s="62"/>
      <c r="L129" s="62"/>
      <c r="M129" s="64"/>
      <c r="N129" s="64"/>
      <c r="O129" s="62"/>
    </row>
    <row r="130" spans="4:15" s="39" customFormat="1">
      <c r="D130" s="56"/>
      <c r="E130" s="56"/>
      <c r="F130" s="58"/>
      <c r="G130" s="58"/>
      <c r="I130" s="74"/>
      <c r="J130" s="62"/>
      <c r="L130" s="62"/>
      <c r="M130" s="64"/>
      <c r="N130" s="64"/>
      <c r="O130" s="62"/>
    </row>
    <row r="131" spans="4:15" s="39" customFormat="1">
      <c r="D131" s="56"/>
      <c r="E131" s="56"/>
      <c r="F131" s="58"/>
      <c r="G131" s="58"/>
      <c r="I131" s="74"/>
      <c r="J131" s="62"/>
      <c r="L131" s="62"/>
      <c r="M131" s="64"/>
      <c r="N131" s="64"/>
      <c r="O131" s="62"/>
    </row>
    <row r="132" spans="4:15" s="39" customFormat="1">
      <c r="D132" s="56"/>
      <c r="E132" s="56"/>
      <c r="F132" s="58"/>
      <c r="G132" s="58"/>
      <c r="I132" s="74"/>
      <c r="J132" s="62"/>
      <c r="L132" s="62"/>
      <c r="M132" s="64"/>
      <c r="N132" s="64"/>
      <c r="O132" s="62"/>
    </row>
    <row r="133" spans="4:15" s="39" customFormat="1">
      <c r="D133" s="56"/>
      <c r="E133" s="56"/>
      <c r="F133" s="58"/>
      <c r="G133" s="58"/>
      <c r="I133" s="74"/>
      <c r="J133" s="62"/>
      <c r="L133" s="62"/>
      <c r="M133" s="64"/>
      <c r="N133" s="64"/>
      <c r="O133" s="62"/>
    </row>
    <row r="134" spans="4:15" s="39" customFormat="1">
      <c r="D134" s="56"/>
      <c r="E134" s="56"/>
      <c r="F134" s="58"/>
      <c r="G134" s="58"/>
      <c r="I134" s="74"/>
      <c r="J134" s="62"/>
      <c r="L134" s="62"/>
      <c r="M134" s="64"/>
      <c r="N134" s="64"/>
      <c r="O134" s="62"/>
    </row>
    <row r="135" spans="4:15" s="39" customFormat="1">
      <c r="D135" s="56"/>
      <c r="E135" s="56"/>
      <c r="F135" s="58"/>
      <c r="G135" s="58"/>
      <c r="I135" s="74"/>
      <c r="J135" s="62"/>
      <c r="L135" s="62"/>
      <c r="M135" s="64"/>
      <c r="N135" s="64"/>
      <c r="O135" s="62"/>
    </row>
    <row r="136" spans="4:15" s="39" customFormat="1">
      <c r="D136" s="56"/>
      <c r="E136" s="56"/>
      <c r="F136" s="58"/>
      <c r="G136" s="58"/>
      <c r="I136" s="74"/>
      <c r="J136" s="62"/>
      <c r="L136" s="62"/>
      <c r="M136" s="64"/>
      <c r="N136" s="64"/>
      <c r="O136" s="62"/>
    </row>
    <row r="137" spans="4:15" s="39" customFormat="1">
      <c r="D137" s="56"/>
      <c r="E137" s="56"/>
      <c r="F137" s="58"/>
      <c r="G137" s="58"/>
      <c r="I137" s="74"/>
      <c r="J137" s="62"/>
      <c r="L137" s="62"/>
      <c r="M137" s="64"/>
      <c r="N137" s="64"/>
      <c r="O137" s="62"/>
    </row>
    <row r="138" spans="4:15" s="39" customFormat="1">
      <c r="D138" s="56"/>
      <c r="E138" s="56"/>
      <c r="F138" s="58"/>
      <c r="G138" s="58"/>
      <c r="I138" s="74"/>
      <c r="J138" s="62"/>
      <c r="L138" s="62"/>
      <c r="M138" s="64"/>
      <c r="N138" s="64"/>
      <c r="O138" s="62"/>
    </row>
    <row r="139" spans="4:15" s="39" customFormat="1">
      <c r="D139" s="56"/>
      <c r="E139" s="56"/>
      <c r="F139" s="58"/>
      <c r="G139" s="58"/>
      <c r="I139" s="74"/>
      <c r="J139" s="62"/>
      <c r="L139" s="62"/>
      <c r="M139" s="64"/>
      <c r="N139" s="64"/>
      <c r="O139" s="62"/>
    </row>
    <row r="140" spans="4:15" s="39" customFormat="1">
      <c r="D140" s="56"/>
      <c r="E140" s="56"/>
      <c r="F140" s="58"/>
      <c r="G140" s="58"/>
      <c r="I140" s="74"/>
      <c r="J140" s="62"/>
      <c r="L140" s="62"/>
      <c r="M140" s="64"/>
      <c r="N140" s="64"/>
      <c r="O140" s="62"/>
    </row>
    <row r="141" spans="4:15" s="39" customFormat="1">
      <c r="D141" s="56"/>
      <c r="E141" s="56"/>
      <c r="F141" s="58"/>
      <c r="G141" s="58"/>
      <c r="I141" s="74"/>
      <c r="J141" s="62"/>
      <c r="L141" s="62"/>
      <c r="M141" s="64"/>
      <c r="N141" s="64"/>
      <c r="O141" s="62"/>
    </row>
    <row r="142" spans="4:15" s="39" customFormat="1">
      <c r="D142" s="56"/>
      <c r="E142" s="56"/>
      <c r="F142" s="58"/>
      <c r="G142" s="58"/>
      <c r="I142" s="74"/>
      <c r="J142" s="62"/>
      <c r="L142" s="62"/>
      <c r="M142" s="64"/>
      <c r="N142" s="64"/>
      <c r="O142" s="62"/>
    </row>
    <row r="143" spans="4:15" s="39" customFormat="1">
      <c r="D143" s="56"/>
      <c r="E143" s="56"/>
      <c r="F143" s="58"/>
      <c r="G143" s="58"/>
      <c r="I143" s="74"/>
      <c r="J143" s="62"/>
      <c r="L143" s="62"/>
      <c r="M143" s="64"/>
      <c r="N143" s="64"/>
      <c r="O143" s="62"/>
    </row>
    <row r="144" spans="4:15" s="39" customFormat="1">
      <c r="D144" s="56"/>
      <c r="E144" s="56"/>
      <c r="F144" s="58"/>
      <c r="G144" s="58"/>
      <c r="I144" s="74"/>
      <c r="J144" s="62"/>
      <c r="L144" s="62"/>
      <c r="M144" s="64"/>
      <c r="N144" s="64"/>
      <c r="O144" s="62"/>
    </row>
    <row r="145" spans="4:15" s="39" customFormat="1">
      <c r="D145" s="56"/>
      <c r="E145" s="56"/>
      <c r="F145" s="58"/>
      <c r="G145" s="58"/>
      <c r="I145" s="74"/>
      <c r="J145" s="62"/>
      <c r="L145" s="62"/>
      <c r="M145" s="64"/>
      <c r="N145" s="64"/>
      <c r="O145" s="62"/>
    </row>
    <row r="146" spans="4:15" s="39" customFormat="1">
      <c r="D146" s="56"/>
      <c r="E146" s="56"/>
      <c r="F146" s="58"/>
      <c r="G146" s="58"/>
      <c r="I146" s="74"/>
      <c r="J146" s="62"/>
      <c r="L146" s="62"/>
      <c r="M146" s="64"/>
      <c r="N146" s="64"/>
      <c r="O146" s="62"/>
    </row>
    <row r="147" spans="4:15" s="39" customFormat="1">
      <c r="D147" s="56"/>
      <c r="E147" s="56"/>
      <c r="F147" s="58"/>
      <c r="G147" s="58"/>
      <c r="I147" s="74"/>
      <c r="J147" s="62"/>
      <c r="L147" s="62"/>
      <c r="M147" s="64"/>
      <c r="N147" s="64"/>
      <c r="O147" s="62"/>
    </row>
    <row r="148" spans="4:15" s="39" customFormat="1">
      <c r="D148" s="56"/>
      <c r="E148" s="56"/>
      <c r="F148" s="58"/>
      <c r="G148" s="58"/>
      <c r="I148" s="74"/>
      <c r="J148" s="62"/>
      <c r="L148" s="62"/>
      <c r="M148" s="64"/>
      <c r="N148" s="64"/>
      <c r="O148" s="62"/>
    </row>
    <row r="149" spans="4:15" s="39" customFormat="1">
      <c r="D149" s="56"/>
      <c r="E149" s="56"/>
      <c r="F149" s="58"/>
      <c r="G149" s="58"/>
      <c r="I149" s="74"/>
      <c r="J149" s="62"/>
      <c r="L149" s="62"/>
      <c r="M149" s="64"/>
      <c r="N149" s="64"/>
      <c r="O149" s="62"/>
    </row>
    <row r="150" spans="4:15" s="39" customFormat="1">
      <c r="D150" s="56"/>
      <c r="E150" s="56"/>
      <c r="F150" s="58"/>
      <c r="G150" s="58"/>
      <c r="I150" s="74"/>
      <c r="J150" s="62"/>
      <c r="L150" s="62"/>
      <c r="M150" s="64"/>
      <c r="N150" s="64"/>
      <c r="O150" s="62"/>
    </row>
    <row r="151" spans="4:15" s="39" customFormat="1">
      <c r="D151" s="56"/>
      <c r="E151" s="56"/>
      <c r="F151" s="58"/>
      <c r="G151" s="58"/>
      <c r="I151" s="74"/>
      <c r="J151" s="62"/>
      <c r="L151" s="62"/>
      <c r="M151" s="64"/>
      <c r="N151" s="64"/>
      <c r="O151" s="62"/>
    </row>
    <row r="152" spans="4:15" s="39" customFormat="1">
      <c r="D152" s="56"/>
      <c r="E152" s="56"/>
      <c r="F152" s="58"/>
      <c r="G152" s="58"/>
      <c r="I152" s="74"/>
      <c r="J152" s="62"/>
      <c r="L152" s="62"/>
      <c r="M152" s="64"/>
      <c r="N152" s="64"/>
      <c r="O152" s="62"/>
    </row>
    <row r="153" spans="4:15" s="39" customFormat="1">
      <c r="D153" s="56"/>
      <c r="E153" s="56"/>
      <c r="F153" s="58"/>
      <c r="G153" s="58"/>
      <c r="I153" s="74"/>
      <c r="J153" s="62"/>
      <c r="L153" s="62"/>
      <c r="M153" s="64"/>
      <c r="N153" s="64"/>
      <c r="O153" s="62"/>
    </row>
    <row r="154" spans="4:15" s="39" customFormat="1">
      <c r="D154" s="56"/>
      <c r="E154" s="56"/>
      <c r="F154" s="58"/>
      <c r="G154" s="58"/>
      <c r="I154" s="74"/>
      <c r="J154" s="62"/>
      <c r="L154" s="62"/>
      <c r="M154" s="64"/>
      <c r="N154" s="64"/>
      <c r="O154" s="62"/>
    </row>
    <row r="155" spans="4:15" s="39" customFormat="1">
      <c r="D155" s="56"/>
      <c r="E155" s="56"/>
      <c r="F155" s="58"/>
      <c r="G155" s="58"/>
      <c r="I155" s="74"/>
      <c r="J155" s="62"/>
      <c r="L155" s="62"/>
      <c r="M155" s="64"/>
      <c r="N155" s="64"/>
      <c r="O155" s="62"/>
    </row>
    <row r="156" spans="4:15" s="39" customFormat="1">
      <c r="D156" s="56"/>
      <c r="E156" s="56"/>
      <c r="F156" s="58"/>
      <c r="G156" s="58"/>
      <c r="I156" s="74"/>
      <c r="J156" s="62"/>
      <c r="L156" s="62"/>
      <c r="M156" s="64"/>
      <c r="N156" s="64"/>
      <c r="O156" s="62"/>
    </row>
    <row r="157" spans="4:15" s="39" customFormat="1">
      <c r="D157" s="56"/>
      <c r="E157" s="56"/>
      <c r="F157" s="58"/>
      <c r="G157" s="58"/>
      <c r="I157" s="74"/>
      <c r="J157" s="62"/>
      <c r="L157" s="62"/>
      <c r="M157" s="64"/>
      <c r="N157" s="64"/>
      <c r="O157" s="62"/>
    </row>
    <row r="158" spans="4:15" s="39" customFormat="1">
      <c r="D158" s="56"/>
      <c r="E158" s="56"/>
      <c r="F158" s="58"/>
      <c r="G158" s="58"/>
      <c r="I158" s="74"/>
      <c r="J158" s="62"/>
      <c r="L158" s="62"/>
      <c r="M158" s="64"/>
      <c r="N158" s="64"/>
      <c r="O158" s="62"/>
    </row>
    <row r="159" spans="4:15" s="39" customFormat="1">
      <c r="D159" s="56"/>
      <c r="E159" s="56"/>
      <c r="F159" s="58"/>
      <c r="G159" s="58"/>
      <c r="I159" s="74"/>
      <c r="J159" s="62"/>
      <c r="L159" s="62"/>
      <c r="M159" s="64"/>
      <c r="N159" s="64"/>
      <c r="O159" s="62"/>
    </row>
    <row r="160" spans="4:15" s="39" customFormat="1">
      <c r="D160" s="56"/>
      <c r="E160" s="56"/>
      <c r="F160" s="58"/>
      <c r="G160" s="58"/>
      <c r="I160" s="74"/>
      <c r="J160" s="62"/>
      <c r="L160" s="62"/>
      <c r="M160" s="64"/>
      <c r="N160" s="64"/>
      <c r="O160" s="62"/>
    </row>
    <row r="161" spans="4:15" s="39" customFormat="1">
      <c r="D161" s="56"/>
      <c r="E161" s="56"/>
      <c r="F161" s="58"/>
      <c r="G161" s="58"/>
      <c r="I161" s="74"/>
      <c r="J161" s="62"/>
      <c r="L161" s="62"/>
      <c r="M161" s="64"/>
      <c r="N161" s="64"/>
      <c r="O161" s="62"/>
    </row>
    <row r="162" spans="4:15" s="39" customFormat="1">
      <c r="D162" s="56"/>
      <c r="E162" s="56"/>
      <c r="F162" s="58"/>
      <c r="G162" s="58"/>
      <c r="I162" s="74"/>
      <c r="J162" s="62"/>
      <c r="L162" s="62"/>
      <c r="M162" s="64"/>
      <c r="N162" s="64"/>
      <c r="O162" s="62"/>
    </row>
    <row r="163" spans="4:15" s="39" customFormat="1">
      <c r="D163" s="56"/>
      <c r="E163" s="56"/>
      <c r="F163" s="58"/>
      <c r="G163" s="58"/>
      <c r="I163" s="74"/>
      <c r="J163" s="62"/>
      <c r="L163" s="62"/>
      <c r="M163" s="64"/>
      <c r="N163" s="64"/>
      <c r="O163" s="62"/>
    </row>
    <row r="164" spans="4:15" s="39" customFormat="1">
      <c r="D164" s="56"/>
      <c r="E164" s="56"/>
      <c r="F164" s="58"/>
      <c r="G164" s="58"/>
      <c r="I164" s="74"/>
      <c r="J164" s="62"/>
      <c r="L164" s="62"/>
      <c r="M164" s="64"/>
      <c r="N164" s="64"/>
      <c r="O164" s="62"/>
    </row>
    <row r="165" spans="4:15" s="39" customFormat="1">
      <c r="D165" s="56"/>
      <c r="E165" s="56"/>
      <c r="F165" s="58"/>
      <c r="G165" s="58"/>
      <c r="I165" s="74"/>
      <c r="J165" s="62"/>
      <c r="L165" s="62"/>
      <c r="M165" s="64"/>
      <c r="N165" s="64"/>
      <c r="O165" s="62"/>
    </row>
    <row r="166" spans="4:15" s="39" customFormat="1">
      <c r="D166" s="56"/>
      <c r="E166" s="56"/>
      <c r="F166" s="58"/>
      <c r="G166" s="58"/>
      <c r="I166" s="74"/>
      <c r="J166" s="62"/>
      <c r="L166" s="62"/>
      <c r="M166" s="64"/>
      <c r="N166" s="64"/>
      <c r="O166" s="62"/>
    </row>
    <row r="167" spans="4:15" s="39" customFormat="1">
      <c r="D167" s="56"/>
      <c r="E167" s="56"/>
      <c r="F167" s="58"/>
      <c r="G167" s="58"/>
      <c r="I167" s="74"/>
      <c r="J167" s="62"/>
      <c r="L167" s="62"/>
      <c r="M167" s="64"/>
      <c r="N167" s="64"/>
      <c r="O167" s="62"/>
    </row>
    <row r="168" spans="4:15" s="39" customFormat="1">
      <c r="D168" s="56"/>
      <c r="E168" s="56"/>
      <c r="F168" s="58"/>
      <c r="G168" s="58"/>
      <c r="I168" s="74"/>
      <c r="J168" s="62"/>
      <c r="L168" s="62"/>
      <c r="M168" s="64"/>
      <c r="N168" s="64"/>
      <c r="O168" s="62"/>
    </row>
    <row r="169" spans="4:15" s="39" customFormat="1">
      <c r="D169" s="56"/>
      <c r="E169" s="56"/>
      <c r="F169" s="58"/>
      <c r="G169" s="58"/>
      <c r="I169" s="74"/>
      <c r="J169" s="62"/>
      <c r="L169" s="62"/>
      <c r="M169" s="64"/>
      <c r="N169" s="64"/>
      <c r="O169" s="62"/>
    </row>
    <row r="170" spans="4:15" s="39" customFormat="1">
      <c r="D170" s="56"/>
      <c r="E170" s="56"/>
      <c r="F170" s="58"/>
      <c r="G170" s="58"/>
      <c r="I170" s="74"/>
      <c r="J170" s="62"/>
      <c r="L170" s="62"/>
      <c r="M170" s="64"/>
      <c r="N170" s="64"/>
      <c r="O170" s="62"/>
    </row>
    <row r="171" spans="4:15" s="39" customFormat="1">
      <c r="D171" s="56"/>
      <c r="E171" s="56"/>
      <c r="F171" s="58"/>
      <c r="G171" s="58"/>
      <c r="I171" s="74"/>
      <c r="J171" s="62"/>
      <c r="L171" s="62"/>
      <c r="M171" s="64"/>
      <c r="N171" s="64"/>
      <c r="O171" s="62"/>
    </row>
    <row r="172" spans="4:15" s="39" customFormat="1">
      <c r="D172" s="56"/>
      <c r="E172" s="56"/>
      <c r="F172" s="58"/>
      <c r="G172" s="58"/>
      <c r="I172" s="74"/>
      <c r="J172" s="62"/>
      <c r="L172" s="62"/>
      <c r="M172" s="64"/>
      <c r="N172" s="64"/>
      <c r="O172" s="62"/>
    </row>
    <row r="173" spans="4:15" s="39" customFormat="1">
      <c r="D173" s="56"/>
      <c r="E173" s="56"/>
      <c r="F173" s="58"/>
      <c r="G173" s="58"/>
      <c r="I173" s="74"/>
      <c r="J173" s="62"/>
      <c r="L173" s="62"/>
      <c r="M173" s="64"/>
      <c r="N173" s="64"/>
      <c r="O173" s="62"/>
    </row>
    <row r="174" spans="4:15" s="39" customFormat="1">
      <c r="D174" s="56"/>
      <c r="E174" s="56"/>
      <c r="F174" s="58"/>
      <c r="G174" s="58"/>
      <c r="I174" s="74"/>
      <c r="J174" s="62"/>
      <c r="L174" s="62"/>
      <c r="M174" s="64"/>
      <c r="N174" s="64"/>
      <c r="O174" s="62"/>
    </row>
    <row r="175" spans="4:15" s="39" customFormat="1">
      <c r="D175" s="56"/>
      <c r="E175" s="56"/>
      <c r="F175" s="58"/>
      <c r="G175" s="58"/>
      <c r="I175" s="74"/>
      <c r="J175" s="62"/>
      <c r="L175" s="62"/>
      <c r="M175" s="64"/>
      <c r="N175" s="64"/>
      <c r="O175" s="62"/>
    </row>
    <row r="176" spans="4:15" s="39" customFormat="1">
      <c r="D176" s="56"/>
      <c r="E176" s="56"/>
      <c r="F176" s="58"/>
      <c r="G176" s="58"/>
      <c r="I176" s="74"/>
      <c r="J176" s="62"/>
      <c r="L176" s="62"/>
      <c r="M176" s="64"/>
      <c r="N176" s="64"/>
      <c r="O176" s="62"/>
    </row>
    <row r="177" spans="4:15" s="39" customFormat="1">
      <c r="D177" s="56"/>
      <c r="E177" s="56"/>
      <c r="F177" s="58"/>
      <c r="G177" s="58"/>
      <c r="I177" s="74"/>
      <c r="J177" s="62"/>
      <c r="L177" s="62"/>
      <c r="M177" s="64"/>
      <c r="N177" s="64"/>
      <c r="O177" s="62"/>
    </row>
    <row r="178" spans="4:15" s="39" customFormat="1">
      <c r="D178" s="56"/>
      <c r="E178" s="56"/>
      <c r="F178" s="58"/>
      <c r="G178" s="58"/>
      <c r="I178" s="74"/>
      <c r="J178" s="62"/>
      <c r="L178" s="62"/>
      <c r="M178" s="64"/>
      <c r="N178" s="64"/>
      <c r="O178" s="62"/>
    </row>
    <row r="179" spans="4:15" s="39" customFormat="1">
      <c r="D179" s="56"/>
      <c r="E179" s="56"/>
      <c r="F179" s="58"/>
      <c r="G179" s="58"/>
      <c r="I179" s="74"/>
      <c r="J179" s="62"/>
      <c r="L179" s="62"/>
      <c r="M179" s="64"/>
      <c r="N179" s="64"/>
      <c r="O179" s="62"/>
    </row>
    <row r="180" spans="4:15" s="39" customFormat="1">
      <c r="D180" s="56"/>
      <c r="E180" s="56"/>
      <c r="F180" s="58"/>
      <c r="G180" s="58"/>
      <c r="I180" s="74"/>
      <c r="J180" s="62"/>
      <c r="L180" s="62"/>
      <c r="M180" s="64"/>
      <c r="N180" s="64"/>
      <c r="O180" s="62"/>
    </row>
    <row r="181" spans="4:15" s="39" customFormat="1">
      <c r="D181" s="56"/>
      <c r="E181" s="56"/>
      <c r="F181" s="58"/>
      <c r="G181" s="58"/>
      <c r="I181" s="74"/>
      <c r="J181" s="62"/>
      <c r="L181" s="62"/>
      <c r="M181" s="64"/>
      <c r="N181" s="64"/>
      <c r="O181" s="62"/>
    </row>
    <row r="182" spans="4:15" s="39" customFormat="1">
      <c r="D182" s="56"/>
      <c r="E182" s="56"/>
      <c r="F182" s="58"/>
      <c r="G182" s="58"/>
      <c r="I182" s="74"/>
      <c r="J182" s="62"/>
      <c r="L182" s="62"/>
      <c r="M182" s="64"/>
      <c r="N182" s="64"/>
      <c r="O182" s="62"/>
    </row>
    <row r="183" spans="4:15" s="39" customFormat="1">
      <c r="D183" s="56"/>
      <c r="E183" s="56"/>
      <c r="F183" s="58"/>
      <c r="G183" s="58"/>
      <c r="I183" s="74"/>
      <c r="J183" s="62"/>
      <c r="L183" s="62"/>
      <c r="M183" s="64"/>
      <c r="N183" s="64"/>
      <c r="O183" s="62"/>
    </row>
    <row r="184" spans="4:15" s="39" customFormat="1">
      <c r="D184" s="56"/>
      <c r="E184" s="56"/>
      <c r="F184" s="58"/>
      <c r="G184" s="58"/>
      <c r="I184" s="74"/>
      <c r="J184" s="62"/>
      <c r="L184" s="62"/>
      <c r="M184" s="64"/>
      <c r="N184" s="64"/>
      <c r="O184" s="62"/>
    </row>
    <row r="185" spans="4:15" s="39" customFormat="1">
      <c r="D185" s="56"/>
      <c r="E185" s="56"/>
      <c r="F185" s="58"/>
      <c r="G185" s="58"/>
      <c r="I185" s="74"/>
      <c r="J185" s="62"/>
      <c r="L185" s="62"/>
      <c r="M185" s="64"/>
      <c r="N185" s="64"/>
      <c r="O185" s="62"/>
    </row>
    <row r="186" spans="4:15" s="39" customFormat="1">
      <c r="D186" s="56"/>
      <c r="E186" s="56"/>
      <c r="F186" s="58"/>
      <c r="G186" s="58"/>
      <c r="I186" s="74"/>
      <c r="J186" s="62"/>
      <c r="L186" s="62"/>
      <c r="M186" s="64"/>
      <c r="N186" s="64"/>
      <c r="O186" s="62"/>
    </row>
    <row r="187" spans="4:15" s="39" customFormat="1">
      <c r="D187" s="56"/>
      <c r="E187" s="56"/>
      <c r="F187" s="58"/>
      <c r="G187" s="58"/>
      <c r="I187" s="74"/>
      <c r="J187" s="62"/>
      <c r="L187" s="62"/>
      <c r="M187" s="64"/>
      <c r="N187" s="64"/>
      <c r="O187" s="62"/>
    </row>
    <row r="188" spans="4:15" s="39" customFormat="1">
      <c r="D188" s="56"/>
      <c r="E188" s="56"/>
      <c r="F188" s="58"/>
      <c r="G188" s="58"/>
      <c r="I188" s="74"/>
      <c r="J188" s="62"/>
      <c r="L188" s="62"/>
      <c r="M188" s="64"/>
      <c r="N188" s="64"/>
      <c r="O188" s="62"/>
    </row>
    <row r="189" spans="4:15" s="39" customFormat="1">
      <c r="D189" s="56"/>
      <c r="E189" s="56"/>
      <c r="F189" s="58"/>
      <c r="G189" s="58"/>
      <c r="I189" s="74"/>
      <c r="J189" s="62"/>
      <c r="L189" s="62"/>
      <c r="M189" s="64"/>
      <c r="N189" s="64"/>
      <c r="O189" s="62"/>
    </row>
    <row r="190" spans="4:15" s="39" customFormat="1">
      <c r="D190" s="56"/>
      <c r="E190" s="56"/>
      <c r="F190" s="58"/>
      <c r="G190" s="58"/>
      <c r="I190" s="74"/>
      <c r="J190" s="62"/>
      <c r="L190" s="62"/>
      <c r="M190" s="64"/>
      <c r="N190" s="64"/>
      <c r="O190" s="62"/>
    </row>
    <row r="191" spans="4:15" s="39" customFormat="1">
      <c r="D191" s="56"/>
      <c r="E191" s="56"/>
      <c r="F191" s="58"/>
      <c r="G191" s="58"/>
      <c r="I191" s="74"/>
      <c r="J191" s="62"/>
      <c r="L191" s="62"/>
      <c r="M191" s="64"/>
      <c r="N191" s="64"/>
      <c r="O191" s="62"/>
    </row>
    <row r="192" spans="4:15" s="39" customFormat="1">
      <c r="D192" s="56"/>
      <c r="E192" s="56"/>
      <c r="F192" s="58"/>
      <c r="G192" s="58"/>
      <c r="I192" s="74"/>
      <c r="J192" s="62"/>
      <c r="L192" s="62"/>
      <c r="M192" s="64"/>
      <c r="N192" s="64"/>
      <c r="O192" s="62"/>
    </row>
    <row r="193" spans="4:15" s="39" customFormat="1">
      <c r="D193" s="56"/>
      <c r="E193" s="56"/>
      <c r="F193" s="58"/>
      <c r="G193" s="58"/>
      <c r="I193" s="74"/>
      <c r="J193" s="62"/>
      <c r="L193" s="62"/>
      <c r="M193" s="64"/>
      <c r="N193" s="64"/>
      <c r="O193" s="62"/>
    </row>
    <row r="194" spans="4:15" s="39" customFormat="1">
      <c r="D194" s="56"/>
      <c r="E194" s="56"/>
      <c r="F194" s="58"/>
      <c r="G194" s="58"/>
      <c r="I194" s="74"/>
      <c r="J194" s="62"/>
      <c r="L194" s="62"/>
      <c r="M194" s="64"/>
      <c r="N194" s="64"/>
      <c r="O194" s="62"/>
    </row>
    <row r="195" spans="4:15" s="39" customFormat="1">
      <c r="D195" s="56"/>
      <c r="E195" s="56"/>
      <c r="F195" s="58"/>
      <c r="G195" s="58"/>
      <c r="I195" s="74"/>
      <c r="J195" s="62"/>
      <c r="L195" s="62"/>
      <c r="M195" s="64"/>
      <c r="N195" s="64"/>
      <c r="O195" s="62"/>
    </row>
    <row r="196" spans="4:15" s="39" customFormat="1">
      <c r="D196" s="56"/>
      <c r="E196" s="56"/>
      <c r="F196" s="58"/>
      <c r="G196" s="58"/>
      <c r="I196" s="74"/>
      <c r="J196" s="62"/>
      <c r="L196" s="62"/>
      <c r="M196" s="64"/>
      <c r="N196" s="64"/>
      <c r="O196" s="62"/>
    </row>
    <row r="197" spans="4:15" s="39" customFormat="1">
      <c r="D197" s="56"/>
      <c r="E197" s="56"/>
      <c r="F197" s="58"/>
      <c r="G197" s="58"/>
      <c r="I197" s="74"/>
      <c r="J197" s="62"/>
      <c r="L197" s="62"/>
      <c r="M197" s="64"/>
      <c r="N197" s="64"/>
      <c r="O197" s="62"/>
    </row>
    <row r="198" spans="4:15" s="39" customFormat="1">
      <c r="D198" s="56"/>
      <c r="E198" s="56"/>
      <c r="F198" s="58"/>
      <c r="G198" s="58"/>
      <c r="I198" s="74"/>
      <c r="J198" s="62"/>
      <c r="L198" s="62"/>
      <c r="M198" s="64"/>
      <c r="N198" s="64"/>
      <c r="O198" s="62"/>
    </row>
    <row r="199" spans="4:15" s="39" customFormat="1">
      <c r="D199" s="56"/>
      <c r="E199" s="56"/>
      <c r="F199" s="58"/>
      <c r="G199" s="58"/>
      <c r="I199" s="74"/>
      <c r="J199" s="62"/>
      <c r="L199" s="62"/>
      <c r="M199" s="64"/>
      <c r="N199" s="64"/>
      <c r="O199" s="62"/>
    </row>
    <row r="200" spans="4:15" s="39" customFormat="1">
      <c r="D200" s="56"/>
      <c r="E200" s="56"/>
      <c r="F200" s="58"/>
      <c r="G200" s="58"/>
      <c r="I200" s="74"/>
      <c r="J200" s="62"/>
      <c r="L200" s="62"/>
      <c r="M200" s="64"/>
      <c r="N200" s="64"/>
      <c r="O200" s="62"/>
    </row>
    <row r="201" spans="4:15" s="39" customFormat="1">
      <c r="D201" s="56"/>
      <c r="E201" s="56"/>
      <c r="F201" s="58"/>
      <c r="G201" s="58"/>
      <c r="I201" s="74"/>
      <c r="J201" s="62"/>
      <c r="L201" s="62"/>
      <c r="M201" s="64"/>
      <c r="N201" s="64"/>
      <c r="O201" s="62"/>
    </row>
    <row r="202" spans="4:15" s="39" customFormat="1">
      <c r="D202" s="56"/>
      <c r="E202" s="56"/>
      <c r="F202" s="58"/>
      <c r="G202" s="58"/>
      <c r="I202" s="74"/>
      <c r="J202" s="62"/>
      <c r="L202" s="62"/>
      <c r="M202" s="64"/>
      <c r="N202" s="64"/>
      <c r="O202" s="62"/>
    </row>
    <row r="203" spans="4:15" s="39" customFormat="1">
      <c r="D203" s="56"/>
      <c r="E203" s="56"/>
      <c r="F203" s="58"/>
      <c r="G203" s="58"/>
      <c r="I203" s="74"/>
      <c r="J203" s="62"/>
      <c r="L203" s="62"/>
      <c r="M203" s="64"/>
      <c r="N203" s="64"/>
      <c r="O203" s="62"/>
    </row>
    <row r="204" spans="4:15" s="39" customFormat="1">
      <c r="D204" s="56"/>
      <c r="E204" s="56"/>
      <c r="F204" s="58"/>
      <c r="G204" s="58"/>
      <c r="I204" s="74"/>
      <c r="J204" s="62"/>
      <c r="L204" s="62"/>
      <c r="M204" s="64"/>
      <c r="N204" s="64"/>
      <c r="O204" s="62"/>
    </row>
    <row r="205" spans="4:15" s="39" customFormat="1">
      <c r="D205" s="56"/>
      <c r="E205" s="56"/>
      <c r="F205" s="58"/>
      <c r="G205" s="58"/>
      <c r="I205" s="74"/>
      <c r="J205" s="62"/>
      <c r="L205" s="62"/>
      <c r="M205" s="64"/>
      <c r="N205" s="64"/>
      <c r="O205" s="62"/>
    </row>
    <row r="206" spans="4:15" s="39" customFormat="1">
      <c r="D206" s="56"/>
      <c r="E206" s="56"/>
      <c r="F206" s="58"/>
      <c r="G206" s="58"/>
      <c r="I206" s="74"/>
      <c r="J206" s="62"/>
      <c r="L206" s="62"/>
      <c r="M206" s="64"/>
      <c r="N206" s="64"/>
      <c r="O206" s="62"/>
    </row>
    <row r="207" spans="4:15" s="39" customFormat="1">
      <c r="D207" s="56"/>
      <c r="E207" s="56"/>
      <c r="F207" s="58"/>
      <c r="G207" s="58"/>
      <c r="I207" s="74"/>
      <c r="J207" s="62"/>
      <c r="L207" s="62"/>
      <c r="M207" s="64"/>
      <c r="N207" s="64"/>
      <c r="O207" s="62"/>
    </row>
    <row r="208" spans="4:15" s="39" customFormat="1">
      <c r="D208" s="56"/>
      <c r="E208" s="56"/>
      <c r="F208" s="58"/>
      <c r="G208" s="58"/>
      <c r="I208" s="74"/>
      <c r="J208" s="62"/>
      <c r="L208" s="62"/>
      <c r="M208" s="64"/>
      <c r="N208" s="64"/>
      <c r="O208" s="62"/>
    </row>
    <row r="209" spans="4:15" s="39" customFormat="1">
      <c r="D209" s="56"/>
      <c r="E209" s="56"/>
      <c r="F209" s="58"/>
      <c r="G209" s="58"/>
      <c r="I209" s="74"/>
      <c r="J209" s="62"/>
      <c r="L209" s="62"/>
      <c r="M209" s="64"/>
      <c r="N209" s="64"/>
      <c r="O209" s="62"/>
    </row>
    <row r="210" spans="4:15" s="39" customFormat="1">
      <c r="D210" s="56"/>
      <c r="E210" s="56"/>
      <c r="F210" s="58"/>
      <c r="G210" s="58"/>
      <c r="I210" s="74"/>
      <c r="J210" s="62"/>
      <c r="L210" s="62"/>
      <c r="M210" s="64"/>
      <c r="N210" s="64"/>
      <c r="O210" s="62"/>
    </row>
    <row r="211" spans="4:15" s="39" customFormat="1">
      <c r="D211" s="56"/>
      <c r="E211" s="56"/>
      <c r="F211" s="58"/>
      <c r="G211" s="58"/>
      <c r="I211" s="74"/>
      <c r="J211" s="62"/>
      <c r="L211" s="62"/>
      <c r="M211" s="64"/>
      <c r="N211" s="64"/>
      <c r="O211" s="62"/>
    </row>
    <row r="212" spans="4:15" s="39" customFormat="1">
      <c r="D212" s="56"/>
      <c r="E212" s="56"/>
      <c r="F212" s="58"/>
      <c r="G212" s="58"/>
      <c r="I212" s="74"/>
      <c r="J212" s="62"/>
      <c r="L212" s="62"/>
      <c r="M212" s="64"/>
      <c r="N212" s="64"/>
      <c r="O212" s="62"/>
    </row>
    <row r="213" spans="4:15" s="39" customFormat="1">
      <c r="D213" s="56"/>
      <c r="E213" s="56"/>
      <c r="F213" s="58"/>
      <c r="G213" s="58"/>
      <c r="I213" s="74"/>
      <c r="J213" s="62"/>
      <c r="L213" s="62"/>
      <c r="M213" s="64"/>
      <c r="N213" s="64"/>
      <c r="O213" s="62"/>
    </row>
    <row r="214" spans="4:15" s="39" customFormat="1">
      <c r="D214" s="56"/>
      <c r="E214" s="56"/>
      <c r="F214" s="58"/>
      <c r="G214" s="58"/>
      <c r="I214" s="74"/>
      <c r="J214" s="62"/>
      <c r="L214" s="62"/>
      <c r="M214" s="64"/>
      <c r="N214" s="64"/>
      <c r="O214" s="62"/>
    </row>
    <row r="215" spans="4:15" s="39" customFormat="1">
      <c r="D215" s="56"/>
      <c r="E215" s="56"/>
      <c r="F215" s="58"/>
      <c r="G215" s="58"/>
      <c r="I215" s="74"/>
      <c r="J215" s="62"/>
      <c r="L215" s="62"/>
      <c r="M215" s="64"/>
      <c r="N215" s="64"/>
      <c r="O215" s="62"/>
    </row>
    <row r="216" spans="4:15" s="39" customFormat="1">
      <c r="D216" s="56"/>
      <c r="E216" s="56"/>
      <c r="F216" s="58"/>
      <c r="G216" s="58"/>
      <c r="I216" s="74"/>
      <c r="J216" s="62"/>
      <c r="L216" s="62"/>
      <c r="M216" s="64"/>
      <c r="N216" s="64"/>
      <c r="O216" s="62"/>
    </row>
    <row r="217" spans="4:15" s="39" customFormat="1">
      <c r="D217" s="56"/>
      <c r="E217" s="56"/>
      <c r="F217" s="58"/>
      <c r="G217" s="58"/>
      <c r="I217" s="74"/>
      <c r="J217" s="62"/>
      <c r="L217" s="62"/>
      <c r="M217" s="64"/>
      <c r="N217" s="64"/>
      <c r="O217" s="62"/>
    </row>
    <row r="218" spans="4:15" s="39" customFormat="1">
      <c r="D218" s="56"/>
      <c r="E218" s="56"/>
      <c r="F218" s="58"/>
      <c r="G218" s="58"/>
      <c r="I218" s="74"/>
      <c r="J218" s="62"/>
      <c r="L218" s="62"/>
      <c r="M218" s="64"/>
      <c r="N218" s="64"/>
      <c r="O218" s="62"/>
    </row>
    <row r="219" spans="4:15" s="39" customFormat="1">
      <c r="D219" s="56"/>
      <c r="E219" s="56"/>
      <c r="F219" s="58"/>
      <c r="G219" s="58"/>
      <c r="I219" s="74"/>
      <c r="J219" s="62"/>
      <c r="L219" s="62"/>
      <c r="M219" s="64"/>
      <c r="N219" s="64"/>
      <c r="O219" s="62"/>
    </row>
    <row r="220" spans="4:15" s="39" customFormat="1">
      <c r="D220" s="56"/>
      <c r="E220" s="56"/>
      <c r="F220" s="58"/>
      <c r="G220" s="58"/>
      <c r="I220" s="74"/>
      <c r="J220" s="62"/>
      <c r="L220" s="62"/>
      <c r="M220" s="64"/>
      <c r="N220" s="64"/>
      <c r="O220" s="62"/>
    </row>
    <row r="221" spans="4:15" s="39" customFormat="1">
      <c r="D221" s="56"/>
      <c r="E221" s="56"/>
      <c r="F221" s="58"/>
      <c r="G221" s="58"/>
      <c r="I221" s="74"/>
      <c r="J221" s="62"/>
      <c r="L221" s="62"/>
      <c r="M221" s="64"/>
      <c r="N221" s="64"/>
      <c r="O221" s="62"/>
    </row>
    <row r="222" spans="4:15" s="39" customFormat="1">
      <c r="D222" s="56"/>
      <c r="E222" s="56"/>
      <c r="F222" s="58"/>
      <c r="G222" s="58"/>
      <c r="I222" s="74"/>
      <c r="J222" s="62"/>
      <c r="L222" s="62"/>
      <c r="M222" s="64"/>
      <c r="N222" s="64"/>
      <c r="O222" s="62"/>
    </row>
    <row r="223" spans="4:15" s="39" customFormat="1">
      <c r="D223" s="56"/>
      <c r="E223" s="56"/>
      <c r="F223" s="58"/>
      <c r="G223" s="58"/>
      <c r="I223" s="74"/>
      <c r="J223" s="62"/>
      <c r="L223" s="62"/>
      <c r="M223" s="64"/>
      <c r="N223" s="64"/>
      <c r="O223" s="62"/>
    </row>
    <row r="224" spans="4:15" s="39" customFormat="1">
      <c r="D224" s="56"/>
      <c r="E224" s="56"/>
      <c r="F224" s="58"/>
      <c r="G224" s="58"/>
      <c r="I224" s="74"/>
      <c r="J224" s="62"/>
      <c r="L224" s="62"/>
      <c r="M224" s="64"/>
      <c r="N224" s="64"/>
      <c r="O224" s="62"/>
    </row>
    <row r="225" spans="4:15" s="39" customFormat="1">
      <c r="D225" s="56"/>
      <c r="E225" s="56"/>
      <c r="F225" s="58"/>
      <c r="G225" s="58"/>
      <c r="I225" s="74"/>
      <c r="J225" s="62"/>
      <c r="L225" s="62"/>
      <c r="M225" s="64"/>
      <c r="N225" s="64"/>
      <c r="O225" s="62"/>
    </row>
    <row r="226" spans="4:15" s="39" customFormat="1">
      <c r="D226" s="56"/>
      <c r="E226" s="56"/>
      <c r="F226" s="58"/>
      <c r="G226" s="58"/>
      <c r="I226" s="74"/>
      <c r="J226" s="62"/>
      <c r="L226" s="62"/>
      <c r="M226" s="64"/>
      <c r="N226" s="64"/>
      <c r="O226" s="62"/>
    </row>
    <row r="227" spans="4:15" s="39" customFormat="1">
      <c r="D227" s="56"/>
      <c r="E227" s="56"/>
      <c r="F227" s="58"/>
      <c r="G227" s="58"/>
      <c r="I227" s="74"/>
      <c r="J227" s="62"/>
      <c r="L227" s="62"/>
      <c r="M227" s="64"/>
      <c r="N227" s="64"/>
      <c r="O227" s="62"/>
    </row>
    <row r="228" spans="4:15" s="39" customFormat="1">
      <c r="D228" s="56"/>
      <c r="E228" s="56"/>
      <c r="F228" s="58"/>
      <c r="G228" s="58"/>
      <c r="I228" s="74"/>
      <c r="J228" s="62"/>
      <c r="L228" s="62"/>
      <c r="M228" s="64"/>
      <c r="N228" s="64"/>
      <c r="O228" s="62"/>
    </row>
    <row r="229" spans="4:15" s="39" customFormat="1">
      <c r="D229" s="56"/>
      <c r="E229" s="56"/>
      <c r="F229" s="58"/>
      <c r="G229" s="58"/>
      <c r="I229" s="74"/>
      <c r="J229" s="62"/>
      <c r="L229" s="62"/>
      <c r="M229" s="64"/>
      <c r="N229" s="64"/>
      <c r="O229" s="62"/>
    </row>
    <row r="230" spans="4:15" s="39" customFormat="1">
      <c r="D230" s="56"/>
      <c r="E230" s="56"/>
      <c r="F230" s="58"/>
      <c r="G230" s="58"/>
      <c r="I230" s="74"/>
      <c r="J230" s="62"/>
      <c r="L230" s="62"/>
      <c r="M230" s="64"/>
      <c r="N230" s="64"/>
      <c r="O230" s="62"/>
    </row>
    <row r="231" spans="4:15" s="39" customFormat="1">
      <c r="D231" s="56"/>
      <c r="E231" s="56"/>
      <c r="F231" s="58"/>
      <c r="G231" s="58"/>
      <c r="I231" s="74"/>
      <c r="J231" s="62"/>
      <c r="L231" s="62"/>
      <c r="M231" s="64"/>
      <c r="N231" s="64"/>
      <c r="O231" s="62"/>
    </row>
    <row r="232" spans="4:15" s="39" customFormat="1">
      <c r="D232" s="56"/>
      <c r="E232" s="56"/>
      <c r="F232" s="58"/>
      <c r="G232" s="58"/>
      <c r="I232" s="74"/>
      <c r="J232" s="62"/>
      <c r="L232" s="62"/>
      <c r="M232" s="64"/>
      <c r="N232" s="64"/>
      <c r="O232" s="62"/>
    </row>
    <row r="233" spans="4:15" s="39" customFormat="1">
      <c r="D233" s="56"/>
      <c r="E233" s="56"/>
      <c r="F233" s="58"/>
      <c r="G233" s="58"/>
      <c r="I233" s="74"/>
      <c r="J233" s="62"/>
      <c r="L233" s="62"/>
      <c r="M233" s="64"/>
      <c r="N233" s="64"/>
      <c r="O233" s="62"/>
    </row>
    <row r="234" spans="4:15" s="39" customFormat="1">
      <c r="D234" s="56"/>
      <c r="E234" s="56"/>
      <c r="F234" s="58"/>
      <c r="G234" s="58"/>
      <c r="I234" s="74"/>
      <c r="J234" s="62"/>
      <c r="L234" s="62"/>
      <c r="M234" s="64"/>
      <c r="N234" s="64"/>
      <c r="O234" s="62"/>
    </row>
    <row r="235" spans="4:15" s="39" customFormat="1">
      <c r="D235" s="56"/>
      <c r="E235" s="56"/>
      <c r="F235" s="58"/>
      <c r="G235" s="58"/>
      <c r="I235" s="74"/>
      <c r="J235" s="62"/>
      <c r="L235" s="62"/>
      <c r="M235" s="64"/>
      <c r="N235" s="64"/>
      <c r="O235" s="62"/>
    </row>
    <row r="236" spans="4:15" s="39" customFormat="1">
      <c r="D236" s="56"/>
      <c r="E236" s="56"/>
      <c r="F236" s="58"/>
      <c r="G236" s="58"/>
      <c r="I236" s="74"/>
      <c r="J236" s="62"/>
      <c r="L236" s="62"/>
      <c r="M236" s="64"/>
      <c r="N236" s="64"/>
      <c r="O236" s="62"/>
    </row>
    <row r="237" spans="4:15" s="39" customFormat="1">
      <c r="D237" s="56"/>
      <c r="E237" s="56"/>
      <c r="F237" s="58"/>
      <c r="G237" s="58"/>
      <c r="I237" s="74"/>
      <c r="J237" s="62"/>
      <c r="L237" s="62"/>
      <c r="M237" s="64"/>
      <c r="N237" s="64"/>
      <c r="O237" s="62"/>
    </row>
    <row r="238" spans="4:15" s="39" customFormat="1">
      <c r="D238" s="56"/>
      <c r="E238" s="56"/>
      <c r="F238" s="58"/>
      <c r="G238" s="58"/>
      <c r="I238" s="74"/>
      <c r="J238" s="62"/>
      <c r="L238" s="62"/>
      <c r="M238" s="64"/>
      <c r="N238" s="64"/>
      <c r="O238" s="62"/>
    </row>
    <row r="239" spans="4:15" s="39" customFormat="1">
      <c r="D239" s="56"/>
      <c r="E239" s="56"/>
      <c r="F239" s="58"/>
      <c r="G239" s="58"/>
      <c r="I239" s="74"/>
      <c r="J239" s="62"/>
      <c r="L239" s="62"/>
      <c r="M239" s="64"/>
      <c r="N239" s="64"/>
      <c r="O239" s="62"/>
    </row>
    <row r="240" spans="4:15" s="39" customFormat="1">
      <c r="D240" s="56"/>
      <c r="E240" s="56"/>
      <c r="F240" s="58"/>
      <c r="G240" s="58"/>
      <c r="I240" s="74"/>
      <c r="J240" s="62"/>
      <c r="L240" s="62"/>
      <c r="M240" s="64"/>
      <c r="N240" s="64"/>
      <c r="O240" s="62"/>
    </row>
    <row r="241" spans="4:15" s="39" customFormat="1">
      <c r="D241" s="56"/>
      <c r="E241" s="56"/>
      <c r="F241" s="58"/>
      <c r="G241" s="58"/>
      <c r="I241" s="74"/>
      <c r="J241" s="62"/>
      <c r="L241" s="62"/>
      <c r="M241" s="64"/>
      <c r="N241" s="64"/>
      <c r="O241" s="62"/>
    </row>
    <row r="242" spans="4:15" s="39" customFormat="1">
      <c r="D242" s="56"/>
      <c r="E242" s="56"/>
      <c r="F242" s="58"/>
      <c r="G242" s="58"/>
      <c r="I242" s="74"/>
      <c r="J242" s="62"/>
      <c r="L242" s="62"/>
      <c r="M242" s="64"/>
      <c r="N242" s="64"/>
      <c r="O242" s="62"/>
    </row>
    <row r="243" spans="4:15" s="39" customFormat="1">
      <c r="D243" s="56"/>
      <c r="E243" s="56"/>
      <c r="F243" s="58"/>
      <c r="G243" s="58"/>
      <c r="I243" s="74"/>
      <c r="J243" s="62"/>
      <c r="L243" s="62"/>
      <c r="M243" s="64"/>
      <c r="N243" s="64"/>
      <c r="O243" s="62"/>
    </row>
    <row r="244" spans="4:15" s="39" customFormat="1">
      <c r="D244" s="56"/>
      <c r="E244" s="56"/>
      <c r="F244" s="58"/>
      <c r="G244" s="58"/>
      <c r="I244" s="74"/>
      <c r="J244" s="62"/>
      <c r="L244" s="62"/>
      <c r="M244" s="64"/>
      <c r="N244" s="64"/>
      <c r="O244" s="62"/>
    </row>
    <row r="245" spans="4:15" s="39" customFormat="1">
      <c r="D245" s="56"/>
      <c r="E245" s="56"/>
      <c r="F245" s="58"/>
      <c r="G245" s="58"/>
      <c r="I245" s="74"/>
      <c r="J245" s="62"/>
      <c r="L245" s="62"/>
      <c r="M245" s="64"/>
      <c r="N245" s="64"/>
      <c r="O245" s="62"/>
    </row>
    <row r="246" spans="4:15" s="39" customFormat="1">
      <c r="D246" s="56"/>
      <c r="E246" s="56"/>
      <c r="F246" s="58"/>
      <c r="G246" s="58"/>
      <c r="I246" s="74"/>
      <c r="J246" s="62"/>
      <c r="L246" s="62"/>
      <c r="M246" s="64"/>
      <c r="N246" s="64"/>
      <c r="O246" s="62"/>
    </row>
    <row r="247" spans="4:15" s="39" customFormat="1">
      <c r="D247" s="56"/>
      <c r="E247" s="56"/>
      <c r="F247" s="58"/>
      <c r="G247" s="58"/>
      <c r="I247" s="74"/>
      <c r="J247" s="62"/>
      <c r="L247" s="62"/>
      <c r="M247" s="64"/>
      <c r="N247" s="64"/>
      <c r="O247" s="62"/>
    </row>
    <row r="248" spans="4:15" s="39" customFormat="1">
      <c r="D248" s="56"/>
      <c r="E248" s="56"/>
      <c r="F248" s="58"/>
      <c r="G248" s="58"/>
      <c r="I248" s="74"/>
      <c r="J248" s="62"/>
      <c r="L248" s="62"/>
      <c r="M248" s="64"/>
      <c r="N248" s="64"/>
      <c r="O248" s="62"/>
    </row>
    <row r="249" spans="4:15" s="39" customFormat="1">
      <c r="D249" s="56"/>
      <c r="E249" s="56"/>
      <c r="F249" s="58"/>
      <c r="G249" s="58"/>
      <c r="I249" s="74"/>
      <c r="J249" s="62"/>
      <c r="L249" s="62"/>
      <c r="M249" s="64"/>
      <c r="N249" s="64"/>
      <c r="O249" s="62"/>
    </row>
    <row r="250" spans="4:15" s="39" customFormat="1">
      <c r="D250" s="56"/>
      <c r="E250" s="56"/>
      <c r="F250" s="58"/>
      <c r="G250" s="58"/>
      <c r="I250" s="74"/>
      <c r="J250" s="62"/>
      <c r="L250" s="62"/>
      <c r="M250" s="64"/>
      <c r="N250" s="64"/>
      <c r="O250" s="62"/>
    </row>
    <row r="251" spans="4:15" s="39" customFormat="1">
      <c r="D251" s="56"/>
      <c r="E251" s="56"/>
      <c r="F251" s="58"/>
      <c r="G251" s="58"/>
      <c r="I251" s="74"/>
      <c r="J251" s="62"/>
      <c r="L251" s="62"/>
      <c r="M251" s="64"/>
      <c r="N251" s="64"/>
      <c r="O251" s="62"/>
    </row>
    <row r="252" spans="4:15" s="39" customFormat="1">
      <c r="D252" s="56"/>
      <c r="E252" s="56"/>
      <c r="F252" s="58"/>
      <c r="G252" s="58"/>
      <c r="I252" s="74"/>
      <c r="J252" s="62"/>
      <c r="L252" s="62"/>
      <c r="M252" s="64"/>
      <c r="N252" s="64"/>
      <c r="O252" s="62"/>
    </row>
    <row r="253" spans="4:15" s="39" customFormat="1">
      <c r="D253" s="56"/>
      <c r="E253" s="56"/>
      <c r="F253" s="58"/>
      <c r="G253" s="58"/>
      <c r="I253" s="74"/>
      <c r="J253" s="62"/>
      <c r="L253" s="62"/>
      <c r="M253" s="64"/>
      <c r="N253" s="64"/>
      <c r="O253" s="62"/>
    </row>
    <row r="254" spans="4:15" s="39" customFormat="1">
      <c r="D254" s="56"/>
      <c r="E254" s="56"/>
      <c r="F254" s="58"/>
      <c r="G254" s="58"/>
      <c r="I254" s="74"/>
      <c r="J254" s="62"/>
      <c r="L254" s="62"/>
      <c r="M254" s="64"/>
      <c r="N254" s="64"/>
      <c r="O254" s="62"/>
    </row>
    <row r="255" spans="4:15" s="39" customFormat="1">
      <c r="D255" s="56"/>
      <c r="E255" s="56"/>
      <c r="F255" s="58"/>
      <c r="G255" s="58"/>
      <c r="I255" s="74"/>
      <c r="J255" s="62"/>
      <c r="L255" s="62"/>
      <c r="M255" s="64"/>
      <c r="N255" s="64"/>
      <c r="O255" s="62"/>
    </row>
    <row r="256" spans="4:15" s="39" customFormat="1">
      <c r="D256" s="56"/>
      <c r="E256" s="56"/>
      <c r="F256" s="58"/>
      <c r="G256" s="58"/>
      <c r="I256" s="74"/>
      <c r="J256" s="62"/>
      <c r="L256" s="62"/>
      <c r="M256" s="64"/>
      <c r="N256" s="64"/>
      <c r="O256" s="62"/>
    </row>
    <row r="257" spans="4:15" s="39" customFormat="1">
      <c r="D257" s="56"/>
      <c r="E257" s="56"/>
      <c r="F257" s="58"/>
      <c r="G257" s="58"/>
      <c r="I257" s="74"/>
      <c r="J257" s="62"/>
      <c r="L257" s="62"/>
      <c r="M257" s="64"/>
      <c r="N257" s="64"/>
      <c r="O257" s="62"/>
    </row>
    <row r="258" spans="4:15" s="39" customFormat="1">
      <c r="D258" s="56"/>
      <c r="E258" s="56"/>
      <c r="F258" s="58"/>
      <c r="G258" s="58"/>
      <c r="I258" s="74"/>
      <c r="J258" s="62"/>
      <c r="L258" s="62"/>
      <c r="M258" s="64"/>
      <c r="N258" s="64"/>
      <c r="O258" s="62"/>
    </row>
    <row r="259" spans="4:15" s="39" customFormat="1">
      <c r="D259" s="56"/>
      <c r="E259" s="56"/>
      <c r="F259" s="58"/>
      <c r="G259" s="58"/>
      <c r="I259" s="74"/>
      <c r="J259" s="62"/>
      <c r="L259" s="62"/>
      <c r="M259" s="64"/>
      <c r="N259" s="64"/>
      <c r="O259" s="62"/>
    </row>
    <row r="260" spans="4:15" s="39" customFormat="1">
      <c r="D260" s="56"/>
      <c r="E260" s="56"/>
      <c r="F260" s="58"/>
      <c r="G260" s="58"/>
      <c r="I260" s="74"/>
      <c r="J260" s="62"/>
      <c r="L260" s="62"/>
      <c r="M260" s="64"/>
      <c r="N260" s="64"/>
      <c r="O260" s="62"/>
    </row>
    <row r="261" spans="4:15" s="39" customFormat="1">
      <c r="D261" s="56"/>
      <c r="E261" s="56"/>
      <c r="F261" s="58"/>
      <c r="G261" s="58"/>
      <c r="I261" s="74"/>
      <c r="J261" s="62"/>
      <c r="L261" s="62"/>
      <c r="M261" s="64"/>
      <c r="N261" s="64"/>
      <c r="O261" s="62"/>
    </row>
    <row r="262" spans="4:15" s="39" customFormat="1">
      <c r="D262" s="56"/>
      <c r="E262" s="56"/>
      <c r="F262" s="58"/>
      <c r="G262" s="58"/>
      <c r="I262" s="74"/>
      <c r="J262" s="62"/>
      <c r="L262" s="62"/>
      <c r="M262" s="64"/>
      <c r="N262" s="64"/>
      <c r="O262" s="62"/>
    </row>
    <row r="263" spans="4:15" s="39" customFormat="1">
      <c r="D263" s="56"/>
      <c r="E263" s="56"/>
      <c r="F263" s="58"/>
      <c r="G263" s="58"/>
      <c r="I263" s="74"/>
      <c r="J263" s="62"/>
      <c r="L263" s="62"/>
      <c r="M263" s="64"/>
      <c r="N263" s="64"/>
      <c r="O263" s="62"/>
    </row>
    <row r="264" spans="4:15" s="39" customFormat="1">
      <c r="D264" s="56"/>
      <c r="E264" s="56"/>
      <c r="F264" s="58"/>
      <c r="G264" s="58"/>
      <c r="I264" s="74"/>
      <c r="J264" s="62"/>
      <c r="L264" s="62"/>
      <c r="M264" s="64"/>
      <c r="N264" s="64"/>
      <c r="O264" s="62"/>
    </row>
    <row r="265" spans="4:15" s="39" customFormat="1">
      <c r="D265" s="56"/>
      <c r="E265" s="56"/>
      <c r="F265" s="58"/>
      <c r="G265" s="58"/>
      <c r="I265" s="74"/>
      <c r="J265" s="62"/>
      <c r="L265" s="62"/>
      <c r="M265" s="64"/>
      <c r="N265" s="64"/>
      <c r="O265" s="62"/>
    </row>
    <row r="266" spans="4:15" s="39" customFormat="1">
      <c r="D266" s="56"/>
      <c r="E266" s="56"/>
      <c r="F266" s="58"/>
      <c r="G266" s="58"/>
      <c r="I266" s="74"/>
      <c r="J266" s="62"/>
      <c r="L266" s="62"/>
      <c r="M266" s="64"/>
      <c r="N266" s="64"/>
      <c r="O266" s="62"/>
    </row>
    <row r="267" spans="4:15" s="39" customFormat="1">
      <c r="D267" s="56"/>
      <c r="E267" s="56"/>
      <c r="F267" s="58"/>
      <c r="G267" s="58"/>
      <c r="I267" s="74"/>
      <c r="J267" s="62"/>
      <c r="L267" s="62"/>
      <c r="M267" s="64"/>
      <c r="N267" s="64"/>
      <c r="O267" s="62"/>
    </row>
    <row r="268" spans="4:15" s="39" customFormat="1">
      <c r="D268" s="56"/>
      <c r="E268" s="56"/>
      <c r="F268" s="58"/>
      <c r="G268" s="58"/>
      <c r="I268" s="74"/>
      <c r="J268" s="62"/>
      <c r="L268" s="62"/>
      <c r="M268" s="64"/>
      <c r="N268" s="64"/>
      <c r="O268" s="62"/>
    </row>
    <row r="269" spans="4:15" s="39" customFormat="1">
      <c r="D269" s="56"/>
      <c r="E269" s="56"/>
      <c r="F269" s="58"/>
      <c r="G269" s="58"/>
      <c r="I269" s="74"/>
      <c r="J269" s="62"/>
      <c r="L269" s="62"/>
      <c r="M269" s="64"/>
      <c r="N269" s="64"/>
      <c r="O269" s="62"/>
    </row>
    <row r="270" spans="4:15" s="39" customFormat="1">
      <c r="D270" s="56"/>
      <c r="E270" s="56"/>
      <c r="F270" s="58"/>
      <c r="G270" s="58"/>
      <c r="I270" s="74"/>
      <c r="J270" s="62"/>
      <c r="L270" s="62"/>
      <c r="M270" s="64"/>
      <c r="N270" s="64"/>
      <c r="O270" s="62"/>
    </row>
    <row r="271" spans="4:15" s="39" customFormat="1">
      <c r="D271" s="56"/>
      <c r="E271" s="56"/>
      <c r="F271" s="58"/>
      <c r="G271" s="58"/>
      <c r="I271" s="74"/>
      <c r="J271" s="62"/>
      <c r="L271" s="62"/>
      <c r="M271" s="64"/>
      <c r="N271" s="64"/>
      <c r="O271" s="62"/>
    </row>
    <row r="272" spans="4:15" s="39" customFormat="1">
      <c r="D272" s="56"/>
      <c r="E272" s="56"/>
      <c r="F272" s="58"/>
      <c r="G272" s="58"/>
      <c r="I272" s="74"/>
      <c r="J272" s="62"/>
      <c r="L272" s="62"/>
      <c r="M272" s="64"/>
      <c r="N272" s="64"/>
      <c r="O272" s="62"/>
    </row>
    <row r="273" spans="4:15" s="39" customFormat="1">
      <c r="D273" s="56"/>
      <c r="E273" s="56"/>
      <c r="F273" s="58"/>
      <c r="G273" s="58"/>
      <c r="I273" s="74"/>
      <c r="J273" s="62"/>
      <c r="L273" s="62"/>
      <c r="M273" s="64"/>
      <c r="N273" s="64"/>
      <c r="O273" s="62"/>
    </row>
    <row r="274" spans="4:15" s="39" customFormat="1">
      <c r="D274" s="56"/>
      <c r="E274" s="56"/>
      <c r="F274" s="58"/>
      <c r="G274" s="58"/>
      <c r="I274" s="74"/>
      <c r="J274" s="62"/>
      <c r="L274" s="62"/>
      <c r="M274" s="64"/>
      <c r="N274" s="64"/>
      <c r="O274" s="62"/>
    </row>
    <row r="275" spans="4:15" s="39" customFormat="1">
      <c r="D275" s="56"/>
      <c r="E275" s="56"/>
      <c r="F275" s="58"/>
      <c r="G275" s="58"/>
      <c r="I275" s="74"/>
      <c r="J275" s="62"/>
      <c r="L275" s="62"/>
      <c r="M275" s="64"/>
      <c r="N275" s="64"/>
      <c r="O275" s="62"/>
    </row>
    <row r="276" spans="4:15" s="39" customFormat="1">
      <c r="D276" s="56"/>
      <c r="E276" s="56"/>
      <c r="F276" s="58"/>
      <c r="G276" s="58"/>
      <c r="I276" s="74"/>
      <c r="J276" s="62"/>
      <c r="L276" s="62"/>
      <c r="M276" s="64"/>
      <c r="N276" s="64"/>
      <c r="O276" s="62"/>
    </row>
    <row r="277" spans="4:15" s="39" customFormat="1">
      <c r="D277" s="56"/>
      <c r="E277" s="56"/>
      <c r="F277" s="58"/>
      <c r="G277" s="58"/>
      <c r="I277" s="74"/>
      <c r="J277" s="62"/>
      <c r="L277" s="62"/>
      <c r="M277" s="64"/>
      <c r="N277" s="64"/>
      <c r="O277" s="62"/>
    </row>
    <row r="278" spans="4:15" s="39" customFormat="1">
      <c r="D278" s="56"/>
      <c r="E278" s="56"/>
      <c r="F278" s="58"/>
      <c r="G278" s="58"/>
      <c r="I278" s="74"/>
      <c r="J278" s="62"/>
      <c r="L278" s="62"/>
      <c r="M278" s="64"/>
      <c r="N278" s="64"/>
      <c r="O278" s="62"/>
    </row>
    <row r="279" spans="4:15" s="39" customFormat="1">
      <c r="D279" s="56"/>
      <c r="E279" s="56"/>
      <c r="F279" s="58"/>
      <c r="G279" s="58"/>
      <c r="I279" s="74"/>
      <c r="J279" s="62"/>
      <c r="L279" s="62"/>
      <c r="M279" s="64"/>
      <c r="N279" s="64"/>
      <c r="O279" s="62"/>
    </row>
    <row r="280" spans="4:15" s="39" customFormat="1">
      <c r="D280" s="56"/>
      <c r="E280" s="56"/>
      <c r="F280" s="58"/>
      <c r="G280" s="58"/>
      <c r="I280" s="74"/>
      <c r="J280" s="62"/>
      <c r="L280" s="62"/>
      <c r="M280" s="64"/>
      <c r="N280" s="64"/>
      <c r="O280" s="62"/>
    </row>
    <row r="281" spans="4:15" s="39" customFormat="1">
      <c r="D281" s="56"/>
      <c r="E281" s="56"/>
      <c r="F281" s="58"/>
      <c r="G281" s="58"/>
      <c r="I281" s="74"/>
      <c r="J281" s="62"/>
      <c r="L281" s="62"/>
      <c r="M281" s="64"/>
      <c r="N281" s="64"/>
      <c r="O281" s="62"/>
    </row>
    <row r="282" spans="4:15" s="39" customFormat="1">
      <c r="D282" s="56"/>
      <c r="E282" s="56"/>
      <c r="F282" s="58"/>
      <c r="G282" s="58"/>
      <c r="I282" s="74"/>
      <c r="J282" s="62"/>
      <c r="L282" s="62"/>
      <c r="M282" s="64"/>
      <c r="N282" s="64"/>
      <c r="O282" s="62"/>
    </row>
    <row r="283" spans="4:15" s="39" customFormat="1">
      <c r="D283" s="56"/>
      <c r="E283" s="56"/>
      <c r="F283" s="58"/>
      <c r="G283" s="58"/>
      <c r="I283" s="74"/>
      <c r="J283" s="62"/>
      <c r="L283" s="62"/>
      <c r="M283" s="64"/>
      <c r="N283" s="64"/>
      <c r="O283" s="62"/>
    </row>
    <row r="284" spans="4:15" s="39" customFormat="1">
      <c r="D284" s="56"/>
      <c r="E284" s="56"/>
      <c r="F284" s="58"/>
      <c r="G284" s="58"/>
      <c r="I284" s="74"/>
      <c r="J284" s="62"/>
      <c r="L284" s="62"/>
      <c r="M284" s="64"/>
      <c r="N284" s="64"/>
      <c r="O284" s="62"/>
    </row>
    <row r="285" spans="4:15" s="39" customFormat="1">
      <c r="D285" s="56"/>
      <c r="E285" s="56"/>
      <c r="F285" s="58"/>
      <c r="G285" s="58"/>
      <c r="I285" s="74"/>
      <c r="J285" s="62"/>
      <c r="L285" s="62"/>
      <c r="M285" s="64"/>
      <c r="N285" s="64"/>
      <c r="O285" s="62"/>
    </row>
    <row r="286" spans="4:15" s="39" customFormat="1">
      <c r="D286" s="56"/>
      <c r="E286" s="56"/>
      <c r="F286" s="58"/>
      <c r="G286" s="58"/>
      <c r="I286" s="74"/>
      <c r="J286" s="62"/>
      <c r="L286" s="62"/>
      <c r="M286" s="64"/>
      <c r="N286" s="64"/>
      <c r="O286" s="62"/>
    </row>
    <row r="287" spans="4:15" s="39" customFormat="1">
      <c r="D287" s="56"/>
      <c r="E287" s="56"/>
      <c r="F287" s="58"/>
      <c r="G287" s="58"/>
      <c r="I287" s="74"/>
      <c r="J287" s="62"/>
      <c r="L287" s="62"/>
      <c r="M287" s="64"/>
      <c r="N287" s="64"/>
      <c r="O287" s="62"/>
    </row>
    <row r="288" spans="4:15" s="39" customFormat="1">
      <c r="D288" s="56"/>
      <c r="E288" s="56"/>
      <c r="F288" s="58"/>
      <c r="G288" s="58"/>
      <c r="I288" s="74"/>
      <c r="J288" s="62"/>
      <c r="L288" s="62"/>
      <c r="M288" s="64"/>
      <c r="N288" s="64"/>
      <c r="O288" s="62"/>
    </row>
    <row r="289" spans="4:15" s="39" customFormat="1">
      <c r="D289" s="56"/>
      <c r="E289" s="56"/>
      <c r="F289" s="58"/>
      <c r="G289" s="58"/>
      <c r="I289" s="74"/>
      <c r="J289" s="62"/>
      <c r="L289" s="62"/>
      <c r="M289" s="64"/>
      <c r="N289" s="64"/>
      <c r="O289" s="62"/>
    </row>
    <row r="290" spans="4:15" s="39" customFormat="1">
      <c r="D290" s="56"/>
      <c r="E290" s="56"/>
      <c r="F290" s="58"/>
      <c r="G290" s="58"/>
      <c r="I290" s="74"/>
      <c r="J290" s="62"/>
      <c r="L290" s="62"/>
      <c r="M290" s="64"/>
      <c r="N290" s="64"/>
      <c r="O290" s="62"/>
    </row>
    <row r="291" spans="4:15" s="39" customFormat="1">
      <c r="D291" s="56"/>
      <c r="E291" s="56"/>
      <c r="F291" s="58"/>
      <c r="G291" s="58"/>
      <c r="I291" s="74"/>
      <c r="J291" s="62"/>
      <c r="L291" s="62"/>
      <c r="M291" s="64"/>
      <c r="N291" s="64"/>
      <c r="O291" s="62"/>
    </row>
    <row r="292" spans="4:15" s="39" customFormat="1">
      <c r="D292" s="56"/>
      <c r="E292" s="56"/>
      <c r="F292" s="58"/>
      <c r="G292" s="58"/>
      <c r="I292" s="74"/>
      <c r="J292" s="62"/>
      <c r="L292" s="62"/>
      <c r="M292" s="64"/>
      <c r="N292" s="64"/>
      <c r="O292" s="62"/>
    </row>
    <row r="293" spans="4:15" s="39" customFormat="1">
      <c r="D293" s="56"/>
      <c r="E293" s="56"/>
      <c r="F293" s="58"/>
      <c r="G293" s="58"/>
      <c r="I293" s="74"/>
      <c r="J293" s="62"/>
      <c r="L293" s="62"/>
      <c r="M293" s="64"/>
      <c r="N293" s="64"/>
      <c r="O293" s="62"/>
    </row>
    <row r="294" spans="4:15" s="39" customFormat="1">
      <c r="D294" s="56"/>
      <c r="E294" s="56"/>
      <c r="F294" s="58"/>
      <c r="G294" s="58"/>
      <c r="I294" s="74"/>
      <c r="J294" s="62"/>
      <c r="L294" s="62"/>
      <c r="M294" s="64"/>
      <c r="N294" s="64"/>
      <c r="O294" s="62"/>
    </row>
    <row r="295" spans="4:15" s="39" customFormat="1">
      <c r="D295" s="56"/>
      <c r="E295" s="56"/>
      <c r="F295" s="58"/>
      <c r="G295" s="58"/>
      <c r="I295" s="74"/>
      <c r="J295" s="62"/>
      <c r="L295" s="62"/>
      <c r="M295" s="64"/>
      <c r="N295" s="64"/>
      <c r="O295" s="62"/>
    </row>
    <row r="296" spans="4:15" s="39" customFormat="1">
      <c r="D296" s="56"/>
      <c r="E296" s="56"/>
      <c r="F296" s="58"/>
      <c r="G296" s="58"/>
      <c r="I296" s="74"/>
      <c r="J296" s="62"/>
      <c r="L296" s="62"/>
      <c r="M296" s="64"/>
      <c r="N296" s="64"/>
      <c r="O296" s="62"/>
    </row>
    <row r="297" spans="4:15" s="39" customFormat="1">
      <c r="D297" s="56"/>
      <c r="E297" s="56"/>
      <c r="F297" s="58"/>
      <c r="G297" s="58"/>
      <c r="I297" s="74"/>
      <c r="J297" s="62"/>
      <c r="L297" s="62"/>
      <c r="M297" s="64"/>
      <c r="N297" s="64"/>
      <c r="O297" s="62"/>
    </row>
    <row r="298" spans="4:15" s="39" customFormat="1">
      <c r="D298" s="56"/>
      <c r="E298" s="56"/>
      <c r="F298" s="58"/>
      <c r="G298" s="58"/>
      <c r="I298" s="74"/>
      <c r="J298" s="62"/>
      <c r="L298" s="62"/>
      <c r="M298" s="64"/>
      <c r="N298" s="64"/>
      <c r="O298" s="62"/>
    </row>
    <row r="299" spans="4:15" s="39" customFormat="1">
      <c r="D299" s="56"/>
      <c r="E299" s="56"/>
      <c r="F299" s="58"/>
      <c r="G299" s="58"/>
      <c r="I299" s="74"/>
      <c r="J299" s="62"/>
      <c r="L299" s="62"/>
      <c r="M299" s="64"/>
      <c r="N299" s="64"/>
      <c r="O299" s="62"/>
    </row>
    <row r="300" spans="4:15" s="39" customFormat="1">
      <c r="D300" s="56"/>
      <c r="E300" s="56"/>
      <c r="F300" s="58"/>
      <c r="G300" s="58"/>
      <c r="I300" s="74"/>
      <c r="J300" s="62"/>
      <c r="L300" s="62"/>
      <c r="M300" s="64"/>
      <c r="N300" s="64"/>
      <c r="O300" s="62"/>
    </row>
    <row r="301" spans="4:15" s="39" customFormat="1">
      <c r="D301" s="56"/>
      <c r="E301" s="56"/>
      <c r="F301" s="58"/>
      <c r="G301" s="58"/>
      <c r="I301" s="74"/>
      <c r="J301" s="62"/>
      <c r="L301" s="62"/>
      <c r="M301" s="64"/>
      <c r="N301" s="64"/>
      <c r="O301" s="62"/>
    </row>
    <row r="302" spans="4:15" s="39" customFormat="1">
      <c r="D302" s="56"/>
      <c r="E302" s="56"/>
      <c r="F302" s="58"/>
      <c r="G302" s="58"/>
      <c r="I302" s="74"/>
      <c r="J302" s="62"/>
      <c r="L302" s="62"/>
      <c r="M302" s="64"/>
      <c r="N302" s="64"/>
      <c r="O302" s="62"/>
    </row>
    <row r="303" spans="4:15" s="39" customFormat="1">
      <c r="D303" s="56"/>
      <c r="E303" s="56"/>
      <c r="F303" s="58"/>
      <c r="G303" s="58"/>
      <c r="I303" s="74"/>
      <c r="J303" s="62"/>
      <c r="L303" s="62"/>
      <c r="M303" s="64"/>
      <c r="N303" s="64"/>
      <c r="O303" s="62"/>
    </row>
    <row r="304" spans="4:15" s="39" customFormat="1">
      <c r="D304" s="56"/>
      <c r="E304" s="56"/>
      <c r="F304" s="58"/>
      <c r="G304" s="58"/>
      <c r="I304" s="74"/>
      <c r="J304" s="62"/>
      <c r="L304" s="62"/>
      <c r="M304" s="64"/>
      <c r="N304" s="64"/>
      <c r="O304" s="62"/>
    </row>
    <row r="305" spans="4:15" s="39" customFormat="1">
      <c r="D305" s="56"/>
      <c r="E305" s="56"/>
      <c r="F305" s="58"/>
      <c r="G305" s="58"/>
      <c r="I305" s="74"/>
      <c r="J305" s="62"/>
      <c r="L305" s="62"/>
      <c r="M305" s="64"/>
      <c r="N305" s="64"/>
      <c r="O305" s="62"/>
    </row>
    <row r="306" spans="4:15" s="39" customFormat="1">
      <c r="D306" s="56"/>
      <c r="E306" s="56"/>
      <c r="F306" s="58"/>
      <c r="G306" s="58"/>
      <c r="I306" s="74"/>
      <c r="J306" s="62"/>
      <c r="L306" s="62"/>
      <c r="M306" s="64"/>
      <c r="N306" s="64"/>
      <c r="O306" s="62"/>
    </row>
    <row r="307" spans="4:15" s="39" customFormat="1">
      <c r="D307" s="56"/>
      <c r="E307" s="56"/>
      <c r="F307" s="58"/>
      <c r="G307" s="58"/>
      <c r="I307" s="74"/>
      <c r="J307" s="62"/>
      <c r="L307" s="62"/>
      <c r="M307" s="64"/>
      <c r="N307" s="64"/>
      <c r="O307" s="62"/>
    </row>
    <row r="308" spans="4:15" s="39" customFormat="1">
      <c r="D308" s="56"/>
      <c r="E308" s="56"/>
      <c r="F308" s="58"/>
      <c r="G308" s="58"/>
      <c r="I308" s="74"/>
      <c r="J308" s="62"/>
      <c r="L308" s="62"/>
      <c r="M308" s="64"/>
      <c r="N308" s="64"/>
      <c r="O308" s="62"/>
    </row>
    <row r="309" spans="4:15" s="39" customFormat="1">
      <c r="D309" s="56"/>
      <c r="E309" s="56"/>
      <c r="F309" s="58"/>
      <c r="G309" s="58"/>
      <c r="I309" s="74"/>
      <c r="J309" s="62"/>
      <c r="L309" s="62"/>
      <c r="M309" s="64"/>
      <c r="N309" s="64"/>
      <c r="O309" s="62"/>
    </row>
    <row r="310" spans="4:15" s="39" customFormat="1">
      <c r="D310" s="56"/>
      <c r="E310" s="56"/>
      <c r="F310" s="58"/>
      <c r="G310" s="58"/>
      <c r="I310" s="74"/>
      <c r="J310" s="62"/>
      <c r="L310" s="62"/>
      <c r="M310" s="64"/>
      <c r="N310" s="64"/>
      <c r="O310" s="62"/>
    </row>
    <row r="311" spans="4:15" s="39" customFormat="1">
      <c r="D311" s="56"/>
      <c r="E311" s="56"/>
      <c r="F311" s="58"/>
      <c r="G311" s="58"/>
      <c r="I311" s="74"/>
      <c r="J311" s="62"/>
      <c r="L311" s="62"/>
      <c r="M311" s="64"/>
      <c r="N311" s="64"/>
      <c r="O311" s="62"/>
    </row>
    <row r="312" spans="4:15" s="39" customFormat="1">
      <c r="D312" s="56"/>
      <c r="E312" s="56"/>
      <c r="F312" s="58"/>
      <c r="G312" s="58"/>
      <c r="I312" s="74"/>
      <c r="J312" s="62"/>
      <c r="L312" s="62"/>
      <c r="M312" s="64"/>
      <c r="N312" s="64"/>
      <c r="O312" s="62"/>
    </row>
    <row r="313" spans="4:15" s="39" customFormat="1">
      <c r="D313" s="56"/>
      <c r="E313" s="56"/>
      <c r="F313" s="58"/>
      <c r="G313" s="58"/>
      <c r="I313" s="74"/>
      <c r="J313" s="62"/>
      <c r="L313" s="62"/>
      <c r="M313" s="64"/>
      <c r="N313" s="64"/>
      <c r="O313" s="62"/>
    </row>
    <row r="314" spans="4:15" s="39" customFormat="1">
      <c r="D314" s="56"/>
      <c r="E314" s="56"/>
      <c r="F314" s="58"/>
      <c r="G314" s="58"/>
      <c r="I314" s="74"/>
      <c r="J314" s="62"/>
      <c r="L314" s="62"/>
      <c r="M314" s="64"/>
      <c r="N314" s="64"/>
      <c r="O314" s="62"/>
    </row>
    <row r="315" spans="4:15" s="39" customFormat="1">
      <c r="D315" s="56"/>
      <c r="E315" s="56"/>
      <c r="F315" s="58"/>
      <c r="G315" s="58"/>
      <c r="I315" s="74"/>
      <c r="J315" s="62"/>
      <c r="L315" s="62"/>
      <c r="M315" s="64"/>
      <c r="N315" s="64"/>
      <c r="O315" s="62"/>
    </row>
    <row r="316" spans="4:15" s="39" customFormat="1">
      <c r="D316" s="56"/>
      <c r="E316" s="56"/>
      <c r="F316" s="58"/>
      <c r="G316" s="58"/>
      <c r="I316" s="74"/>
      <c r="J316" s="62"/>
      <c r="L316" s="62"/>
      <c r="M316" s="64"/>
      <c r="N316" s="64"/>
      <c r="O316" s="62"/>
    </row>
    <row r="317" spans="4:15" s="39" customFormat="1">
      <c r="D317" s="56"/>
      <c r="E317" s="56"/>
      <c r="F317" s="58"/>
      <c r="G317" s="58"/>
      <c r="I317" s="74"/>
      <c r="J317" s="62"/>
      <c r="L317" s="62"/>
      <c r="M317" s="64"/>
      <c r="N317" s="64"/>
      <c r="O317" s="62"/>
    </row>
    <row r="318" spans="4:15" s="39" customFormat="1">
      <c r="D318" s="56"/>
      <c r="E318" s="56"/>
      <c r="F318" s="58"/>
      <c r="G318" s="58"/>
      <c r="I318" s="74"/>
      <c r="J318" s="62"/>
      <c r="L318" s="62"/>
      <c r="M318" s="64"/>
      <c r="N318" s="64"/>
      <c r="O318" s="62"/>
    </row>
    <row r="319" spans="4:15" s="39" customFormat="1">
      <c r="D319" s="56"/>
      <c r="E319" s="56"/>
      <c r="F319" s="58"/>
      <c r="G319" s="58"/>
      <c r="I319" s="74"/>
      <c r="J319" s="62"/>
      <c r="L319" s="62"/>
      <c r="M319" s="64"/>
      <c r="N319" s="64"/>
      <c r="O319" s="62"/>
    </row>
    <row r="320" spans="4:15" s="39" customFormat="1">
      <c r="D320" s="56"/>
      <c r="E320" s="56"/>
      <c r="F320" s="58"/>
      <c r="G320" s="58"/>
      <c r="I320" s="74"/>
      <c r="J320" s="62"/>
      <c r="L320" s="62"/>
      <c r="M320" s="64"/>
      <c r="N320" s="64"/>
      <c r="O320" s="62"/>
    </row>
    <row r="321" spans="4:15" s="39" customFormat="1">
      <c r="D321" s="56"/>
      <c r="E321" s="56"/>
      <c r="F321" s="58"/>
      <c r="G321" s="58"/>
      <c r="I321" s="74"/>
      <c r="J321" s="62"/>
      <c r="L321" s="62"/>
      <c r="M321" s="64"/>
      <c r="N321" s="64"/>
      <c r="O321" s="62"/>
    </row>
    <row r="322" spans="4:15" s="39" customFormat="1">
      <c r="D322" s="56"/>
      <c r="E322" s="56"/>
      <c r="F322" s="58"/>
      <c r="G322" s="58"/>
      <c r="I322" s="74"/>
      <c r="J322" s="62"/>
      <c r="L322" s="62"/>
      <c r="M322" s="64"/>
      <c r="N322" s="64"/>
      <c r="O322" s="62"/>
    </row>
    <row r="323" spans="4:15" s="39" customFormat="1">
      <c r="D323" s="56"/>
      <c r="E323" s="56"/>
      <c r="F323" s="58"/>
      <c r="G323" s="58"/>
      <c r="I323" s="74"/>
      <c r="J323" s="62"/>
      <c r="L323" s="62"/>
      <c r="M323" s="64"/>
      <c r="N323" s="64"/>
      <c r="O323" s="62"/>
    </row>
    <row r="324" spans="4:15" s="39" customFormat="1">
      <c r="D324" s="56"/>
      <c r="E324" s="56"/>
      <c r="F324" s="58"/>
      <c r="G324" s="58"/>
      <c r="I324" s="74"/>
      <c r="J324" s="62"/>
      <c r="L324" s="62"/>
      <c r="M324" s="64"/>
      <c r="N324" s="64"/>
      <c r="O324" s="62"/>
    </row>
    <row r="325" spans="4:15" s="39" customFormat="1">
      <c r="D325" s="56"/>
      <c r="E325" s="56"/>
      <c r="F325" s="58"/>
      <c r="G325" s="58"/>
      <c r="I325" s="74"/>
      <c r="J325" s="62"/>
      <c r="L325" s="62"/>
      <c r="M325" s="64"/>
      <c r="N325" s="64"/>
      <c r="O325" s="62"/>
    </row>
    <row r="326" spans="4:15" s="39" customFormat="1">
      <c r="D326" s="56"/>
      <c r="E326" s="56"/>
      <c r="F326" s="58"/>
      <c r="G326" s="58"/>
      <c r="I326" s="74"/>
      <c r="J326" s="62"/>
      <c r="L326" s="62"/>
      <c r="M326" s="64"/>
      <c r="N326" s="64"/>
      <c r="O326" s="62"/>
    </row>
    <row r="327" spans="4:15" s="39" customFormat="1">
      <c r="D327" s="56"/>
      <c r="E327" s="56"/>
      <c r="F327" s="58"/>
      <c r="G327" s="58"/>
      <c r="I327" s="74"/>
      <c r="J327" s="62"/>
      <c r="L327" s="62"/>
      <c r="M327" s="64"/>
      <c r="N327" s="64"/>
      <c r="O327" s="62"/>
    </row>
    <row r="328" spans="4:15" s="39" customFormat="1">
      <c r="D328" s="56"/>
      <c r="E328" s="56"/>
      <c r="F328" s="58"/>
      <c r="G328" s="58"/>
      <c r="I328" s="74"/>
      <c r="J328" s="62"/>
      <c r="L328" s="62"/>
      <c r="M328" s="64"/>
      <c r="N328" s="64"/>
      <c r="O328" s="62"/>
    </row>
    <row r="329" spans="4:15" s="39" customFormat="1">
      <c r="D329" s="56"/>
      <c r="E329" s="56"/>
      <c r="F329" s="58"/>
      <c r="G329" s="58"/>
      <c r="I329" s="74"/>
      <c r="J329" s="62"/>
      <c r="L329" s="62"/>
      <c r="M329" s="64"/>
      <c r="N329" s="64"/>
      <c r="O329" s="62"/>
    </row>
    <row r="330" spans="4:15" s="39" customFormat="1">
      <c r="D330" s="56"/>
      <c r="E330" s="56"/>
      <c r="F330" s="58"/>
      <c r="G330" s="58"/>
      <c r="I330" s="74"/>
      <c r="J330" s="62"/>
      <c r="L330" s="62"/>
      <c r="M330" s="64"/>
      <c r="N330" s="64"/>
      <c r="O330" s="62"/>
    </row>
    <row r="331" spans="4:15" s="39" customFormat="1">
      <c r="D331" s="56"/>
      <c r="E331" s="56"/>
      <c r="F331" s="58"/>
      <c r="G331" s="58"/>
      <c r="I331" s="74"/>
      <c r="J331" s="62"/>
      <c r="L331" s="62"/>
      <c r="M331" s="64"/>
      <c r="N331" s="64"/>
      <c r="O331" s="62"/>
    </row>
    <row r="332" spans="4:15" s="39" customFormat="1">
      <c r="D332" s="56"/>
      <c r="E332" s="56"/>
      <c r="F332" s="58"/>
      <c r="G332" s="58"/>
      <c r="I332" s="74"/>
      <c r="J332" s="62"/>
      <c r="L332" s="62"/>
      <c r="M332" s="64"/>
      <c r="N332" s="64"/>
      <c r="O332" s="62"/>
    </row>
    <row r="333" spans="4:15" s="39" customFormat="1">
      <c r="D333" s="56"/>
      <c r="E333" s="56"/>
      <c r="F333" s="58"/>
      <c r="G333" s="58"/>
      <c r="I333" s="74"/>
      <c r="J333" s="62"/>
      <c r="L333" s="62"/>
      <c r="M333" s="64"/>
      <c r="N333" s="64"/>
      <c r="O333" s="62"/>
    </row>
    <row r="334" spans="4:15" s="39" customFormat="1">
      <c r="D334" s="56"/>
      <c r="E334" s="56"/>
      <c r="F334" s="58"/>
      <c r="G334" s="58"/>
      <c r="I334" s="74"/>
      <c r="J334" s="62"/>
      <c r="L334" s="62"/>
      <c r="M334" s="64"/>
      <c r="N334" s="64"/>
      <c r="O334" s="62"/>
    </row>
    <row r="335" spans="4:15" s="39" customFormat="1">
      <c r="D335" s="56"/>
      <c r="E335" s="56"/>
      <c r="F335" s="58"/>
      <c r="G335" s="58"/>
      <c r="I335" s="74"/>
      <c r="J335" s="62"/>
      <c r="L335" s="62"/>
      <c r="M335" s="64"/>
      <c r="N335" s="64"/>
      <c r="O335" s="62"/>
    </row>
    <row r="336" spans="4:15" s="39" customFormat="1">
      <c r="D336" s="56"/>
      <c r="E336" s="56"/>
      <c r="F336" s="58"/>
      <c r="G336" s="58"/>
      <c r="I336" s="74"/>
      <c r="J336" s="62"/>
      <c r="L336" s="62"/>
      <c r="M336" s="64"/>
      <c r="N336" s="64"/>
      <c r="O336" s="62"/>
    </row>
    <row r="337" spans="4:15" s="39" customFormat="1">
      <c r="D337" s="56"/>
      <c r="E337" s="56"/>
      <c r="F337" s="58"/>
      <c r="G337" s="58"/>
      <c r="I337" s="74"/>
      <c r="J337" s="62"/>
      <c r="L337" s="62"/>
      <c r="M337" s="64"/>
      <c r="N337" s="64"/>
      <c r="O337" s="62"/>
    </row>
    <row r="338" spans="4:15" s="39" customFormat="1">
      <c r="D338" s="56"/>
      <c r="E338" s="56"/>
      <c r="F338" s="58"/>
      <c r="G338" s="58"/>
      <c r="I338" s="74"/>
      <c r="J338" s="62"/>
      <c r="L338" s="62"/>
      <c r="M338" s="64"/>
      <c r="N338" s="64"/>
      <c r="O338" s="62"/>
    </row>
    <row r="339" spans="4:15" s="39" customFormat="1">
      <c r="D339" s="56"/>
      <c r="E339" s="56"/>
      <c r="F339" s="58"/>
      <c r="G339" s="58"/>
      <c r="I339" s="74"/>
      <c r="J339" s="62"/>
      <c r="L339" s="62"/>
      <c r="M339" s="64"/>
      <c r="N339" s="64"/>
      <c r="O339" s="62"/>
    </row>
    <row r="340" spans="4:15" s="39" customFormat="1">
      <c r="D340" s="56"/>
      <c r="E340" s="56"/>
      <c r="F340" s="58"/>
      <c r="G340" s="58"/>
      <c r="I340" s="74"/>
      <c r="J340" s="62"/>
      <c r="L340" s="62"/>
      <c r="M340" s="64"/>
      <c r="N340" s="64"/>
      <c r="O340" s="62"/>
    </row>
    <row r="341" spans="4:15" s="39" customFormat="1">
      <c r="D341" s="56"/>
      <c r="E341" s="56"/>
      <c r="F341" s="58"/>
      <c r="G341" s="58"/>
      <c r="I341" s="74"/>
      <c r="J341" s="62"/>
      <c r="L341" s="62"/>
      <c r="M341" s="64"/>
      <c r="N341" s="64"/>
      <c r="O341" s="62"/>
    </row>
    <row r="342" spans="4:15" s="39" customFormat="1">
      <c r="D342" s="56"/>
      <c r="E342" s="56"/>
      <c r="F342" s="58"/>
      <c r="G342" s="58"/>
      <c r="I342" s="74"/>
      <c r="J342" s="62"/>
      <c r="L342" s="62"/>
      <c r="M342" s="64"/>
      <c r="N342" s="64"/>
      <c r="O342" s="62"/>
    </row>
    <row r="343" spans="4:15" s="39" customFormat="1">
      <c r="D343" s="56"/>
      <c r="E343" s="56"/>
      <c r="F343" s="58"/>
      <c r="G343" s="58"/>
      <c r="I343" s="74"/>
      <c r="J343" s="62"/>
      <c r="L343" s="62"/>
      <c r="M343" s="64"/>
      <c r="N343" s="64"/>
      <c r="O343" s="62"/>
    </row>
    <row r="344" spans="4:15" s="39" customFormat="1">
      <c r="D344" s="56"/>
      <c r="E344" s="56"/>
      <c r="F344" s="58"/>
      <c r="G344" s="58"/>
      <c r="I344" s="74"/>
      <c r="J344" s="62"/>
      <c r="L344" s="62"/>
      <c r="M344" s="64"/>
      <c r="N344" s="64"/>
      <c r="O344" s="62"/>
    </row>
    <row r="345" spans="4:15" s="39" customFormat="1">
      <c r="D345" s="56"/>
      <c r="E345" s="56"/>
      <c r="F345" s="58"/>
      <c r="G345" s="58"/>
      <c r="I345" s="74"/>
      <c r="J345" s="62"/>
      <c r="L345" s="62"/>
      <c r="M345" s="64"/>
      <c r="N345" s="64"/>
      <c r="O345" s="62"/>
    </row>
    <row r="346" spans="4:15" s="39" customFormat="1">
      <c r="D346" s="56"/>
      <c r="E346" s="56"/>
      <c r="F346" s="58"/>
      <c r="G346" s="58"/>
      <c r="I346" s="74"/>
      <c r="J346" s="62"/>
      <c r="L346" s="62"/>
      <c r="M346" s="64"/>
      <c r="N346" s="64"/>
      <c r="O346" s="62"/>
    </row>
    <row r="347" spans="4:15" s="39" customFormat="1">
      <c r="D347" s="56"/>
      <c r="E347" s="56"/>
      <c r="F347" s="58"/>
      <c r="G347" s="58"/>
      <c r="I347" s="74"/>
      <c r="J347" s="62"/>
      <c r="L347" s="62"/>
      <c r="M347" s="64"/>
      <c r="N347" s="64"/>
      <c r="O347" s="62"/>
    </row>
    <row r="348" spans="4:15" s="39" customFormat="1">
      <c r="D348" s="56"/>
      <c r="E348" s="56"/>
      <c r="F348" s="58"/>
      <c r="G348" s="58"/>
      <c r="I348" s="74"/>
      <c r="J348" s="62"/>
      <c r="L348" s="62"/>
      <c r="M348" s="64"/>
      <c r="N348" s="64"/>
      <c r="O348" s="62"/>
    </row>
    <row r="349" spans="4:15" s="39" customFormat="1">
      <c r="D349" s="56"/>
      <c r="E349" s="56"/>
      <c r="F349" s="58"/>
      <c r="G349" s="58"/>
      <c r="I349" s="74"/>
      <c r="J349" s="62"/>
      <c r="L349" s="62"/>
      <c r="M349" s="64"/>
      <c r="N349" s="64"/>
      <c r="O349" s="62"/>
    </row>
    <row r="350" spans="4:15" s="39" customFormat="1">
      <c r="D350" s="56"/>
      <c r="E350" s="56"/>
      <c r="F350" s="58"/>
      <c r="G350" s="58"/>
      <c r="I350" s="74"/>
      <c r="J350" s="62"/>
      <c r="L350" s="62"/>
      <c r="M350" s="64"/>
      <c r="N350" s="64"/>
      <c r="O350" s="62"/>
    </row>
    <row r="351" spans="4:15" s="39" customFormat="1">
      <c r="D351" s="56"/>
      <c r="E351" s="56"/>
      <c r="F351" s="58"/>
      <c r="G351" s="58"/>
      <c r="I351" s="74"/>
      <c r="J351" s="62"/>
      <c r="L351" s="62"/>
      <c r="M351" s="64"/>
      <c r="N351" s="64"/>
      <c r="O351" s="62"/>
    </row>
    <row r="352" spans="4:15" s="39" customFormat="1">
      <c r="D352" s="56"/>
      <c r="E352" s="56"/>
      <c r="F352" s="58"/>
      <c r="G352" s="58"/>
      <c r="I352" s="74"/>
      <c r="J352" s="62"/>
      <c r="L352" s="62"/>
      <c r="M352" s="64"/>
      <c r="N352" s="64"/>
      <c r="O352" s="62"/>
    </row>
    <row r="353" spans="4:15" s="39" customFormat="1">
      <c r="D353" s="56"/>
      <c r="E353" s="56"/>
      <c r="F353" s="58"/>
      <c r="G353" s="58"/>
      <c r="I353" s="74"/>
      <c r="J353" s="62"/>
      <c r="L353" s="62"/>
      <c r="M353" s="64"/>
      <c r="N353" s="64"/>
      <c r="O353" s="62"/>
    </row>
    <row r="354" spans="4:15" s="39" customFormat="1">
      <c r="D354" s="56"/>
      <c r="E354" s="56"/>
      <c r="F354" s="58"/>
      <c r="G354" s="58"/>
      <c r="I354" s="74"/>
      <c r="J354" s="62"/>
      <c r="L354" s="62"/>
      <c r="M354" s="64"/>
      <c r="N354" s="64"/>
      <c r="O354" s="62"/>
    </row>
    <row r="355" spans="4:15" s="39" customFormat="1">
      <c r="D355" s="56"/>
      <c r="E355" s="56"/>
      <c r="F355" s="58"/>
      <c r="G355" s="58"/>
      <c r="I355" s="74"/>
      <c r="J355" s="62"/>
      <c r="L355" s="62"/>
      <c r="M355" s="64"/>
      <c r="N355" s="64"/>
      <c r="O355" s="62"/>
    </row>
    <row r="356" spans="4:15" s="39" customFormat="1">
      <c r="D356" s="56"/>
      <c r="E356" s="56"/>
      <c r="F356" s="58"/>
      <c r="G356" s="58"/>
      <c r="I356" s="74"/>
      <c r="J356" s="62"/>
      <c r="L356" s="62"/>
      <c r="M356" s="64"/>
      <c r="N356" s="64"/>
      <c r="O356" s="62"/>
    </row>
    <row r="357" spans="4:15" s="39" customFormat="1">
      <c r="D357" s="56"/>
      <c r="E357" s="56"/>
      <c r="F357" s="58"/>
      <c r="G357" s="58"/>
      <c r="I357" s="74"/>
      <c r="J357" s="62"/>
      <c r="L357" s="62"/>
      <c r="M357" s="64"/>
      <c r="N357" s="64"/>
      <c r="O357" s="62"/>
    </row>
    <row r="358" spans="4:15" s="39" customFormat="1">
      <c r="D358" s="56"/>
      <c r="E358" s="56"/>
      <c r="F358" s="58"/>
      <c r="G358" s="58"/>
      <c r="I358" s="74"/>
      <c r="J358" s="62"/>
      <c r="L358" s="62"/>
      <c r="M358" s="64"/>
      <c r="N358" s="64"/>
      <c r="O358" s="62"/>
    </row>
    <row r="359" spans="4:15" s="39" customFormat="1">
      <c r="D359" s="56"/>
      <c r="E359" s="56"/>
      <c r="F359" s="58"/>
      <c r="G359" s="58"/>
      <c r="I359" s="74"/>
      <c r="J359" s="62"/>
      <c r="L359" s="62"/>
      <c r="M359" s="64"/>
      <c r="N359" s="64"/>
      <c r="O359" s="62"/>
    </row>
    <row r="360" spans="4:15" s="39" customFormat="1">
      <c r="D360" s="56"/>
      <c r="E360" s="56"/>
      <c r="F360" s="58"/>
      <c r="G360" s="58"/>
      <c r="I360" s="74"/>
      <c r="J360" s="62"/>
      <c r="L360" s="62"/>
      <c r="M360" s="64"/>
      <c r="N360" s="64"/>
      <c r="O360" s="62"/>
    </row>
    <row r="361" spans="4:15" s="39" customFormat="1">
      <c r="D361" s="56"/>
      <c r="E361" s="56"/>
      <c r="F361" s="58"/>
      <c r="G361" s="58"/>
      <c r="I361" s="74"/>
      <c r="J361" s="62"/>
      <c r="L361" s="62"/>
      <c r="M361" s="64"/>
      <c r="N361" s="64"/>
      <c r="O361" s="62"/>
    </row>
    <row r="362" spans="4:15" s="39" customFormat="1">
      <c r="D362" s="56"/>
      <c r="E362" s="56"/>
      <c r="F362" s="58"/>
      <c r="G362" s="58"/>
      <c r="I362" s="74"/>
      <c r="J362" s="62"/>
      <c r="L362" s="62"/>
      <c r="M362" s="64"/>
      <c r="N362" s="64"/>
      <c r="O362" s="62"/>
    </row>
    <row r="363" spans="4:15" s="39" customFormat="1">
      <c r="D363" s="56"/>
      <c r="E363" s="56"/>
      <c r="F363" s="58"/>
      <c r="G363" s="58"/>
      <c r="I363" s="74"/>
      <c r="J363" s="62"/>
      <c r="L363" s="62"/>
      <c r="M363" s="64"/>
      <c r="N363" s="64"/>
      <c r="O363" s="62"/>
    </row>
    <row r="364" spans="4:15" s="39" customFormat="1">
      <c r="D364" s="56"/>
      <c r="E364" s="56"/>
      <c r="F364" s="58"/>
      <c r="G364" s="58"/>
      <c r="I364" s="74"/>
      <c r="J364" s="62"/>
      <c r="L364" s="62"/>
      <c r="M364" s="64"/>
      <c r="N364" s="64"/>
      <c r="O364" s="62"/>
    </row>
    <row r="365" spans="4:15" s="39" customFormat="1">
      <c r="D365" s="56"/>
      <c r="E365" s="56"/>
      <c r="F365" s="58"/>
      <c r="G365" s="58"/>
      <c r="I365" s="74"/>
      <c r="J365" s="62"/>
      <c r="L365" s="62"/>
      <c r="M365" s="64"/>
      <c r="N365" s="64"/>
      <c r="O365" s="62"/>
    </row>
    <row r="366" spans="4:15" s="39" customFormat="1">
      <c r="D366" s="56"/>
      <c r="E366" s="56"/>
      <c r="F366" s="58"/>
      <c r="G366" s="58"/>
      <c r="I366" s="74"/>
      <c r="J366" s="62"/>
      <c r="L366" s="62"/>
      <c r="M366" s="64"/>
      <c r="N366" s="64"/>
      <c r="O366" s="62"/>
    </row>
    <row r="367" spans="4:15" s="39" customFormat="1">
      <c r="D367" s="56"/>
      <c r="E367" s="56"/>
      <c r="F367" s="58"/>
      <c r="G367" s="58"/>
      <c r="I367" s="74"/>
      <c r="J367" s="62"/>
      <c r="L367" s="62"/>
      <c r="M367" s="64"/>
      <c r="N367" s="64"/>
      <c r="O367" s="62"/>
    </row>
    <row r="368" spans="4:15" s="39" customFormat="1">
      <c r="D368" s="56"/>
      <c r="E368" s="56"/>
      <c r="F368" s="58"/>
      <c r="G368" s="58"/>
      <c r="I368" s="74"/>
      <c r="J368" s="62"/>
      <c r="L368" s="62"/>
      <c r="M368" s="64"/>
      <c r="N368" s="64"/>
      <c r="O368" s="62"/>
    </row>
    <row r="369" spans="4:15" s="39" customFormat="1">
      <c r="D369" s="56"/>
      <c r="E369" s="56"/>
      <c r="F369" s="58"/>
      <c r="G369" s="58"/>
      <c r="I369" s="74"/>
      <c r="J369" s="62"/>
      <c r="L369" s="62"/>
      <c r="M369" s="64"/>
      <c r="N369" s="64"/>
      <c r="O369" s="62"/>
    </row>
    <row r="370" spans="4:15" s="39" customFormat="1">
      <c r="D370" s="56"/>
      <c r="E370" s="56"/>
      <c r="F370" s="58"/>
      <c r="G370" s="58"/>
      <c r="I370" s="74"/>
      <c r="J370" s="62"/>
      <c r="L370" s="62"/>
      <c r="M370" s="64"/>
      <c r="N370" s="64"/>
      <c r="O370" s="62"/>
    </row>
    <row r="371" spans="4:15" s="39" customFormat="1">
      <c r="D371" s="56"/>
      <c r="E371" s="56"/>
      <c r="F371" s="58"/>
      <c r="G371" s="58"/>
      <c r="I371" s="74"/>
      <c r="J371" s="62"/>
      <c r="L371" s="62"/>
      <c r="M371" s="64"/>
      <c r="N371" s="64"/>
      <c r="O371" s="62"/>
    </row>
    <row r="372" spans="4:15" s="39" customFormat="1">
      <c r="D372" s="56"/>
      <c r="E372" s="56"/>
      <c r="F372" s="58"/>
      <c r="G372" s="58"/>
      <c r="I372" s="74"/>
      <c r="J372" s="62"/>
      <c r="L372" s="62"/>
      <c r="M372" s="64"/>
      <c r="N372" s="64"/>
      <c r="O372" s="62"/>
    </row>
    <row r="373" spans="4:15" s="39" customFormat="1">
      <c r="D373" s="56"/>
      <c r="E373" s="56"/>
      <c r="F373" s="58"/>
      <c r="G373" s="58"/>
      <c r="I373" s="74"/>
      <c r="J373" s="62"/>
      <c r="L373" s="62"/>
      <c r="M373" s="64"/>
      <c r="N373" s="64"/>
      <c r="O373" s="62"/>
    </row>
    <row r="374" spans="4:15" s="39" customFormat="1">
      <c r="D374" s="56"/>
      <c r="E374" s="56"/>
      <c r="F374" s="58"/>
      <c r="G374" s="58"/>
      <c r="I374" s="74"/>
      <c r="J374" s="62"/>
      <c r="L374" s="62"/>
      <c r="M374" s="64"/>
      <c r="N374" s="64"/>
      <c r="O374" s="62"/>
    </row>
    <row r="375" spans="4:15" s="39" customFormat="1">
      <c r="D375" s="56"/>
      <c r="E375" s="56"/>
      <c r="F375" s="58"/>
      <c r="G375" s="58"/>
      <c r="I375" s="74"/>
      <c r="J375" s="62"/>
      <c r="L375" s="62"/>
      <c r="M375" s="64"/>
      <c r="N375" s="64"/>
      <c r="O375" s="62"/>
    </row>
    <row r="376" spans="4:15" s="39" customFormat="1">
      <c r="D376" s="56"/>
      <c r="E376" s="56"/>
      <c r="F376" s="58"/>
      <c r="G376" s="58"/>
      <c r="I376" s="74"/>
      <c r="J376" s="62"/>
      <c r="L376" s="62"/>
      <c r="M376" s="64"/>
      <c r="N376" s="64"/>
      <c r="O376" s="62"/>
    </row>
    <row r="377" spans="4:15" s="39" customFormat="1">
      <c r="D377" s="56"/>
      <c r="E377" s="56"/>
      <c r="F377" s="58"/>
      <c r="G377" s="58"/>
      <c r="I377" s="74"/>
      <c r="J377" s="62"/>
      <c r="L377" s="62"/>
      <c r="M377" s="64"/>
      <c r="N377" s="64"/>
      <c r="O377" s="62"/>
    </row>
    <row r="378" spans="4:15" s="39" customFormat="1">
      <c r="D378" s="56"/>
      <c r="E378" s="56"/>
      <c r="F378" s="58"/>
      <c r="G378" s="58"/>
      <c r="I378" s="74"/>
      <c r="J378" s="62"/>
      <c r="L378" s="62"/>
      <c r="M378" s="64"/>
      <c r="N378" s="64"/>
      <c r="O378" s="62"/>
    </row>
    <row r="379" spans="4:15" s="39" customFormat="1">
      <c r="D379" s="56"/>
      <c r="E379" s="56"/>
      <c r="F379" s="58"/>
      <c r="G379" s="58"/>
      <c r="I379" s="74"/>
      <c r="J379" s="62"/>
      <c r="L379" s="62"/>
      <c r="M379" s="64"/>
      <c r="N379" s="64"/>
      <c r="O379" s="62"/>
    </row>
    <row r="380" spans="4:15" s="39" customFormat="1">
      <c r="D380" s="56"/>
      <c r="E380" s="56"/>
      <c r="F380" s="58"/>
      <c r="G380" s="58"/>
      <c r="I380" s="74"/>
      <c r="J380" s="62"/>
      <c r="L380" s="62"/>
      <c r="M380" s="64"/>
      <c r="N380" s="64"/>
      <c r="O380" s="62"/>
    </row>
    <row r="381" spans="4:15" s="39" customFormat="1">
      <c r="D381" s="56"/>
      <c r="E381" s="56"/>
      <c r="F381" s="58"/>
      <c r="G381" s="58"/>
      <c r="I381" s="74"/>
      <c r="J381" s="62"/>
      <c r="L381" s="62"/>
      <c r="M381" s="64"/>
      <c r="N381" s="64"/>
      <c r="O381" s="62"/>
    </row>
    <row r="382" spans="4:15" s="39" customFormat="1">
      <c r="D382" s="56"/>
      <c r="E382" s="56"/>
      <c r="F382" s="58"/>
      <c r="G382" s="58"/>
      <c r="I382" s="74"/>
      <c r="J382" s="62"/>
      <c r="L382" s="62"/>
      <c r="M382" s="64"/>
      <c r="N382" s="64"/>
      <c r="O382" s="62"/>
    </row>
    <row r="383" spans="4:15" s="39" customFormat="1">
      <c r="D383" s="56"/>
      <c r="E383" s="56"/>
      <c r="F383" s="58"/>
      <c r="G383" s="58"/>
      <c r="I383" s="74"/>
      <c r="J383" s="62"/>
      <c r="L383" s="62"/>
      <c r="M383" s="64"/>
      <c r="N383" s="64"/>
      <c r="O383" s="62"/>
    </row>
    <row r="384" spans="4:15" s="39" customFormat="1">
      <c r="D384" s="56"/>
      <c r="E384" s="56"/>
      <c r="F384" s="58"/>
      <c r="G384" s="58"/>
      <c r="I384" s="74"/>
      <c r="J384" s="62"/>
      <c r="L384" s="62"/>
      <c r="M384" s="64"/>
      <c r="N384" s="64"/>
      <c r="O384" s="62"/>
    </row>
    <row r="385" spans="4:15" s="39" customFormat="1">
      <c r="D385" s="56"/>
      <c r="E385" s="56"/>
      <c r="F385" s="58"/>
      <c r="G385" s="58"/>
      <c r="I385" s="74"/>
      <c r="J385" s="62"/>
      <c r="L385" s="62"/>
      <c r="M385" s="64"/>
      <c r="N385" s="64"/>
      <c r="O385" s="62"/>
    </row>
    <row r="386" spans="4:15" s="39" customFormat="1">
      <c r="D386" s="56"/>
      <c r="E386" s="56"/>
      <c r="F386" s="58"/>
      <c r="G386" s="58"/>
      <c r="I386" s="74"/>
      <c r="J386" s="62"/>
      <c r="L386" s="62"/>
      <c r="M386" s="64"/>
      <c r="N386" s="64"/>
      <c r="O386" s="62"/>
    </row>
    <row r="387" spans="4:15" s="39" customFormat="1">
      <c r="D387" s="56"/>
      <c r="E387" s="56"/>
      <c r="F387" s="58"/>
      <c r="G387" s="58"/>
      <c r="I387" s="74"/>
      <c r="J387" s="62"/>
      <c r="L387" s="62"/>
      <c r="M387" s="64"/>
      <c r="N387" s="64"/>
      <c r="O387" s="62"/>
    </row>
    <row r="388" spans="4:15" s="39" customFormat="1">
      <c r="D388" s="56"/>
      <c r="E388" s="56"/>
      <c r="F388" s="58"/>
      <c r="G388" s="58"/>
      <c r="I388" s="74"/>
      <c r="J388" s="62"/>
      <c r="L388" s="62"/>
      <c r="M388" s="64"/>
      <c r="N388" s="64"/>
      <c r="O388" s="62"/>
    </row>
    <row r="389" spans="4:15" s="39" customFormat="1">
      <c r="D389" s="56"/>
      <c r="E389" s="56"/>
      <c r="F389" s="58"/>
      <c r="G389" s="58"/>
      <c r="I389" s="74"/>
      <c r="J389" s="62"/>
      <c r="L389" s="62"/>
      <c r="M389" s="64"/>
      <c r="N389" s="64"/>
      <c r="O389" s="62"/>
    </row>
    <row r="390" spans="4:15" s="39" customFormat="1">
      <c r="D390" s="56"/>
      <c r="E390" s="56"/>
      <c r="F390" s="58"/>
      <c r="G390" s="58"/>
      <c r="I390" s="74"/>
      <c r="J390" s="62"/>
      <c r="L390" s="62"/>
      <c r="M390" s="64"/>
      <c r="N390" s="64"/>
      <c r="O390" s="62"/>
    </row>
    <row r="391" spans="4:15" s="39" customFormat="1">
      <c r="D391" s="56"/>
      <c r="E391" s="56"/>
      <c r="F391" s="58"/>
      <c r="G391" s="58"/>
      <c r="I391" s="74"/>
      <c r="J391" s="62"/>
      <c r="L391" s="62"/>
      <c r="M391" s="64"/>
      <c r="N391" s="64"/>
      <c r="O391" s="62"/>
    </row>
    <row r="392" spans="4:15" s="39" customFormat="1">
      <c r="D392" s="56"/>
      <c r="E392" s="56"/>
      <c r="F392" s="58"/>
      <c r="G392" s="58"/>
      <c r="I392" s="74"/>
      <c r="J392" s="62"/>
      <c r="L392" s="62"/>
      <c r="M392" s="64"/>
      <c r="N392" s="64"/>
      <c r="O392" s="62"/>
    </row>
    <row r="393" spans="4:15" s="39" customFormat="1">
      <c r="D393" s="56"/>
      <c r="E393" s="56"/>
      <c r="F393" s="58"/>
      <c r="G393" s="58"/>
      <c r="I393" s="74"/>
      <c r="J393" s="62"/>
      <c r="L393" s="62"/>
      <c r="M393" s="64"/>
      <c r="N393" s="64"/>
      <c r="O393" s="62"/>
    </row>
    <row r="394" spans="4:15" s="39" customFormat="1">
      <c r="D394" s="56"/>
      <c r="E394" s="56"/>
      <c r="F394" s="58"/>
      <c r="G394" s="58"/>
      <c r="I394" s="74"/>
      <c r="J394" s="62"/>
      <c r="L394" s="62"/>
      <c r="M394" s="64"/>
      <c r="N394" s="64"/>
      <c r="O394" s="62"/>
    </row>
    <row r="395" spans="4:15" s="39" customFormat="1">
      <c r="D395" s="56"/>
      <c r="E395" s="56"/>
      <c r="F395" s="58"/>
      <c r="G395" s="58"/>
      <c r="I395" s="74"/>
      <c r="J395" s="62"/>
      <c r="L395" s="62"/>
      <c r="M395" s="64"/>
      <c r="N395" s="64"/>
      <c r="O395" s="62"/>
    </row>
    <row r="396" spans="4:15" s="39" customFormat="1">
      <c r="D396" s="56"/>
      <c r="E396" s="56"/>
      <c r="F396" s="58"/>
      <c r="G396" s="58"/>
      <c r="I396" s="74"/>
      <c r="J396" s="62"/>
      <c r="L396" s="62"/>
      <c r="M396" s="64"/>
      <c r="N396" s="64"/>
      <c r="O396" s="62"/>
    </row>
    <row r="397" spans="4:15" s="39" customFormat="1">
      <c r="D397" s="56"/>
      <c r="E397" s="56"/>
      <c r="F397" s="58"/>
      <c r="G397" s="58"/>
      <c r="I397" s="74"/>
      <c r="J397" s="62"/>
      <c r="L397" s="62"/>
      <c r="M397" s="64"/>
      <c r="N397" s="64"/>
      <c r="O397" s="62"/>
    </row>
    <row r="398" spans="4:15" s="39" customFormat="1">
      <c r="D398" s="56"/>
      <c r="E398" s="56"/>
      <c r="F398" s="58"/>
      <c r="G398" s="58"/>
      <c r="I398" s="74"/>
      <c r="J398" s="62"/>
      <c r="L398" s="62"/>
      <c r="M398" s="64"/>
      <c r="N398" s="64"/>
      <c r="O398" s="62"/>
    </row>
    <row r="399" spans="4:15" s="39" customFormat="1">
      <c r="D399" s="56"/>
      <c r="E399" s="56"/>
      <c r="F399" s="58"/>
      <c r="G399" s="58"/>
      <c r="I399" s="74"/>
      <c r="J399" s="62"/>
      <c r="L399" s="62"/>
      <c r="M399" s="64"/>
      <c r="N399" s="64"/>
      <c r="O399" s="62"/>
    </row>
    <row r="400" spans="4:15" s="39" customFormat="1">
      <c r="D400" s="56"/>
      <c r="E400" s="56"/>
      <c r="F400" s="58"/>
      <c r="G400" s="58"/>
      <c r="I400" s="74"/>
      <c r="J400" s="62"/>
      <c r="L400" s="62"/>
      <c r="M400" s="64"/>
      <c r="N400" s="64"/>
      <c r="O400" s="62"/>
    </row>
    <row r="401" spans="4:15" s="39" customFormat="1">
      <c r="D401" s="56"/>
      <c r="E401" s="56"/>
      <c r="F401" s="58"/>
      <c r="G401" s="58"/>
      <c r="I401" s="74"/>
      <c r="J401" s="62"/>
      <c r="L401" s="62"/>
      <c r="M401" s="64"/>
      <c r="N401" s="64"/>
      <c r="O401" s="62"/>
    </row>
    <row r="402" spans="4:15" s="39" customFormat="1">
      <c r="D402" s="56"/>
      <c r="E402" s="56"/>
      <c r="F402" s="58"/>
      <c r="G402" s="58"/>
      <c r="I402" s="74"/>
      <c r="J402" s="62"/>
      <c r="L402" s="62"/>
      <c r="M402" s="64"/>
      <c r="N402" s="64"/>
      <c r="O402" s="62"/>
    </row>
    <row r="403" spans="4:15" s="39" customFormat="1">
      <c r="D403" s="56"/>
      <c r="E403" s="56"/>
      <c r="F403" s="58"/>
      <c r="G403" s="58"/>
      <c r="I403" s="74"/>
      <c r="J403" s="62"/>
      <c r="L403" s="62"/>
      <c r="M403" s="64"/>
      <c r="N403" s="64"/>
      <c r="O403" s="62"/>
    </row>
    <row r="404" spans="4:15" s="39" customFormat="1">
      <c r="D404" s="56"/>
      <c r="E404" s="56"/>
      <c r="F404" s="58"/>
      <c r="G404" s="58"/>
      <c r="I404" s="74"/>
      <c r="J404" s="62"/>
      <c r="L404" s="62"/>
      <c r="M404" s="64"/>
      <c r="N404" s="64"/>
      <c r="O404" s="62"/>
    </row>
    <row r="405" spans="4:15" s="39" customFormat="1">
      <c r="D405" s="56"/>
      <c r="E405" s="56"/>
      <c r="F405" s="58"/>
      <c r="G405" s="58"/>
      <c r="I405" s="74"/>
      <c r="J405" s="62"/>
      <c r="L405" s="62"/>
      <c r="M405" s="64"/>
      <c r="N405" s="64"/>
      <c r="O405" s="62"/>
    </row>
    <row r="406" spans="4:15" s="39" customFormat="1">
      <c r="D406" s="56"/>
      <c r="E406" s="56"/>
      <c r="F406" s="58"/>
      <c r="G406" s="58"/>
      <c r="I406" s="74"/>
      <c r="J406" s="62"/>
      <c r="L406" s="62"/>
      <c r="M406" s="64"/>
      <c r="N406" s="64"/>
      <c r="O406" s="62"/>
    </row>
    <row r="407" spans="4:15" s="39" customFormat="1">
      <c r="D407" s="56"/>
      <c r="E407" s="56"/>
      <c r="F407" s="58"/>
      <c r="G407" s="58"/>
      <c r="I407" s="74"/>
      <c r="J407" s="62"/>
      <c r="L407" s="62"/>
      <c r="M407" s="64"/>
      <c r="N407" s="64"/>
      <c r="O407" s="62"/>
    </row>
    <row r="408" spans="4:15" s="39" customFormat="1">
      <c r="D408" s="56"/>
      <c r="E408" s="56"/>
      <c r="F408" s="58"/>
      <c r="G408" s="58"/>
      <c r="I408" s="74"/>
      <c r="J408" s="62"/>
      <c r="L408" s="62"/>
      <c r="M408" s="64"/>
      <c r="N408" s="64"/>
      <c r="O408" s="62"/>
    </row>
    <row r="409" spans="4:15" s="39" customFormat="1">
      <c r="D409" s="56"/>
      <c r="E409" s="56"/>
      <c r="F409" s="58"/>
      <c r="G409" s="58"/>
      <c r="I409" s="74"/>
      <c r="J409" s="62"/>
      <c r="L409" s="62"/>
      <c r="M409" s="64"/>
      <c r="N409" s="64"/>
      <c r="O409" s="62"/>
    </row>
    <row r="410" spans="4:15" s="39" customFormat="1">
      <c r="D410" s="56"/>
      <c r="E410" s="56"/>
      <c r="F410" s="58"/>
      <c r="G410" s="58"/>
      <c r="I410" s="74"/>
      <c r="J410" s="62"/>
      <c r="L410" s="62"/>
      <c r="M410" s="64"/>
      <c r="N410" s="64"/>
      <c r="O410" s="62"/>
    </row>
    <row r="411" spans="4:15" s="39" customFormat="1">
      <c r="D411" s="56"/>
      <c r="E411" s="56"/>
      <c r="F411" s="58"/>
      <c r="G411" s="58"/>
      <c r="I411" s="74"/>
      <c r="J411" s="62"/>
      <c r="L411" s="62"/>
      <c r="M411" s="64"/>
      <c r="N411" s="64"/>
      <c r="O411" s="62"/>
    </row>
    <row r="412" spans="4:15" s="39" customFormat="1">
      <c r="D412" s="56"/>
      <c r="E412" s="56"/>
      <c r="F412" s="58"/>
      <c r="G412" s="58"/>
      <c r="I412" s="74"/>
      <c r="J412" s="62"/>
      <c r="L412" s="62"/>
      <c r="M412" s="64"/>
      <c r="N412" s="64"/>
      <c r="O412" s="62"/>
    </row>
    <row r="413" spans="4:15" s="39" customFormat="1">
      <c r="D413" s="56"/>
      <c r="E413" s="56"/>
      <c r="F413" s="58"/>
      <c r="G413" s="58"/>
      <c r="I413" s="74"/>
      <c r="J413" s="62"/>
      <c r="L413" s="62"/>
      <c r="M413" s="64"/>
      <c r="N413" s="64"/>
      <c r="O413" s="62"/>
    </row>
    <row r="414" spans="4:15" s="39" customFormat="1">
      <c r="D414" s="56"/>
      <c r="E414" s="56"/>
      <c r="F414" s="58"/>
      <c r="G414" s="58"/>
      <c r="I414" s="74"/>
      <c r="J414" s="62"/>
      <c r="L414" s="62"/>
      <c r="M414" s="64"/>
      <c r="N414" s="64"/>
      <c r="O414" s="62"/>
    </row>
    <row r="415" spans="4:15" s="39" customFormat="1">
      <c r="D415" s="56"/>
      <c r="E415" s="56"/>
      <c r="F415" s="58"/>
      <c r="G415" s="58"/>
      <c r="I415" s="74"/>
      <c r="J415" s="62"/>
      <c r="L415" s="62"/>
      <c r="M415" s="64"/>
      <c r="N415" s="64"/>
      <c r="O415" s="62"/>
    </row>
    <row r="416" spans="4:15" s="39" customFormat="1">
      <c r="D416" s="56"/>
      <c r="E416" s="56"/>
      <c r="F416" s="58"/>
      <c r="G416" s="58"/>
      <c r="I416" s="74"/>
      <c r="J416" s="62"/>
      <c r="L416" s="62"/>
      <c r="M416" s="64"/>
      <c r="N416" s="64"/>
      <c r="O416" s="62"/>
    </row>
    <row r="417" spans="4:15" s="39" customFormat="1">
      <c r="D417" s="56"/>
      <c r="E417" s="56"/>
      <c r="F417" s="58"/>
      <c r="G417" s="58"/>
      <c r="I417" s="74"/>
      <c r="J417" s="62"/>
      <c r="L417" s="62"/>
      <c r="M417" s="64"/>
      <c r="N417" s="64"/>
      <c r="O417" s="62"/>
    </row>
    <row r="418" spans="4:15" s="39" customFormat="1">
      <c r="D418" s="56"/>
      <c r="E418" s="56"/>
      <c r="F418" s="58"/>
      <c r="G418" s="58"/>
      <c r="I418" s="74"/>
      <c r="J418" s="62"/>
      <c r="L418" s="62"/>
      <c r="M418" s="64"/>
      <c r="N418" s="64"/>
      <c r="O418" s="62"/>
    </row>
    <row r="419" spans="4:15" s="39" customFormat="1">
      <c r="D419" s="56"/>
      <c r="E419" s="56"/>
      <c r="F419" s="58"/>
      <c r="G419" s="58"/>
      <c r="I419" s="74"/>
      <c r="J419" s="62"/>
      <c r="L419" s="62"/>
      <c r="M419" s="64"/>
      <c r="N419" s="64"/>
      <c r="O419" s="62"/>
    </row>
    <row r="420" spans="4:15" s="39" customFormat="1">
      <c r="D420" s="56"/>
      <c r="E420" s="56"/>
      <c r="F420" s="58"/>
      <c r="G420" s="58"/>
      <c r="I420" s="74"/>
      <c r="J420" s="62"/>
      <c r="L420" s="62"/>
      <c r="M420" s="64"/>
      <c r="N420" s="64"/>
      <c r="O420" s="62"/>
    </row>
    <row r="421" spans="4:15" s="39" customFormat="1">
      <c r="D421" s="56"/>
      <c r="E421" s="56"/>
      <c r="F421" s="58"/>
      <c r="G421" s="58"/>
      <c r="I421" s="74"/>
      <c r="J421" s="62"/>
      <c r="L421" s="62"/>
      <c r="M421" s="64"/>
      <c r="N421" s="64"/>
      <c r="O421" s="62"/>
    </row>
    <row r="422" spans="4:15" s="39" customFormat="1">
      <c r="D422" s="56"/>
      <c r="E422" s="56"/>
      <c r="F422" s="58"/>
      <c r="G422" s="58"/>
      <c r="I422" s="74"/>
      <c r="J422" s="62"/>
      <c r="L422" s="62"/>
      <c r="M422" s="64"/>
      <c r="N422" s="64"/>
      <c r="O422" s="62"/>
    </row>
    <row r="423" spans="4:15" s="39" customFormat="1">
      <c r="D423" s="56"/>
      <c r="E423" s="56"/>
      <c r="F423" s="58"/>
      <c r="G423" s="58"/>
      <c r="I423" s="74"/>
      <c r="J423" s="62"/>
      <c r="L423" s="62"/>
      <c r="M423" s="64"/>
      <c r="N423" s="64"/>
      <c r="O423" s="62"/>
    </row>
    <row r="424" spans="4:15" s="39" customFormat="1">
      <c r="D424" s="56"/>
      <c r="E424" s="56"/>
      <c r="F424" s="58"/>
      <c r="G424" s="58"/>
      <c r="I424" s="74"/>
      <c r="J424" s="62"/>
      <c r="L424" s="62"/>
      <c r="M424" s="64"/>
      <c r="N424" s="64"/>
      <c r="O424" s="62"/>
    </row>
    <row r="425" spans="4:15" s="39" customFormat="1">
      <c r="D425" s="56"/>
      <c r="E425" s="56"/>
      <c r="F425" s="58"/>
      <c r="G425" s="58"/>
      <c r="I425" s="74"/>
      <c r="J425" s="62"/>
      <c r="L425" s="62"/>
      <c r="M425" s="64"/>
      <c r="N425" s="64"/>
      <c r="O425" s="62"/>
    </row>
    <row r="426" spans="4:15" s="39" customFormat="1">
      <c r="D426" s="56"/>
      <c r="E426" s="56"/>
      <c r="F426" s="58"/>
      <c r="G426" s="58"/>
      <c r="I426" s="74"/>
      <c r="J426" s="62"/>
      <c r="L426" s="62"/>
      <c r="M426" s="64"/>
      <c r="N426" s="64"/>
      <c r="O426" s="62"/>
    </row>
    <row r="427" spans="4:15" s="39" customFormat="1">
      <c r="D427" s="56"/>
      <c r="E427" s="56"/>
      <c r="F427" s="58"/>
      <c r="G427" s="58"/>
      <c r="I427" s="74"/>
      <c r="J427" s="62"/>
      <c r="L427" s="62"/>
      <c r="M427" s="64"/>
      <c r="N427" s="64"/>
      <c r="O427" s="62"/>
    </row>
    <row r="428" spans="4:15" s="39" customFormat="1">
      <c r="D428" s="56"/>
      <c r="E428" s="56"/>
      <c r="F428" s="58"/>
      <c r="G428" s="58"/>
      <c r="I428" s="74"/>
      <c r="J428" s="62"/>
      <c r="L428" s="62"/>
      <c r="M428" s="64"/>
      <c r="N428" s="64"/>
      <c r="O428" s="62"/>
    </row>
    <row r="429" spans="4:15" s="39" customFormat="1">
      <c r="D429" s="56"/>
      <c r="E429" s="56"/>
      <c r="F429" s="58"/>
      <c r="G429" s="58"/>
      <c r="I429" s="74"/>
      <c r="J429" s="62"/>
      <c r="L429" s="62"/>
      <c r="M429" s="64"/>
      <c r="N429" s="64"/>
      <c r="O429" s="62"/>
    </row>
    <row r="430" spans="4:15" s="39" customFormat="1">
      <c r="D430" s="56"/>
      <c r="E430" s="56"/>
      <c r="F430" s="58"/>
      <c r="G430" s="58"/>
      <c r="I430" s="74"/>
      <c r="J430" s="62"/>
      <c r="L430" s="62"/>
      <c r="M430" s="64"/>
      <c r="N430" s="64"/>
      <c r="O430" s="62"/>
    </row>
    <row r="431" spans="4:15" s="39" customFormat="1">
      <c r="D431" s="56"/>
      <c r="E431" s="56"/>
      <c r="F431" s="58"/>
      <c r="G431" s="58"/>
      <c r="I431" s="74"/>
      <c r="J431" s="62"/>
      <c r="L431" s="62"/>
      <c r="M431" s="64"/>
      <c r="N431" s="64"/>
      <c r="O431" s="62"/>
    </row>
    <row r="432" spans="4:15" s="39" customFormat="1">
      <c r="D432" s="56"/>
      <c r="E432" s="56"/>
      <c r="F432" s="58"/>
      <c r="G432" s="58"/>
      <c r="I432" s="74"/>
      <c r="J432" s="62"/>
      <c r="L432" s="62"/>
      <c r="M432" s="64"/>
      <c r="N432" s="64"/>
      <c r="O432" s="62"/>
    </row>
    <row r="433" spans="1:15">
      <c r="A433" s="39"/>
      <c r="B433" s="39"/>
      <c r="D433" s="56"/>
      <c r="E433" s="56"/>
      <c r="F433" s="58"/>
      <c r="G433" s="58"/>
      <c r="I433" s="74"/>
      <c r="J433" s="62"/>
      <c r="L433" s="62"/>
      <c r="M433" s="64"/>
      <c r="N433" s="64"/>
      <c r="O433" s="62"/>
    </row>
    <row r="434" spans="1:15">
      <c r="A434" s="39"/>
      <c r="B434" s="39"/>
      <c r="D434" s="56"/>
      <c r="E434" s="56"/>
      <c r="F434" s="58"/>
      <c r="G434" s="58"/>
      <c r="I434" s="74"/>
      <c r="J434" s="62"/>
      <c r="L434" s="62"/>
      <c r="M434" s="64"/>
      <c r="N434" s="64"/>
      <c r="O434" s="62"/>
    </row>
    <row r="435" spans="1:15">
      <c r="A435" s="39"/>
      <c r="B435" s="39"/>
      <c r="D435" s="56"/>
      <c r="E435" s="56"/>
      <c r="F435" s="58"/>
      <c r="G435" s="58"/>
      <c r="I435" s="74"/>
      <c r="J435" s="62"/>
      <c r="L435" s="62"/>
      <c r="M435" s="64"/>
      <c r="N435" s="64"/>
      <c r="O435" s="62"/>
    </row>
    <row r="436" spans="1:15">
      <c r="A436" s="39"/>
      <c r="B436" s="39"/>
      <c r="D436" s="56"/>
      <c r="E436" s="56"/>
      <c r="F436" s="58"/>
      <c r="G436" s="58"/>
      <c r="I436" s="74"/>
      <c r="J436" s="62"/>
      <c r="L436" s="62"/>
      <c r="M436" s="64"/>
      <c r="N436" s="64"/>
      <c r="O436" s="62"/>
    </row>
    <row r="437" spans="1:15">
      <c r="A437" s="39"/>
      <c r="B437" s="39"/>
      <c r="D437" s="56"/>
      <c r="E437" s="56"/>
      <c r="F437" s="58"/>
      <c r="G437" s="58"/>
      <c r="I437" s="74"/>
      <c r="J437" s="62"/>
      <c r="L437" s="62"/>
      <c r="M437" s="64"/>
      <c r="N437" s="64"/>
      <c r="O437" s="62"/>
    </row>
    <row r="438" spans="1:15">
      <c r="A438" s="39"/>
      <c r="B438" s="39"/>
      <c r="D438" s="56"/>
      <c r="E438" s="56"/>
      <c r="F438" s="58"/>
      <c r="G438" s="58"/>
      <c r="I438" s="74"/>
      <c r="J438" s="62"/>
      <c r="L438" s="62"/>
      <c r="M438" s="64"/>
      <c r="N438" s="64"/>
      <c r="O438" s="62"/>
    </row>
  </sheetData>
  <mergeCells count="6">
    <mergeCell ref="H7:I7"/>
    <mergeCell ref="A1:P1"/>
    <mergeCell ref="A2:P2"/>
    <mergeCell ref="A3:P3"/>
    <mergeCell ref="A4:P4"/>
    <mergeCell ref="L6:M6"/>
  </mergeCells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C621-37FE-46B7-A8C4-0B8A57185DBD}">
  <sheetPr>
    <pageSetUpPr fitToPage="1"/>
  </sheetPr>
  <dimension ref="A1:D11"/>
  <sheetViews>
    <sheetView workbookViewId="0">
      <selection activeCell="B11" sqref="B11:D11"/>
    </sheetView>
  </sheetViews>
  <sheetFormatPr defaultRowHeight="12.75"/>
  <cols>
    <col min="1" max="1" width="6.28515625" style="93" customWidth="1"/>
    <col min="2" max="2" width="36.7109375" style="93" bestFit="1" customWidth="1"/>
    <col min="3" max="3" width="1.42578125" style="93" customWidth="1"/>
    <col min="4" max="4" width="12.85546875" style="93" bestFit="1" customWidth="1"/>
    <col min="5" max="16384" width="9.140625" style="93"/>
  </cols>
  <sheetData>
    <row r="1" spans="1:4">
      <c r="A1" s="92" t="s">
        <v>122</v>
      </c>
      <c r="B1" s="92"/>
    </row>
    <row r="2" spans="1:4">
      <c r="A2" s="92" t="s">
        <v>123</v>
      </c>
      <c r="B2" s="92"/>
    </row>
    <row r="3" spans="1:4">
      <c r="A3" s="92" t="s">
        <v>146</v>
      </c>
      <c r="B3" s="92"/>
    </row>
    <row r="4" spans="1:4">
      <c r="A4" s="94"/>
      <c r="B4" s="96"/>
    </row>
    <row r="5" spans="1:4" ht="6.6" customHeight="1">
      <c r="A5" s="94"/>
      <c r="B5" s="97"/>
    </row>
    <row r="6" spans="1:4">
      <c r="B6" s="140" t="s">
        <v>148</v>
      </c>
      <c r="D6" s="136">
        <v>746615.11</v>
      </c>
    </row>
    <row r="7" spans="1:4">
      <c r="A7" s="94"/>
      <c r="B7" s="140" t="s">
        <v>149</v>
      </c>
      <c r="D7" s="136">
        <v>563615.11</v>
      </c>
    </row>
    <row r="8" spans="1:4">
      <c r="A8" s="95"/>
      <c r="B8" s="138" t="s">
        <v>150</v>
      </c>
      <c r="C8" s="95"/>
      <c r="D8" s="136">
        <v>35000</v>
      </c>
    </row>
    <row r="9" spans="1:4" ht="13.5" thickBot="1">
      <c r="A9" s="98"/>
      <c r="B9" s="138" t="s">
        <v>147</v>
      </c>
      <c r="C9" s="12"/>
      <c r="D9" s="137">
        <f>SUM(D6:D8)</f>
        <v>1345230.22</v>
      </c>
    </row>
    <row r="10" spans="1:4" ht="6.75" customHeight="1" thickTop="1">
      <c r="A10" s="98"/>
      <c r="B10" s="98"/>
      <c r="C10" s="12"/>
    </row>
    <row r="11" spans="1:4" s="139" customFormat="1" ht="27.75" customHeight="1">
      <c r="B11" s="152" t="s">
        <v>153</v>
      </c>
      <c r="C11" s="152"/>
      <c r="D11" s="152"/>
    </row>
  </sheetData>
  <mergeCells count="1">
    <mergeCell ref="B11:D11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274E8AD52E1247B54DA36E401E0ED0" ma:contentTypeVersion="28" ma:contentTypeDescription="" ma:contentTypeScope="" ma:versionID="ecabaf81a30a09dd08e5fe8c37cf8b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2022-08-09T07:00:00+00:00</OpenedDate>
    <SignificantOrder xmlns="dc463f71-b30c-4ab2-9473-d307f9d35888">false</SignificantOrder>
    <Date1 xmlns="dc463f71-b30c-4ab2-9473-d307f9d35888">2023-09-27T07:00:00+00:00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220597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C4E5FF-CB74-408E-AF6A-3C4029A55193}"/>
</file>

<file path=customXml/itemProps2.xml><?xml version="1.0" encoding="utf-8"?>
<ds:datastoreItem xmlns:ds="http://schemas.openxmlformats.org/officeDocument/2006/customXml" ds:itemID="{BDD5D4F4-F2A1-4A16-AA9D-142F84CDBF0A}"/>
</file>

<file path=customXml/itemProps3.xml><?xml version="1.0" encoding="utf-8"?>
<ds:datastoreItem xmlns:ds="http://schemas.openxmlformats.org/officeDocument/2006/customXml" ds:itemID="{63D5B1AA-0624-47F3-B6C3-68A7D1D9AFA9}"/>
</file>

<file path=customXml/itemProps4.xml><?xml version="1.0" encoding="utf-8"?>
<ds:datastoreItem xmlns:ds="http://schemas.openxmlformats.org/officeDocument/2006/customXml" ds:itemID="{35A165FD-CE3D-4A53-A70E-D2A4A69DE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New Format</vt:lpstr>
      <vt:lpstr>2022 % Cap Struc-5QE Ave   </vt:lpstr>
      <vt:lpstr>LTD WAC -123122 detail</vt:lpstr>
      <vt:lpstr>LTD WAC -093022 detail</vt:lpstr>
      <vt:lpstr>LTD WAC -063022 detail</vt:lpstr>
      <vt:lpstr>LTD WAC -033122 detail</vt:lpstr>
      <vt:lpstr>LTD WAC -123121 detail</vt:lpstr>
      <vt:lpstr>Credit Agrmt Exp - 2022 </vt:lpstr>
      <vt:lpstr>'LTD WAC -033122 detail'!PAGE2</vt:lpstr>
      <vt:lpstr>'LTD WAC -063022 detail'!PAGE2</vt:lpstr>
      <vt:lpstr>'LTD WAC -093022 detail'!PAGE2</vt:lpstr>
      <vt:lpstr>'LTD WAC -123121 detail'!PAGE2</vt:lpstr>
      <vt:lpstr>'LTD WAC -123122 detail'!PAGE2</vt:lpstr>
      <vt:lpstr>'2022 % Cap Struc-5QE Ave   '!Print_Area</vt:lpstr>
      <vt:lpstr>'Credit Agrmt Exp - 2022 '!Print_Area</vt:lpstr>
      <vt:lpstr>'LTD WAC -033122 detail'!Print_Area</vt:lpstr>
      <vt:lpstr>'LTD WAC -063022 detail'!Print_Area</vt:lpstr>
      <vt:lpstr>'LTD WAC -093022 detail'!Print_Area</vt:lpstr>
      <vt:lpstr>'LTD WAC -123121 detail'!Print_Area</vt:lpstr>
      <vt:lpstr>'LTD WAC -123122 detail'!Print_Area</vt:lpstr>
      <vt:lpstr>'New Format'!Print_Area</vt:lpstr>
      <vt:lpstr>'LTD WAC -033122 detail'!Print_Titles</vt:lpstr>
      <vt:lpstr>'LTD WAC -063022 detail'!Print_Titles</vt:lpstr>
      <vt:lpstr>'LTD WAC -093022 detail'!Print_Titles</vt:lpstr>
      <vt:lpstr>'LTD WAC -123121 detail'!Print_Titles</vt:lpstr>
      <vt:lpstr>'LTD WAC -123122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Fechner, Matthew</dc:creator>
  <cp:lastModifiedBy>Fechner, Matthew</cp:lastModifiedBy>
  <cp:lastPrinted>2023-02-01T19:28:40Z</cp:lastPrinted>
  <dcterms:created xsi:type="dcterms:W3CDTF">2021-07-01T17:04:19Z</dcterms:created>
  <dcterms:modified xsi:type="dcterms:W3CDTF">2023-06-13T17:51:58Z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0x0101006E56B4D1795A2E4DB2F0B01679ED314A0080274E8AD52E1247B54DA36E401E0ED0</vt:lpwstr>
  </property>
  <property fmtid="{D5CDD505-2E9C-101B-9397-08002B2CF9AE}" pid="3" name="_docset_NoMedatataSyncRequired">
    <vt:lpwstr>False</vt:lpwstr>
  </property>
</Properties>
</file>