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5.bin" ContentType="application/vnd.openxmlformats-officedocument.spreadsheetml.customProperty"/>
  <Override PartName="/xl/customProperty14.bin" ContentType="application/vnd.openxmlformats-officedocument.spreadsheetml.customProperty"/>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customProperty8.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4.bin" ContentType="application/vnd.openxmlformats-officedocument.spreadsheetml.customProperty"/>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61.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externalLinks/externalLink7.xml" ContentType="application/vnd.openxmlformats-officedocument.spreadsheetml.externalLink+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ariffs\1. Open Advices\2021-26 Natural Gas Schedule 149 - CRM (UG-210678) (Eff. 11-1-21)\Workpapers\"/>
    </mc:Choice>
  </mc:AlternateContent>
  <bookViews>
    <workbookView xWindow="-990" yWindow="210" windowWidth="17370" windowHeight="4965" tabRatio="817"/>
  </bookViews>
  <sheets>
    <sheet name="Summary" sheetId="67" r:id="rId1"/>
    <sheet name="Work Papers--&gt;" sheetId="27" r:id="rId2"/>
    <sheet name="2021 CAP CRM" sheetId="87" r:id="rId3"/>
    <sheet name="2021 C&amp;OM" sheetId="77" r:id="rId4"/>
    <sheet name="Summary 2020" sheetId="84" r:id="rId5"/>
    <sheet name="2020 + true up CAP" sheetId="85" r:id="rId6"/>
    <sheet name="2020TrueUp" sheetId="69" r:id="rId7"/>
    <sheet name="2020 Filed Oct 16,20" sheetId="76" r:id="rId8"/>
    <sheet name="2019 CRM" sheetId="74" r:id="rId9"/>
    <sheet name="CRM CAP Forecast(from2019filin)" sheetId="89" r:id="rId10"/>
    <sheet name="2018 CRM" sheetId="80" r:id="rId11"/>
    <sheet name="2017 CRM" sheetId="79" r:id="rId12"/>
    <sheet name="2017 4.01 G" sheetId="72" r:id="rId13"/>
    <sheet name="2019 GRC" sheetId="82" r:id="rId14"/>
    <sheet name="MACRS 20" sheetId="7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_____Jun09">" BS!$AI$7:$AI$1643"</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Sep03">[3]BS!$Q$7:$Q$3582</definedName>
    <definedName name="_____Sep04">[1]BS!$Z$7:$Z$3582</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Sep03">[3]BS!$Q$7:$Q$3582</definedName>
    <definedName name="____Sep04">[1]BS!$Z$7:$Z$3582</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123Graph_ABUDG6_DSCRPR">[5]Quant!$D$71:$O$71</definedName>
    <definedName name="__123Graph_ABUDG6_ESCRPR1">[5]Quant!$D$100:$O$100</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Feb04">[1]BS!$S$7:$S$3582</definedName>
    <definedName name="_FEB09" xml:space="preserve"> [2]BS!$S$7:$S$1726</definedName>
    <definedName name="_FEDERAL_INCOME_TAX">'[6]MJS-7'!$N$21</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Mar04">[1]BS!$T$7:$T$3582</definedName>
    <definedName name="_May04">[1]BS!$V$7:$V$3582</definedName>
    <definedName name="_May09" xml:space="preserve"> [2]BS!$V$7:$V$1726</definedName>
    <definedName name="_Nov03">[3]BS!$S$7:$S$3582</definedName>
    <definedName name="_Nov04">[1]BS!$AB$7:$AB$3582</definedName>
    <definedName name="_Oct03">[3]BS!$R$7:$R$3582</definedName>
    <definedName name="_Oct04">[1]BS!$AA$7:$AA$3582</definedName>
    <definedName name="_Oct09" xml:space="preserve"> [2]BS!$AA$7:$AA$1726</definedName>
    <definedName name="_Order1">0</definedName>
    <definedName name="_Order2">0</definedName>
    <definedName name="_PC1">[4]CLASSIFIERS!$A$7:$IV$7</definedName>
    <definedName name="_PC2">[4]CLASSIFIERS!$A$10:$IV$10</definedName>
    <definedName name="_PC3">[4]CLASSIFIERS!$A$12:$IV$12</definedName>
    <definedName name="_PC4">[4]CLASSIFIERS!$A$13:$IV$13</definedName>
    <definedName name="_Regression_Int">1</definedName>
    <definedName name="_SEC24">[4]EXTERNAL!$A$112:$IV$114</definedName>
    <definedName name="_Sep03">[3]BS!$Q$7:$Q$3582</definedName>
    <definedName name="_Sep04">[1]BS!$Z$7:$Z$3582</definedName>
    <definedName name="AccessDatabase">"I:\COMTREL\FINICLE\TradeSummary.mdb"</definedName>
    <definedName name="Acct2281SO">'[7]Func Study'!$H$2190</definedName>
    <definedName name="Acct2283SO">'[7]Func Study'!$H$2198</definedName>
    <definedName name="Acct228SO">'[7]Func Study'!$H$2194</definedName>
    <definedName name="Acct350">'[7]Func Study'!$H$1628</definedName>
    <definedName name="Acct352">'[7]Func Study'!$H$1635</definedName>
    <definedName name="Acct353">'[7]Func Study'!$H$1641</definedName>
    <definedName name="Acct354">'[7]Func Study'!$H$1647</definedName>
    <definedName name="Acct355">'[7]Func Study'!$H$1654</definedName>
    <definedName name="Acct356">'[7]Func Study'!$H$1660</definedName>
    <definedName name="Acct357">'[7]Func Study'!$H$1666</definedName>
    <definedName name="Acct358">'[7]Func Study'!$H$1672</definedName>
    <definedName name="Acct359">'[7]Func Study'!$H$1678</definedName>
    <definedName name="Acct360">'[7]Func Study'!$H$1698</definedName>
    <definedName name="Acct361">'[7]Func Study'!$H$1704</definedName>
    <definedName name="Acct362">'[7]Func Study'!$H$1710</definedName>
    <definedName name="Acct364">'[7]Func Study'!$H$1717</definedName>
    <definedName name="Acct365">'[7]Func Study'!$H$1724</definedName>
    <definedName name="Acct366">'[7]Func Study'!$H$1731</definedName>
    <definedName name="Acct367">'[7]Func Study'!$H$1738</definedName>
    <definedName name="Acct368">'[7]Func Study'!$H$1744</definedName>
    <definedName name="Acct369">'[7]Func Study'!$H$1751</definedName>
    <definedName name="Acct370">'[7]Func Study'!$H$1762</definedName>
    <definedName name="Acct371">'[7]Func Study'!$H$1769</definedName>
    <definedName name="Acct372">'[7]Func Study'!$H$1776</definedName>
    <definedName name="Acct372A">'[7]Func Study'!$H$1775</definedName>
    <definedName name="Acct372DP">'[7]Func Study'!$H$1773</definedName>
    <definedName name="Acct372DS">'[7]Func Study'!$H$1774</definedName>
    <definedName name="Acct373">'[7]Func Study'!$H$1782</definedName>
    <definedName name="Acct448S">'[7]Func Study'!$H$274</definedName>
    <definedName name="Acct450S">'[7]Func Study'!$H$302</definedName>
    <definedName name="Acct451S">'[7]Func Study'!$H$307</definedName>
    <definedName name="Acct454S">'[7]Func Study'!$H$318</definedName>
    <definedName name="Acct456S">'[7]Func Study'!$H$325</definedName>
    <definedName name="ACCT557CAGE">'[7]Func Study'!$H$683</definedName>
    <definedName name="Acct557CT">'[7]Func Study'!$H$681</definedName>
    <definedName name="Acct580">'[7]Func Study'!$H$791</definedName>
    <definedName name="Acct581">'[7]Func Study'!$H$796</definedName>
    <definedName name="Acct582">'[7]Func Study'!$H$801</definedName>
    <definedName name="Acct583">'[7]Func Study'!$H$806</definedName>
    <definedName name="Acct584">'[7]Func Study'!$H$811</definedName>
    <definedName name="Acct585">'[7]Func Study'!$H$816</definedName>
    <definedName name="Acct586">'[7]Func Study'!$H$821</definedName>
    <definedName name="Acct587">'[7]Func Study'!$H$826</definedName>
    <definedName name="Acct588">'[7]Func Study'!$H$831</definedName>
    <definedName name="Acct589">'[7]Func Study'!$H$836</definedName>
    <definedName name="Acct590">'[7]Func Study'!$H$841</definedName>
    <definedName name="Acct591">'[7]Func Study'!$H$846</definedName>
    <definedName name="Acct592">'[7]Func Study'!$H$851</definedName>
    <definedName name="Acct593">'[7]Func Study'!$H$856</definedName>
    <definedName name="Acct594">'[7]Func Study'!$H$861</definedName>
    <definedName name="Acct595">'[7]Func Study'!$H$866</definedName>
    <definedName name="Acct596">'[7]Func Study'!$H$876</definedName>
    <definedName name="Acct597">'[7]Func Study'!$H$881</definedName>
    <definedName name="Acct598">'[7]Func Study'!$H$886</definedName>
    <definedName name="AcctAGA">'[7]Func Study'!$H$296</definedName>
    <definedName name="AcctTable">[8]Variables!$AK$42:$AK$396</definedName>
    <definedName name="AcctTS0">'[7]Func Study'!$H$1686</definedName>
    <definedName name="Acq1Plant">'[9]Acquisition Inputs'!$C$8</definedName>
    <definedName name="Acq2Plant">'[9]Acquisition Inputs'!$C$70</definedName>
    <definedName name="ActualROR">'[10]G+T+D+R+M'!$H$61</definedName>
    <definedName name="ADJPTDCE.T">[4]INTERNAL!$A$31:$IV$33</definedName>
    <definedName name="Adjs2avg">[11]Inputs!$L$255:'[11]Inputs'!$T$505</definedName>
    <definedName name="After_Tax_Cash_Discount">'[12]Assumptions (Input)'!$D$37</definedName>
    <definedName name="afudc_flag">'[12]Assumptions (Input)'!$B$13</definedName>
    <definedName name="ANCIL">[4]EXTERNAL!$A$163:$IV$165</definedName>
    <definedName name="Apr04AMA">[1]BS!$AG$7:$AG$3582</definedName>
    <definedName name="APR09AMA">[2]BS!$AN$7:$AN$1725</definedName>
    <definedName name="Apr10AMA">[2]BS!$AZ$7:$AZ$1726</definedName>
    <definedName name="aquila_lookup">'[13]Cabot Gas Replacement'!$B$8:$F$16</definedName>
    <definedName name="AS2DocOpenMode">"AS2DocumentEdit"</definedName>
    <definedName name="Assessment_Rate">'[12]Assumptions (Input)'!$B$7</definedName>
    <definedName name="Asset_Class_Switch">[14]Assumptions!$D$5</definedName>
    <definedName name="Aug04AMA">[1]BS!$AK$7:$AK$3582</definedName>
    <definedName name="Aug09AMA">[2]BS!$AR$7:$AR$1726</definedName>
    <definedName name="Aurora_Prices">"Monthly Price Summary'!$C$4:$H$63"</definedName>
    <definedName name="AvgFactors">[8]Factors!$B$3:$P$99</definedName>
    <definedName name="Beg_Unb_KWHs">[15]LeadSht!$L$10</definedName>
    <definedName name="BOOK_LIFE">'[16]Lvl FCR'!$G$10</definedName>
    <definedName name="BPAX">[4]EXTERNAL!$A$121:$IV$123</definedName>
    <definedName name="Button_1">"TradeSummary_Ken_Finicle_List"</definedName>
    <definedName name="CAE.T">[4]INTERNAL!$A$34:$IV$36</definedName>
    <definedName name="CAES1.T">[4]INTERNAL!$A$37:$IV$39</definedName>
    <definedName name="cap">[17]Readings!$B$2</definedName>
    <definedName name="Capital_Inflation">'[12]Assumptions (Input)'!$B$11</definedName>
    <definedName name="CASE">[18]INPUTS!$C$8</definedName>
    <definedName name="Case_Name">'[19]KJB-6,13 Cmn Adj'!$B$8</definedName>
    <definedName name="CaseDescription">'[9]Dispatch Cases'!$C$11</definedName>
    <definedName name="CBWorkbookPriority">-2060790043</definedName>
    <definedName name="CCGT_HeatRate">[9]Assumptions!$H$23</definedName>
    <definedName name="CCGTPrice">[9]Assumptions!$H$22</definedName>
    <definedName name="CL_RT2">'[20]Transp Data'!$A$6:$C$81</definedName>
    <definedName name="Close_Date">'[12]Capital Projects(Input)'!$D$7:$D$53</definedName>
    <definedName name="Construction_OH">'[21]Virtual 49 Back-Up'!$E$54</definedName>
    <definedName name="ConversionFactor">[9]Assumptions!$I$65</definedName>
    <definedName name="COSFacVal">[7]Inputs!$R$5</definedName>
    <definedName name="CurrQtr">'[22]Inc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ta.Avg">'[22]Avg Amts'!$A$5:$BP$34</definedName>
    <definedName name="Data.Qtrs.Avg">'[22]Avg Amts'!$A$5:$IV$5</definedName>
    <definedName name="data1">'[23]Mix Variance'!$O$5:$T$25</definedName>
    <definedName name="DebtPerc">[9]Assumptions!$I$58</definedName>
    <definedName name="Dec03AMA">[3]BS!$AJ$7:$AJ$3582</definedName>
    <definedName name="Dec04AMA">[1]BS!$AO$7:$AO$3582</definedName>
    <definedName name="Dec08AMA">[2]BS!$AJ$7:$AJ$1726</definedName>
    <definedName name="Dec09AMA">[2]BS!$AV$7:$AV$1726</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[24]Inputs!$D$11</definedName>
    <definedName name="DES1.T">[4]INTERNAL!$A$40:$IV$42</definedName>
    <definedName name="DES2.T">[4]INTERNAL!$A$43:$IV$45</definedName>
    <definedName name="DF_HeatRate">[9]Assumptions!$L$23</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'[7]Func Study'!$AB$250</definedName>
    <definedName name="Discount_for_Revenue_Reqmt">'[25]Assumptions of Purchase'!$B$45</definedName>
    <definedName name="DisFac">'[7]Func Dist Factor Table'!$A$11:$G$25</definedName>
    <definedName name="DocketNumber">'[26]JHS-4'!$AP$2</definedName>
    <definedName name="DP.T">[4]INTERNAL!$A$46:$IV$48</definedName>
    <definedName name="EBFIT.T">[4]INTERNAL!$A$88:$IV$90</definedName>
    <definedName name="EffTax">[4]INPUTS!$F$31</definedName>
    <definedName name="Electric_Prices">'[27]Monthly Price Summary'!$B$4:$E$27</definedName>
    <definedName name="ElRBLine">[1]BS!$AQ$7:$AQ$3303</definedName>
    <definedName name="EndDate">[9]Assumptions!$C$11</definedName>
    <definedName name="ENERGY_1">[4]EXTERNAL!$A$4:$IV$6</definedName>
    <definedName name="ENERGY_2">[4]EXTERNAL!$A$145:$IV$147</definedName>
    <definedName name="Engy">[10]Inputs!$D$9</definedName>
    <definedName name="Engy2">[24]Inputs!$D$12</definedName>
    <definedName name="EPIS.T">[4]INTERNAL!$A$49:$IV$51</definedName>
    <definedName name="Escalator">1.025</definedName>
    <definedName name="Exhibit_No.______MJS_4">'[6]MJS-4'!$O$3</definedName>
    <definedName name="Exhibit_No.______MJS_5">'[6]MJS-5'!$E$3</definedName>
    <definedName name="Exhibit_No.______MJS_6">'[6]MJS-6'!$F$3</definedName>
    <definedName name="Factorck">'[7]COS Factor Table'!$O$15:$O$113</definedName>
    <definedName name="FactorType">[8]Variables!$AK$2:$AL$12</definedName>
    <definedName name="FactSum">'[7]COS Factor Table'!$A$14:$O$113</definedName>
    <definedName name="FCR">'[21]Virtual 49 Back-Up'!$B$20</definedName>
    <definedName name="Feb04AMA">[1]BS!$AE$7:$AE$3582</definedName>
    <definedName name="Feb09AMA">[2]BS!$AL$7:$AL$1725</definedName>
    <definedName name="Feb10AMA">[2]BS!$AX$7:$AX$1726</definedName>
    <definedName name="Fed_Cap_Tax">[28]Inputs!$E$112</definedName>
    <definedName name="FedTaxRate">[9]Assumptions!$C$33</definedName>
    <definedName name="FERC_Lookup">'[29]Map Table'!$E$2:$F$58</definedName>
    <definedName name="FIT">'[30]ROR &amp; CONV FACTOR'!$J$20</definedName>
    <definedName name="FIT_Tax_Rate">'[12]Assumptions (Input)'!$B$5</definedName>
    <definedName name="FranchiseTax">[11]Variables!$D$26</definedName>
    <definedName name="FTAX">[4]INPUTS!$F$30</definedName>
    <definedName name="Func">'[7]Func Factor Table'!$A$10:$H$77</definedName>
    <definedName name="Function">'[7]Func Study'!$AB$250</definedName>
    <definedName name="GasRBLine">[1]BS!$AS$7:$AS$3631</definedName>
    <definedName name="GasWC_LineItem">[1]BS!$AR$7:$AR$3631</definedName>
    <definedName name="GP.T">[4]INTERNAL!$A$52:$IV$54</definedName>
    <definedName name="HTML_CodePage">1252</definedName>
    <definedName name="HTML_Control" localSheetId="11">{"'Sheet1'!$A$1:$J$121"}</definedName>
    <definedName name="HTML_Control" localSheetId="6">{"'Sheet1'!$A$1:$J$121"}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taxrate">0.4</definedName>
    <definedName name="Insurance_Rate">'[12]Assumptions (Input)'!$B$9</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Jan04AMA">[1]BS!$AD$7:$AD$3582</definedName>
    <definedName name="Jan09AMA">[2]BS!$AK$7:$AK$1743</definedName>
    <definedName name="Jan10AMA">[2]BS!$AW$7:$AW$1726</definedName>
    <definedName name="jjj">[31]Inputs!$N$18</definedName>
    <definedName name="JP_Bal">[32]ACCOUNTS!$AG$31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risdiction">[8]Variables!$AK$15</definedName>
    <definedName name="JurisNumber">[8]Variables!$AL$15</definedName>
    <definedName name="k_Docket_Number">'[19]KJB-12 Sum'!$AS$2</definedName>
    <definedName name="k_FITrate">'[19]KJB-3,11 Def'!$L$20</definedName>
    <definedName name="keep_Docket_Number">'[33]KJB-3 Sum'!$AQ$2</definedName>
    <definedName name="keep_FIT">'[33]KJB-7 Def'!$L$20</definedName>
    <definedName name="keep_KJB_3_Rate_Increase">'[33]KJB-7 Def'!$C$3</definedName>
    <definedName name="keep_KJB_4_Electric_Summary">'[33]KJB-3 Sum'!$AQ$3</definedName>
    <definedName name="keep_KJB_8_Common_Adjs">'[33]KJB-5 Cmn Adj'!$L$3</definedName>
    <definedName name="keep_KJB_9_Electric_Only">'[33]KJB-5 El Adj'!$E$3</definedName>
    <definedName name="keep_PSE">'[34]Gas Summary'!$I$5</definedName>
    <definedName name="keep_TESTYEAR">'[34]Gas Detail Pages'!$A$8</definedName>
    <definedName name="kp_DOCKET">'[34]Gas Detail Pages'!$A$9</definedName>
    <definedName name="Last_Row" localSheetId="11">IF([35]!Values_Entered,Header_Row+[35]!Number_of_Payments,Header_Row)</definedName>
    <definedName name="Last_Row" localSheetId="8">IF('2019 CRM'!Values_Entered,Header_Row+'2019 CRM'!Number_of_Payments,Header_Row)</definedName>
    <definedName name="Last_Row" localSheetId="5">IF('2020 + true up CAP'!Values_Entered,Header_Row+'2020 + true up CAP'!Number_of_Payments,Header_Row)</definedName>
    <definedName name="Last_Row" localSheetId="7">IF('2020 Filed Oct 16,20'!Values_Entered,Header_Row+'2020 Filed Oct 16,20'!Number_of_Payments,Header_Row)</definedName>
    <definedName name="Last_Row" localSheetId="2">IF('2021 CAP CRM'!Values_Entered,Header_Row+'2021 CAP CRM'!Number_of_Payments,Header_Row)</definedName>
    <definedName name="Last_Row">IF([35]!Values_Entered,Header_Row+[35]!Number_of_Payments,Header_Row)</definedName>
    <definedName name="Levy_Rate">'[12]Assumptions (Input)'!$B$6</definedName>
    <definedName name="limcount">1</definedName>
    <definedName name="LINE.T">[4]INTERNAL!$A$55:$IV$57</definedName>
    <definedName name="LinkCos">'[7]JAM Download'!$K$4</definedName>
    <definedName name="Load_Factor">[32]ACCOUNTS!$AG$167</definedName>
    <definedName name="LoadArray">'[36]Load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[37]M9100F4!$A$1:$V$99</definedName>
    <definedName name="MACRS">'[12]MACRS RATES'!$A$3:$AT$10</definedName>
    <definedName name="Mar04AMA">[1]BS!$AF$7:$AF$3582</definedName>
    <definedName name="MAR09AMA">[2]BS!$AM$7:$AM$1725</definedName>
    <definedName name="Mar10AMA">[2]BS!$AY$7:$AY$1726</definedName>
    <definedName name="May04AMA">[1]BS!$AH$7:$AH$3582</definedName>
    <definedName name="MAY09AMA">[2]BS!$AO$7:$AO$1726</definedName>
    <definedName name="May10AMA">[2]BS!$BA$7:$BA$1726</definedName>
    <definedName name="menu1_Button5_Click" localSheetId="8">[38]!menu1_Button5_Click</definedName>
    <definedName name="menu1_Button5_Click" localSheetId="5">[38]!menu1_Button5_Click</definedName>
    <definedName name="menu1_Button5_Click" localSheetId="7">[38]!menu1_Button5_Click</definedName>
    <definedName name="menu1_Button5_Click" localSheetId="2">[38]!menu1_Button5_Click</definedName>
    <definedName name="menu1_Button5_Click">[38]!menu1_Button5_Click</definedName>
    <definedName name="menu1_Button6_Click" localSheetId="8">[38]!menu1_Button6_Click</definedName>
    <definedName name="menu1_Button6_Click" localSheetId="5">[38]!menu1_Button6_Click</definedName>
    <definedName name="menu1_Button6_Click" localSheetId="7">[38]!menu1_Button6_Click</definedName>
    <definedName name="menu1_Button6_Click" localSheetId="2">[38]!menu1_Button6_Click</definedName>
    <definedName name="menu1_Button6_Click">[38]!menu1_Button6_Click</definedName>
    <definedName name="MERGER_COST">[39]Sheet1!$AF$3:$AJ$28</definedName>
    <definedName name="METER">[4]EXTERNAL!$A$34:$IV$36</definedName>
    <definedName name="Method">[10]Inputs!$C$6</definedName>
    <definedName name="monthlist">[40]Table!$R$2:$S$13</definedName>
    <definedName name="monthtotals">'[40]WA SBC'!$D$40:$O$40</definedName>
    <definedName name="MTD_Format">[41]Mthly!$B$11:$D$11,[41]Mthly!$B$32:$D$32</definedName>
    <definedName name="MTR_YR3">[42]Variables!$E$14</definedName>
    <definedName name="NCP_360">[4]EXTERNAL!$A$13:$IV$15</definedName>
    <definedName name="NCP_361">[4]EXTERNAL!$A$16:$IV$18</definedName>
    <definedName name="NCP_362">[4]EXTERNAL!$A$19:$IV$21</definedName>
    <definedName name="Net_to_Gross_Factor">[7]Inputs!$G$8</definedName>
    <definedName name="NetToGross">[11]Variables!$D$23</definedName>
    <definedName name="Nov03AMA">[3]BS!$AI$7:$AI$3582</definedName>
    <definedName name="Nov04AMA">[1]BS!$AN$7:$AN$3582</definedName>
    <definedName name="Nov09AMA">[2]BS!$AU$7:$AU$1726</definedName>
    <definedName name="NPC">[43]Inputs!$N$18</definedName>
    <definedName name="NRG">[4]CLASSIFIERS!$A$5:$IV$5</definedName>
    <definedName name="Number_of_Payments" localSheetId="11">MATCH(0.01,End_Bal,-1)+1</definedName>
    <definedName name="Number_of_Payments" localSheetId="8">MATCH(0.01,End_Bal,-1)+1</definedName>
    <definedName name="Number_of_Payments" localSheetId="5">MATCH(0.01,End_Bal,-1)+1</definedName>
    <definedName name="Number_of_Payments" localSheetId="7">MATCH(0.01,End_Bal,-1)+1</definedName>
    <definedName name="Number_of_Payments" localSheetId="2">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'[12]MiscItems(Input)'!$B$5:$AO$8,'[12]MiscItems(Input)'!$B$13:$AO$13,'[12]MiscItems(Input)'!$B$15:$B$17,'[12]MiscItems(Input)'!$B$17:$AO$17,'[12]MiscItems(Input)'!$B$15:$AO$15</definedName>
    <definedName name="O_M_Rate">'[21]Virtual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ption">'[44]Dist Misc'!$F$120</definedName>
    <definedName name="OthRCF">[18]INPUTS!$F$41</definedName>
    <definedName name="OthUnc">[4]INPUTS!$F$36</definedName>
    <definedName name="outlookdata">'[45]pivoted data'!$D$3:$Q$90</definedName>
    <definedName name="peak_new_table">'[46]2008 Extreme Peaks - 080403'!$E$5:$AD$8</definedName>
    <definedName name="peak_table">'[46]Peaks-F01'!$C$5:$E$243</definedName>
    <definedName name="PeakMethod">[10]Inputs!$T$5</definedName>
    <definedName name="Percent_debt">[28]Inputs!$E$129</definedName>
    <definedName name="Plant_Input">'[12]Plant(Input)'!$B$7:$AP$9,'[12]Plant(Input)'!$B$11,'[12]Plant(Input)'!$B$15:$AP$15,'[12]Plant(Input)'!$B$18,'[12]Plant(Input)'!$B$20:$AP$20</definedName>
    <definedName name="POWER.T">[4]INTERNAL!$A$58:$IV$60</definedName>
    <definedName name="PP.T">[4]INTERNAL!$A$61:$IV$63</definedName>
    <definedName name="PreTaxDebtCost">[9]Assumptions!$I$56</definedName>
    <definedName name="PreTaxWACC">[9]Assumptions!$I$62</definedName>
    <definedName name="Prices_Aurora">'[27]Monthly Price Summary'!$C$4:$H$63</definedName>
    <definedName name="_xlnm.Print_Area" localSheetId="12">'2017 4.01 G'!$B$1:$F$21</definedName>
    <definedName name="Prior_Month">[47]Sch_120!$I$21</definedName>
    <definedName name="PROFORMA">[4]EXTERNAL!$A$67:$IV$69</definedName>
    <definedName name="PROFORMA_RETAIL">[4]EXTERNAL!$A$91:$IV$93</definedName>
    <definedName name="PROFORMA_RETAIL_TAX">[4]EXTERNAL!$A$169:$IV$171</definedName>
    <definedName name="Projects">[48]Sheet1!$A$1147:$B$1887</definedName>
    <definedName name="Prov_Cap_Tax">[28]Inputs!$E$111</definedName>
    <definedName name="PSE">'[49]4.04'!$A$6</definedName>
    <definedName name="PSE_Pre_Tax_Equity_Rate">'[25]Assumptions of Purchase'!$B$42</definedName>
    <definedName name="PTDGP.T">[4]INTERNAL!$A$64:$IV$66</definedName>
    <definedName name="PTDP.T">[4]INTERNAL!$A$67:$IV$69</definedName>
    <definedName name="QTD_Format">[50]QTD!$B$11:$D$11,[50]QTD!$B$35:$D$35</definedName>
    <definedName name="RATE2">'[20]Transp Data'!$A$8:$I$112</definedName>
    <definedName name="Rates">[51]Codes!$A$1:$C$500</definedName>
    <definedName name="RB.T">[4]INTERNAL!$A$70:$IV$72</definedName>
    <definedName name="RCF">[32]INPUTS!$F$48</definedName>
    <definedName name="Requlated_scenario">'[12]Assumptions (Input)'!$B$12</definedName>
    <definedName name="ResExchCrRate">[47]Sch_194!$M$31</definedName>
    <definedName name="RESID">[4]EXTERNAL!$A$88:$IV$90</definedName>
    <definedName name="resource_lookup">'[52]#REF'!$B$3:$C$112</definedName>
    <definedName name="ResourceSupplier">[11]Variables!$D$28</definedName>
    <definedName name="ResRCF">[18]INPUTS!$F$39</definedName>
    <definedName name="ResUnc">[4]INPUTS!$F$34</definedName>
    <definedName name="RevClass">[51]Codes!$F$2:$G$10</definedName>
    <definedName name="revenue_flag">'[12]Assumptions (Input)'!$C$12</definedName>
    <definedName name="Revenue_Taxes">'[12]Assumptions (Input)'!$B$8</definedName>
    <definedName name="REVFAC1.T">[4]INTERNAL!$A$73:$IV$75</definedName>
    <definedName name="ROD">[53]INPUTS!$F$25</definedName>
    <definedName name="ROR">[54]INPUTS!$F$29</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sysID">"708C5W7SBKP804JT78WJ0JNKI"</definedName>
    <definedName name="SAPwbID">"ARS"</definedName>
    <definedName name="SBRCF">[18]INPUTS!$F$40</definedName>
    <definedName name="SbUnc">[4]INPUTS!$F$35</definedName>
    <definedName name="Sch194Rlfwd">'[55]Sch94 Rlfwd'!$B$11</definedName>
    <definedName name="Schedule">[43]Inputs!$N$14</definedName>
    <definedName name="Sep03AMA">[3]BS!$AG$7:$AG$3582</definedName>
    <definedName name="Sep04AMA">[1]BS!$AL$7:$AL$3582</definedName>
    <definedName name="Sep09AMA">[2]BS!$AS$7:$AS$1726</definedName>
    <definedName name="solver_eval">0</definedName>
    <definedName name="solver_ntri">1000</definedName>
    <definedName name="solver_rsmp">1</definedName>
    <definedName name="solver_seed">0</definedName>
    <definedName name="StartDate">[9]Assumptions!$C$9</definedName>
    <definedName name="STATE_UTILITY_TAX">'[6]MJS-7'!$N$16</definedName>
    <definedName name="STAX">[4]INPUTS!$F$29</definedName>
    <definedName name="SW.T">[4]INTERNAL!$A$76:$IV$78</definedName>
    <definedName name="SWPTD.T">[4]INTERNAL!$A$79:$IV$81</definedName>
    <definedName name="TableName">"Dummy"</definedName>
    <definedName name="TargetROR">[10]Inputs!$G$29</definedName>
    <definedName name="TDP.T">[4]INTERNAL!$A$82:$IV$84</definedName>
    <definedName name="TestPeriod">[7]Inputs!$C$5</definedName>
    <definedName name="TESTYEAR">'[26]JHS-6'!$A$7</definedName>
    <definedName name="TFR">[4]CLASSIFIERS!$A$11:$IV$11</definedName>
    <definedName name="ThermalBookLife">[9]Assumptions!$C$25</definedName>
    <definedName name="Title">[9]Assumptions!$A$1</definedName>
    <definedName name="Total_Payment" localSheetId="11">Scheduled_Payment+Extra_Payment</definedName>
    <definedName name="Total_Payment" localSheetId="8">Scheduled_Payment+Extra_Payment</definedName>
    <definedName name="Total_Payment" localSheetId="5">Scheduled_Payment+Extra_Payment</definedName>
    <definedName name="Total_Payment" localSheetId="7">Scheduled_Payment+Extra_Payment</definedName>
    <definedName name="Total_Payment" localSheetId="2">Scheduled_Payment+Extra_Payment</definedName>
    <definedName name="Total_Payment">Scheduled_Payment+Extra_Payment</definedName>
    <definedName name="TotalRateBase">'[7]G+T+D+R+M'!$H$58</definedName>
    <definedName name="TP.T">[4]INTERNAL!$A$91:$IV$93</definedName>
    <definedName name="transdb">'[56]Transp Unbilled'!$A$8:$E$174</definedName>
    <definedName name="TRANSM_2">[57]Transm2!$A$1:$M$461:'[57]10 Yr FC'!$M$47</definedName>
    <definedName name="UAcct103">'[7]Func Study'!$AB$1613</definedName>
    <definedName name="UAcct105Dnpg">'[7]Func Study'!$AB$2010</definedName>
    <definedName name="UAcct105S">'[7]Func Study'!$AB$2005</definedName>
    <definedName name="UAcct105Seu">'[7]Func Study'!$AB$2009</definedName>
    <definedName name="UAcct105Snppo">'[7]Func Study'!$AB$2008</definedName>
    <definedName name="UAcct105Snpps">'[7]Func Study'!$AB$2006</definedName>
    <definedName name="UAcct105Snpt">'[7]Func Study'!$AB$2007</definedName>
    <definedName name="UAcct1081390">'[7]Func Study'!$AB$2451</definedName>
    <definedName name="UAcct1081390Rcl">'[7]Func Study'!$AB$2450</definedName>
    <definedName name="UAcct1081399">'[7]Func Study'!$AB$2459</definedName>
    <definedName name="UAcct1081399Rcl">'[7]Func Study'!$AB$2458</definedName>
    <definedName name="UAcct108360">'[7]Func Study'!$AB$2355</definedName>
    <definedName name="UAcct108361">'[7]Func Study'!$AB$2359</definedName>
    <definedName name="UAcct108362">'[7]Func Study'!$AB$2363</definedName>
    <definedName name="UAcct108364">'[7]Func Study'!$AB$2367</definedName>
    <definedName name="UAcct108365">'[7]Func Study'!$AB$2371</definedName>
    <definedName name="UAcct108366">'[7]Func Study'!$AB$2375</definedName>
    <definedName name="UAcct108367">'[7]Func Study'!$AB$2379</definedName>
    <definedName name="UAcct108368">'[7]Func Study'!$AB$2383</definedName>
    <definedName name="UAcct108369">'[7]Func Study'!$AB$2387</definedName>
    <definedName name="UAcct108370">'[7]Func Study'!$AB$2391</definedName>
    <definedName name="UAcct108371">'[7]Func Study'!$AB$2395</definedName>
    <definedName name="UAcct108372">'[7]Func Study'!$AB$2399</definedName>
    <definedName name="UAcct108373">'[7]Func Study'!$AB$2403</definedName>
    <definedName name="UAcct108D">'[7]Func Study'!$AB$2415</definedName>
    <definedName name="UAcct108D00">'[7]Func Study'!$AB$2407</definedName>
    <definedName name="UAcct108Ds">'[7]Func Study'!$AB$2411</definedName>
    <definedName name="UAcct108Ep">'[7]Func Study'!$AB$2327</definedName>
    <definedName name="UAcct108Gpcn">'[7]Func Study'!$AB$2429</definedName>
    <definedName name="UAcct108Gps">'[7]Func Study'!$AB$2425</definedName>
    <definedName name="UAcct108Gpse">'[7]Func Study'!$AB$2431</definedName>
    <definedName name="UAcct108Gpsg">'[7]Func Study'!$AB$2428</definedName>
    <definedName name="UAcct108Gpsgp">'[7]Func Study'!$AB$2426</definedName>
    <definedName name="UAcct108Gpsgu">'[7]Func Study'!$AB$2427</definedName>
    <definedName name="UAcct108Gpso">'[7]Func Study'!$AB$2430</definedName>
    <definedName name="UACCT108GPSSGCH">'[7]Func Study'!$AB$2434</definedName>
    <definedName name="UACCT108GPSSGCT">'[7]Func Study'!$AB$2433</definedName>
    <definedName name="UAcct108Hp">'[7]Func Study'!$AB$2313</definedName>
    <definedName name="UAcct108Mp">'[7]Func Study'!$AB$2444</definedName>
    <definedName name="UAcct108Np">'[7]Func Study'!$AB$2305</definedName>
    <definedName name="UAcct108Op">'[7]Func Study'!$AB$2322</definedName>
    <definedName name="UACCT108OPSSCCT">'[7]Func Study'!$AB$2321</definedName>
    <definedName name="UAcct108Sp">'[7]Func Study'!$AB$2299</definedName>
    <definedName name="UACCT108SPSSGCH">'[7]Func Study'!$AB$2298</definedName>
    <definedName name="UAcct108Tp">'[7]Func Study'!$AB$2346</definedName>
    <definedName name="UAcct111Clg">'[7]Func Study'!$AB$2487</definedName>
    <definedName name="UAcct111Clgsou">'[7]Func Study'!$AB$2485</definedName>
    <definedName name="UAcct111Clh">'[7]Func Study'!$AB$2493</definedName>
    <definedName name="UAcct111Cls">'[7]Func Study'!$AB$2478</definedName>
    <definedName name="UAcct111Ipcn">'[7]Func Study'!$AB$2502</definedName>
    <definedName name="UAcct111Ips">'[7]Func Study'!$AB$2497</definedName>
    <definedName name="UAcct111Ipse">'[7]Func Study'!$AB$2500</definedName>
    <definedName name="UAcct111Ipsg">'[7]Func Study'!$AB$2501</definedName>
    <definedName name="UAcct111Ipsgp">'[7]Func Study'!$AB$2498</definedName>
    <definedName name="UAcct111Ipsgu">'[7]Func Study'!$AB$2499</definedName>
    <definedName name="UAcct111Ipso">'[7]Func Study'!$AB$2506</definedName>
    <definedName name="UACCT111IPSSGCH">'[7]Func Study'!$AB$2505</definedName>
    <definedName name="UACCT111IPSSGCT">'[7]Func Study'!$AB$2504</definedName>
    <definedName name="UAcct114">'[7]Func Study'!$AB$2017</definedName>
    <definedName name="UAcct120">'[7]Func Study'!$AB$2021</definedName>
    <definedName name="UAcct124">'[7]Func Study'!$AB$2026</definedName>
    <definedName name="UAcct141">'[7]Func Study'!$AB$2173</definedName>
    <definedName name="UAcct151">'[7]Func Study'!$AB$2049</definedName>
    <definedName name="Uacct151SSECT">'[7]Func Study'!$AB$2047</definedName>
    <definedName name="UAcct154">'[7]Func Study'!$AB$2083</definedName>
    <definedName name="Uacct154SSGCT">'[7]Func Study'!$AB$2080</definedName>
    <definedName name="UAcct163">'[7]Func Study'!$AB$2093</definedName>
    <definedName name="UAcct165">'[7]Func Study'!$AB$2108</definedName>
    <definedName name="UAcct165Gps">'[7]Func Study'!$AB$2104</definedName>
    <definedName name="UAcct182">'[7]Func Study'!$AB$2033</definedName>
    <definedName name="UAcct18222">'[7]Func Study'!$AB$2163</definedName>
    <definedName name="UAcct182M">'[7]Func Study'!$AB$2118</definedName>
    <definedName name="UAcct182MSSGCH">'[7]Func Study'!$AB$2113</definedName>
    <definedName name="UAcct186">'[7]Func Study'!$AB$2041</definedName>
    <definedName name="UAcct1869">'[7]Func Study'!$AB$2168</definedName>
    <definedName name="UAcct186M">'[7]Func Study'!$AB$2129</definedName>
    <definedName name="UAcct190">'[7]Func Study'!$AB$2243</definedName>
    <definedName name="UAcct190Baddebt">'[7]Func Study'!$AB$2237</definedName>
    <definedName name="UAcct190Dop">'[7]Func Study'!$AB$2235</definedName>
    <definedName name="UAcct2281">'[7]Func Study'!$AB$2191</definedName>
    <definedName name="UAcct2282">'[7]Func Study'!$AB$2195</definedName>
    <definedName name="UAcct2283">'[7]Func Study'!$AB$2200</definedName>
    <definedName name="UACCT22841SG">'[7]Func Study'!$AB$2205</definedName>
    <definedName name="UAcct22842">'[7]Func Study'!$AB$2211</definedName>
    <definedName name="UAcct235">'[7]Func Study'!$AB$2187</definedName>
    <definedName name="UACCT235CN">'[7]Func Study'!$AB$2186</definedName>
    <definedName name="UAcct252">'[7]Func Study'!$AB$2219</definedName>
    <definedName name="UAcct25316">'[7]Func Study'!$AB$2057</definedName>
    <definedName name="UAcct25317">'[7]Func Study'!$AB$2061</definedName>
    <definedName name="UAcct25318">'[7]Func Study'!$AB$2098</definedName>
    <definedName name="UAcct25319">'[7]Func Study'!$AB$2065</definedName>
    <definedName name="uacct25398">'[7]Func Study'!$AB$2222</definedName>
    <definedName name="UAcct25399">'[7]Func Study'!$AB$2230</definedName>
    <definedName name="UACCT254SO">'[7]Func Study'!$AB$2202</definedName>
    <definedName name="UAcct255">'[7]Func Study'!$AB$2284</definedName>
    <definedName name="UAcct281">'[7]Func Study'!$AB$2249</definedName>
    <definedName name="UAcct282">'[7]Func Study'!$AB$2259</definedName>
    <definedName name="UAcct282Cn">'[7]Func Study'!$AB$2256</definedName>
    <definedName name="UAcct282So">'[7]Func Study'!$AB$2255</definedName>
    <definedName name="UAcct283">'[7]Func Study'!$AB$2271</definedName>
    <definedName name="UAcct283So">'[7]Func Study'!$AB$2265</definedName>
    <definedName name="UAcct301S">'[7]Func Study'!$AB$1964</definedName>
    <definedName name="UAcct301Sg">'[7]Func Study'!$AB$1966</definedName>
    <definedName name="UAcct301So">'[7]Func Study'!$AB$1965</definedName>
    <definedName name="UAcct302S">'[7]Func Study'!$AB$1969</definedName>
    <definedName name="UAcct302Sg">'[7]Func Study'!$AB$1970</definedName>
    <definedName name="UAcct302Sgp">'[7]Func Study'!$AB$1971</definedName>
    <definedName name="UAcct302Sgu">'[7]Func Study'!$AB$1972</definedName>
    <definedName name="UAcct303Cn">'[7]Func Study'!$AB$1980</definedName>
    <definedName name="UAcct303S">'[7]Func Study'!$AB$1976</definedName>
    <definedName name="UAcct303Se">'[7]Func Study'!$AB$1979</definedName>
    <definedName name="UAcct303Sg">'[7]Func Study'!$AB$1977</definedName>
    <definedName name="UAcct303Sgu">'[7]Func Study'!$AB$1981</definedName>
    <definedName name="UAcct303So">'[7]Func Study'!$AB$1978</definedName>
    <definedName name="UACCT303SSGCH">'[7]Func Study'!$AB$1983</definedName>
    <definedName name="UAcct310">'[7]Func Study'!$AB$1414</definedName>
    <definedName name="UAcct310JBG">'[7]Func Study'!$AB$1413</definedName>
    <definedName name="UAcct311">'[7]Func Study'!$AB$1421</definedName>
    <definedName name="UAcct311JBG">'[7]Func Study'!$AB$1420</definedName>
    <definedName name="UAcct312">'[7]Func Study'!$AB$1428</definedName>
    <definedName name="UAcct312JBG">'[7]Func Study'!$AB$1427</definedName>
    <definedName name="UAcct314">'[7]Func Study'!$AB$1435</definedName>
    <definedName name="UAcct314JBG">'[7]Func Study'!$AB$1434</definedName>
    <definedName name="UAcct315">'[7]Func Study'!$AB$1442</definedName>
    <definedName name="UAcct315JBG">'[7]Func Study'!$AB$1441</definedName>
    <definedName name="UAcct316">'[7]Func Study'!$AB$1450</definedName>
    <definedName name="UAcct316JBG">'[7]Func Study'!$AB$1449</definedName>
    <definedName name="UAcct320">'[7]Func Study'!$AB$1466</definedName>
    <definedName name="UAcct321">'[7]Func Study'!$AB$1471</definedName>
    <definedName name="UAcct322">'[7]Func Study'!$AB$1476</definedName>
    <definedName name="UAcct323">'[7]Func Study'!$AB$1481</definedName>
    <definedName name="UAcct324">'[7]Func Study'!$AB$1486</definedName>
    <definedName name="UAcct325">'[7]Func Study'!$AB$1491</definedName>
    <definedName name="UAcct33">'[7]Func Study'!$AB$295</definedName>
    <definedName name="UAcct330">'[7]Func Study'!$AB$1508</definedName>
    <definedName name="UAcct331">'[7]Func Study'!$AB$1513</definedName>
    <definedName name="UAcct332">'[7]Func Study'!$AB$1518</definedName>
    <definedName name="UAcct333">'[7]Func Study'!$AB$1523</definedName>
    <definedName name="UAcct334">'[7]Func Study'!$AB$1528</definedName>
    <definedName name="UAcct335">'[7]Func Study'!$AB$1533</definedName>
    <definedName name="UAcct336">'[7]Func Study'!$AB$1539</definedName>
    <definedName name="UAcct340Dgu">'[7]Func Study'!$AB$1564</definedName>
    <definedName name="UAcct340Sgu">'[7]Func Study'!$AB$1565</definedName>
    <definedName name="UAcct341Dgu">'[7]Func Study'!$AB$1569</definedName>
    <definedName name="UAcct341Sgu">'[7]Func Study'!$AB$1570</definedName>
    <definedName name="UAcct342Dgu">'[7]Func Study'!$AB$1574</definedName>
    <definedName name="UAcct342Sgu">'[7]Func Study'!$AB$1575</definedName>
    <definedName name="UAcct343">'[7]Func Study'!$AB$1584</definedName>
    <definedName name="UAcct344S">'[7]Func Study'!$AB$1587</definedName>
    <definedName name="UAcct344Sgp">'[7]Func Study'!$AB$1588</definedName>
    <definedName name="UAcct345Dgu">'[7]Func Study'!$AB$1594</definedName>
    <definedName name="UAcct345Sgu">'[7]Func Study'!$AB$1595</definedName>
    <definedName name="UAcct346">'[7]Func Study'!$AB$1601</definedName>
    <definedName name="UAcct350">'[7]Func Study'!$AB$1628</definedName>
    <definedName name="UAcct352">'[7]Func Study'!$AB$1635</definedName>
    <definedName name="UAcct353">'[7]Func Study'!$AB$1641</definedName>
    <definedName name="UAcct354">'[7]Func Study'!$AB$1647</definedName>
    <definedName name="UAcct355">'[7]Func Study'!$AB$1654</definedName>
    <definedName name="UAcct356">'[7]Func Study'!$AB$1660</definedName>
    <definedName name="UAcct357">'[7]Func Study'!$AB$1666</definedName>
    <definedName name="UAcct358">'[7]Func Study'!$AB$1672</definedName>
    <definedName name="UAcct359">'[7]Func Study'!$AB$1678</definedName>
    <definedName name="UAcct360">'[7]Func Study'!$AB$1698</definedName>
    <definedName name="UAcct361">'[7]Func Study'!$AB$1704</definedName>
    <definedName name="UAcct362">'[7]Func Study'!$AB$1710</definedName>
    <definedName name="UAcct368">'[7]Func Study'!$AB$1744</definedName>
    <definedName name="UAcct369">'[7]Func Study'!$AB$1751</definedName>
    <definedName name="UAcct370">'[7]Func Study'!$AB$1762</definedName>
    <definedName name="UAcct372A">'[7]Func Study'!$AB$1775</definedName>
    <definedName name="UAcct372Dp">'[7]Func Study'!$AB$1773</definedName>
    <definedName name="UAcct372Ds">'[7]Func Study'!$AB$1774</definedName>
    <definedName name="UAcct373">'[7]Func Study'!$AB$1782</definedName>
    <definedName name="UAcct389Cn">'[7]Func Study'!$AB$1800</definedName>
    <definedName name="UAcct389S">'[7]Func Study'!$AB$1799</definedName>
    <definedName name="UAcct389Sg">'[7]Func Study'!$AB$1802</definedName>
    <definedName name="UAcct389Sgu">'[7]Func Study'!$AB$1801</definedName>
    <definedName name="UAcct389So">'[7]Func Study'!$AB$1803</definedName>
    <definedName name="UAcct390Cn">'[7]Func Study'!$AB$1810</definedName>
    <definedName name="UAcct390JBG">'[7]Func Study'!$AB$1812</definedName>
    <definedName name="UAcct390L">'[7]Func Study'!$AB$1927</definedName>
    <definedName name="UACCT390LRCL">'[7]Func Study'!$AB$1929</definedName>
    <definedName name="UAcct390S">'[7]Func Study'!$AB$1807</definedName>
    <definedName name="UAcct390Sgp">'[7]Func Study'!$AB$1808</definedName>
    <definedName name="UAcct390Sgu">'[7]Func Study'!$AB$1809</definedName>
    <definedName name="UAcct390Sop">'[7]Func Study'!$AB$1811</definedName>
    <definedName name="UAcct390Sou">'[7]Func Study'!$AB$1813</definedName>
    <definedName name="UAcct391Cn">'[7]Func Study'!$AB$1820</definedName>
    <definedName name="UACCT391JBE">'[7]Func Study'!$AB$1825</definedName>
    <definedName name="UAcct391S">'[7]Func Study'!$AB$1817</definedName>
    <definedName name="UAcct391Sg">'[7]Func Study'!$AB$1821</definedName>
    <definedName name="UAcct391Sgp">'[7]Func Study'!$AB$1818</definedName>
    <definedName name="UAcct391Sgu">'[7]Func Study'!$AB$1819</definedName>
    <definedName name="UAcct391So">'[7]Func Study'!$AB$1823</definedName>
    <definedName name="UACCT391SSGCH">'[7]Func Study'!$AB$1824</definedName>
    <definedName name="UAcct392Cn">'[7]Func Study'!$AB$1832</definedName>
    <definedName name="UAcct392L">'[7]Func Study'!$AB$1935</definedName>
    <definedName name="UAcct392Lrcl">'[7]Func Study'!$AB$1937</definedName>
    <definedName name="UAcct392S">'[7]Func Study'!$AB$1829</definedName>
    <definedName name="UAcct392Se">'[7]Func Study'!$AB$1834</definedName>
    <definedName name="UAcct392Sg">'[7]Func Study'!$AB$1831</definedName>
    <definedName name="UAcct392Sgp">'[7]Func Study'!$AB$1835</definedName>
    <definedName name="UAcct392Sgu">'[7]Func Study'!$AB$1833</definedName>
    <definedName name="UAcct392So">'[7]Func Study'!$AB$1830</definedName>
    <definedName name="UACCT392SSGCH">'[7]Func Study'!$AB$1836</definedName>
    <definedName name="UAcct393S">'[7]Func Study'!$AB$1841</definedName>
    <definedName name="UAcct393Sg">'[7]Func Study'!$AB$1845</definedName>
    <definedName name="UAcct393Sgp">'[7]Func Study'!$AB$1842</definedName>
    <definedName name="UAcct393Sgu">'[7]Func Study'!$AB$1843</definedName>
    <definedName name="UAcct393So">'[7]Func Study'!$AB$1844</definedName>
    <definedName name="UACCT393SSGCT">'[7]Func Study'!$AB$1846</definedName>
    <definedName name="UAcct394S">'[7]Func Study'!$AB$1850</definedName>
    <definedName name="UAcct394Se">'[7]Func Study'!$AB$1854</definedName>
    <definedName name="UAcct394Sg">'[7]Func Study'!$AB$1855</definedName>
    <definedName name="UAcct394Sgp">'[7]Func Study'!$AB$1851</definedName>
    <definedName name="UAcct394Sgu">'[7]Func Study'!$AB$1852</definedName>
    <definedName name="UAcct394So">'[7]Func Study'!$AB$1853</definedName>
    <definedName name="UACCT394SSGCH">'[7]Func Study'!$AB$1856</definedName>
    <definedName name="UAcct395S">'[7]Func Study'!$AB$1861</definedName>
    <definedName name="UAcct395Se">'[7]Func Study'!$AB$1865</definedName>
    <definedName name="UAcct395Sg">'[7]Func Study'!$AB$1866</definedName>
    <definedName name="UAcct395Sgp">'[7]Func Study'!$AB$1862</definedName>
    <definedName name="UAcct395Sgu">'[7]Func Study'!$AB$1863</definedName>
    <definedName name="UAcct395So">'[7]Func Study'!$AB$1864</definedName>
    <definedName name="UACCT395SSGCH">'[7]Func Study'!$AB$1867</definedName>
    <definedName name="UAcct396S">'[7]Func Study'!$AB$1872</definedName>
    <definedName name="UAcct396Se">'[7]Func Study'!$AB$1877</definedName>
    <definedName name="UAcct396Sg">'[7]Func Study'!$AB$1874</definedName>
    <definedName name="UAcct396Sgp">'[7]Func Study'!$AB$1873</definedName>
    <definedName name="UAcct396Sgu">'[7]Func Study'!$AB$1876</definedName>
    <definedName name="UAcct396So">'[7]Func Study'!$AB$1875</definedName>
    <definedName name="UACCT396SSGCH">'[7]Func Study'!$AB$1879</definedName>
    <definedName name="UACCT396SSGCT">'[7]Func Study'!$AB$1878</definedName>
    <definedName name="UAcct397Cn">'[7]Func Study'!$AB$1890</definedName>
    <definedName name="UAcct397JBG">'[7]Func Study'!$AB$1893</definedName>
    <definedName name="UAcct397S">'[7]Func Study'!$AB$1886</definedName>
    <definedName name="UAcct397Se">'[7]Func Study'!$AB$1892</definedName>
    <definedName name="UAcct397Sg">'[7]Func Study'!$AB$1891</definedName>
    <definedName name="UAcct397Sgp">'[7]Func Study'!$AB$1887</definedName>
    <definedName name="UAcct397Sgu">'[7]Func Study'!$AB$1888</definedName>
    <definedName name="UAcct397So">'[7]Func Study'!$AB$1889</definedName>
    <definedName name="UAcct398Cn">'[7]Func Study'!$AB$1902</definedName>
    <definedName name="UAcct398S">'[7]Func Study'!$AB$1899</definedName>
    <definedName name="UAcct398Se">'[7]Func Study'!$AB$1904</definedName>
    <definedName name="UAcct398Sg">'[7]Func Study'!$AB$1905</definedName>
    <definedName name="UAcct398Sgp">'[7]Func Study'!$AB$1900</definedName>
    <definedName name="UAcct398Sgu">'[7]Func Study'!$AB$1901</definedName>
    <definedName name="UAcct398So">'[7]Func Study'!$AB$1903</definedName>
    <definedName name="UACCT398SSGCT">'[7]Func Study'!$AB$1906</definedName>
    <definedName name="UAcct399">'[7]Func Study'!$AB$1913</definedName>
    <definedName name="UAcct399G">'[7]Func Study'!$AB$1955</definedName>
    <definedName name="UAcct399L">'[7]Func Study'!$AB$1917</definedName>
    <definedName name="UAcct399Lrcl">'[7]Func Study'!$AB$1919</definedName>
    <definedName name="UAcct403360">'[7]Func Study'!$AB$1090</definedName>
    <definedName name="UAcct403361">'[7]Func Study'!$AB$1091</definedName>
    <definedName name="UAcct403362">'[7]Func Study'!$AB$1092</definedName>
    <definedName name="UAcct403364">'[7]Func Study'!$AB$1094</definedName>
    <definedName name="UAcct403365">'[7]Func Study'!$AB$1095</definedName>
    <definedName name="UAcct403366">'[7]Func Study'!$AB$1096</definedName>
    <definedName name="UAcct403367">'[7]Func Study'!$AB$1097</definedName>
    <definedName name="UAcct403368">'[7]Func Study'!$AB$1098</definedName>
    <definedName name="UAcct403369">'[7]Func Study'!$AB$1099</definedName>
    <definedName name="UAcct403370">'[7]Func Study'!$AB$1100</definedName>
    <definedName name="UAcct403371">'[7]Func Study'!$AB$1101</definedName>
    <definedName name="UAcct403372">'[7]Func Study'!$AB$1102</definedName>
    <definedName name="UAcct403373">'[7]Func Study'!$AB$1103</definedName>
    <definedName name="UAcct403Ep">'[7]Func Study'!$AB$1130</definedName>
    <definedName name="UAcct403Gpcn">'[7]Func Study'!$AB$1111</definedName>
    <definedName name="UAcct403GPDGP">'[7]Func Study'!$AB$1108</definedName>
    <definedName name="UAcct403GPDGU">'[7]Func Study'!$AB$1109</definedName>
    <definedName name="UAcct403GPJBG">'[7]Func Study'!$AB$1115</definedName>
    <definedName name="UAcct403Gps">'[7]Func Study'!$AB$1107</definedName>
    <definedName name="UAcct403Gpsg">'[7]Func Study'!$AB$1112</definedName>
    <definedName name="UAcct403Gpso">'[7]Func Study'!$AB$1113</definedName>
    <definedName name="UAcct403Gv0">'[7]Func Study'!$AB$1121</definedName>
    <definedName name="UAcct403Hp">'[7]Func Study'!$AB$1072</definedName>
    <definedName name="UACCT403JBE">'[7]Func Study'!$AB$1116</definedName>
    <definedName name="UAcct403Mp">'[7]Func Study'!$AB$1125</definedName>
    <definedName name="UAcct403Np">'[7]Func Study'!$AB$1065</definedName>
    <definedName name="UAcct403Op">'[7]Func Study'!$AB$1080</definedName>
    <definedName name="UAcct403OPCAGE">'[7]Func Study'!$AB$1078</definedName>
    <definedName name="UAcct403Sp">'[7]Func Study'!$AB$1061</definedName>
    <definedName name="UAcct403SPJBG">'[7]Func Study'!$AB$1058</definedName>
    <definedName name="UAcct403Tp">'[7]Func Study'!$AB$1087</definedName>
    <definedName name="UAcct404330">'[7]Func Study'!$AB$1177</definedName>
    <definedName name="UACCT404GP">'[7]Func Study'!$AB$1146</definedName>
    <definedName name="UACCT404GPCN">'[7]Func Study'!$AB$1143</definedName>
    <definedName name="UACCT404GPSO">'[7]Func Study'!$AB$1141</definedName>
    <definedName name="UAcct404Ipcn">'[7]Func Study'!$AB$1158</definedName>
    <definedName name="UAcct404IPJBG">'[7]Func Study'!$AB$1163</definedName>
    <definedName name="UAcct404Ips">'[7]Func Study'!$AB$1154</definedName>
    <definedName name="UAcct404Ipse">'[7]Func Study'!$AB$1155</definedName>
    <definedName name="UAcct404Ipsg">'[7]Func Study'!$AB$1156</definedName>
    <definedName name="UAcct404Ipsg1">'[7]Func Study'!$AB$1159</definedName>
    <definedName name="UAcct404Ipsg2">'[7]Func Study'!$AB$1160</definedName>
    <definedName name="UAcct404Ipso">'[7]Func Study'!$AB$1157</definedName>
    <definedName name="UAcct404M">'[7]Func Study'!$AB$1168</definedName>
    <definedName name="UACCT404OP">'[7]Func Study'!$AB$1172</definedName>
    <definedName name="UACCT404SP">'[7]Func Study'!$AB$1151</definedName>
    <definedName name="UAcct405">'[7]Func Study'!$AB$1185</definedName>
    <definedName name="UAcct406">'[7]Func Study'!$AB$1193</definedName>
    <definedName name="UAcct407">'[7]Func Study'!$AB$1202</definedName>
    <definedName name="UAcct408">'[7]Func Study'!$AB$1221</definedName>
    <definedName name="UAcct408S">'[7]Func Study'!$AB$1213</definedName>
    <definedName name="UAcct41010">'[7]Func Study'!$AB$1294</definedName>
    <definedName name="UAcct41011">'[7]Func Study'!$AB$1309</definedName>
    <definedName name="UAcct41110">'[7]Func Study'!$AB$1325</definedName>
    <definedName name="UAcct41140">'[7]Func Study'!$AB$1232</definedName>
    <definedName name="UAcct41141">'[7]Func Study'!$AB$1237</definedName>
    <definedName name="UAcct41160">'[7]Func Study'!$AB$369</definedName>
    <definedName name="UAcct41170">'[7]Func Study'!$AB$374</definedName>
    <definedName name="UAcct4118">'[7]Func Study'!$AB$378</definedName>
    <definedName name="UAcct41181">'[7]Func Study'!$AB$381</definedName>
    <definedName name="UAcct4194">'[7]Func Study'!$AB$385</definedName>
    <definedName name="UAcct421">'[7]Func Study'!$AB$394</definedName>
    <definedName name="UAcct4311">'[7]Func Study'!$AB$401</definedName>
    <definedName name="UAcct442Se">'[7]Func Study'!$AB$259</definedName>
    <definedName name="UAcct442Sg">'[7]Func Study'!$AB$260</definedName>
    <definedName name="UAcct447">'[7]Func Study'!$AB$281</definedName>
    <definedName name="UACCT447NPC">'[7]Func Study'!$AB$289</definedName>
    <definedName name="UACCT447NPCCAEW">'[7]Func Study'!$AB$286</definedName>
    <definedName name="UACCT447NPCCAGW">'[7]Func Study'!$AB$287</definedName>
    <definedName name="UACCT447NPCDGP">'[7]Func Study'!$AB$288</definedName>
    <definedName name="UAcct447S">'[7]Func Study'!$AB$280</definedName>
    <definedName name="UAcct448S">'[7]Func Study'!$AB$274</definedName>
    <definedName name="UAcct448So">'[7]Func Study'!$AB$275</definedName>
    <definedName name="UAcct449">'[7]Func Study'!$AB$294</definedName>
    <definedName name="UAcct450">'[7]Func Study'!$AB$304</definedName>
    <definedName name="UAcct450S">'[7]Func Study'!$AB$302</definedName>
    <definedName name="UAcct450So">'[7]Func Study'!$AB$303</definedName>
    <definedName name="UAcct451S">'[7]Func Study'!$AB$307</definedName>
    <definedName name="UAcct451Sg">'[7]Func Study'!$AB$308</definedName>
    <definedName name="UAcct451So">'[7]Func Study'!$AB$309</definedName>
    <definedName name="UAcct453">'[7]Func Study'!$AB$315</definedName>
    <definedName name="UAcct454">'[7]Func Study'!$AB$322</definedName>
    <definedName name="UAcct454JBG">'[7]Func Study'!$AB$319</definedName>
    <definedName name="UAcct454S">'[7]Func Study'!$AB$318</definedName>
    <definedName name="UAcct454Sg">'[7]Func Study'!$AB$320</definedName>
    <definedName name="UAcct454So">'[7]Func Study'!$AB$321</definedName>
    <definedName name="UAcct456">'[7]Func Study'!$AB$332</definedName>
    <definedName name="UAcct456CAEW">'[7]Func Study'!$AB$331</definedName>
    <definedName name="UAcct456S">'[7]Func Study'!$AB$325</definedName>
    <definedName name="UAcct456So">'[7]Func Study'!$AB$329</definedName>
    <definedName name="UAcct500">'[7]Func Study'!$AB$416</definedName>
    <definedName name="UAcct500JBG">'[7]Func Study'!$AB$414</definedName>
    <definedName name="UAcct501">'[7]Func Study'!$AB$423</definedName>
    <definedName name="UAcct501CAEW">'[7]Func Study'!$AB$420</definedName>
    <definedName name="UAcct501JBE">'[7]Func Study'!$AB$421</definedName>
    <definedName name="UACCT501NPCCAEW">'[7]Func Study'!$AB$426</definedName>
    <definedName name="UAcct502">'[7]Func Study'!$AB$433</definedName>
    <definedName name="UAcct502CAGE">'[7]Func Study'!$AB$431</definedName>
    <definedName name="UAcct503">'[7]Func Study'!$AB$437</definedName>
    <definedName name="UACCT503NPC">'[7]Func Study'!$AB$443</definedName>
    <definedName name="UAcct505">'[7]Func Study'!$AB$449</definedName>
    <definedName name="UAcct505CAGE">'[7]Func Study'!$AB$447</definedName>
    <definedName name="UAcct506">'[7]Func Study'!$AB$455</definedName>
    <definedName name="UAcct506CAGE">'[7]Func Study'!$AB$452</definedName>
    <definedName name="UAcct507">'[7]Func Study'!$AB$464</definedName>
    <definedName name="UAcct507CAGE">'[7]Func Study'!$AB$462</definedName>
    <definedName name="UAcct510">'[7]Func Study'!$AB$469</definedName>
    <definedName name="UAcct510CAGE">'[7]Func Study'!$AB$467</definedName>
    <definedName name="UAcct511">'[7]Func Study'!$AB$474</definedName>
    <definedName name="UAcct511CAGE">'[7]Func Study'!$AB$472</definedName>
    <definedName name="UAcct512">'[7]Func Study'!$AB$479</definedName>
    <definedName name="UAcct512CAGE">'[7]Func Study'!$AB$477</definedName>
    <definedName name="UAcct513">'[7]Func Study'!$AB$484</definedName>
    <definedName name="UAcct513CAGE">'[7]Func Study'!$AB$482</definedName>
    <definedName name="UAcct514">'[7]Func Study'!$AB$489</definedName>
    <definedName name="UAcct514CAGE">'[7]Func Study'!$AB$487</definedName>
    <definedName name="UAcct517">'[7]Func Study'!$AB$498</definedName>
    <definedName name="UAcct518">'[7]Func Study'!$AB$502</definedName>
    <definedName name="UAcct519">'[7]Func Study'!$AB$507</definedName>
    <definedName name="UAcct520">'[7]Func Study'!$AB$511</definedName>
    <definedName name="UAcct523">'[7]Func Study'!$AB$515</definedName>
    <definedName name="UAcct524">'[7]Func Study'!$AB$519</definedName>
    <definedName name="UAcct528">'[7]Func Study'!$AB$523</definedName>
    <definedName name="UAcct529">'[7]Func Study'!$AB$527</definedName>
    <definedName name="UAcct530">'[7]Func Study'!$AB$531</definedName>
    <definedName name="UAcct531">'[7]Func Study'!$AB$535</definedName>
    <definedName name="UAcct532">'[7]Func Study'!$AB$539</definedName>
    <definedName name="UAcct535">'[7]Func Study'!$AB$551</definedName>
    <definedName name="UAcct536">'[7]Func Study'!$AB$555</definedName>
    <definedName name="UAcct537">'[7]Func Study'!$AB$559</definedName>
    <definedName name="UAcct538">'[7]Func Study'!$AB$563</definedName>
    <definedName name="UAcct539">'[7]Func Study'!$AB$568</definedName>
    <definedName name="UAcct540">'[7]Func Study'!$AB$572</definedName>
    <definedName name="UAcct541">'[7]Func Study'!$AB$576</definedName>
    <definedName name="UAcct542">'[7]Func Study'!$AB$580</definedName>
    <definedName name="UAcct543">'[7]Func Study'!$AB$584</definedName>
    <definedName name="UAcct544">'[7]Func Study'!$AB$588</definedName>
    <definedName name="UAcct545">'[7]Func Study'!$AB$592</definedName>
    <definedName name="UAcct546">'[7]Func Study'!$AB$606</definedName>
    <definedName name="UAcct546CAGE">'[7]Func Study'!$AB$605</definedName>
    <definedName name="UAcct547CAEW">'[7]Func Study'!$AB$610</definedName>
    <definedName name="UACCT547NPCCAEW">'[7]Func Study'!$AB$613</definedName>
    <definedName name="UAcct547Se">'[7]Func Study'!$AB$609</definedName>
    <definedName name="UAcct548">'[7]Func Study'!$AB$621</definedName>
    <definedName name="UACCT548CAGE">'[7]Func Study'!$AB$620</definedName>
    <definedName name="UAcct549">'[7]Func Study'!$AB$626</definedName>
    <definedName name="Uacct549CAGE">'[7]Func Study'!$AB$625</definedName>
    <definedName name="UAcct551CAGE">'[7]Func Study'!$AB$634</definedName>
    <definedName name="UACCT551SG">'[7]Func Study'!$AB$635</definedName>
    <definedName name="UACCT552CAGE">'[7]Func Study'!$AB$640</definedName>
    <definedName name="UAcct552SG">'[7]Func Study'!$AB$639</definedName>
    <definedName name="UACCT553CAGE">'[7]Func Study'!$AB$646</definedName>
    <definedName name="UAcct553SG">'[7]Func Study'!$AB$645</definedName>
    <definedName name="UACCT554CAGE">'[7]Func Study'!$AB$651</definedName>
    <definedName name="UAcct554SG">'[7]Func Study'!$AB$650</definedName>
    <definedName name="UAcct555CAEW">'[7]Func Study'!$AB$665</definedName>
    <definedName name="UAcct555CAGW">'[7]Func Study'!$AB$664</definedName>
    <definedName name="UACCT555DGP">'[7]Func Study'!$AB$670</definedName>
    <definedName name="UACCT555NPCCAEW">'[7]Func Study'!$AB$669</definedName>
    <definedName name="UACCT555NPCCAGW">'[7]Func Study'!$AB$668</definedName>
    <definedName name="UAcct555S">'[7]Func Study'!$AB$663</definedName>
    <definedName name="UAcct555Se">'[7]Func Study'!$AB$665</definedName>
    <definedName name="UACCT555SG">'[7]Func Study'!$AB$664</definedName>
    <definedName name="UAcct556">'[7]Func Study'!$AB$676</definedName>
    <definedName name="UAcct557">'[7]Func Study'!$AB$685</definedName>
    <definedName name="UAcct560">'[7]Func Study'!$AB$715</definedName>
    <definedName name="UAcct561">'[7]Func Study'!$AB$720</definedName>
    <definedName name="UAcct562">'[7]Func Study'!$AB$726</definedName>
    <definedName name="UAcct563">'[7]Func Study'!$AB$731</definedName>
    <definedName name="UAcct564">'[7]Func Study'!$AB$735</definedName>
    <definedName name="UAcct565">'[7]Func Study'!$AB$739</definedName>
    <definedName name="UACCT565NPC">'[7]Func Study'!$AB$744</definedName>
    <definedName name="UACCT565NPCCAGW">'[7]Func Study'!$AB$742</definedName>
    <definedName name="UAcct566">'[7]Func Study'!$AB$748</definedName>
    <definedName name="UAcct567">'[7]Func Study'!$AB$752</definedName>
    <definedName name="UAcct568">'[7]Func Study'!$AB$756</definedName>
    <definedName name="UAcct569">'[7]Func Study'!$AB$760</definedName>
    <definedName name="UAcct570">'[7]Func Study'!$AB$765</definedName>
    <definedName name="UAcct571">'[7]Func Study'!$AB$770</definedName>
    <definedName name="UAcct572">'[7]Func Study'!$AB$774</definedName>
    <definedName name="UAcct573">'[7]Func Study'!$AB$778</definedName>
    <definedName name="UAcct580">'[7]Func Study'!$AB$791</definedName>
    <definedName name="UAcct581">'[7]Func Study'!$AB$796</definedName>
    <definedName name="UAcct582">'[7]Func Study'!$AB$801</definedName>
    <definedName name="UAcct583">'[7]Func Study'!$AB$806</definedName>
    <definedName name="UAcct584">'[7]Func Study'!$AB$811</definedName>
    <definedName name="UAcct585">'[7]Func Study'!$AB$816</definedName>
    <definedName name="UAcct586">'[7]Func Study'!$AB$821</definedName>
    <definedName name="UAcct587">'[7]Func Study'!$AB$826</definedName>
    <definedName name="UAcct588">'[7]Func Study'!$AB$831</definedName>
    <definedName name="UAcct589">'[7]Func Study'!$AB$836</definedName>
    <definedName name="UAcct590">'[7]Func Study'!$AB$841</definedName>
    <definedName name="UAcct591">'[7]Func Study'!$AB$846</definedName>
    <definedName name="UAcct592">'[7]Func Study'!$AB$851</definedName>
    <definedName name="UAcct593">'[7]Func Study'!$AB$856</definedName>
    <definedName name="UAcct594">'[7]Func Study'!$AB$861</definedName>
    <definedName name="UAcct595">'[7]Func Study'!$AB$866</definedName>
    <definedName name="UAcct596">'[7]Func Study'!$AB$876</definedName>
    <definedName name="UAcct597">'[7]Func Study'!$AB$881</definedName>
    <definedName name="UAcct598">'[7]Func Study'!$AB$886</definedName>
    <definedName name="UAcct901">'[7]Func Study'!$AB$898</definedName>
    <definedName name="UAcct902">'[7]Func Study'!$AB$903</definedName>
    <definedName name="UAcct903">'[7]Func Study'!$AB$908</definedName>
    <definedName name="UAcct904">'[7]Func Study'!$AB$914</definedName>
    <definedName name="UAcct905">'[7]Func Study'!$AB$919</definedName>
    <definedName name="UAcct907">'[7]Func Study'!$AB$933</definedName>
    <definedName name="UAcct908">'[7]Func Study'!$AB$938</definedName>
    <definedName name="UAcct909">'[7]Func Study'!$AB$943</definedName>
    <definedName name="UAcct910">'[7]Func Study'!$AB$948</definedName>
    <definedName name="UAcct911">'[7]Func Study'!$AB$959</definedName>
    <definedName name="UAcct912">'[7]Func Study'!$AB$964</definedName>
    <definedName name="UAcct913">'[7]Func Study'!$AB$969</definedName>
    <definedName name="UAcct916">'[7]Func Study'!$AB$974</definedName>
    <definedName name="UAcct920">'[7]Func Study'!$AB$985</definedName>
    <definedName name="UAcct920Cn">'[7]Func Study'!$AB$983</definedName>
    <definedName name="UAcct921">'[7]Func Study'!$AB$991</definedName>
    <definedName name="UAcct921Cn">'[7]Func Study'!$AB$989</definedName>
    <definedName name="UAcct923">'[7]Func Study'!$AB$997</definedName>
    <definedName name="UAcct923CAGW">'[7]Func Study'!$AB$995</definedName>
    <definedName name="UAcct924">'[7]Func Study'!$AB$1001</definedName>
    <definedName name="UAcct925">'[7]Func Study'!$AB$1005</definedName>
    <definedName name="UAcct926">'[7]Func Study'!$AB$1011</definedName>
    <definedName name="UAcct927">'[7]Func Study'!$AB$1016</definedName>
    <definedName name="UAcct928">'[7]Func Study'!$AB$1023</definedName>
    <definedName name="UAcct929">'[7]Func Study'!$AB$1028</definedName>
    <definedName name="UAcct930">'[7]Func Study'!$AB$1034</definedName>
    <definedName name="UAcct931">'[7]Func Study'!$AB$1039</definedName>
    <definedName name="UAcct935">'[7]Func Study'!$AB$1045</definedName>
    <definedName name="UAcctAGA">'[7]Func Study'!$AB$296</definedName>
    <definedName name="UAcctcwc">'[7]Func Study'!$AB$2136</definedName>
    <definedName name="UAcctd00">'[7]Func Study'!$AB$1786</definedName>
    <definedName name="UAcctds0">'[7]Func Study'!$AB$1790</definedName>
    <definedName name="UACCTECDDGP">'[7]Func Study'!$AB$687</definedName>
    <definedName name="UACCTECDMC">'[7]Func Study'!$AB$689</definedName>
    <definedName name="UACCTECDS">'[7]Func Study'!$AB$691</definedName>
    <definedName name="UACCTECDSG1">'[7]Func Study'!$AB$688</definedName>
    <definedName name="UACCTECDSG2">'[7]Func Study'!$AB$690</definedName>
    <definedName name="UACCTECDSG3">'[7]Func Study'!$AB$692</definedName>
    <definedName name="UAcctfit">'[7]Func Study'!$AB$1395</definedName>
    <definedName name="UAcctg00">'[7]Func Study'!$AB$1947</definedName>
    <definedName name="UAccth00">'[7]Func Study'!$AB$1545</definedName>
    <definedName name="UAccti00">'[7]Func Study'!$AB$1993</definedName>
    <definedName name="UAcctn00">'[7]Func Study'!$AB$1496</definedName>
    <definedName name="UAccto00">'[7]Func Study'!$AB$1606</definedName>
    <definedName name="UAcctowc">'[7]Func Study'!$AB$2149</definedName>
    <definedName name="UACCTOWCSSECH">'[7]Func Study'!$AB$2148</definedName>
    <definedName name="UAccts00">'[7]Func Study'!$AB$1455</definedName>
    <definedName name="UAcctsttax">'[7]Func Study'!$AB$1377</definedName>
    <definedName name="UAcctt00">'[7]Func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[11]Variables!$D$29</definedName>
    <definedName name="ValidAccount">[8]Variables!$AK$43:$AK$369</definedName>
    <definedName name="Values_Entered" localSheetId="11">IF(Loan_Amount*Interest_Rate*Loan_Years*Loan_Start&gt;0,1,0)</definedName>
    <definedName name="Values_Entered" localSheetId="8">IF(Loan_Amount*Interest_Rate*Loan_Years*Loan_Start&gt;0,1,0)</definedName>
    <definedName name="Values_Entered" localSheetId="5">IF(Loan_Amount*Interest_Rate*Loan_Years*Loan_Start&gt;0,1,0)</definedName>
    <definedName name="Values_Entered" localSheetId="7">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OMEsc">[9]Assumptions!$C$21</definedName>
    <definedName name="WACC">[9]Assumptions!$I$61</definedName>
    <definedName name="WaRevenueTax">[11]Variables!$D$27</definedName>
    <definedName name="Winter">'[58]Input Tab'!$B$11</definedName>
    <definedName name="WinterPeak">'[59]Load Data'!$D$9:$H$12,'[59]Load Data'!$D$20:$H$22</definedName>
    <definedName name="WUTC_Docket_No._UG_11____">'[6]MJS-6'!$F$2</definedName>
    <definedName name="WUTC_FILING_FEE">'[6]MJS-7'!$O$15</definedName>
    <definedName name="Years_evaluated">'[60]Revison Inputs'!$B$6</definedName>
    <definedName name="YEFactors">[8]Factors!$S$3:$AG$99</definedName>
    <definedName name="YTD_Format">[50]YTD!$B$13:$D$13,[50]YTD!$B$36:$D$36</definedName>
  </definedNames>
  <calcPr calcId="162913"/>
</workbook>
</file>

<file path=xl/calcChain.xml><?xml version="1.0" encoding="utf-8"?>
<calcChain xmlns="http://schemas.openxmlformats.org/spreadsheetml/2006/main">
  <c r="E17" i="77" l="1"/>
  <c r="E16" i="77"/>
  <c r="E14" i="77"/>
  <c r="E5" i="77"/>
  <c r="E4" i="77"/>
  <c r="J11" i="84" l="1"/>
  <c r="O6" i="84"/>
  <c r="N18" i="77"/>
  <c r="K18" i="77"/>
  <c r="M15" i="77"/>
  <c r="L15" i="77"/>
  <c r="K15" i="77"/>
  <c r="D17" i="77"/>
  <c r="D16" i="77"/>
  <c r="D14" i="77"/>
  <c r="D5" i="77"/>
  <c r="D4" i="77"/>
  <c r="B87" i="89" l="1"/>
  <c r="B86" i="89"/>
  <c r="E81" i="89"/>
  <c r="E83" i="89" s="1"/>
  <c r="E80" i="89"/>
  <c r="C86" i="89" s="1"/>
  <c r="E78" i="89"/>
  <c r="D78" i="89"/>
  <c r="C78" i="89"/>
  <c r="E77" i="89"/>
  <c r="E76" i="89"/>
  <c r="E75" i="89"/>
  <c r="B65" i="89"/>
  <c r="B64" i="89"/>
  <c r="B57" i="89"/>
  <c r="B56" i="89"/>
  <c r="D47" i="89"/>
  <c r="C47" i="89"/>
  <c r="E46" i="89"/>
  <c r="E50" i="89" s="1"/>
  <c r="E45" i="89"/>
  <c r="E44" i="89"/>
  <c r="E49" i="89" s="1"/>
  <c r="B36" i="89"/>
  <c r="D36" i="89" s="1"/>
  <c r="B35" i="89"/>
  <c r="B20" i="89"/>
  <c r="B19" i="89"/>
  <c r="D10" i="89"/>
  <c r="C10" i="89"/>
  <c r="E9" i="89"/>
  <c r="E13" i="89" s="1"/>
  <c r="E8" i="89"/>
  <c r="E7" i="89"/>
  <c r="E12" i="89" s="1"/>
  <c r="C19" i="89" l="1"/>
  <c r="E14" i="89"/>
  <c r="D37" i="89"/>
  <c r="E36" i="89"/>
  <c r="E86" i="89"/>
  <c r="C88" i="89"/>
  <c r="C64" i="89"/>
  <c r="C56" i="89"/>
  <c r="D20" i="89"/>
  <c r="E15" i="89"/>
  <c r="D57" i="89"/>
  <c r="D65" i="89"/>
  <c r="E52" i="89"/>
  <c r="D87" i="89"/>
  <c r="E82" i="89"/>
  <c r="E10" i="89"/>
  <c r="E47" i="89"/>
  <c r="E51" i="89" s="1"/>
  <c r="C35" i="89"/>
  <c r="E57" i="89" l="1"/>
  <c r="D58" i="89"/>
  <c r="E56" i="89"/>
  <c r="C58" i="89"/>
  <c r="E58" i="89" s="1"/>
  <c r="E59" i="89" s="1"/>
  <c r="D88" i="89"/>
  <c r="E88" i="89" s="1"/>
  <c r="E87" i="89"/>
  <c r="C66" i="89"/>
  <c r="E66" i="89" s="1"/>
  <c r="E64" i="89"/>
  <c r="D66" i="89"/>
  <c r="E65" i="89"/>
  <c r="C37" i="89"/>
  <c r="E37" i="89" s="1"/>
  <c r="E38" i="89" s="1"/>
  <c r="E35" i="89"/>
  <c r="E20" i="89"/>
  <c r="D21" i="89"/>
  <c r="E19" i="89"/>
  <c r="C21" i="89"/>
  <c r="E89" i="89" l="1"/>
  <c r="E90" i="89"/>
  <c r="E24" i="89"/>
  <c r="E67" i="89"/>
  <c r="F71" i="89" s="1"/>
  <c r="E71" i="89"/>
  <c r="E91" i="89"/>
  <c r="E60" i="89"/>
  <c r="E69" i="89"/>
  <c r="E21" i="89"/>
  <c r="E22" i="89" s="1"/>
  <c r="E61" i="89"/>
  <c r="E23" i="89"/>
  <c r="E68" i="89"/>
  <c r="N16" i="84" l="1"/>
  <c r="N15" i="84"/>
  <c r="K16" i="84"/>
  <c r="K15" i="84"/>
  <c r="O16" i="84"/>
  <c r="O15" i="84"/>
  <c r="O14" i="84"/>
  <c r="O17" i="84"/>
  <c r="O7" i="84"/>
  <c r="O5" i="84"/>
  <c r="O8" i="84" l="1"/>
  <c r="F5" i="69" l="1"/>
  <c r="C10" i="84"/>
  <c r="E23" i="84" l="1"/>
  <c r="E22" i="84"/>
  <c r="G5" i="77"/>
  <c r="G4" i="77"/>
  <c r="F15" i="77" l="1"/>
  <c r="H23" i="84" l="1"/>
  <c r="H22" i="84"/>
  <c r="D6" i="77" l="1"/>
  <c r="E19" i="77" l="1"/>
  <c r="H17" i="84" l="1"/>
  <c r="I8" i="84"/>
  <c r="H9" i="84" l="1"/>
  <c r="H19" i="84"/>
  <c r="Y66" i="87" l="1"/>
  <c r="X66" i="87"/>
  <c r="W66" i="87"/>
  <c r="V66" i="87"/>
  <c r="U66" i="87"/>
  <c r="T66" i="87"/>
  <c r="S66" i="87"/>
  <c r="R66" i="87"/>
  <c r="Q66" i="87"/>
  <c r="P66" i="87"/>
  <c r="O66" i="87"/>
  <c r="N66" i="87"/>
  <c r="M66" i="87"/>
  <c r="L66" i="87"/>
  <c r="K66" i="87"/>
  <c r="J66" i="87"/>
  <c r="I66" i="87"/>
  <c r="H66" i="87"/>
  <c r="G66" i="87"/>
  <c r="F66" i="87"/>
  <c r="E66" i="87"/>
  <c r="Y65" i="87"/>
  <c r="X65" i="87"/>
  <c r="W65" i="87"/>
  <c r="W62" i="87" s="1"/>
  <c r="V65" i="87"/>
  <c r="U65" i="87"/>
  <c r="T65" i="87"/>
  <c r="S65" i="87"/>
  <c r="S62" i="87" s="1"/>
  <c r="R65" i="87"/>
  <c r="Q65" i="87"/>
  <c r="P65" i="87"/>
  <c r="O65" i="87"/>
  <c r="O62" i="87" s="1"/>
  <c r="N65" i="87"/>
  <c r="M65" i="87"/>
  <c r="L65" i="87"/>
  <c r="K65" i="87"/>
  <c r="K62" i="87" s="1"/>
  <c r="J65" i="87"/>
  <c r="I65" i="87"/>
  <c r="H65" i="87"/>
  <c r="G65" i="87"/>
  <c r="G62" i="87" s="1"/>
  <c r="F65" i="87"/>
  <c r="E65" i="87"/>
  <c r="Y62" i="87"/>
  <c r="X62" i="87"/>
  <c r="V62" i="87"/>
  <c r="U62" i="87"/>
  <c r="T62" i="87"/>
  <c r="R62" i="87"/>
  <c r="Q62" i="87"/>
  <c r="P62" i="87"/>
  <c r="N62" i="87"/>
  <c r="M62" i="87"/>
  <c r="L62" i="87"/>
  <c r="J62" i="87"/>
  <c r="I62" i="87"/>
  <c r="H62" i="87"/>
  <c r="F62" i="87"/>
  <c r="E62" i="87"/>
  <c r="B62" i="87"/>
  <c r="AT56" i="87"/>
  <c r="AT55" i="87"/>
  <c r="AT51" i="87"/>
  <c r="AT50" i="87"/>
  <c r="AT41" i="87"/>
  <c r="AT40" i="87"/>
  <c r="AT36" i="87"/>
  <c r="E31" i="87"/>
  <c r="A29" i="87"/>
  <c r="A32" i="87" s="1"/>
  <c r="A33" i="87" s="1"/>
  <c r="A34" i="87" s="1"/>
  <c r="A35"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F16" i="87"/>
  <c r="F15" i="87"/>
  <c r="D13" i="87"/>
  <c r="F12" i="87"/>
  <c r="E12" i="87"/>
  <c r="D12" i="87"/>
  <c r="F11" i="87"/>
  <c r="F13" i="87" s="1"/>
  <c r="E11" i="87"/>
  <c r="D11" i="87"/>
  <c r="E47" i="69"/>
  <c r="AS57" i="87" l="1"/>
  <c r="AP66" i="87"/>
  <c r="D47" i="69" l="1"/>
  <c r="D32" i="69"/>
  <c r="Y66" i="85" l="1"/>
  <c r="X66" i="85"/>
  <c r="W66" i="85"/>
  <c r="V66" i="85"/>
  <c r="U66" i="85"/>
  <c r="T66" i="85"/>
  <c r="S66" i="85"/>
  <c r="R66" i="85"/>
  <c r="Q66" i="85"/>
  <c r="P66" i="85"/>
  <c r="O66" i="85"/>
  <c r="N66" i="85"/>
  <c r="M66" i="85"/>
  <c r="L66" i="85"/>
  <c r="K66" i="85"/>
  <c r="J66" i="85"/>
  <c r="I66" i="85"/>
  <c r="H66" i="85"/>
  <c r="G66" i="85"/>
  <c r="AP66" i="85" s="1"/>
  <c r="F66" i="85"/>
  <c r="E66" i="85"/>
  <c r="Y65" i="85"/>
  <c r="X65" i="85"/>
  <c r="W65" i="85"/>
  <c r="V65" i="85"/>
  <c r="U65" i="85"/>
  <c r="T65" i="85"/>
  <c r="S65" i="85"/>
  <c r="R65" i="85"/>
  <c r="Q65" i="85"/>
  <c r="P65" i="85"/>
  <c r="O65" i="85"/>
  <c r="N65" i="85"/>
  <c r="M65" i="85"/>
  <c r="L65" i="85"/>
  <c r="K65" i="85"/>
  <c r="J65" i="85"/>
  <c r="I65" i="85"/>
  <c r="H65" i="85"/>
  <c r="G65" i="85"/>
  <c r="F65" i="85"/>
  <c r="E65" i="85"/>
  <c r="Y62" i="85"/>
  <c r="X62" i="85"/>
  <c r="W62" i="85"/>
  <c r="V62" i="85"/>
  <c r="U62" i="85"/>
  <c r="T62" i="85"/>
  <c r="S62" i="85"/>
  <c r="R62" i="85"/>
  <c r="Q62" i="85"/>
  <c r="P62" i="85"/>
  <c r="O62" i="85"/>
  <c r="N62" i="85"/>
  <c r="M62" i="85"/>
  <c r="L62" i="85"/>
  <c r="K62" i="85"/>
  <c r="J62" i="85"/>
  <c r="I62" i="85"/>
  <c r="H62" i="85"/>
  <c r="G62" i="85"/>
  <c r="F62" i="85"/>
  <c r="E62" i="85"/>
  <c r="B62" i="85"/>
  <c r="AT57" i="85"/>
  <c r="AU56" i="85"/>
  <c r="AU55" i="85"/>
  <c r="AU51" i="85"/>
  <c r="AU50" i="85"/>
  <c r="AU41" i="85"/>
  <c r="AU40" i="85"/>
  <c r="AU36" i="85"/>
  <c r="E31" i="85"/>
  <c r="A29" i="85"/>
  <c r="A32" i="85" s="1"/>
  <c r="A33" i="85" s="1"/>
  <c r="A34" i="85" s="1"/>
  <c r="A35"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F16" i="85"/>
  <c r="F15" i="85"/>
  <c r="D13" i="85"/>
  <c r="F12" i="85"/>
  <c r="E12" i="85"/>
  <c r="D12" i="85"/>
  <c r="F11" i="85"/>
  <c r="F13" i="85" s="1"/>
  <c r="E11" i="85"/>
  <c r="D11" i="85"/>
  <c r="AS57" i="85" l="1"/>
  <c r="D18" i="77" l="1"/>
  <c r="F18" i="77" l="1"/>
  <c r="D19" i="77"/>
  <c r="F8" i="84"/>
  <c r="J8" i="84" s="1"/>
  <c r="E17" i="84" l="1"/>
  <c r="E9" i="84"/>
  <c r="E19" i="84" l="1"/>
  <c r="F66" i="74"/>
  <c r="G65" i="74"/>
  <c r="Y62" i="74"/>
  <c r="X62" i="74"/>
  <c r="W62" i="74"/>
  <c r="V62" i="74"/>
  <c r="U62" i="74"/>
  <c r="T62" i="74"/>
  <c r="S62" i="74"/>
  <c r="R62" i="74"/>
  <c r="Q62" i="74"/>
  <c r="P62" i="74"/>
  <c r="O62" i="74"/>
  <c r="N62" i="74"/>
  <c r="M62" i="74"/>
  <c r="L62" i="74"/>
  <c r="K62" i="74"/>
  <c r="J62" i="74"/>
  <c r="I62" i="74"/>
  <c r="H62" i="74"/>
  <c r="G62" i="74"/>
  <c r="F62" i="74"/>
  <c r="G16" i="74" l="1"/>
  <c r="G15" i="74"/>
  <c r="G12" i="74"/>
  <c r="G11" i="74"/>
  <c r="G13" i="74"/>
  <c r="E32" i="69" l="1"/>
  <c r="F16" i="76" l="1"/>
  <c r="F15" i="76"/>
  <c r="F12" i="76"/>
  <c r="F11" i="76"/>
  <c r="E12" i="76"/>
  <c r="E11" i="76"/>
  <c r="D12" i="76"/>
  <c r="D11" i="76"/>
  <c r="F25" i="77"/>
  <c r="E6" i="77" l="1"/>
  <c r="W62" i="80" l="1"/>
  <c r="S62" i="80"/>
  <c r="P62" i="80"/>
  <c r="O62" i="80"/>
  <c r="L62" i="80"/>
  <c r="K62" i="80"/>
  <c r="H62" i="80"/>
  <c r="G62" i="80"/>
  <c r="Y62" i="80"/>
  <c r="X62" i="80"/>
  <c r="V62" i="80"/>
  <c r="U62" i="80"/>
  <c r="T62" i="80"/>
  <c r="R62" i="80"/>
  <c r="Q62" i="80"/>
  <c r="N62" i="80"/>
  <c r="M62" i="80"/>
  <c r="J62" i="80"/>
  <c r="I62" i="80"/>
  <c r="F62" i="80"/>
  <c r="E62" i="80"/>
  <c r="B62" i="80"/>
  <c r="AT56" i="80"/>
  <c r="AT55" i="80"/>
  <c r="AT51" i="80"/>
  <c r="AT50" i="80"/>
  <c r="AT41" i="80"/>
  <c r="AT40" i="80"/>
  <c r="A40" i="80"/>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T36" i="80"/>
  <c r="A34" i="80"/>
  <c r="A35" i="80" s="1"/>
  <c r="A37" i="80" s="1"/>
  <c r="A38" i="80" s="1"/>
  <c r="A39" i="80" s="1"/>
  <c r="A29" i="80"/>
  <c r="AS57" i="80"/>
  <c r="M9" i="80"/>
  <c r="M10" i="80" s="1"/>
  <c r="M11" i="80" s="1"/>
  <c r="M12" i="80" s="1"/>
  <c r="M13" i="80" s="1"/>
  <c r="M14" i="80" s="1"/>
  <c r="M15" i="80" s="1"/>
  <c r="M16" i="80" s="1"/>
  <c r="M17" i="80" s="1"/>
  <c r="M18" i="80" s="1"/>
  <c r="M19" i="80" s="1"/>
  <c r="J13" i="80"/>
  <c r="H13" i="80"/>
  <c r="F13" i="80"/>
  <c r="D13" i="80"/>
  <c r="M8" i="80"/>
  <c r="X62" i="79"/>
  <c r="W62" i="79"/>
  <c r="V62" i="79"/>
  <c r="T62" i="79"/>
  <c r="S62" i="79"/>
  <c r="P62" i="79"/>
  <c r="O62" i="79"/>
  <c r="N62" i="79"/>
  <c r="L62" i="79"/>
  <c r="J62" i="79"/>
  <c r="H62" i="79"/>
  <c r="G62" i="79"/>
  <c r="Y62" i="79"/>
  <c r="U62" i="79"/>
  <c r="R62" i="79"/>
  <c r="Q62" i="79"/>
  <c r="M62" i="79"/>
  <c r="K62" i="79"/>
  <c r="I62" i="79"/>
  <c r="E62" i="79"/>
  <c r="B62" i="79"/>
  <c r="A29" i="79"/>
  <c r="A32" i="79" s="1"/>
  <c r="A33" i="79" s="1"/>
  <c r="A34" i="79" s="1"/>
  <c r="A35"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F58" i="79"/>
  <c r="AI27" i="79"/>
  <c r="Q13" i="79"/>
  <c r="J13" i="79"/>
  <c r="H13" i="79"/>
  <c r="F13" i="79"/>
  <c r="D13" i="79"/>
  <c r="Q12" i="79"/>
  <c r="Q11" i="79"/>
  <c r="Q10" i="79"/>
  <c r="Q9" i="79"/>
  <c r="Q8" i="79"/>
  <c r="T27" i="80" l="1"/>
  <c r="M27" i="79"/>
  <c r="M57" i="79" s="1"/>
  <c r="F27" i="79"/>
  <c r="F57" i="79" s="1"/>
  <c r="AO27" i="80"/>
  <c r="AO57" i="80" s="1"/>
  <c r="Q27" i="79"/>
  <c r="Q57" i="79" s="1"/>
  <c r="U27" i="79"/>
  <c r="U57" i="79" s="1"/>
  <c r="AC27" i="79"/>
  <c r="AC57" i="79" s="1"/>
  <c r="AG27" i="79"/>
  <c r="AG57" i="79" s="1"/>
  <c r="I27" i="79"/>
  <c r="I57" i="79" s="1"/>
  <c r="Y27" i="79"/>
  <c r="Y57" i="79" s="1"/>
  <c r="X58" i="79"/>
  <c r="AP66" i="79"/>
  <c r="K27" i="79"/>
  <c r="K57" i="79" s="1"/>
  <c r="S27" i="79"/>
  <c r="S57" i="79" s="1"/>
  <c r="AA27" i="79"/>
  <c r="AA57" i="79" s="1"/>
  <c r="AK27" i="79"/>
  <c r="AK57" i="79" s="1"/>
  <c r="AP66" i="80"/>
  <c r="E27" i="79"/>
  <c r="G27" i="79"/>
  <c r="G57" i="79" s="1"/>
  <c r="O27" i="79"/>
  <c r="O57" i="79" s="1"/>
  <c r="W27" i="79"/>
  <c r="W57" i="79" s="1"/>
  <c r="AE27" i="79"/>
  <c r="AE57" i="79" s="1"/>
  <c r="H58" i="79"/>
  <c r="F62" i="79"/>
  <c r="AI57" i="79"/>
  <c r="J27" i="79"/>
  <c r="N27" i="79"/>
  <c r="R27" i="79"/>
  <c r="V27" i="79"/>
  <c r="Z27" i="79"/>
  <c r="AD27" i="79"/>
  <c r="AH27" i="79"/>
  <c r="AL27" i="79"/>
  <c r="L58" i="79"/>
  <c r="AB58" i="79"/>
  <c r="AQ58" i="80"/>
  <c r="AM58" i="80"/>
  <c r="AI58" i="80"/>
  <c r="AE58" i="80"/>
  <c r="AA58" i="80"/>
  <c r="W58" i="80"/>
  <c r="S58" i="80"/>
  <c r="O58" i="80"/>
  <c r="K58" i="80"/>
  <c r="G58" i="80"/>
  <c r="AP58" i="80"/>
  <c r="AL58" i="80"/>
  <c r="AH58" i="80"/>
  <c r="AD58" i="80"/>
  <c r="Z58" i="80"/>
  <c r="V58" i="80"/>
  <c r="R58" i="80"/>
  <c r="N58" i="80"/>
  <c r="J58" i="80"/>
  <c r="F58" i="80"/>
  <c r="AS58" i="80"/>
  <c r="AS59" i="80" s="1"/>
  <c r="AS60" i="80" s="1"/>
  <c r="AO58" i="80"/>
  <c r="AK58" i="80"/>
  <c r="AG58" i="80"/>
  <c r="AC58" i="80"/>
  <c r="Y58" i="80"/>
  <c r="U58" i="80"/>
  <c r="Q58" i="80"/>
  <c r="M58" i="80"/>
  <c r="I58" i="80"/>
  <c r="E58" i="80"/>
  <c r="AJ58" i="80"/>
  <c r="T58" i="80"/>
  <c r="AQ27" i="80"/>
  <c r="AM27" i="80"/>
  <c r="AI27" i="80"/>
  <c r="AE27" i="80"/>
  <c r="AA27" i="80"/>
  <c r="W27" i="80"/>
  <c r="S27" i="80"/>
  <c r="O27" i="80"/>
  <c r="K27" i="80"/>
  <c r="G27" i="80"/>
  <c r="AF58" i="80"/>
  <c r="P58" i="80"/>
  <c r="AR58" i="80"/>
  <c r="AB58" i="80"/>
  <c r="L58" i="80"/>
  <c r="AN27" i="80"/>
  <c r="AH27" i="80"/>
  <c r="AC27" i="80"/>
  <c r="X27" i="80"/>
  <c r="R27" i="80"/>
  <c r="M27" i="80"/>
  <c r="H27" i="80"/>
  <c r="N5" i="80"/>
  <c r="AN58" i="80"/>
  <c r="AR27" i="80"/>
  <c r="AL27" i="80"/>
  <c r="AG27" i="80"/>
  <c r="AB27" i="80"/>
  <c r="V27" i="80"/>
  <c r="Q27" i="80"/>
  <c r="L27" i="80"/>
  <c r="F27" i="80"/>
  <c r="X58" i="80"/>
  <c r="AP27" i="80"/>
  <c r="AK27" i="80"/>
  <c r="AF27" i="80"/>
  <c r="Z27" i="80"/>
  <c r="U27" i="80"/>
  <c r="P27" i="80"/>
  <c r="J27" i="80"/>
  <c r="Y27" i="80"/>
  <c r="P58" i="79"/>
  <c r="I27" i="80"/>
  <c r="AD27" i="80"/>
  <c r="H58" i="80"/>
  <c r="E57" i="79"/>
  <c r="E47" i="79"/>
  <c r="T57" i="80"/>
  <c r="AM58" i="79"/>
  <c r="AI58" i="79"/>
  <c r="AI59" i="79" s="1"/>
  <c r="AI60" i="79" s="1"/>
  <c r="AE58" i="79"/>
  <c r="AE59" i="79" s="1"/>
  <c r="AE60" i="79" s="1"/>
  <c r="AA58" i="79"/>
  <c r="AA59" i="79" s="1"/>
  <c r="AA60" i="79" s="1"/>
  <c r="W58" i="79"/>
  <c r="S58" i="79"/>
  <c r="S59" i="79" s="1"/>
  <c r="S60" i="79" s="1"/>
  <c r="O58" i="79"/>
  <c r="K58" i="79"/>
  <c r="G58" i="79"/>
  <c r="G59" i="79" s="1"/>
  <c r="G60" i="79" s="1"/>
  <c r="AL58" i="79"/>
  <c r="AH58" i="79"/>
  <c r="AD58" i="79"/>
  <c r="Z58" i="79"/>
  <c r="V58" i="79"/>
  <c r="R58" i="79"/>
  <c r="N58" i="79"/>
  <c r="J58" i="79"/>
  <c r="F58" i="79"/>
  <c r="AK58" i="79"/>
  <c r="AG58" i="79"/>
  <c r="AG59" i="79" s="1"/>
  <c r="AG60" i="79" s="1"/>
  <c r="AC58" i="79"/>
  <c r="AC59" i="79" s="1"/>
  <c r="AC60" i="79" s="1"/>
  <c r="Y58" i="79"/>
  <c r="Y59" i="79" s="1"/>
  <c r="Y60" i="79" s="1"/>
  <c r="U58" i="79"/>
  <c r="U59" i="79" s="1"/>
  <c r="U60" i="79" s="1"/>
  <c r="Q58" i="79"/>
  <c r="M58" i="79"/>
  <c r="M59" i="79" s="1"/>
  <c r="M60" i="79" s="1"/>
  <c r="I58" i="79"/>
  <c r="E58" i="79"/>
  <c r="H27" i="79"/>
  <c r="L27" i="79"/>
  <c r="P27" i="79"/>
  <c r="T27" i="79"/>
  <c r="X27" i="79"/>
  <c r="AB27" i="79"/>
  <c r="AF27" i="79"/>
  <c r="AJ27" i="79"/>
  <c r="T58" i="79"/>
  <c r="AJ58" i="79"/>
  <c r="N27" i="80"/>
  <c r="AJ27" i="80"/>
  <c r="I59" i="79" l="1"/>
  <c r="I60" i="79" s="1"/>
  <c r="F59" i="79"/>
  <c r="F60" i="79" s="1"/>
  <c r="W59" i="79"/>
  <c r="W60" i="79" s="1"/>
  <c r="AO59" i="80"/>
  <c r="AO60" i="80" s="1"/>
  <c r="F47" i="79"/>
  <c r="Q59" i="79"/>
  <c r="Q60" i="79" s="1"/>
  <c r="K59" i="79"/>
  <c r="K60" i="79" s="1"/>
  <c r="E59" i="79"/>
  <c r="E60" i="79" s="1"/>
  <c r="F49" i="79" s="1"/>
  <c r="AK59" i="79"/>
  <c r="AK60" i="79" s="1"/>
  <c r="O59" i="79"/>
  <c r="O60" i="79" s="1"/>
  <c r="I57" i="80"/>
  <c r="I59" i="80" s="1"/>
  <c r="I60" i="80" s="1"/>
  <c r="Y57" i="80"/>
  <c r="Y59" i="80" s="1"/>
  <c r="Y60" i="80" s="1"/>
  <c r="L57" i="80"/>
  <c r="L59" i="80" s="1"/>
  <c r="L60" i="80" s="1"/>
  <c r="R57" i="80"/>
  <c r="AE57" i="80"/>
  <c r="AE59" i="80" s="1"/>
  <c r="AE60" i="80" s="1"/>
  <c r="R57" i="79"/>
  <c r="R59" i="79" s="1"/>
  <c r="R60" i="79" s="1"/>
  <c r="AB57" i="79"/>
  <c r="L57" i="79"/>
  <c r="L59" i="79" s="1"/>
  <c r="L60" i="79" s="1"/>
  <c r="G47" i="79"/>
  <c r="J57" i="80"/>
  <c r="AF57" i="80"/>
  <c r="Q57" i="80"/>
  <c r="Q59" i="80" s="1"/>
  <c r="Q60" i="80" s="1"/>
  <c r="AL57" i="80"/>
  <c r="N19" i="80"/>
  <c r="N17" i="80"/>
  <c r="N16" i="80"/>
  <c r="N15" i="80"/>
  <c r="N13" i="80"/>
  <c r="N11" i="80"/>
  <c r="N9" i="80"/>
  <c r="N18" i="80"/>
  <c r="N14" i="80"/>
  <c r="N12" i="80"/>
  <c r="N10" i="80"/>
  <c r="N8" i="80"/>
  <c r="X57" i="80"/>
  <c r="X59" i="80" s="1"/>
  <c r="X60" i="80" s="1"/>
  <c r="AF59" i="80"/>
  <c r="AF60" i="80" s="1"/>
  <c r="S57" i="80"/>
  <c r="S59" i="80" s="1"/>
  <c r="S60" i="80" s="1"/>
  <c r="AI57" i="80"/>
  <c r="AI59" i="80" s="1"/>
  <c r="AI60" i="80" s="1"/>
  <c r="R59" i="80"/>
  <c r="R60" i="80" s="1"/>
  <c r="AB59" i="79"/>
  <c r="AB60" i="79" s="1"/>
  <c r="AD57" i="79"/>
  <c r="N57" i="79"/>
  <c r="N59" i="79" s="1"/>
  <c r="N60" i="79" s="1"/>
  <c r="Z57" i="80"/>
  <c r="Z59" i="80" s="1"/>
  <c r="Z60" i="80" s="1"/>
  <c r="AG57" i="80"/>
  <c r="AG59" i="80" s="1"/>
  <c r="AG60" i="80" s="1"/>
  <c r="H57" i="79"/>
  <c r="H59" i="79" s="1"/>
  <c r="H60" i="79" s="1"/>
  <c r="P57" i="80"/>
  <c r="P59" i="80" s="1"/>
  <c r="P60" i="80" s="1"/>
  <c r="AK57" i="80"/>
  <c r="V57" i="80"/>
  <c r="V59" i="80" s="1"/>
  <c r="V60" i="80" s="1"/>
  <c r="AR57" i="80"/>
  <c r="AR59" i="80" s="1"/>
  <c r="AR60" i="80" s="1"/>
  <c r="H57" i="80"/>
  <c r="H59" i="80" s="1"/>
  <c r="H60" i="80" s="1"/>
  <c r="AC57" i="80"/>
  <c r="AC59" i="80" s="1"/>
  <c r="AC60" i="80" s="1"/>
  <c r="G57" i="80"/>
  <c r="G59" i="80" s="1"/>
  <c r="G60" i="80" s="1"/>
  <c r="W57" i="80"/>
  <c r="W59" i="80" s="1"/>
  <c r="W60" i="80" s="1"/>
  <c r="AM57" i="80"/>
  <c r="AL59" i="80"/>
  <c r="AL60" i="80" s="1"/>
  <c r="Z57" i="79"/>
  <c r="Z59" i="79" s="1"/>
  <c r="Z60" i="79" s="1"/>
  <c r="J57" i="79"/>
  <c r="AF57" i="79"/>
  <c r="AF59" i="79" s="1"/>
  <c r="AF60" i="79" s="1"/>
  <c r="P57" i="79"/>
  <c r="P59" i="79" s="1"/>
  <c r="P60" i="79" s="1"/>
  <c r="AN57" i="80"/>
  <c r="AN59" i="80" s="1"/>
  <c r="AN60" i="80" s="1"/>
  <c r="O57" i="80"/>
  <c r="O59" i="80" s="1"/>
  <c r="O60" i="80" s="1"/>
  <c r="AH57" i="79"/>
  <c r="AH59" i="79" s="1"/>
  <c r="AH60" i="79" s="1"/>
  <c r="AJ57" i="80"/>
  <c r="AJ59" i="80" s="1"/>
  <c r="AJ60" i="80" s="1"/>
  <c r="X57" i="79"/>
  <c r="X59" i="79" s="1"/>
  <c r="X60" i="79" s="1"/>
  <c r="J59" i="79"/>
  <c r="J60" i="79" s="1"/>
  <c r="N57" i="80"/>
  <c r="N59" i="80" s="1"/>
  <c r="N60" i="80" s="1"/>
  <c r="AJ57" i="79"/>
  <c r="AJ59" i="79" s="1"/>
  <c r="AJ60" i="79" s="1"/>
  <c r="T57" i="79"/>
  <c r="T59" i="79" s="1"/>
  <c r="T60" i="79" s="1"/>
  <c r="AD59" i="79"/>
  <c r="AD60" i="79" s="1"/>
  <c r="AD57" i="80"/>
  <c r="AD59" i="80" s="1"/>
  <c r="AD60" i="80" s="1"/>
  <c r="U57" i="80"/>
  <c r="U59" i="80" s="1"/>
  <c r="U60" i="80" s="1"/>
  <c r="AP57" i="80"/>
  <c r="AP59" i="80" s="1"/>
  <c r="AP60" i="80" s="1"/>
  <c r="F57" i="80"/>
  <c r="F59" i="80" s="1"/>
  <c r="F60" i="80" s="1"/>
  <c r="AB57" i="80"/>
  <c r="AB59" i="80" s="1"/>
  <c r="AB60" i="80" s="1"/>
  <c r="M57" i="80"/>
  <c r="M59" i="80" s="1"/>
  <c r="M60" i="80" s="1"/>
  <c r="AH57" i="80"/>
  <c r="AH59" i="80" s="1"/>
  <c r="AH60" i="80" s="1"/>
  <c r="K57" i="80"/>
  <c r="K59" i="80" s="1"/>
  <c r="K60" i="80" s="1"/>
  <c r="AA57" i="80"/>
  <c r="AA59" i="80" s="1"/>
  <c r="AA60" i="80" s="1"/>
  <c r="AQ57" i="80"/>
  <c r="AQ59" i="80" s="1"/>
  <c r="AQ60" i="80" s="1"/>
  <c r="T59" i="80"/>
  <c r="T60" i="80" s="1"/>
  <c r="AT58" i="80"/>
  <c r="AK59" i="80"/>
  <c r="AK60" i="80" s="1"/>
  <c r="J59" i="80"/>
  <c r="J60" i="80" s="1"/>
  <c r="AM59" i="80"/>
  <c r="AM60" i="80" s="1"/>
  <c r="AL57" i="79"/>
  <c r="AL59" i="79" s="1"/>
  <c r="AL60" i="79" s="1"/>
  <c r="V57" i="79"/>
  <c r="V59" i="79" s="1"/>
  <c r="V60" i="79" s="1"/>
  <c r="AM27" i="79"/>
  <c r="I49" i="79" l="1"/>
  <c r="E49" i="79"/>
  <c r="G49" i="79"/>
  <c r="G33" i="79" s="1"/>
  <c r="F48" i="79"/>
  <c r="G48" i="79"/>
  <c r="J49" i="79"/>
  <c r="E48" i="79"/>
  <c r="F34" i="79"/>
  <c r="F52" i="79" s="1"/>
  <c r="F53" i="79" s="1"/>
  <c r="F29" i="79" s="1"/>
  <c r="F33" i="79"/>
  <c r="V49" i="79"/>
  <c r="P49" i="79"/>
  <c r="P34" i="79" s="1"/>
  <c r="P52" i="79" s="1"/>
  <c r="T49" i="79"/>
  <c r="T34" i="79" s="1"/>
  <c r="T52" i="79" s="1"/>
  <c r="R49" i="79"/>
  <c r="V34" i="79"/>
  <c r="V52" i="79" s="1"/>
  <c r="V33" i="79"/>
  <c r="V35" i="79" s="1"/>
  <c r="AH49" i="79"/>
  <c r="Z49" i="79"/>
  <c r="J34" i="79"/>
  <c r="J52" i="79" s="1"/>
  <c r="J33" i="79"/>
  <c r="R34" i="79"/>
  <c r="R52" i="79" s="1"/>
  <c r="R33" i="79"/>
  <c r="AL49" i="79"/>
  <c r="AJ49" i="79"/>
  <c r="X49" i="79"/>
  <c r="L49" i="79"/>
  <c r="AB49" i="79"/>
  <c r="AD49" i="79"/>
  <c r="AG49" i="79"/>
  <c r="AF49" i="79"/>
  <c r="AK49" i="79"/>
  <c r="AI49" i="79"/>
  <c r="K49" i="79"/>
  <c r="I33" i="79"/>
  <c r="I34" i="79"/>
  <c r="I52" i="79" s="1"/>
  <c r="AE49" i="79"/>
  <c r="N20" i="80"/>
  <c r="E27" i="80" s="1"/>
  <c r="U49" i="79"/>
  <c r="AA49" i="79"/>
  <c r="S49" i="79"/>
  <c r="AM57" i="79"/>
  <c r="AM59" i="79" s="1"/>
  <c r="AM60" i="79" s="1"/>
  <c r="AM49" i="79" s="1"/>
  <c r="AP27" i="79"/>
  <c r="M49" i="79"/>
  <c r="N49" i="79"/>
  <c r="Q49" i="79"/>
  <c r="L6" i="79"/>
  <c r="E34" i="79"/>
  <c r="E33" i="79"/>
  <c r="G34" i="79"/>
  <c r="G52" i="79" s="1"/>
  <c r="W49" i="79"/>
  <c r="Y49" i="79"/>
  <c r="O49" i="79"/>
  <c r="H49" i="79"/>
  <c r="AC49" i="79"/>
  <c r="AN27" i="79"/>
  <c r="AN28" i="79" s="1"/>
  <c r="T33" i="79" l="1"/>
  <c r="F35" i="79"/>
  <c r="I35" i="79"/>
  <c r="P33" i="79"/>
  <c r="P35" i="79" s="1"/>
  <c r="G53" i="79"/>
  <c r="G29" i="79" s="1"/>
  <c r="U33" i="79"/>
  <c r="U34" i="79"/>
  <c r="U52" i="79" s="1"/>
  <c r="J53" i="79"/>
  <c r="J29" i="79" s="1"/>
  <c r="Z34" i="79"/>
  <c r="Z52" i="79" s="1"/>
  <c r="Z33" i="79"/>
  <c r="Z35" i="79" s="1"/>
  <c r="AC34" i="79"/>
  <c r="AC52" i="79" s="1"/>
  <c r="AC33" i="79"/>
  <c r="AC35" i="79" s="1"/>
  <c r="Y34" i="79"/>
  <c r="Y52" i="79" s="1"/>
  <c r="Y33" i="79"/>
  <c r="E35" i="79"/>
  <c r="N34" i="79"/>
  <c r="N52" i="79" s="1"/>
  <c r="N33" i="79"/>
  <c r="E57" i="80"/>
  <c r="E47" i="80"/>
  <c r="AT27" i="80"/>
  <c r="K34" i="79"/>
  <c r="K52" i="79" s="1"/>
  <c r="K33" i="79"/>
  <c r="X34" i="79"/>
  <c r="X52" i="79" s="1"/>
  <c r="X33" i="79"/>
  <c r="R35" i="79"/>
  <c r="T35" i="79"/>
  <c r="P53" i="79"/>
  <c r="P29" i="79" s="1"/>
  <c r="Q34" i="79"/>
  <c r="Q52" i="79" s="1"/>
  <c r="Q33" i="79"/>
  <c r="AD34" i="79"/>
  <c r="AD52" i="79" s="1"/>
  <c r="AD33" i="79"/>
  <c r="E53" i="79"/>
  <c r="E29" i="79" s="1"/>
  <c r="E37" i="79" s="1"/>
  <c r="E52" i="79"/>
  <c r="S33" i="79"/>
  <c r="S34" i="79"/>
  <c r="S52" i="79" s="1"/>
  <c r="F37" i="79"/>
  <c r="AF34" i="79"/>
  <c r="AF52" i="79" s="1"/>
  <c r="AF33" i="79"/>
  <c r="AB34" i="79"/>
  <c r="AB52" i="79" s="1"/>
  <c r="AB33" i="79"/>
  <c r="AJ34" i="79"/>
  <c r="AJ52" i="79" s="1"/>
  <c r="AJ33" i="79"/>
  <c r="R53" i="79"/>
  <c r="R29" i="79" s="1"/>
  <c r="T53" i="79"/>
  <c r="T29" i="79" s="1"/>
  <c r="O34" i="79"/>
  <c r="O52" i="79" s="1"/>
  <c r="O33" i="79"/>
  <c r="W34" i="79"/>
  <c r="W52" i="79" s="1"/>
  <c r="W33" i="79"/>
  <c r="AM34" i="79"/>
  <c r="AM52" i="79" s="1"/>
  <c r="AM33" i="79"/>
  <c r="AE34" i="79"/>
  <c r="AE52" i="79" s="1"/>
  <c r="AE33" i="79"/>
  <c r="AI34" i="79"/>
  <c r="AI52" i="79" s="1"/>
  <c r="AI33" i="79"/>
  <c r="H34" i="79"/>
  <c r="H52" i="79" s="1"/>
  <c r="H33" i="79"/>
  <c r="G35" i="79"/>
  <c r="M34" i="79"/>
  <c r="M52" i="79" s="1"/>
  <c r="M33" i="79"/>
  <c r="AA34" i="79"/>
  <c r="AA52" i="79" s="1"/>
  <c r="AA33" i="79"/>
  <c r="I53" i="79"/>
  <c r="I29" i="79" s="1"/>
  <c r="I37" i="79" s="1"/>
  <c r="F54" i="79"/>
  <c r="AK34" i="79"/>
  <c r="AK52" i="79" s="1"/>
  <c r="AK33" i="79"/>
  <c r="AG34" i="79"/>
  <c r="AG52" i="79" s="1"/>
  <c r="AG33" i="79"/>
  <c r="L34" i="79"/>
  <c r="L52" i="79" s="1"/>
  <c r="L33" i="79"/>
  <c r="AL34" i="79"/>
  <c r="AL52" i="79" s="1"/>
  <c r="AL33" i="79"/>
  <c r="J35" i="79"/>
  <c r="AH34" i="79"/>
  <c r="AH52" i="79" s="1"/>
  <c r="AH33" i="79"/>
  <c r="AH35" i="79" s="1"/>
  <c r="V53" i="79"/>
  <c r="V29" i="79" s="1"/>
  <c r="V37" i="79" s="1"/>
  <c r="T54" i="79" l="1"/>
  <c r="R37" i="79"/>
  <c r="P37" i="79"/>
  <c r="K35" i="79"/>
  <c r="Y35" i="79"/>
  <c r="AL35" i="79"/>
  <c r="AG35" i="79"/>
  <c r="H35" i="79"/>
  <c r="AE35" i="79"/>
  <c r="W35" i="79"/>
  <c r="T37" i="79"/>
  <c r="T38" i="79" s="1"/>
  <c r="E54" i="79"/>
  <c r="Q35" i="79"/>
  <c r="N35" i="79"/>
  <c r="L35" i="79"/>
  <c r="AK35" i="79"/>
  <c r="I54" i="79"/>
  <c r="AI35" i="79"/>
  <c r="AM35" i="79"/>
  <c r="O35" i="79"/>
  <c r="AD35" i="79"/>
  <c r="S53" i="79"/>
  <c r="S29" i="79" s="1"/>
  <c r="AT57" i="80"/>
  <c r="E59" i="80"/>
  <c r="U53" i="79"/>
  <c r="U29" i="79" s="1"/>
  <c r="AL53" i="79"/>
  <c r="AL29" i="79" s="1"/>
  <c r="AL37" i="79" s="1"/>
  <c r="AL54" i="79"/>
  <c r="L53" i="79"/>
  <c r="L29" i="79" s="1"/>
  <c r="L37" i="79" s="1"/>
  <c r="AK53" i="79"/>
  <c r="AK29" i="79" s="1"/>
  <c r="AA35" i="79"/>
  <c r="AI53" i="79"/>
  <c r="AI29" i="79" s="1"/>
  <c r="AI37" i="79" s="1"/>
  <c r="AM53" i="79"/>
  <c r="AM29" i="79" s="1"/>
  <c r="AM37" i="79" s="1"/>
  <c r="O53" i="79"/>
  <c r="O29" i="79" s="1"/>
  <c r="AJ35" i="79"/>
  <c r="AF35" i="79"/>
  <c r="S35" i="79"/>
  <c r="AD53" i="79"/>
  <c r="AD29" i="79" s="1"/>
  <c r="X35" i="79"/>
  <c r="Y53" i="79"/>
  <c r="Y29" i="79" s="1"/>
  <c r="Y37" i="79" s="1"/>
  <c r="Z53" i="79"/>
  <c r="Z29" i="79" s="1"/>
  <c r="Z37" i="79" s="1"/>
  <c r="U35" i="79"/>
  <c r="M53" i="79"/>
  <c r="M29" i="79" s="1"/>
  <c r="AA53" i="79"/>
  <c r="AA29" i="79" s="1"/>
  <c r="AA37" i="79" s="1"/>
  <c r="AJ53" i="79"/>
  <c r="AJ29" i="79" s="1"/>
  <c r="AF53" i="79"/>
  <c r="AF29" i="79" s="1"/>
  <c r="P38" i="79"/>
  <c r="P39" i="79" s="1"/>
  <c r="P42" i="79" s="1"/>
  <c r="P45" i="79" s="1"/>
  <c r="X53" i="79"/>
  <c r="X29" i="79" s="1"/>
  <c r="N53" i="79"/>
  <c r="N29" i="79" s="1"/>
  <c r="N37" i="79" s="1"/>
  <c r="J37" i="79"/>
  <c r="G37" i="79"/>
  <c r="V38" i="79"/>
  <c r="V39" i="79" s="1"/>
  <c r="V42" i="79" s="1"/>
  <c r="V45" i="79" s="1"/>
  <c r="R38" i="79"/>
  <c r="R39" i="79" s="1"/>
  <c r="R42" i="79" s="1"/>
  <c r="R45" i="79" s="1"/>
  <c r="AB53" i="79"/>
  <c r="AB29" i="79" s="1"/>
  <c r="V54" i="79"/>
  <c r="AH53" i="79"/>
  <c r="AH29" i="79" s="1"/>
  <c r="AH37" i="79" s="1"/>
  <c r="AG53" i="79"/>
  <c r="AG29" i="79" s="1"/>
  <c r="AG37" i="79" s="1"/>
  <c r="I38" i="79"/>
  <c r="I39" i="79" s="1"/>
  <c r="I42" i="79" s="1"/>
  <c r="I45" i="79" s="1"/>
  <c r="M35" i="79"/>
  <c r="H53" i="79"/>
  <c r="H29" i="79" s="1"/>
  <c r="AE53" i="79"/>
  <c r="AE29" i="79" s="1"/>
  <c r="W53" i="79"/>
  <c r="W29" i="79" s="1"/>
  <c r="W37" i="79" s="1"/>
  <c r="R54" i="79"/>
  <c r="AB35" i="79"/>
  <c r="F38" i="79"/>
  <c r="F39" i="79" s="1"/>
  <c r="F42" i="79" s="1"/>
  <c r="F45" i="79" s="1"/>
  <c r="E38" i="79"/>
  <c r="E39" i="79" s="1"/>
  <c r="E42" i="79" s="1"/>
  <c r="E45" i="79" s="1"/>
  <c r="Q53" i="79"/>
  <c r="Q29" i="79" s="1"/>
  <c r="Q37" i="79" s="1"/>
  <c r="P54" i="79"/>
  <c r="K53" i="79"/>
  <c r="K29" i="79" s="1"/>
  <c r="AC53" i="79"/>
  <c r="AC29" i="79" s="1"/>
  <c r="AC37" i="79" s="1"/>
  <c r="J54" i="79"/>
  <c r="G54" i="79"/>
  <c r="E21" i="77"/>
  <c r="AF37" i="79" l="1"/>
  <c r="T39" i="79"/>
  <c r="T42" i="79" s="1"/>
  <c r="T45" i="79" s="1"/>
  <c r="AC54" i="79"/>
  <c r="K37" i="79"/>
  <c r="K54" i="79"/>
  <c r="H37" i="79"/>
  <c r="O37" i="79"/>
  <c r="O38" i="79" s="1"/>
  <c r="O39" i="79" s="1"/>
  <c r="O42" i="79" s="1"/>
  <c r="O45" i="79" s="1"/>
  <c r="AK37" i="79"/>
  <c r="AK38" i="79" s="1"/>
  <c r="AK39" i="79" s="1"/>
  <c r="AK42" i="79" s="1"/>
  <c r="AK45" i="79" s="1"/>
  <c r="AG54" i="79"/>
  <c r="AJ37" i="79"/>
  <c r="AD37" i="79"/>
  <c r="AD38" i="79" s="1"/>
  <c r="AD39" i="79" s="1"/>
  <c r="AD42" i="79" s="1"/>
  <c r="AD45" i="79" s="1"/>
  <c r="AM54" i="79"/>
  <c r="X37" i="79"/>
  <c r="X38" i="79" s="1"/>
  <c r="X39" i="79" s="1"/>
  <c r="X42" i="79" s="1"/>
  <c r="X45" i="79" s="1"/>
  <c r="AE37" i="79"/>
  <c r="Y54" i="79"/>
  <c r="W38" i="79"/>
  <c r="W39" i="79" s="1"/>
  <c r="W42" i="79" s="1"/>
  <c r="W45" i="79" s="1"/>
  <c r="AH38" i="79"/>
  <c r="AH39" i="79" s="1"/>
  <c r="AH42" i="79" s="1"/>
  <c r="AH45" i="79" s="1"/>
  <c r="E60" i="80"/>
  <c r="AT59" i="80"/>
  <c r="K38" i="79"/>
  <c r="K39" i="79" s="1"/>
  <c r="K42" i="79" s="1"/>
  <c r="K45" i="79" s="1"/>
  <c r="Q54" i="79"/>
  <c r="W54" i="79"/>
  <c r="H54" i="79"/>
  <c r="AG38" i="79"/>
  <c r="AG39" i="79" s="1"/>
  <c r="AG42" i="79" s="1"/>
  <c r="AG45" i="79" s="1"/>
  <c r="J38" i="79"/>
  <c r="J39" i="79" s="1"/>
  <c r="J42" i="79" s="1"/>
  <c r="J45" i="79" s="1"/>
  <c r="X54" i="79"/>
  <c r="AF54" i="79"/>
  <c r="AA54" i="79"/>
  <c r="Z38" i="79"/>
  <c r="Z39" i="79" s="1"/>
  <c r="Z42" i="79" s="1"/>
  <c r="Z45" i="79" s="1"/>
  <c r="AI38" i="79"/>
  <c r="AI39" i="79" s="1"/>
  <c r="AI42" i="79" s="1"/>
  <c r="AI45" i="79" s="1"/>
  <c r="AK54" i="79"/>
  <c r="AL38" i="79"/>
  <c r="AL39" i="79" s="1"/>
  <c r="AL42" i="79" s="1"/>
  <c r="AL45" i="79" s="1"/>
  <c r="H38" i="79"/>
  <c r="H39" i="79" s="1"/>
  <c r="H42" i="79" s="1"/>
  <c r="H45" i="79" s="1"/>
  <c r="AA38" i="79"/>
  <c r="AA39" i="79" s="1"/>
  <c r="AA42" i="79" s="1"/>
  <c r="AA45" i="79" s="1"/>
  <c r="AE38" i="79"/>
  <c r="AE39" i="79" s="1"/>
  <c r="AE42" i="79" s="1"/>
  <c r="AE45" i="79" s="1"/>
  <c r="AB37" i="79"/>
  <c r="AJ38" i="79"/>
  <c r="AJ39" i="79" s="1"/>
  <c r="AJ42" i="79" s="1"/>
  <c r="AJ45" i="79" s="1"/>
  <c r="M37" i="79"/>
  <c r="Z54" i="79"/>
  <c r="O54" i="79"/>
  <c r="AI54" i="79"/>
  <c r="L38" i="79"/>
  <c r="L39" i="79" s="1"/>
  <c r="L42" i="79" s="1"/>
  <c r="L45" i="79" s="1"/>
  <c r="U37" i="79"/>
  <c r="S37" i="79"/>
  <c r="Q38" i="79"/>
  <c r="Q39" i="79" s="1"/>
  <c r="Q42" i="79" s="1"/>
  <c r="Q45" i="79" s="1"/>
  <c r="G38" i="79"/>
  <c r="G39" i="79" s="1"/>
  <c r="G42" i="79" s="1"/>
  <c r="G45" i="79" s="1"/>
  <c r="AF38" i="79"/>
  <c r="AF39" i="79" s="1"/>
  <c r="AF42" i="79" s="1"/>
  <c r="AF45" i="79" s="1"/>
  <c r="N38" i="79"/>
  <c r="N39" i="79" s="1"/>
  <c r="N42" i="79" s="1"/>
  <c r="N45" i="79" s="1"/>
  <c r="AC38" i="79"/>
  <c r="AC39" i="79" s="1"/>
  <c r="AC42" i="79" s="1"/>
  <c r="AC45" i="79" s="1"/>
  <c r="AE54" i="79"/>
  <c r="AH54" i="79"/>
  <c r="AB54" i="79"/>
  <c r="N54" i="79"/>
  <c r="AJ54" i="79"/>
  <c r="M54" i="79"/>
  <c r="Y38" i="79"/>
  <c r="Y39" i="79" s="1"/>
  <c r="Y42" i="79" s="1"/>
  <c r="Y45" i="79" s="1"/>
  <c r="AD54" i="79"/>
  <c r="AM38" i="79"/>
  <c r="AM39" i="79" s="1"/>
  <c r="AM42" i="79" s="1"/>
  <c r="AM45" i="79" s="1"/>
  <c r="L54" i="79"/>
  <c r="U54" i="79"/>
  <c r="S54" i="79"/>
  <c r="AT60" i="80" l="1"/>
  <c r="E48" i="80"/>
  <c r="O49" i="80"/>
  <c r="G49" i="80"/>
  <c r="P49" i="80"/>
  <c r="Y49" i="80"/>
  <c r="AM49" i="80"/>
  <c r="AR49" i="80"/>
  <c r="T49" i="80"/>
  <c r="AH49" i="80"/>
  <c r="AG49" i="80"/>
  <c r="AD49" i="80"/>
  <c r="AI49" i="80"/>
  <c r="V49" i="80"/>
  <c r="J49" i="80"/>
  <c r="L49" i="80"/>
  <c r="AE49" i="80"/>
  <c r="AS49" i="80"/>
  <c r="AO49" i="80"/>
  <c r="N49" i="80"/>
  <c r="AA49" i="80"/>
  <c r="AN49" i="80"/>
  <c r="AL49" i="80"/>
  <c r="H49" i="80"/>
  <c r="AQ49" i="80"/>
  <c r="E49" i="80"/>
  <c r="AK49" i="80"/>
  <c r="M49" i="80"/>
  <c r="Z49" i="80"/>
  <c r="AF49" i="80"/>
  <c r="AP49" i="80"/>
  <c r="AJ49" i="80"/>
  <c r="U49" i="80"/>
  <c r="R49" i="80"/>
  <c r="AB49" i="80"/>
  <c r="Q49" i="80"/>
  <c r="K49" i="80"/>
  <c r="F49" i="80"/>
  <c r="S49" i="80"/>
  <c r="X49" i="80"/>
  <c r="W49" i="80"/>
  <c r="I49" i="80"/>
  <c r="AC49" i="80"/>
  <c r="AB38" i="79"/>
  <c r="AB39" i="79" s="1"/>
  <c r="AB42" i="79" s="1"/>
  <c r="AB45" i="79" s="1"/>
  <c r="S38" i="79"/>
  <c r="S39" i="79" s="1"/>
  <c r="S42" i="79" s="1"/>
  <c r="S45" i="79" s="1"/>
  <c r="U38" i="79"/>
  <c r="U39" i="79" s="1"/>
  <c r="U42" i="79" s="1"/>
  <c r="U45" i="79" s="1"/>
  <c r="M38" i="79"/>
  <c r="M39" i="79" s="1"/>
  <c r="M42" i="79" s="1"/>
  <c r="M45" i="79" s="1"/>
  <c r="E31" i="76"/>
  <c r="Q34" i="80" l="1"/>
  <c r="Q52" i="80" s="1"/>
  <c r="Q33" i="80"/>
  <c r="Q35" i="80" s="1"/>
  <c r="H33" i="80"/>
  <c r="H34" i="80"/>
  <c r="H52" i="80" s="1"/>
  <c r="AR34" i="80"/>
  <c r="AR52" i="80" s="1"/>
  <c r="AR33" i="80"/>
  <c r="AR35" i="80" s="1"/>
  <c r="S34" i="80"/>
  <c r="S52" i="80" s="1"/>
  <c r="S33" i="80"/>
  <c r="S35" i="80" s="1"/>
  <c r="AB34" i="80"/>
  <c r="AB52" i="80" s="1"/>
  <c r="AB33" i="80"/>
  <c r="AB35" i="80" s="1"/>
  <c r="AP33" i="80"/>
  <c r="AP34" i="80"/>
  <c r="AP52" i="80" s="1"/>
  <c r="AK34" i="80"/>
  <c r="AK52" i="80" s="1"/>
  <c r="AK33" i="80"/>
  <c r="AK35" i="80" s="1"/>
  <c r="AL33" i="80"/>
  <c r="AL34" i="80"/>
  <c r="AL52" i="80" s="1"/>
  <c r="AO34" i="80"/>
  <c r="AO52" i="80" s="1"/>
  <c r="AO33" i="80"/>
  <c r="AO35" i="80" s="1"/>
  <c r="J33" i="80"/>
  <c r="J34" i="80"/>
  <c r="J52" i="80" s="1"/>
  <c r="AG34" i="80"/>
  <c r="AG52" i="80" s="1"/>
  <c r="AG33" i="80"/>
  <c r="AG35" i="80" s="1"/>
  <c r="AM34" i="80"/>
  <c r="AM52" i="80" s="1"/>
  <c r="AM33" i="80"/>
  <c r="AM35" i="80" s="1"/>
  <c r="O34" i="80"/>
  <c r="O52" i="80" s="1"/>
  <c r="O33" i="80"/>
  <c r="O35" i="80" s="1"/>
  <c r="X33" i="80"/>
  <c r="X34" i="80"/>
  <c r="X52" i="80" s="1"/>
  <c r="M34" i="80"/>
  <c r="M52" i="80" s="1"/>
  <c r="M33" i="80"/>
  <c r="M35" i="80" s="1"/>
  <c r="L34" i="80"/>
  <c r="L52" i="80" s="1"/>
  <c r="L33" i="80"/>
  <c r="L35" i="80" s="1"/>
  <c r="G34" i="80"/>
  <c r="G52" i="80" s="1"/>
  <c r="G33" i="80"/>
  <c r="G35" i="80" s="1"/>
  <c r="I34" i="80"/>
  <c r="I52" i="80" s="1"/>
  <c r="I33" i="80"/>
  <c r="I35" i="80" s="1"/>
  <c r="F33" i="80"/>
  <c r="F34" i="80"/>
  <c r="F52" i="80" s="1"/>
  <c r="R33" i="80"/>
  <c r="R34" i="80"/>
  <c r="R52" i="80" s="1"/>
  <c r="AF34" i="80"/>
  <c r="AF52" i="80" s="1"/>
  <c r="AF33" i="80"/>
  <c r="AF35" i="80" s="1"/>
  <c r="AT49" i="80"/>
  <c r="E34" i="80"/>
  <c r="E33" i="80"/>
  <c r="AN34" i="80"/>
  <c r="AN52" i="80" s="1"/>
  <c r="AN33" i="80"/>
  <c r="AS33" i="80"/>
  <c r="AS34" i="80"/>
  <c r="AS52" i="80" s="1"/>
  <c r="V33" i="80"/>
  <c r="V35" i="80" s="1"/>
  <c r="V34" i="80"/>
  <c r="V52" i="80" s="1"/>
  <c r="AH33" i="80"/>
  <c r="AH34" i="80"/>
  <c r="AH52" i="80" s="1"/>
  <c r="Y34" i="80"/>
  <c r="Y52" i="80" s="1"/>
  <c r="Y33" i="80"/>
  <c r="AJ34" i="80"/>
  <c r="AJ52" i="80" s="1"/>
  <c r="AJ33" i="80"/>
  <c r="N33" i="80"/>
  <c r="N35" i="80" s="1"/>
  <c r="N34" i="80"/>
  <c r="N52" i="80" s="1"/>
  <c r="AD33" i="80"/>
  <c r="AD34" i="80"/>
  <c r="AD52" i="80" s="1"/>
  <c r="AC34" i="80"/>
  <c r="AC52" i="80" s="1"/>
  <c r="AC33" i="80"/>
  <c r="W34" i="80"/>
  <c r="W52" i="80" s="1"/>
  <c r="W33" i="80"/>
  <c r="K34" i="80"/>
  <c r="K52" i="80" s="1"/>
  <c r="K33" i="80"/>
  <c r="U34" i="80"/>
  <c r="U52" i="80" s="1"/>
  <c r="U33" i="80"/>
  <c r="Z33" i="80"/>
  <c r="Z35" i="80" s="1"/>
  <c r="Z34" i="80"/>
  <c r="Z52" i="80" s="1"/>
  <c r="AQ34" i="80"/>
  <c r="AQ52" i="80" s="1"/>
  <c r="AQ33" i="80"/>
  <c r="AA34" i="80"/>
  <c r="AA52" i="80" s="1"/>
  <c r="AA33" i="80"/>
  <c r="AE34" i="80"/>
  <c r="AE52" i="80" s="1"/>
  <c r="AE33" i="80"/>
  <c r="AI34" i="80"/>
  <c r="AI52" i="80" s="1"/>
  <c r="AI33" i="80"/>
  <c r="T34" i="80"/>
  <c r="T52" i="80" s="1"/>
  <c r="T33" i="80"/>
  <c r="P34" i="80"/>
  <c r="P52" i="80" s="1"/>
  <c r="P33" i="80"/>
  <c r="F14" i="77"/>
  <c r="AD35" i="80" l="1"/>
  <c r="AH35" i="80"/>
  <c r="AS35" i="80"/>
  <c r="P35" i="80"/>
  <c r="AI35" i="80"/>
  <c r="AE53" i="80"/>
  <c r="AE29" i="80" s="1"/>
  <c r="W53" i="80"/>
  <c r="W29" i="80" s="1"/>
  <c r="E52" i="80"/>
  <c r="AT34" i="80"/>
  <c r="AL53" i="80"/>
  <c r="AL29" i="80" s="1"/>
  <c r="H53" i="80"/>
  <c r="H29" i="80" s="1"/>
  <c r="H54" i="80"/>
  <c r="AA35" i="80"/>
  <c r="Z53" i="80"/>
  <c r="Z29" i="80" s="1"/>
  <c r="Z37" i="80" s="1"/>
  <c r="K35" i="80"/>
  <c r="AC35" i="80"/>
  <c r="N53" i="80"/>
  <c r="N29" i="80" s="1"/>
  <c r="N37" i="80" s="1"/>
  <c r="Y35" i="80"/>
  <c r="V53" i="80"/>
  <c r="V29" i="80" s="1"/>
  <c r="V37" i="80" s="1"/>
  <c r="V54" i="80"/>
  <c r="AN35" i="80"/>
  <c r="R35" i="80"/>
  <c r="I53" i="80"/>
  <c r="I29" i="80" s="1"/>
  <c r="I37" i="80" s="1"/>
  <c r="L53" i="80"/>
  <c r="L29" i="80" s="1"/>
  <c r="L37" i="80" s="1"/>
  <c r="X35" i="80"/>
  <c r="AM53" i="80"/>
  <c r="AM29" i="80" s="1"/>
  <c r="AM37" i="80" s="1"/>
  <c r="J35" i="80"/>
  <c r="AL35" i="80"/>
  <c r="AP35" i="80"/>
  <c r="S53" i="80"/>
  <c r="S29" i="80" s="1"/>
  <c r="S37" i="80" s="1"/>
  <c r="H35" i="80"/>
  <c r="AQ53" i="80"/>
  <c r="AQ29" i="80" s="1"/>
  <c r="AJ53" i="80"/>
  <c r="AJ29" i="80" s="1"/>
  <c r="R53" i="80"/>
  <c r="R29" i="80" s="1"/>
  <c r="X53" i="80"/>
  <c r="X29" i="80" s="1"/>
  <c r="AP53" i="80"/>
  <c r="AP29" i="80" s="1"/>
  <c r="P53" i="80"/>
  <c r="P29" i="80" s="1"/>
  <c r="AA53" i="80"/>
  <c r="AA29" i="80" s="1"/>
  <c r="K53" i="80"/>
  <c r="K29" i="80" s="1"/>
  <c r="AN53" i="80"/>
  <c r="AN29" i="80" s="1"/>
  <c r="F53" i="80"/>
  <c r="F29" i="80" s="1"/>
  <c r="T53" i="80"/>
  <c r="T29" i="80" s="1"/>
  <c r="U53" i="80"/>
  <c r="U29" i="80" s="1"/>
  <c r="J53" i="80"/>
  <c r="J29" i="80" s="1"/>
  <c r="J37" i="80" s="1"/>
  <c r="AI53" i="80"/>
  <c r="AI29" i="80" s="1"/>
  <c r="AI37" i="80" s="1"/>
  <c r="AC53" i="80"/>
  <c r="AC29" i="80" s="1"/>
  <c r="Y53" i="80"/>
  <c r="Y29" i="80" s="1"/>
  <c r="T35" i="80"/>
  <c r="AE35" i="80"/>
  <c r="AQ35" i="80"/>
  <c r="U35" i="80"/>
  <c r="W35" i="80"/>
  <c r="AD53" i="80"/>
  <c r="AD29" i="80" s="1"/>
  <c r="AD37" i="80" s="1"/>
  <c r="AJ35" i="80"/>
  <c r="AH53" i="80"/>
  <c r="AH29" i="80" s="1"/>
  <c r="AH37" i="80" s="1"/>
  <c r="AS53" i="80"/>
  <c r="AS29" i="80" s="1"/>
  <c r="AS37" i="80" s="1"/>
  <c r="AT33" i="80"/>
  <c r="E35" i="80"/>
  <c r="AF53" i="80"/>
  <c r="AF29" i="80" s="1"/>
  <c r="AF37" i="80" s="1"/>
  <c r="F35" i="80"/>
  <c r="G53" i="80"/>
  <c r="G29" i="80" s="1"/>
  <c r="G37" i="80" s="1"/>
  <c r="M53" i="80"/>
  <c r="M29" i="80" s="1"/>
  <c r="M37" i="80" s="1"/>
  <c r="O53" i="80"/>
  <c r="O29" i="80" s="1"/>
  <c r="O37" i="80" s="1"/>
  <c r="AG53" i="80"/>
  <c r="AG29" i="80" s="1"/>
  <c r="AG37" i="80" s="1"/>
  <c r="AO53" i="80"/>
  <c r="AO29" i="80" s="1"/>
  <c r="AO37" i="80" s="1"/>
  <c r="AK53" i="80"/>
  <c r="AK29" i="80" s="1"/>
  <c r="AK37" i="80" s="1"/>
  <c r="AB53" i="80"/>
  <c r="AB29" i="80" s="1"/>
  <c r="AB37" i="80" s="1"/>
  <c r="AR53" i="80"/>
  <c r="AR29" i="80" s="1"/>
  <c r="AR37" i="80" s="1"/>
  <c r="Q53" i="80"/>
  <c r="Q29" i="80" s="1"/>
  <c r="Q37" i="80" s="1"/>
  <c r="P37" i="80" l="1"/>
  <c r="AN37" i="80"/>
  <c r="Y37" i="80"/>
  <c r="AC37" i="80"/>
  <c r="AA37" i="80"/>
  <c r="R37" i="80"/>
  <c r="R38" i="80" s="1"/>
  <c r="R39" i="80" s="1"/>
  <c r="R42" i="80" s="1"/>
  <c r="R45" i="80" s="1"/>
  <c r="S54" i="80"/>
  <c r="AS54" i="80"/>
  <c r="AE54" i="80"/>
  <c r="O54" i="80"/>
  <c r="AC54" i="80"/>
  <c r="U54" i="80"/>
  <c r="K37" i="80"/>
  <c r="X37" i="80"/>
  <c r="L54" i="80"/>
  <c r="AB54" i="80"/>
  <c r="G54" i="80"/>
  <c r="AQ37" i="80"/>
  <c r="AQ38" i="80" s="1"/>
  <c r="AQ39" i="80" s="1"/>
  <c r="AQ42" i="80" s="1"/>
  <c r="AQ45" i="80" s="1"/>
  <c r="AL54" i="80"/>
  <c r="W54" i="80"/>
  <c r="AR54" i="80"/>
  <c r="AD54" i="80"/>
  <c r="Y54" i="80"/>
  <c r="AJ54" i="80"/>
  <c r="AP37" i="80"/>
  <c r="AG38" i="80"/>
  <c r="AG39" i="80" s="1"/>
  <c r="AG42" i="80" s="1"/>
  <c r="AG45" i="80" s="1"/>
  <c r="AN38" i="80"/>
  <c r="AN39" i="80" s="1"/>
  <c r="AN42" i="80" s="1"/>
  <c r="AN45" i="80" s="1"/>
  <c r="AM38" i="80"/>
  <c r="AM39" i="80" s="1"/>
  <c r="AM42" i="80" s="1"/>
  <c r="AM45" i="80" s="1"/>
  <c r="Z38" i="80"/>
  <c r="Z39" i="80" s="1"/>
  <c r="Z42" i="80" s="1"/>
  <c r="Z45" i="80" s="1"/>
  <c r="AR38" i="80"/>
  <c r="AR39" i="80" s="1"/>
  <c r="AR42" i="80" s="1"/>
  <c r="AR45" i="80" s="1"/>
  <c r="AK54" i="80"/>
  <c r="AG54" i="80"/>
  <c r="M54" i="80"/>
  <c r="AF54" i="80"/>
  <c r="AS38" i="80"/>
  <c r="AS39" i="80" s="1"/>
  <c r="AS42" i="80" s="1"/>
  <c r="AS45" i="80" s="1"/>
  <c r="Y38" i="80"/>
  <c r="Y39" i="80" s="1"/>
  <c r="Y42" i="80" s="1"/>
  <c r="Y45" i="80" s="1"/>
  <c r="AI54" i="80"/>
  <c r="U37" i="80"/>
  <c r="F54" i="80"/>
  <c r="K54" i="80"/>
  <c r="P54" i="80"/>
  <c r="X54" i="80"/>
  <c r="I54" i="80"/>
  <c r="V38" i="80"/>
  <c r="V39" i="80" s="1"/>
  <c r="V42" i="80" s="1"/>
  <c r="V45" i="80" s="1"/>
  <c r="AL37" i="80"/>
  <c r="W37" i="80"/>
  <c r="AK38" i="80"/>
  <c r="AK39" i="80" s="1"/>
  <c r="AK42" i="80" s="1"/>
  <c r="AK45" i="80" s="1"/>
  <c r="J38" i="80"/>
  <c r="J39" i="80" s="1"/>
  <c r="J42" i="80" s="1"/>
  <c r="J45" i="80" s="1"/>
  <c r="I38" i="80"/>
  <c r="I39" i="80" s="1"/>
  <c r="I42" i="80" s="1"/>
  <c r="I45" i="80" s="1"/>
  <c r="Q38" i="80"/>
  <c r="Q39" i="80" s="1"/>
  <c r="Q42" i="80" s="1"/>
  <c r="Q45" i="80" s="1"/>
  <c r="AF38" i="80"/>
  <c r="AF39" i="80" s="1"/>
  <c r="AF42" i="80" s="1"/>
  <c r="AF45" i="80" s="1"/>
  <c r="AI38" i="80"/>
  <c r="AI39" i="80" s="1"/>
  <c r="AI42" i="80" s="1"/>
  <c r="AI45" i="80" s="1"/>
  <c r="F37" i="80"/>
  <c r="K38" i="80"/>
  <c r="K39" i="80" s="1"/>
  <c r="K42" i="80" s="1"/>
  <c r="K45" i="80" s="1"/>
  <c r="P38" i="80"/>
  <c r="P39" i="80" s="1"/>
  <c r="P42" i="80" s="1"/>
  <c r="P45" i="80" s="1"/>
  <c r="X38" i="80"/>
  <c r="X39" i="80" s="1"/>
  <c r="X42" i="80" s="1"/>
  <c r="X45" i="80" s="1"/>
  <c r="AJ37" i="80"/>
  <c r="M38" i="80"/>
  <c r="M39" i="80" s="1"/>
  <c r="M42" i="80" s="1"/>
  <c r="M45" i="80" s="1"/>
  <c r="AH38" i="80"/>
  <c r="AH39" i="80" s="1"/>
  <c r="AH42" i="80" s="1"/>
  <c r="AH45" i="80" s="1"/>
  <c r="T37" i="80"/>
  <c r="AA38" i="80"/>
  <c r="AA39" i="80" s="1"/>
  <c r="AA42" i="80" s="1"/>
  <c r="AA45" i="80" s="1"/>
  <c r="N38" i="80"/>
  <c r="N39" i="80" s="1"/>
  <c r="N42" i="80" s="1"/>
  <c r="N45" i="80" s="1"/>
  <c r="AO38" i="80"/>
  <c r="AO39" i="80" s="1"/>
  <c r="AO42" i="80" s="1"/>
  <c r="AO45" i="80" s="1"/>
  <c r="Q54" i="80"/>
  <c r="AB38" i="80"/>
  <c r="AB39" i="80" s="1"/>
  <c r="AB42" i="80" s="1"/>
  <c r="AB45" i="80" s="1"/>
  <c r="AO54" i="80"/>
  <c r="O38" i="80"/>
  <c r="O39" i="80" s="1"/>
  <c r="O42" i="80" s="1"/>
  <c r="O45" i="80" s="1"/>
  <c r="G38" i="80"/>
  <c r="G39" i="80" s="1"/>
  <c r="G42" i="80" s="1"/>
  <c r="G45" i="80" s="1"/>
  <c r="AT35" i="80"/>
  <c r="AH54" i="80"/>
  <c r="AD38" i="80"/>
  <c r="AD39" i="80" s="1"/>
  <c r="AD42" i="80" s="1"/>
  <c r="AD45" i="80" s="1"/>
  <c r="AC38" i="80"/>
  <c r="AC39" i="80" s="1"/>
  <c r="AC42" i="80" s="1"/>
  <c r="AC45" i="80" s="1"/>
  <c r="J54" i="80"/>
  <c r="T54" i="80"/>
  <c r="AN54" i="80"/>
  <c r="AA54" i="80"/>
  <c r="AP54" i="80"/>
  <c r="R54" i="80"/>
  <c r="AQ54" i="80"/>
  <c r="S38" i="80"/>
  <c r="S39" i="80" s="1"/>
  <c r="S42" i="80" s="1"/>
  <c r="S45" i="80" s="1"/>
  <c r="AM54" i="80"/>
  <c r="L38" i="80"/>
  <c r="L39" i="80" s="1"/>
  <c r="L42" i="80" s="1"/>
  <c r="L45" i="80" s="1"/>
  <c r="N54" i="80"/>
  <c r="Z54" i="80"/>
  <c r="H37" i="80"/>
  <c r="AT52" i="80"/>
  <c r="E53" i="80"/>
  <c r="E54" i="80" s="1"/>
  <c r="AE37" i="80"/>
  <c r="AP38" i="80" l="1"/>
  <c r="AP39" i="80" s="1"/>
  <c r="AP42" i="80" s="1"/>
  <c r="AP45" i="80" s="1"/>
  <c r="AT54" i="80"/>
  <c r="AE38" i="80"/>
  <c r="AE39" i="80" s="1"/>
  <c r="AE42" i="80" s="1"/>
  <c r="AE45" i="80" s="1"/>
  <c r="H38" i="80"/>
  <c r="H39" i="80" s="1"/>
  <c r="H42" i="80" s="1"/>
  <c r="H45" i="80" s="1"/>
  <c r="W38" i="80"/>
  <c r="W39" i="80" s="1"/>
  <c r="W42" i="80" s="1"/>
  <c r="W45" i="80" s="1"/>
  <c r="AT53" i="80"/>
  <c r="E29" i="80"/>
  <c r="T38" i="80"/>
  <c r="T39" i="80" s="1"/>
  <c r="T42" i="80" s="1"/>
  <c r="T45" i="80" s="1"/>
  <c r="F38" i="80"/>
  <c r="F39" i="80" s="1"/>
  <c r="F42" i="80" s="1"/>
  <c r="F45" i="80" s="1"/>
  <c r="AL38" i="80"/>
  <c r="AL39" i="80" s="1"/>
  <c r="AL42" i="80" s="1"/>
  <c r="AL45" i="80" s="1"/>
  <c r="U38" i="80"/>
  <c r="U39" i="80" s="1"/>
  <c r="U42" i="80" s="1"/>
  <c r="U45" i="80" s="1"/>
  <c r="AJ38" i="80"/>
  <c r="AJ39" i="80" s="1"/>
  <c r="AJ42" i="80" s="1"/>
  <c r="AJ45" i="80" s="1"/>
  <c r="AT29" i="80" l="1"/>
  <c r="E37" i="80"/>
  <c r="AP66" i="76"/>
  <c r="Y66" i="76"/>
  <c r="X66" i="76"/>
  <c r="W66" i="76"/>
  <c r="V66" i="76"/>
  <c r="U66" i="76"/>
  <c r="T66" i="76"/>
  <c r="S66" i="76"/>
  <c r="R66" i="76"/>
  <c r="Q66" i="76"/>
  <c r="P66" i="76"/>
  <c r="O66" i="76"/>
  <c r="N66" i="76"/>
  <c r="M66" i="76"/>
  <c r="L66" i="76"/>
  <c r="K66" i="76"/>
  <c r="J66" i="76"/>
  <c r="I66" i="76"/>
  <c r="H66" i="76"/>
  <c r="G66" i="76"/>
  <c r="F66" i="76"/>
  <c r="E66" i="76"/>
  <c r="Y65" i="76"/>
  <c r="X65" i="76"/>
  <c r="W65" i="76"/>
  <c r="V65" i="76"/>
  <c r="U65" i="76"/>
  <c r="T65" i="76"/>
  <c r="S65" i="76"/>
  <c r="R65" i="76"/>
  <c r="Q65" i="76"/>
  <c r="P65" i="76"/>
  <c r="O65" i="76"/>
  <c r="N65" i="76"/>
  <c r="M65" i="76"/>
  <c r="L65" i="76"/>
  <c r="K65" i="76"/>
  <c r="J65" i="76"/>
  <c r="I65" i="76"/>
  <c r="H65" i="76"/>
  <c r="G65" i="76"/>
  <c r="F65" i="76"/>
  <c r="E65" i="76"/>
  <c r="Y62" i="76"/>
  <c r="X62" i="76"/>
  <c r="W62" i="76"/>
  <c r="V62" i="76"/>
  <c r="U62" i="76"/>
  <c r="T62" i="76"/>
  <c r="S62" i="76"/>
  <c r="R62" i="76"/>
  <c r="Q62" i="76"/>
  <c r="P62" i="76"/>
  <c r="O62" i="76"/>
  <c r="N62" i="76"/>
  <c r="M62" i="76"/>
  <c r="L62" i="76"/>
  <c r="K62" i="76"/>
  <c r="J62" i="76"/>
  <c r="I62" i="76"/>
  <c r="H62" i="76"/>
  <c r="G62" i="76"/>
  <c r="F62" i="76"/>
  <c r="E62" i="76"/>
  <c r="B62" i="76"/>
  <c r="AT57" i="76"/>
  <c r="AU56" i="76"/>
  <c r="AU55" i="76"/>
  <c r="AU51" i="76"/>
  <c r="AU50" i="76"/>
  <c r="A45" i="76"/>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U41" i="76"/>
  <c r="A41" i="76"/>
  <c r="A42" i="76" s="1"/>
  <c r="A43" i="76" s="1"/>
  <c r="A44" i="76" s="1"/>
  <c r="AU40" i="76"/>
  <c r="AU36" i="76"/>
  <c r="A29" i="76"/>
  <c r="A32" i="76" s="1"/>
  <c r="A33" i="76" s="1"/>
  <c r="A34" i="76" s="1"/>
  <c r="A35" i="76" s="1"/>
  <c r="A37" i="76" s="1"/>
  <c r="A38" i="76" s="1"/>
  <c r="A39" i="76" s="1"/>
  <c r="A40" i="76" s="1"/>
  <c r="F13" i="76"/>
  <c r="D13" i="76"/>
  <c r="E38" i="80" l="1"/>
  <c r="AT38" i="80" s="1"/>
  <c r="AT37" i="80"/>
  <c r="E39" i="80" l="1"/>
  <c r="AT39" i="80" s="1"/>
  <c r="E42" i="80" l="1"/>
  <c r="E45" i="80" s="1"/>
  <c r="Y65" i="74"/>
  <c r="X65" i="74"/>
  <c r="W65" i="74"/>
  <c r="V65" i="74"/>
  <c r="U65" i="74"/>
  <c r="T65" i="74"/>
  <c r="S65" i="74"/>
  <c r="R65" i="74"/>
  <c r="Q65" i="74"/>
  <c r="P65" i="74"/>
  <c r="O65" i="74"/>
  <c r="N65" i="74"/>
  <c r="M65" i="74"/>
  <c r="L65" i="74"/>
  <c r="K65" i="74"/>
  <c r="J65" i="74"/>
  <c r="I65" i="74"/>
  <c r="H65" i="74"/>
  <c r="F65" i="74"/>
  <c r="E65" i="74"/>
  <c r="E62" i="74"/>
  <c r="B62" i="74"/>
  <c r="AU56" i="74"/>
  <c r="AU55" i="74"/>
  <c r="AU51" i="74"/>
  <c r="AU50" i="74"/>
  <c r="AU41" i="74"/>
  <c r="AU40" i="74"/>
  <c r="AU36" i="74"/>
  <c r="A29" i="74"/>
  <c r="A32" i="74" s="1"/>
  <c r="A33" i="74" s="1"/>
  <c r="A34" i="74" s="1"/>
  <c r="A35"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F16" i="74"/>
  <c r="F13" i="74"/>
  <c r="D13" i="74"/>
  <c r="AT42" i="80" l="1"/>
  <c r="AV27" i="74" l="1"/>
  <c r="AS58" i="74"/>
  <c r="AS57" i="74" l="1"/>
  <c r="AS59" i="74" s="1"/>
  <c r="AS60" i="74" s="1"/>
  <c r="F27" i="74" l="1"/>
  <c r="G27" i="74"/>
  <c r="H27" i="74"/>
  <c r="X27" i="74"/>
  <c r="AN27" i="74"/>
  <c r="AK27" i="74"/>
  <c r="AD27" i="74"/>
  <c r="M27" i="74"/>
  <c r="AH27" i="74"/>
  <c r="S27" i="74"/>
  <c r="AI27" i="74"/>
  <c r="P27" i="74"/>
  <c r="AF27" i="74"/>
  <c r="U27" i="74"/>
  <c r="R27" i="74"/>
  <c r="AP27" i="74"/>
  <c r="Y27" i="74"/>
  <c r="N27" i="74"/>
  <c r="K27" i="74"/>
  <c r="AA27" i="74"/>
  <c r="I27" i="74"/>
  <c r="O27" i="74"/>
  <c r="L27" i="74"/>
  <c r="AB27" i="74"/>
  <c r="AR27" i="74"/>
  <c r="AO27" i="74"/>
  <c r="AL27" i="74"/>
  <c r="Q27" i="74"/>
  <c r="J27" i="74"/>
  <c r="W27" i="74"/>
  <c r="AM27" i="74"/>
  <c r="AQ27" i="74"/>
  <c r="T27" i="74"/>
  <c r="AJ27" i="74"/>
  <c r="AC27" i="74"/>
  <c r="Z27" i="74"/>
  <c r="AG27" i="74"/>
  <c r="V27" i="74"/>
  <c r="AE27" i="74"/>
  <c r="E27" i="74"/>
  <c r="AS57" i="76"/>
  <c r="V7" i="73"/>
  <c r="U7" i="73"/>
  <c r="T7" i="73"/>
  <c r="S7" i="73"/>
  <c r="R7" i="73"/>
  <c r="Q7" i="73"/>
  <c r="P7" i="73"/>
  <c r="O7" i="73"/>
  <c r="N7" i="73"/>
  <c r="M7" i="73"/>
  <c r="L7" i="73"/>
  <c r="K7" i="73"/>
  <c r="J7" i="73"/>
  <c r="I7" i="73"/>
  <c r="H7" i="73"/>
  <c r="G7" i="73"/>
  <c r="F7" i="73"/>
  <c r="E7" i="73"/>
  <c r="D7" i="73"/>
  <c r="C7" i="73"/>
  <c r="B7" i="73"/>
  <c r="W7" i="73" s="1"/>
  <c r="V6" i="73"/>
  <c r="Y66" i="74" s="1"/>
  <c r="U6" i="73"/>
  <c r="X66" i="74" s="1"/>
  <c r="T6" i="73"/>
  <c r="W66" i="74" s="1"/>
  <c r="S6" i="73"/>
  <c r="V66" i="74" s="1"/>
  <c r="R6" i="73"/>
  <c r="U66" i="74" s="1"/>
  <c r="Q6" i="73"/>
  <c r="T66" i="74" s="1"/>
  <c r="P6" i="73"/>
  <c r="S66" i="74" s="1"/>
  <c r="O6" i="73"/>
  <c r="R66" i="74" s="1"/>
  <c r="N6" i="73"/>
  <c r="Q66" i="74" s="1"/>
  <c r="M6" i="73"/>
  <c r="P66" i="74" s="1"/>
  <c r="L6" i="73"/>
  <c r="O66" i="74" s="1"/>
  <c r="K6" i="73"/>
  <c r="N66" i="74" s="1"/>
  <c r="J6" i="73"/>
  <c r="M66" i="74" s="1"/>
  <c r="I6" i="73"/>
  <c r="L66" i="74" s="1"/>
  <c r="H6" i="73"/>
  <c r="K66" i="74" s="1"/>
  <c r="G6" i="73"/>
  <c r="J66" i="74" s="1"/>
  <c r="F6" i="73"/>
  <c r="I66" i="74" s="1"/>
  <c r="E6" i="73"/>
  <c r="H66" i="74" s="1"/>
  <c r="D6" i="73"/>
  <c r="G66" i="74" s="1"/>
  <c r="C6" i="73"/>
  <c r="B6" i="73"/>
  <c r="E66" i="74" s="1"/>
  <c r="W5" i="73"/>
  <c r="A14" i="69"/>
  <c r="A17" i="69" s="1"/>
  <c r="A18" i="69" s="1"/>
  <c r="A19" i="69" s="1"/>
  <c r="A20"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F47" i="69"/>
  <c r="AP66" i="74" l="1"/>
  <c r="W6" i="73"/>
  <c r="AM58" i="74" l="1"/>
  <c r="W58" i="74"/>
  <c r="G58" i="74"/>
  <c r="AD58" i="74"/>
  <c r="N58" i="74"/>
  <c r="AO58" i="74"/>
  <c r="Y58" i="74"/>
  <c r="I58" i="74"/>
  <c r="AR58" i="74"/>
  <c r="X58" i="74"/>
  <c r="H58" i="74"/>
  <c r="V58" i="74"/>
  <c r="Q58" i="74"/>
  <c r="AA58" i="74"/>
  <c r="AH58" i="74"/>
  <c r="AT58" i="74"/>
  <c r="M58" i="74"/>
  <c r="AJ58" i="74"/>
  <c r="AI58" i="74"/>
  <c r="S58" i="74"/>
  <c r="AP58" i="74"/>
  <c r="Z58" i="74"/>
  <c r="J58" i="74"/>
  <c r="AK58" i="74"/>
  <c r="U58" i="74"/>
  <c r="E58" i="74"/>
  <c r="AB58" i="74"/>
  <c r="T58" i="74"/>
  <c r="AE58" i="74"/>
  <c r="O58" i="74"/>
  <c r="AL58" i="74"/>
  <c r="F58" i="74"/>
  <c r="AG58" i="74"/>
  <c r="AF58" i="74"/>
  <c r="L58" i="74"/>
  <c r="AQ58" i="74"/>
  <c r="K58" i="74"/>
  <c r="R58" i="74"/>
  <c r="AC58" i="74"/>
  <c r="P58" i="74"/>
  <c r="AN58" i="74"/>
  <c r="AU58" i="74" l="1"/>
  <c r="AA57" i="74" l="1"/>
  <c r="AA59" i="74" s="1"/>
  <c r="AA60" i="74" s="1"/>
  <c r="I57" i="74"/>
  <c r="I59" i="74" s="1"/>
  <c r="I60" i="74" s="1"/>
  <c r="U57" i="74"/>
  <c r="U59" i="74" s="1"/>
  <c r="U60" i="74" s="1"/>
  <c r="AL57" i="74"/>
  <c r="AL59" i="74" s="1"/>
  <c r="AL60" i="74" s="1"/>
  <c r="V57" i="74"/>
  <c r="V59" i="74" s="1"/>
  <c r="V60" i="74" s="1"/>
  <c r="AI57" i="74"/>
  <c r="AI59" i="74" s="1"/>
  <c r="AI60" i="74" s="1"/>
  <c r="AH57" i="74"/>
  <c r="AH59" i="74" s="1"/>
  <c r="AH60" i="74" s="1"/>
  <c r="AN57" i="74"/>
  <c r="AN59" i="74" s="1"/>
  <c r="AN60" i="74" s="1"/>
  <c r="AM57" i="74"/>
  <c r="AM59" i="74" s="1"/>
  <c r="AM60" i="74" s="1"/>
  <c r="AJ57" i="74"/>
  <c r="AJ59" i="74" s="1"/>
  <c r="AJ60" i="74" s="1"/>
  <c r="AQ57" i="74"/>
  <c r="AQ59" i="74" s="1"/>
  <c r="AQ60" i="74" s="1"/>
  <c r="X57" i="74"/>
  <c r="X59" i="74" s="1"/>
  <c r="X60" i="74" s="1"/>
  <c r="W57" i="74"/>
  <c r="W59" i="74" s="1"/>
  <c r="W60" i="74" s="1"/>
  <c r="AB57" i="74"/>
  <c r="AB59" i="74" s="1"/>
  <c r="AB60" i="74" s="1"/>
  <c r="Z57" i="74"/>
  <c r="Z59" i="74" s="1"/>
  <c r="Z60" i="74" s="1"/>
  <c r="AP57" i="74"/>
  <c r="AP59" i="74" s="1"/>
  <c r="AP60" i="74" s="1"/>
  <c r="M57" i="74"/>
  <c r="M59" i="74" s="1"/>
  <c r="M60" i="74" s="1"/>
  <c r="AF57" i="74"/>
  <c r="AF59" i="74" s="1"/>
  <c r="AF60" i="74" s="1"/>
  <c r="Y57" i="74"/>
  <c r="Y59" i="74" s="1"/>
  <c r="Y60" i="74" s="1"/>
  <c r="R57" i="74"/>
  <c r="R59" i="74" s="1"/>
  <c r="R60" i="74" s="1"/>
  <c r="AO57" i="74"/>
  <c r="AO59" i="74" s="1"/>
  <c r="AO60" i="74" s="1"/>
  <c r="L57" i="74"/>
  <c r="L59" i="74" s="1"/>
  <c r="L60" i="74" s="1"/>
  <c r="S57" i="74"/>
  <c r="S59" i="74" s="1"/>
  <c r="S60" i="74" s="1"/>
  <c r="AG57" i="74"/>
  <c r="AG59" i="74" s="1"/>
  <c r="AG60" i="74" s="1"/>
  <c r="F57" i="74" l="1"/>
  <c r="F59" i="74" s="1"/>
  <c r="F60" i="74" s="1"/>
  <c r="J57" i="74"/>
  <c r="J59" i="74" s="1"/>
  <c r="J60" i="74" s="1"/>
  <c r="AK57" i="74"/>
  <c r="AK59" i="74" s="1"/>
  <c r="AK60" i="74" s="1"/>
  <c r="AD57" i="74"/>
  <c r="AD59" i="74" s="1"/>
  <c r="AD60" i="74" s="1"/>
  <c r="H57" i="74"/>
  <c r="H59" i="74" s="1"/>
  <c r="H60" i="74" s="1"/>
  <c r="AT57" i="74"/>
  <c r="AT59" i="74" s="1"/>
  <c r="AT60" i="74" s="1"/>
  <c r="P57" i="74"/>
  <c r="P59" i="74" s="1"/>
  <c r="P60" i="74" s="1"/>
  <c r="AC57" i="74"/>
  <c r="AC59" i="74" s="1"/>
  <c r="AC60" i="74" s="1"/>
  <c r="AR57" i="74"/>
  <c r="AR59" i="74" s="1"/>
  <c r="AR60" i="74" s="1"/>
  <c r="O57" i="74"/>
  <c r="O59" i="74" s="1"/>
  <c r="O60" i="74" s="1"/>
  <c r="N57" i="74"/>
  <c r="N59" i="74" s="1"/>
  <c r="N60" i="74" s="1"/>
  <c r="G57" i="74"/>
  <c r="G59" i="74" s="1"/>
  <c r="G60" i="74" s="1"/>
  <c r="K57" i="74"/>
  <c r="K59" i="74" s="1"/>
  <c r="K60" i="74" s="1"/>
  <c r="T57" i="74"/>
  <c r="T59" i="74" s="1"/>
  <c r="T60" i="74" s="1"/>
  <c r="AE57" i="74"/>
  <c r="AE59" i="74" s="1"/>
  <c r="AE60" i="74" s="1"/>
  <c r="Q57" i="74"/>
  <c r="Q59" i="74" s="1"/>
  <c r="Q60" i="74" s="1"/>
  <c r="E47" i="74" l="1"/>
  <c r="AU27" i="74"/>
  <c r="E57" i="74"/>
  <c r="AU57" i="74" l="1"/>
  <c r="E59" i="74"/>
  <c r="E60" i="74" s="1"/>
  <c r="AU59" i="74" l="1"/>
  <c r="AS49" i="74" l="1"/>
  <c r="AU60" i="74"/>
  <c r="E48" i="74"/>
  <c r="N49" i="74"/>
  <c r="AD49" i="74"/>
  <c r="W49" i="74"/>
  <c r="S49" i="74"/>
  <c r="V49" i="74"/>
  <c r="R49" i="74"/>
  <c r="K49" i="74"/>
  <c r="AT49" i="74"/>
  <c r="T49" i="74"/>
  <c r="AC49" i="74"/>
  <c r="P49" i="74"/>
  <c r="J49" i="74"/>
  <c r="I49" i="74"/>
  <c r="Y49" i="74"/>
  <c r="AF49" i="74"/>
  <c r="AE49" i="74"/>
  <c r="AA49" i="74"/>
  <c r="AP49" i="74"/>
  <c r="Q49" i="74"/>
  <c r="AR49" i="74"/>
  <c r="AB49" i="74"/>
  <c r="AJ49" i="74"/>
  <c r="AG49" i="74"/>
  <c r="O49" i="74"/>
  <c r="U49" i="74"/>
  <c r="AN49" i="74"/>
  <c r="Z49" i="74"/>
  <c r="M49" i="74"/>
  <c r="AH49" i="74"/>
  <c r="L49" i="74"/>
  <c r="E49" i="74"/>
  <c r="AQ49" i="74"/>
  <c r="AK49" i="74"/>
  <c r="AI49" i="74"/>
  <c r="AL49" i="74"/>
  <c r="AO49" i="74"/>
  <c r="H49" i="74"/>
  <c r="X49" i="74"/>
  <c r="G49" i="74"/>
  <c r="G33" i="74" s="1"/>
  <c r="AM49" i="74"/>
  <c r="F49" i="74"/>
  <c r="F32" i="74" l="1"/>
  <c r="F33" i="74"/>
  <c r="AO34" i="74"/>
  <c r="AO52" i="74" s="1"/>
  <c r="AO53" i="74" s="1"/>
  <c r="AO33" i="74"/>
  <c r="AR34" i="74"/>
  <c r="AR52" i="74" s="1"/>
  <c r="AR53" i="74" s="1"/>
  <c r="AR33" i="74"/>
  <c r="J34" i="74"/>
  <c r="J52" i="74" s="1"/>
  <c r="J53" i="74" s="1"/>
  <c r="J33" i="74"/>
  <c r="S34" i="74"/>
  <c r="S52" i="74" s="1"/>
  <c r="S53" i="74" s="1"/>
  <c r="S33" i="74"/>
  <c r="G34" i="74"/>
  <c r="G52" i="74" s="1"/>
  <c r="G53" i="74" s="1"/>
  <c r="AL34" i="74"/>
  <c r="AL52" i="74" s="1"/>
  <c r="AL53" i="74" s="1"/>
  <c r="AL33" i="74"/>
  <c r="Z34" i="74"/>
  <c r="Z52" i="74" s="1"/>
  <c r="Z53" i="74" s="1"/>
  <c r="Z33" i="74"/>
  <c r="AG34" i="74"/>
  <c r="AG52" i="74" s="1"/>
  <c r="AG53" i="74" s="1"/>
  <c r="AG33" i="74"/>
  <c r="Q34" i="74"/>
  <c r="Q52" i="74" s="1"/>
  <c r="Q53" i="74" s="1"/>
  <c r="Q33" i="74"/>
  <c r="AF34" i="74"/>
  <c r="AF52" i="74" s="1"/>
  <c r="AF53" i="74" s="1"/>
  <c r="AF33" i="74"/>
  <c r="P34" i="74"/>
  <c r="P52" i="74" s="1"/>
  <c r="P53" i="74" s="1"/>
  <c r="P33" i="74"/>
  <c r="K34" i="74"/>
  <c r="K52" i="74" s="1"/>
  <c r="K53" i="74" s="1"/>
  <c r="K33" i="74"/>
  <c r="W34" i="74"/>
  <c r="W52" i="74" s="1"/>
  <c r="W53" i="74" s="1"/>
  <c r="W33" i="74"/>
  <c r="AM34" i="74"/>
  <c r="AM52" i="74" s="1"/>
  <c r="AM53" i="74" s="1"/>
  <c r="AM33" i="74"/>
  <c r="M34" i="74"/>
  <c r="M52" i="74" s="1"/>
  <c r="M53" i="74" s="1"/>
  <c r="M33" i="74"/>
  <c r="AT34" i="74"/>
  <c r="AT52" i="74" s="1"/>
  <c r="AT53" i="74" s="1"/>
  <c r="AT33" i="74"/>
  <c r="X34" i="74"/>
  <c r="X52" i="74" s="1"/>
  <c r="X53" i="74" s="1"/>
  <c r="X33" i="74"/>
  <c r="AI34" i="74"/>
  <c r="AI52" i="74" s="1"/>
  <c r="AI53" i="74" s="1"/>
  <c r="AI33" i="74"/>
  <c r="L34" i="74"/>
  <c r="L52" i="74" s="1"/>
  <c r="L53" i="74" s="1"/>
  <c r="L33" i="74"/>
  <c r="AN34" i="74"/>
  <c r="AN52" i="74" s="1"/>
  <c r="AN53" i="74" s="1"/>
  <c r="AN33" i="74"/>
  <c r="AJ34" i="74"/>
  <c r="AJ52" i="74" s="1"/>
  <c r="AJ53" i="74" s="1"/>
  <c r="AJ33" i="74"/>
  <c r="AP34" i="74"/>
  <c r="AP52" i="74" s="1"/>
  <c r="AP53" i="74" s="1"/>
  <c r="AP33" i="74"/>
  <c r="Y34" i="74"/>
  <c r="Y52" i="74" s="1"/>
  <c r="Y53" i="74" s="1"/>
  <c r="Y33" i="74"/>
  <c r="AC34" i="74"/>
  <c r="AC52" i="74" s="1"/>
  <c r="AC53" i="74" s="1"/>
  <c r="AC33" i="74"/>
  <c r="R34" i="74"/>
  <c r="R52" i="74" s="1"/>
  <c r="R53" i="74" s="1"/>
  <c r="R33" i="74"/>
  <c r="AD34" i="74"/>
  <c r="AD52" i="74" s="1"/>
  <c r="AD53" i="74" s="1"/>
  <c r="AD33" i="74"/>
  <c r="AQ34" i="74"/>
  <c r="AQ52" i="74" s="1"/>
  <c r="AQ53" i="74" s="1"/>
  <c r="AQ33" i="74"/>
  <c r="O34" i="74"/>
  <c r="O52" i="74" s="1"/>
  <c r="O53" i="74" s="1"/>
  <c r="O33" i="74"/>
  <c r="AE34" i="74"/>
  <c r="AE52" i="74" s="1"/>
  <c r="AE53" i="74" s="1"/>
  <c r="AE33" i="74"/>
  <c r="F34" i="74"/>
  <c r="F52" i="74" s="1"/>
  <c r="F53" i="74" s="1"/>
  <c r="H34" i="74"/>
  <c r="H52" i="74" s="1"/>
  <c r="H53" i="74" s="1"/>
  <c r="H33" i="74"/>
  <c r="AK34" i="74"/>
  <c r="AK52" i="74" s="1"/>
  <c r="AK53" i="74" s="1"/>
  <c r="AK33" i="74"/>
  <c r="AH34" i="74"/>
  <c r="AH52" i="74" s="1"/>
  <c r="AH53" i="74" s="1"/>
  <c r="AH33" i="74"/>
  <c r="U34" i="74"/>
  <c r="U52" i="74" s="1"/>
  <c r="U53" i="74" s="1"/>
  <c r="U33" i="74"/>
  <c r="AB34" i="74"/>
  <c r="AB52" i="74" s="1"/>
  <c r="AB53" i="74" s="1"/>
  <c r="AB33" i="74"/>
  <c r="AA34" i="74"/>
  <c r="AA52" i="74" s="1"/>
  <c r="AA53" i="74" s="1"/>
  <c r="AA33" i="74"/>
  <c r="I34" i="74"/>
  <c r="I52" i="74" s="1"/>
  <c r="I53" i="74" s="1"/>
  <c r="I33" i="74"/>
  <c r="T34" i="74"/>
  <c r="T52" i="74" s="1"/>
  <c r="T53" i="74" s="1"/>
  <c r="T33" i="74"/>
  <c r="V34" i="74"/>
  <c r="V52" i="74" s="1"/>
  <c r="V53" i="74" s="1"/>
  <c r="V33" i="74"/>
  <c r="N34" i="74"/>
  <c r="N52" i="74" s="1"/>
  <c r="N53" i="74" s="1"/>
  <c r="N33" i="74"/>
  <c r="AS32" i="74"/>
  <c r="AS34" i="74"/>
  <c r="AS52" i="74" s="1"/>
  <c r="AS53" i="74" s="1"/>
  <c r="AS29" i="74" s="1"/>
  <c r="AS33" i="74"/>
  <c r="AK32" i="74"/>
  <c r="U32" i="74"/>
  <c r="AA32" i="74"/>
  <c r="T32" i="74"/>
  <c r="N32" i="74"/>
  <c r="AO32" i="74"/>
  <c r="M32" i="74"/>
  <c r="AR32" i="74"/>
  <c r="AT32" i="74"/>
  <c r="G32" i="74"/>
  <c r="X32" i="74"/>
  <c r="AI32" i="74"/>
  <c r="L32" i="74"/>
  <c r="AN32" i="74"/>
  <c r="AJ32" i="74"/>
  <c r="AP32" i="74"/>
  <c r="Y32" i="74"/>
  <c r="AC32" i="74"/>
  <c r="R32" i="74"/>
  <c r="AD32" i="74"/>
  <c r="H32" i="74"/>
  <c r="AH32" i="74"/>
  <c r="AB32" i="74"/>
  <c r="I32" i="74"/>
  <c r="V32" i="74"/>
  <c r="AM32" i="74"/>
  <c r="AQ32" i="74"/>
  <c r="O32" i="74"/>
  <c r="AE32" i="74"/>
  <c r="J32" i="74"/>
  <c r="S32" i="74"/>
  <c r="AL32" i="74"/>
  <c r="E32" i="74"/>
  <c r="AU49" i="74"/>
  <c r="E34" i="74"/>
  <c r="E33" i="74"/>
  <c r="Z32" i="74"/>
  <c r="AG32" i="74"/>
  <c r="Q32" i="74"/>
  <c r="AF32" i="74"/>
  <c r="P32" i="74"/>
  <c r="K32" i="74"/>
  <c r="W32" i="74"/>
  <c r="AS35" i="74" l="1"/>
  <c r="AS37" i="74" s="1"/>
  <c r="AS54" i="74"/>
  <c r="I35" i="74"/>
  <c r="N35" i="74"/>
  <c r="W35" i="74"/>
  <c r="P35" i="74"/>
  <c r="AB35" i="74"/>
  <c r="H35" i="74"/>
  <c r="AI35" i="74"/>
  <c r="G35" i="74"/>
  <c r="T35" i="74"/>
  <c r="Z29" i="74"/>
  <c r="AU32" i="74"/>
  <c r="E35" i="74"/>
  <c r="AH29" i="74"/>
  <c r="AC29" i="74"/>
  <c r="AR29" i="74"/>
  <c r="M29" i="74"/>
  <c r="AO29" i="74"/>
  <c r="U29" i="74"/>
  <c r="K35" i="74"/>
  <c r="Q29" i="74"/>
  <c r="AU33" i="74"/>
  <c r="AQ35" i="74"/>
  <c r="AD29" i="74"/>
  <c r="AJ35" i="74"/>
  <c r="X29" i="74"/>
  <c r="T29" i="74"/>
  <c r="AA35" i="74"/>
  <c r="P29" i="74"/>
  <c r="Q35" i="74"/>
  <c r="E52" i="74"/>
  <c r="AU34" i="74"/>
  <c r="S35" i="74"/>
  <c r="O29" i="74"/>
  <c r="AQ29" i="74"/>
  <c r="V35" i="74"/>
  <c r="AB29" i="74"/>
  <c r="F35" i="74"/>
  <c r="AD35" i="74"/>
  <c r="Y29" i="74"/>
  <c r="AP29" i="74"/>
  <c r="L35" i="74"/>
  <c r="AT29" i="74"/>
  <c r="AO35" i="74"/>
  <c r="N29" i="74"/>
  <c r="AG29" i="74"/>
  <c r="S29" i="74"/>
  <c r="AE29" i="74"/>
  <c r="V29" i="74"/>
  <c r="R29" i="74"/>
  <c r="AN29" i="74"/>
  <c r="AA29" i="74"/>
  <c r="W29" i="74"/>
  <c r="AF29" i="74"/>
  <c r="AL29" i="74"/>
  <c r="J35" i="74"/>
  <c r="AM29" i="74"/>
  <c r="R35" i="74"/>
  <c r="AP35" i="74"/>
  <c r="AI29" i="74"/>
  <c r="AR35" i="74"/>
  <c r="AK29" i="74"/>
  <c r="K29" i="74"/>
  <c r="AF35" i="74"/>
  <c r="AG35" i="74"/>
  <c r="Z35" i="74"/>
  <c r="AL35" i="74"/>
  <c r="J29" i="74"/>
  <c r="AE35" i="74"/>
  <c r="O35" i="74"/>
  <c r="AM35" i="74"/>
  <c r="I29" i="74"/>
  <c r="AH35" i="74"/>
  <c r="H29" i="74"/>
  <c r="F29" i="74"/>
  <c r="AC35" i="74"/>
  <c r="Y35" i="74"/>
  <c r="AJ29" i="74"/>
  <c r="AN35" i="74"/>
  <c r="L29" i="74"/>
  <c r="X35" i="74"/>
  <c r="G29" i="74"/>
  <c r="AT35" i="74"/>
  <c r="M35" i="74"/>
  <c r="U35" i="74"/>
  <c r="AK35" i="74"/>
  <c r="AS38" i="74" l="1"/>
  <c r="AS39" i="74" s="1"/>
  <c r="AS42" i="74" s="1"/>
  <c r="AS45" i="74" s="1"/>
  <c r="I37" i="74"/>
  <c r="I38" i="74" s="1"/>
  <c r="K37" i="74"/>
  <c r="AN54" i="74"/>
  <c r="AE37" i="74"/>
  <c r="P37" i="74"/>
  <c r="AO54" i="74"/>
  <c r="L37" i="74"/>
  <c r="AQ54" i="74"/>
  <c r="AD54" i="74"/>
  <c r="AL54" i="74"/>
  <c r="N54" i="74"/>
  <c r="AI37" i="74"/>
  <c r="W37" i="74"/>
  <c r="R37" i="74"/>
  <c r="U54" i="74"/>
  <c r="AT54" i="74"/>
  <c r="K54" i="74"/>
  <c r="W54" i="74"/>
  <c r="S54" i="74"/>
  <c r="N37" i="74"/>
  <c r="H37" i="74"/>
  <c r="T37" i="74"/>
  <c r="AC37" i="74"/>
  <c r="AJ54" i="74"/>
  <c r="J54" i="74"/>
  <c r="AA37" i="74"/>
  <c r="V54" i="74"/>
  <c r="AB37" i="74"/>
  <c r="X54" i="74"/>
  <c r="AH54" i="74"/>
  <c r="Z54" i="74"/>
  <c r="O37" i="74"/>
  <c r="G37" i="74"/>
  <c r="G38" i="74" s="1"/>
  <c r="J37" i="74"/>
  <c r="AM37" i="74"/>
  <c r="AF54" i="74"/>
  <c r="AA54" i="74"/>
  <c r="R54" i="74"/>
  <c r="AE54" i="74"/>
  <c r="AG54" i="74"/>
  <c r="AP54" i="74"/>
  <c r="AQ37" i="74"/>
  <c r="AQ38" i="74" s="1"/>
  <c r="T54" i="74"/>
  <c r="AR54" i="74"/>
  <c r="M37" i="74"/>
  <c r="AK37" i="74"/>
  <c r="AK38" i="74" s="1"/>
  <c r="G54" i="74"/>
  <c r="H54" i="74"/>
  <c r="AF37" i="74"/>
  <c r="AG37" i="74"/>
  <c r="AP37" i="74"/>
  <c r="AP38" i="74" s="1"/>
  <c r="Q37" i="74"/>
  <c r="U37" i="74"/>
  <c r="M54" i="74"/>
  <c r="AC54" i="74"/>
  <c r="AJ37" i="74"/>
  <c r="F54" i="74"/>
  <c r="AT37" i="74"/>
  <c r="Y37" i="74"/>
  <c r="P54" i="74"/>
  <c r="AD37" i="74"/>
  <c r="Q54" i="74"/>
  <c r="I39" i="74"/>
  <c r="I42" i="74" s="1"/>
  <c r="I45" i="74" s="1"/>
  <c r="AU35" i="74"/>
  <c r="AK54" i="74"/>
  <c r="L54" i="74"/>
  <c r="F37" i="74"/>
  <c r="I54" i="74"/>
  <c r="AI54" i="74"/>
  <c r="AM54" i="74"/>
  <c r="AL37" i="74"/>
  <c r="AL38" i="74" s="1"/>
  <c r="AN37" i="74"/>
  <c r="V37" i="74"/>
  <c r="V38" i="74" s="1"/>
  <c r="S37" i="74"/>
  <c r="Y54" i="74"/>
  <c r="AB54" i="74"/>
  <c r="O54" i="74"/>
  <c r="E53" i="74"/>
  <c r="AU52" i="74"/>
  <c r="X37" i="74"/>
  <c r="AO37" i="74"/>
  <c r="AR37" i="74"/>
  <c r="AR38" i="74" s="1"/>
  <c r="AH37" i="74"/>
  <c r="AH38" i="74" s="1"/>
  <c r="Z37" i="74"/>
  <c r="Z38" i="74" s="1"/>
  <c r="F17" i="69"/>
  <c r="F38" i="74" l="1"/>
  <c r="F39" i="74"/>
  <c r="F42" i="74" s="1"/>
  <c r="S38" i="74"/>
  <c r="S39" i="74" s="1"/>
  <c r="S42" i="74" s="1"/>
  <c r="S45" i="74" s="1"/>
  <c r="AT38" i="74"/>
  <c r="AT39" i="74" s="1"/>
  <c r="AT42" i="74" s="1"/>
  <c r="AT45" i="74" s="1"/>
  <c r="AG38" i="74"/>
  <c r="AG39" i="74" s="1"/>
  <c r="AG42" i="74" s="1"/>
  <c r="AG45" i="74" s="1"/>
  <c r="J38" i="74"/>
  <c r="J39" i="74" s="1"/>
  <c r="J42" i="74" s="1"/>
  <c r="J45" i="74" s="1"/>
  <c r="AA38" i="74"/>
  <c r="AA39" i="74" s="1"/>
  <c r="AA42" i="74" s="1"/>
  <c r="AA45" i="74" s="1"/>
  <c r="T38" i="74"/>
  <c r="T39" i="74" s="1"/>
  <c r="T42" i="74" s="1"/>
  <c r="T45" i="74" s="1"/>
  <c r="R38" i="74"/>
  <c r="R39" i="74" s="1"/>
  <c r="R42" i="74" s="1"/>
  <c r="R45" i="74" s="1"/>
  <c r="K38" i="74"/>
  <c r="K39" i="74" s="1"/>
  <c r="K42" i="74" s="1"/>
  <c r="K45" i="74" s="1"/>
  <c r="AO38" i="74"/>
  <c r="AO39" i="74" s="1"/>
  <c r="AO42" i="74" s="1"/>
  <c r="AO45" i="74" s="1"/>
  <c r="AD38" i="74"/>
  <c r="AD39" i="74" s="1"/>
  <c r="AD42" i="74" s="1"/>
  <c r="AD45" i="74" s="1"/>
  <c r="U38" i="74"/>
  <c r="U39" i="74" s="1"/>
  <c r="U42" i="74" s="1"/>
  <c r="U45" i="74" s="1"/>
  <c r="AF38" i="74"/>
  <c r="AF39" i="74" s="1"/>
  <c r="AF42" i="74" s="1"/>
  <c r="AF45" i="74" s="1"/>
  <c r="M38" i="74"/>
  <c r="M39" i="74" s="1"/>
  <c r="M42" i="74" s="1"/>
  <c r="M45" i="74" s="1"/>
  <c r="G39" i="74"/>
  <c r="G42" i="74" s="1"/>
  <c r="H38" i="74"/>
  <c r="H39" i="74" s="1"/>
  <c r="H42" i="74" s="1"/>
  <c r="H45" i="74" s="1"/>
  <c r="W38" i="74"/>
  <c r="W39" i="74" s="1"/>
  <c r="W42" i="74" s="1"/>
  <c r="W45" i="74" s="1"/>
  <c r="P38" i="74"/>
  <c r="P39" i="74" s="1"/>
  <c r="P42" i="74" s="1"/>
  <c r="P45" i="74" s="1"/>
  <c r="X38" i="74"/>
  <c r="X39" i="74" s="1"/>
  <c r="X42" i="74" s="1"/>
  <c r="X45" i="74" s="1"/>
  <c r="AN38" i="74"/>
  <c r="AN39" i="74" s="1"/>
  <c r="AN42" i="74" s="1"/>
  <c r="AN45" i="74" s="1"/>
  <c r="AJ38" i="74"/>
  <c r="AJ39" i="74" s="1"/>
  <c r="AJ42" i="74" s="1"/>
  <c r="AJ45" i="74" s="1"/>
  <c r="Q38" i="74"/>
  <c r="Q39" i="74" s="1"/>
  <c r="Q42" i="74" s="1"/>
  <c r="Q45" i="74" s="1"/>
  <c r="O38" i="74"/>
  <c r="O39" i="74" s="1"/>
  <c r="O42" i="74" s="1"/>
  <c r="O45" i="74" s="1"/>
  <c r="AB38" i="74"/>
  <c r="AB39" i="74" s="1"/>
  <c r="AB42" i="74" s="1"/>
  <c r="AB45" i="74" s="1"/>
  <c r="N38" i="74"/>
  <c r="N39" i="74" s="1"/>
  <c r="N42" i="74" s="1"/>
  <c r="N45" i="74" s="1"/>
  <c r="AI38" i="74"/>
  <c r="AI39" i="74" s="1"/>
  <c r="AI42" i="74" s="1"/>
  <c r="AI45" i="74" s="1"/>
  <c r="AE38" i="74"/>
  <c r="AE39" i="74" s="1"/>
  <c r="AE42" i="74" s="1"/>
  <c r="AE45" i="74" s="1"/>
  <c r="Y38" i="74"/>
  <c r="Y39" i="74" s="1"/>
  <c r="Y42" i="74" s="1"/>
  <c r="Y45" i="74" s="1"/>
  <c r="AM38" i="74"/>
  <c r="AM39" i="74" s="1"/>
  <c r="AM42" i="74" s="1"/>
  <c r="AM45" i="74" s="1"/>
  <c r="AC38" i="74"/>
  <c r="AC39" i="74" s="1"/>
  <c r="AC42" i="74" s="1"/>
  <c r="AC45" i="74" s="1"/>
  <c r="L38" i="74"/>
  <c r="L39" i="74" s="1"/>
  <c r="L42" i="74" s="1"/>
  <c r="L45" i="74" s="1"/>
  <c r="AQ39" i="74"/>
  <c r="AQ42" i="74" s="1"/>
  <c r="AQ45" i="74" s="1"/>
  <c r="AU53" i="74"/>
  <c r="E29" i="74"/>
  <c r="E54" i="74"/>
  <c r="AU54" i="74" s="1"/>
  <c r="AH39" i="74"/>
  <c r="AH42" i="74" s="1"/>
  <c r="AH45" i="74" s="1"/>
  <c r="AP39" i="74"/>
  <c r="AP42" i="74" s="1"/>
  <c r="AP45" i="74" s="1"/>
  <c r="AR39" i="74"/>
  <c r="AR42" i="74" s="1"/>
  <c r="AR45" i="74" s="1"/>
  <c r="Z39" i="74"/>
  <c r="Z42" i="74" s="1"/>
  <c r="Z45" i="74" s="1"/>
  <c r="V39" i="74"/>
  <c r="V42" i="74" s="1"/>
  <c r="V45" i="74" s="1"/>
  <c r="AL39" i="74"/>
  <c r="AL42" i="74" s="1"/>
  <c r="AL45" i="74" s="1"/>
  <c r="AK39" i="74"/>
  <c r="AK42" i="74" s="1"/>
  <c r="AK45" i="74" s="1"/>
  <c r="G45" i="74" l="1"/>
  <c r="B11" i="67"/>
  <c r="F45" i="74"/>
  <c r="AU29" i="74"/>
  <c r="E37" i="74"/>
  <c r="E38" i="74" l="1"/>
  <c r="AU37" i="74"/>
  <c r="AU38" i="74" l="1"/>
  <c r="E39" i="74"/>
  <c r="AU39" i="74" s="1"/>
  <c r="E42" i="74" l="1"/>
  <c r="E45" i="74" l="1"/>
  <c r="AU42" i="74"/>
  <c r="I6" i="84" l="1"/>
  <c r="F16" i="77" l="1"/>
  <c r="F6" i="84"/>
  <c r="J6" i="84" s="1"/>
  <c r="I15" i="84"/>
  <c r="I22" i="84" s="1"/>
  <c r="I16" i="84"/>
  <c r="I23" i="84" s="1"/>
  <c r="D9" i="84"/>
  <c r="I24" i="84" l="1"/>
  <c r="I26" i="84" s="1"/>
  <c r="I7" i="84"/>
  <c r="F7" i="84"/>
  <c r="F9" i="84" s="1"/>
  <c r="D5" i="69" s="1"/>
  <c r="F16" i="84"/>
  <c r="F15" i="84"/>
  <c r="F22" i="84" s="1"/>
  <c r="D17" i="84"/>
  <c r="F5" i="77" s="1"/>
  <c r="I9" i="84"/>
  <c r="I27" i="84" l="1"/>
  <c r="J16" i="84"/>
  <c r="F23" i="84"/>
  <c r="F24" i="84"/>
  <c r="J9" i="84"/>
  <c r="E5" i="69"/>
  <c r="H5" i="77"/>
  <c r="F4" i="77"/>
  <c r="J7" i="84"/>
  <c r="D19" i="84"/>
  <c r="F17" i="84"/>
  <c r="F17" i="77"/>
  <c r="F19" i="77" l="1"/>
  <c r="F26" i="77" s="1"/>
  <c r="F25" i="84"/>
  <c r="F17" i="76" s="1"/>
  <c r="F22" i="76"/>
  <c r="S58" i="76" s="1"/>
  <c r="H4" i="77"/>
  <c r="D21" i="77"/>
  <c r="F21" i="77" s="1"/>
  <c r="J15" i="84"/>
  <c r="I17" i="84"/>
  <c r="I25" i="84" s="1"/>
  <c r="F17" i="85" s="1"/>
  <c r="F6" i="77"/>
  <c r="L5" i="77" s="1"/>
  <c r="F19" i="84"/>
  <c r="L4" i="77" l="1"/>
  <c r="L6" i="77" s="1"/>
  <c r="AC58" i="76"/>
  <c r="G58" i="76"/>
  <c r="U58" i="76"/>
  <c r="K58" i="76"/>
  <c r="Y58" i="76"/>
  <c r="Q58" i="76"/>
  <c r="AR58" i="76"/>
  <c r="W58" i="76"/>
  <c r="AE58" i="76"/>
  <c r="AJ58" i="76"/>
  <c r="AL58" i="76"/>
  <c r="I58" i="76"/>
  <c r="AV27" i="76"/>
  <c r="E58" i="76"/>
  <c r="AT58" i="76"/>
  <c r="AT59" i="76" s="1"/>
  <c r="AT60" i="76" s="1"/>
  <c r="AB58" i="76"/>
  <c r="AP58" i="76"/>
  <c r="AN58" i="76"/>
  <c r="V58" i="76"/>
  <c r="N58" i="76"/>
  <c r="AF58" i="76"/>
  <c r="AD58" i="76"/>
  <c r="L58" i="76"/>
  <c r="Z58" i="76"/>
  <c r="X58" i="76"/>
  <c r="F58" i="76"/>
  <c r="T58" i="76"/>
  <c r="R58" i="76"/>
  <c r="P58" i="76"/>
  <c r="M58" i="76"/>
  <c r="O58" i="76"/>
  <c r="J58" i="76"/>
  <c r="H58" i="76"/>
  <c r="AG58" i="76"/>
  <c r="AQ58" i="76"/>
  <c r="AS58" i="76"/>
  <c r="AS59" i="76" s="1"/>
  <c r="AS60" i="76" s="1"/>
  <c r="AA58" i="76"/>
  <c r="AO58" i="76"/>
  <c r="AI58" i="76"/>
  <c r="AH58" i="76"/>
  <c r="D10" i="69"/>
  <c r="AK58" i="76"/>
  <c r="AM58" i="76"/>
  <c r="F22" i="87"/>
  <c r="H6" i="77"/>
  <c r="M5" i="77" s="1"/>
  <c r="D43" i="69"/>
  <c r="J17" i="84"/>
  <c r="F22" i="85"/>
  <c r="E27" i="85" s="1"/>
  <c r="I19" i="84"/>
  <c r="J19" i="84" s="1"/>
  <c r="M4" i="77" l="1"/>
  <c r="M6" i="77" s="1"/>
  <c r="G7" i="77"/>
  <c r="AU58" i="76"/>
  <c r="K58" i="87"/>
  <c r="N58" i="87"/>
  <c r="AJ58" i="87"/>
  <c r="AP58" i="87"/>
  <c r="U58" i="87"/>
  <c r="W58" i="87"/>
  <c r="AG58" i="87"/>
  <c r="AS58" i="87"/>
  <c r="AS59" i="87" s="1"/>
  <c r="AS60" i="87" s="1"/>
  <c r="AE58" i="87"/>
  <c r="AB58" i="87"/>
  <c r="AC58" i="87"/>
  <c r="AU27" i="87"/>
  <c r="AO58" i="87"/>
  <c r="T58" i="87"/>
  <c r="Z58" i="87"/>
  <c r="E58" i="87"/>
  <c r="AA58" i="87"/>
  <c r="AR58" i="87"/>
  <c r="M58" i="87"/>
  <c r="AL58" i="87"/>
  <c r="L58" i="87"/>
  <c r="AN58" i="87"/>
  <c r="Y58" i="87"/>
  <c r="AM58" i="87"/>
  <c r="J58" i="87"/>
  <c r="AF58" i="87"/>
  <c r="AQ58" i="87"/>
  <c r="G58" i="87"/>
  <c r="X58" i="87"/>
  <c r="F58" i="87"/>
  <c r="O58" i="87"/>
  <c r="H58" i="87"/>
  <c r="AD58" i="87"/>
  <c r="I58" i="87"/>
  <c r="S58" i="87"/>
  <c r="AK58" i="87"/>
  <c r="P58" i="87"/>
  <c r="V58" i="87"/>
  <c r="AH58" i="87"/>
  <c r="AI58" i="87"/>
  <c r="Q58" i="87"/>
  <c r="R58" i="87"/>
  <c r="E10" i="69"/>
  <c r="F10" i="69" s="1"/>
  <c r="AH58" i="85"/>
  <c r="K58" i="85"/>
  <c r="AQ58" i="85"/>
  <c r="AS58" i="85"/>
  <c r="AS59" i="85" s="1"/>
  <c r="AS60" i="85" s="1"/>
  <c r="AC58" i="85"/>
  <c r="AV27" i="85"/>
  <c r="O58" i="85"/>
  <c r="T58" i="85"/>
  <c r="N58" i="85"/>
  <c r="V58" i="85"/>
  <c r="AD58" i="85"/>
  <c r="AN58" i="85"/>
  <c r="AI58" i="85"/>
  <c r="X58" i="85"/>
  <c r="AR58" i="85"/>
  <c r="I58" i="85"/>
  <c r="Q58" i="85"/>
  <c r="AP58" i="85"/>
  <c r="AF58" i="85"/>
  <c r="AK58" i="85"/>
  <c r="AJ58" i="85"/>
  <c r="J58" i="85"/>
  <c r="Y58" i="85"/>
  <c r="S58" i="85"/>
  <c r="AG58" i="85"/>
  <c r="AB58" i="85"/>
  <c r="E58" i="85"/>
  <c r="AT58" i="85"/>
  <c r="AT59" i="85" s="1"/>
  <c r="AT60" i="85" s="1"/>
  <c r="AO58" i="85"/>
  <c r="G58" i="85"/>
  <c r="M58" i="85"/>
  <c r="Z58" i="85"/>
  <c r="AA58" i="85"/>
  <c r="P58" i="85"/>
  <c r="AM58" i="85"/>
  <c r="U58" i="85"/>
  <c r="AL58" i="85"/>
  <c r="W58" i="85"/>
  <c r="L58" i="85"/>
  <c r="H58" i="85"/>
  <c r="AE58" i="85"/>
  <c r="F58" i="85"/>
  <c r="R58" i="85"/>
  <c r="AT58" i="87" l="1"/>
  <c r="E43" i="69"/>
  <c r="F43" i="69" s="1"/>
  <c r="AU58" i="85"/>
  <c r="E27" i="76"/>
  <c r="E57" i="76" s="1"/>
  <c r="F17" i="87"/>
  <c r="E27" i="87" l="1"/>
  <c r="AR27" i="87"/>
  <c r="AR27" i="85"/>
  <c r="Z27" i="87"/>
  <c r="AI27" i="87"/>
  <c r="AP27" i="87"/>
  <c r="V27" i="87"/>
  <c r="AH27" i="87"/>
  <c r="W27" i="87"/>
  <c r="L27" i="87"/>
  <c r="O27" i="87"/>
  <c r="AN27" i="87"/>
  <c r="P27" i="87"/>
  <c r="AK27" i="87"/>
  <c r="AQ27" i="87"/>
  <c r="G27" i="87"/>
  <c r="F27" i="87"/>
  <c r="AE27" i="87"/>
  <c r="M27" i="87"/>
  <c r="AL27" i="87"/>
  <c r="X27" i="87"/>
  <c r="R27" i="87"/>
  <c r="AF27" i="87"/>
  <c r="U27" i="87"/>
  <c r="AD27" i="87"/>
  <c r="AC27" i="87"/>
  <c r="J27" i="87"/>
  <c r="AA27" i="87"/>
  <c r="Q27" i="87"/>
  <c r="AB27" i="87"/>
  <c r="N27" i="87"/>
  <c r="AG27" i="87"/>
  <c r="S27" i="87"/>
  <c r="T27" i="87"/>
  <c r="K27" i="87"/>
  <c r="AM27" i="87"/>
  <c r="AJ27" i="87"/>
  <c r="AO27" i="87"/>
  <c r="H27" i="87"/>
  <c r="I27" i="87"/>
  <c r="Y27" i="87"/>
  <c r="F27" i="76"/>
  <c r="AP27" i="76"/>
  <c r="AQ27" i="76"/>
  <c r="N27" i="76"/>
  <c r="AK27" i="76"/>
  <c r="G27" i="76"/>
  <c r="AI27" i="76"/>
  <c r="AD27" i="76"/>
  <c r="R27" i="76"/>
  <c r="AG27" i="76"/>
  <c r="H27" i="76"/>
  <c r="AL27" i="76"/>
  <c r="Q27" i="76"/>
  <c r="AB27" i="76"/>
  <c r="M27" i="76"/>
  <c r="AE27" i="76"/>
  <c r="Y27" i="76"/>
  <c r="AH27" i="76"/>
  <c r="X27" i="76"/>
  <c r="V27" i="76"/>
  <c r="AF27" i="76"/>
  <c r="AN27" i="76"/>
  <c r="AA27" i="76"/>
  <c r="AR27" i="76"/>
  <c r="J27" i="76"/>
  <c r="AO27" i="76"/>
  <c r="I27" i="76"/>
  <c r="AJ27" i="76"/>
  <c r="S27" i="76"/>
  <c r="O27" i="76"/>
  <c r="P27" i="76"/>
  <c r="T27" i="76"/>
  <c r="U27" i="76"/>
  <c r="W27" i="76"/>
  <c r="AC27" i="76"/>
  <c r="Z27" i="76"/>
  <c r="L27" i="76"/>
  <c r="AM27" i="76"/>
  <c r="K27" i="76"/>
  <c r="AQ27" i="85"/>
  <c r="AI27" i="85"/>
  <c r="M27" i="85"/>
  <c r="AG27" i="85"/>
  <c r="I27" i="85"/>
  <c r="R27" i="85"/>
  <c r="AN27" i="85"/>
  <c r="N27" i="85"/>
  <c r="Z27" i="85"/>
  <c r="J27" i="85"/>
  <c r="AF27" i="85"/>
  <c r="L27" i="85"/>
  <c r="AM27" i="85"/>
  <c r="AO27" i="85"/>
  <c r="AP27" i="85"/>
  <c r="K27" i="85"/>
  <c r="AA27" i="85"/>
  <c r="AD27" i="85"/>
  <c r="H27" i="85"/>
  <c r="Q27" i="85"/>
  <c r="P27" i="85"/>
  <c r="Y27" i="85"/>
  <c r="X27" i="85"/>
  <c r="AE27" i="85"/>
  <c r="S27" i="85"/>
  <c r="V27" i="85"/>
  <c r="F27" i="85"/>
  <c r="AH27" i="85"/>
  <c r="AJ27" i="85"/>
  <c r="AK27" i="85"/>
  <c r="W27" i="85"/>
  <c r="G27" i="85"/>
  <c r="U27" i="85"/>
  <c r="AB27" i="85"/>
  <c r="AC27" i="85"/>
  <c r="AL27" i="85"/>
  <c r="O27" i="85"/>
  <c r="T27" i="85"/>
  <c r="AB57" i="85" l="1"/>
  <c r="AB59" i="85" s="1"/>
  <c r="AB60" i="85" s="1"/>
  <c r="F57" i="85"/>
  <c r="F59" i="85" s="1"/>
  <c r="F60" i="85" s="1"/>
  <c r="H57" i="85"/>
  <c r="H59" i="85" s="1"/>
  <c r="H60" i="85" s="1"/>
  <c r="L57" i="85"/>
  <c r="L59" i="85" s="1"/>
  <c r="L60" i="85" s="1"/>
  <c r="AG57" i="85"/>
  <c r="AG59" i="85" s="1"/>
  <c r="AG60" i="85" s="1"/>
  <c r="AC57" i="76"/>
  <c r="AC59" i="76" s="1"/>
  <c r="AC60" i="76" s="1"/>
  <c r="D12" i="69"/>
  <c r="AU27" i="76"/>
  <c r="E47" i="76"/>
  <c r="V57" i="76"/>
  <c r="V59" i="76" s="1"/>
  <c r="V60" i="76" s="1"/>
  <c r="AL57" i="76"/>
  <c r="AL59" i="76" s="1"/>
  <c r="AL60" i="76" s="1"/>
  <c r="N57" i="76"/>
  <c r="N59" i="76" s="1"/>
  <c r="N60" i="76" s="1"/>
  <c r="AO57" i="87"/>
  <c r="AO59" i="87" s="1"/>
  <c r="AO60" i="87" s="1"/>
  <c r="AB57" i="87"/>
  <c r="AB59" i="87" s="1"/>
  <c r="AB60" i="87" s="1"/>
  <c r="AC57" i="87"/>
  <c r="AC59" i="87" s="1"/>
  <c r="AC60" i="87" s="1"/>
  <c r="AE57" i="87"/>
  <c r="AE59" i="87" s="1"/>
  <c r="AE60" i="87" s="1"/>
  <c r="V57" i="87"/>
  <c r="V59" i="87" s="1"/>
  <c r="V60" i="87" s="1"/>
  <c r="O57" i="85"/>
  <c r="O59" i="85" s="1"/>
  <c r="O60" i="85" s="1"/>
  <c r="AK57" i="85"/>
  <c r="AK59" i="85" s="1"/>
  <c r="AK60" i="85" s="1"/>
  <c r="Y57" i="85"/>
  <c r="Y59" i="85" s="1"/>
  <c r="Y60" i="85" s="1"/>
  <c r="AO57" i="85"/>
  <c r="AO59" i="85" s="1"/>
  <c r="AO60" i="85" s="1"/>
  <c r="M57" i="85"/>
  <c r="M59" i="85" s="1"/>
  <c r="M60" i="85" s="1"/>
  <c r="W57" i="76"/>
  <c r="W59" i="76" s="1"/>
  <c r="W60" i="76" s="1"/>
  <c r="AO57" i="76"/>
  <c r="AO59" i="76" s="1"/>
  <c r="AO60" i="76" s="1"/>
  <c r="X57" i="76"/>
  <c r="X59" i="76" s="1"/>
  <c r="X60" i="76" s="1"/>
  <c r="H57" i="76"/>
  <c r="H59" i="76" s="1"/>
  <c r="H60" i="76" s="1"/>
  <c r="AQ57" i="76"/>
  <c r="AQ59" i="76" s="1"/>
  <c r="AQ60" i="76" s="1"/>
  <c r="AJ57" i="87"/>
  <c r="AJ59" i="87" s="1"/>
  <c r="AJ60" i="87" s="1"/>
  <c r="Q57" i="87"/>
  <c r="Q59" i="87" s="1"/>
  <c r="Q60" i="87" s="1"/>
  <c r="X57" i="87"/>
  <c r="X59" i="87" s="1"/>
  <c r="X60" i="87" s="1"/>
  <c r="E57" i="87"/>
  <c r="AT27" i="87"/>
  <c r="AV27" i="87" s="1"/>
  <c r="E47" i="87"/>
  <c r="L57" i="87"/>
  <c r="L59" i="87" s="1"/>
  <c r="L60" i="87" s="1"/>
  <c r="G57" i="85"/>
  <c r="G59" i="85" s="1"/>
  <c r="G60" i="85" s="1"/>
  <c r="P57" i="85"/>
  <c r="P59" i="85" s="1"/>
  <c r="P60" i="85" s="1"/>
  <c r="AM57" i="85"/>
  <c r="AM59" i="85" s="1"/>
  <c r="AM60" i="85" s="1"/>
  <c r="AI57" i="85"/>
  <c r="AI59" i="85" s="1"/>
  <c r="AI60" i="85" s="1"/>
  <c r="L57" i="76"/>
  <c r="L59" i="76" s="1"/>
  <c r="L60" i="76" s="1"/>
  <c r="U57" i="76"/>
  <c r="U59" i="76" s="1"/>
  <c r="U60" i="76" s="1"/>
  <c r="J57" i="76"/>
  <c r="J59" i="76" s="1"/>
  <c r="J60" i="76" s="1"/>
  <c r="AN57" i="76"/>
  <c r="AN59" i="76" s="1"/>
  <c r="AN60" i="76" s="1"/>
  <c r="AH57" i="76"/>
  <c r="AH59" i="76" s="1"/>
  <c r="AH60" i="76" s="1"/>
  <c r="AB57" i="76"/>
  <c r="AB59" i="76" s="1"/>
  <c r="AB60" i="76" s="1"/>
  <c r="AG57" i="76"/>
  <c r="AG59" i="76" s="1"/>
  <c r="AG60" i="76" s="1"/>
  <c r="G57" i="76"/>
  <c r="G59" i="76" s="1"/>
  <c r="G60" i="76" s="1"/>
  <c r="AP57" i="76"/>
  <c r="AP59" i="76" s="1"/>
  <c r="AP60" i="76" s="1"/>
  <c r="I57" i="87"/>
  <c r="I59" i="87" s="1"/>
  <c r="I60" i="87" s="1"/>
  <c r="AM57" i="87"/>
  <c r="AM59" i="87" s="1"/>
  <c r="AM60" i="87" s="1"/>
  <c r="AG57" i="87"/>
  <c r="AG59" i="87" s="1"/>
  <c r="AG60" i="87" s="1"/>
  <c r="AA57" i="87"/>
  <c r="AA59" i="87" s="1"/>
  <c r="AA60" i="87" s="1"/>
  <c r="U57" i="87"/>
  <c r="U59" i="87" s="1"/>
  <c r="U60" i="87" s="1"/>
  <c r="AL57" i="87"/>
  <c r="AL59" i="87" s="1"/>
  <c r="AL60" i="87" s="1"/>
  <c r="G57" i="87"/>
  <c r="G59" i="87" s="1"/>
  <c r="G60" i="87" s="1"/>
  <c r="P57" i="87"/>
  <c r="P59" i="87" s="1"/>
  <c r="P60" i="87" s="1"/>
  <c r="W57" i="87"/>
  <c r="W59" i="87" s="1"/>
  <c r="W60" i="87" s="1"/>
  <c r="AI57" i="87"/>
  <c r="AI59" i="87" s="1"/>
  <c r="AI60" i="87" s="1"/>
  <c r="T57" i="85"/>
  <c r="T59" i="85" s="1"/>
  <c r="T60" i="85" s="1"/>
  <c r="W57" i="85"/>
  <c r="W59" i="85" s="1"/>
  <c r="W60" i="85" s="1"/>
  <c r="X57" i="85"/>
  <c r="X59" i="85" s="1"/>
  <c r="X60" i="85" s="1"/>
  <c r="AP57" i="85"/>
  <c r="AP59" i="85" s="1"/>
  <c r="AP60" i="85" s="1"/>
  <c r="N57" i="85"/>
  <c r="N59" i="85" s="1"/>
  <c r="N60" i="85" s="1"/>
  <c r="K57" i="76"/>
  <c r="K59" i="76" s="1"/>
  <c r="K60" i="76" s="1"/>
  <c r="P57" i="76"/>
  <c r="P59" i="76" s="1"/>
  <c r="P60" i="76" s="1"/>
  <c r="I57" i="76"/>
  <c r="I59" i="76" s="1"/>
  <c r="I60" i="76" s="1"/>
  <c r="AE57" i="76"/>
  <c r="AE59" i="76" s="1"/>
  <c r="AE60" i="76" s="1"/>
  <c r="AD57" i="76"/>
  <c r="AD59" i="76" s="1"/>
  <c r="AD60" i="76" s="1"/>
  <c r="AR57" i="87"/>
  <c r="AR59" i="87" s="1"/>
  <c r="AR60" i="87" s="1"/>
  <c r="T57" i="87"/>
  <c r="T59" i="87" s="1"/>
  <c r="T60" i="87" s="1"/>
  <c r="R57" i="87"/>
  <c r="R59" i="87" s="1"/>
  <c r="R60" i="87" s="1"/>
  <c r="AK57" i="87"/>
  <c r="AK59" i="87" s="1"/>
  <c r="AK60" i="87" s="1"/>
  <c r="O57" i="87"/>
  <c r="O59" i="87" s="1"/>
  <c r="O60" i="87" s="1"/>
  <c r="U57" i="85"/>
  <c r="U59" i="85" s="1"/>
  <c r="U60" i="85" s="1"/>
  <c r="V57" i="85"/>
  <c r="V59" i="85" s="1"/>
  <c r="V60" i="85" s="1"/>
  <c r="AD57" i="85"/>
  <c r="AD59" i="85" s="1"/>
  <c r="AD60" i="85" s="1"/>
  <c r="AF57" i="85"/>
  <c r="AF59" i="85" s="1"/>
  <c r="AF60" i="85" s="1"/>
  <c r="AN57" i="85"/>
  <c r="AN59" i="85" s="1"/>
  <c r="AN60" i="85" s="1"/>
  <c r="AM57" i="76"/>
  <c r="AM59" i="76" s="1"/>
  <c r="AM60" i="76" s="1"/>
  <c r="O57" i="76"/>
  <c r="O59" i="76" s="1"/>
  <c r="O60" i="76" s="1"/>
  <c r="AA57" i="76"/>
  <c r="AA59" i="76" s="1"/>
  <c r="AA60" i="76" s="1"/>
  <c r="M57" i="76"/>
  <c r="M59" i="76" s="1"/>
  <c r="M60" i="76" s="1"/>
  <c r="AI57" i="76"/>
  <c r="AI59" i="76" s="1"/>
  <c r="AI60" i="76" s="1"/>
  <c r="Y57" i="87"/>
  <c r="Y59" i="87" s="1"/>
  <c r="Y60" i="87" s="1"/>
  <c r="S57" i="87"/>
  <c r="S59" i="87" s="1"/>
  <c r="S60" i="87" s="1"/>
  <c r="AD57" i="87"/>
  <c r="AD59" i="87" s="1"/>
  <c r="AD60" i="87" s="1"/>
  <c r="F57" i="87"/>
  <c r="F59" i="87" s="1"/>
  <c r="F60" i="87" s="1"/>
  <c r="AP57" i="87"/>
  <c r="AP59" i="87" s="1"/>
  <c r="AP60" i="87" s="1"/>
  <c r="AL57" i="85"/>
  <c r="AL59" i="85" s="1"/>
  <c r="AL60" i="85" s="1"/>
  <c r="AJ57" i="85"/>
  <c r="AJ59" i="85" s="1"/>
  <c r="AJ60" i="85" s="1"/>
  <c r="S57" i="85"/>
  <c r="S59" i="85" s="1"/>
  <c r="S60" i="85" s="1"/>
  <c r="AA57" i="85"/>
  <c r="AA59" i="85" s="1"/>
  <c r="AA60" i="85" s="1"/>
  <c r="J57" i="85"/>
  <c r="J59" i="85" s="1"/>
  <c r="J60" i="85" s="1"/>
  <c r="R57" i="85"/>
  <c r="R59" i="85" s="1"/>
  <c r="R60" i="85" s="1"/>
  <c r="S57" i="76"/>
  <c r="S59" i="76" s="1"/>
  <c r="S60" i="76" s="1"/>
  <c r="AC57" i="85"/>
  <c r="AC59" i="85" s="1"/>
  <c r="AC60" i="85" s="1"/>
  <c r="E12" i="69"/>
  <c r="E47" i="85"/>
  <c r="E57" i="85"/>
  <c r="AU27" i="85"/>
  <c r="AW27" i="85" s="1"/>
  <c r="AH57" i="85"/>
  <c r="AH59" i="85" s="1"/>
  <c r="AH60" i="85" s="1"/>
  <c r="AE57" i="85"/>
  <c r="AE59" i="85" s="1"/>
  <c r="AE60" i="85" s="1"/>
  <c r="Q57" i="85"/>
  <c r="Q59" i="85" s="1"/>
  <c r="Q60" i="85" s="1"/>
  <c r="K57" i="85"/>
  <c r="K59" i="85" s="1"/>
  <c r="K60" i="85" s="1"/>
  <c r="AR57" i="85"/>
  <c r="AR59" i="85" s="1"/>
  <c r="AR60" i="85" s="1"/>
  <c r="Z57" i="85"/>
  <c r="Z59" i="85" s="1"/>
  <c r="Z60" i="85" s="1"/>
  <c r="I57" i="85"/>
  <c r="I59" i="85" s="1"/>
  <c r="I60" i="85" s="1"/>
  <c r="AQ57" i="85"/>
  <c r="AQ59" i="85" s="1"/>
  <c r="AQ60" i="85" s="1"/>
  <c r="Z57" i="76"/>
  <c r="Z59" i="76" s="1"/>
  <c r="Z60" i="76" s="1"/>
  <c r="T57" i="76"/>
  <c r="T59" i="76" s="1"/>
  <c r="T60" i="76" s="1"/>
  <c r="AJ57" i="76"/>
  <c r="AJ59" i="76" s="1"/>
  <c r="AJ60" i="76" s="1"/>
  <c r="AR57" i="76"/>
  <c r="AR59" i="76" s="1"/>
  <c r="AR60" i="76" s="1"/>
  <c r="AF57" i="76"/>
  <c r="AF59" i="76" s="1"/>
  <c r="AF60" i="76" s="1"/>
  <c r="Y57" i="76"/>
  <c r="Y59" i="76" s="1"/>
  <c r="Y60" i="76" s="1"/>
  <c r="Q57" i="76"/>
  <c r="Q59" i="76" s="1"/>
  <c r="Q60" i="76" s="1"/>
  <c r="R57" i="76"/>
  <c r="R59" i="76" s="1"/>
  <c r="R60" i="76" s="1"/>
  <c r="AK57" i="76"/>
  <c r="AK59" i="76" s="1"/>
  <c r="AK60" i="76" s="1"/>
  <c r="F57" i="76"/>
  <c r="F59" i="76" s="1"/>
  <c r="F60" i="76" s="1"/>
  <c r="H57" i="87"/>
  <c r="H59" i="87" s="1"/>
  <c r="H60" i="87" s="1"/>
  <c r="K57" i="87"/>
  <c r="K59" i="87" s="1"/>
  <c r="K60" i="87" s="1"/>
  <c r="N57" i="87"/>
  <c r="N59" i="87" s="1"/>
  <c r="N60" i="87" s="1"/>
  <c r="J57" i="87"/>
  <c r="J59" i="87" s="1"/>
  <c r="J60" i="87" s="1"/>
  <c r="AF57" i="87"/>
  <c r="AF59" i="87" s="1"/>
  <c r="AF60" i="87" s="1"/>
  <c r="M57" i="87"/>
  <c r="M59" i="87" s="1"/>
  <c r="M60" i="87" s="1"/>
  <c r="AQ57" i="87"/>
  <c r="AQ59" i="87" s="1"/>
  <c r="AQ60" i="87" s="1"/>
  <c r="AN57" i="87"/>
  <c r="AN59" i="87" s="1"/>
  <c r="AN60" i="87" s="1"/>
  <c r="AH57" i="87"/>
  <c r="AH59" i="87" s="1"/>
  <c r="AH60" i="87" s="1"/>
  <c r="Z57" i="87"/>
  <c r="Z59" i="87" s="1"/>
  <c r="Z60" i="87" s="1"/>
  <c r="F12" i="69" l="1"/>
  <c r="D42" i="69"/>
  <c r="AU57" i="76"/>
  <c r="E59" i="76"/>
  <c r="E59" i="87"/>
  <c r="AT57" i="87"/>
  <c r="E42" i="69"/>
  <c r="AU57" i="85"/>
  <c r="E59" i="85"/>
  <c r="E60" i="87" l="1"/>
  <c r="AT59" i="87"/>
  <c r="E60" i="76"/>
  <c r="D44" i="69"/>
  <c r="AU59" i="76"/>
  <c r="E44" i="69"/>
  <c r="AU59" i="85"/>
  <c r="E60" i="85"/>
  <c r="F42" i="69"/>
  <c r="E45" i="69" l="1"/>
  <c r="AU60" i="85"/>
  <c r="E48" i="85"/>
  <c r="E49" i="85"/>
  <c r="E33" i="85" s="1"/>
  <c r="AB49" i="85"/>
  <c r="L49" i="85"/>
  <c r="M49" i="85"/>
  <c r="P49" i="85"/>
  <c r="V49" i="85"/>
  <c r="AJ49" i="85"/>
  <c r="AH49" i="85"/>
  <c r="AR49" i="85"/>
  <c r="AO49" i="85"/>
  <c r="W49" i="85"/>
  <c r="N49" i="85"/>
  <c r="U49" i="85"/>
  <c r="AN49" i="85"/>
  <c r="AC49" i="85"/>
  <c r="AS49" i="85"/>
  <c r="I49" i="85"/>
  <c r="O49" i="85"/>
  <c r="X49" i="85"/>
  <c r="J49" i="85"/>
  <c r="AT49" i="85"/>
  <c r="AQ49" i="85"/>
  <c r="H49" i="85"/>
  <c r="AA49" i="85"/>
  <c r="K49" i="85"/>
  <c r="T49" i="85"/>
  <c r="AM49" i="85"/>
  <c r="Z49" i="85"/>
  <c r="AF49" i="85"/>
  <c r="Y49" i="85"/>
  <c r="AE49" i="85"/>
  <c r="G49" i="85"/>
  <c r="AI49" i="85"/>
  <c r="Q49" i="85"/>
  <c r="R49" i="85"/>
  <c r="F49" i="85"/>
  <c r="AK49" i="85"/>
  <c r="AD49" i="85"/>
  <c r="S49" i="85"/>
  <c r="AL49" i="85"/>
  <c r="AG49" i="85"/>
  <c r="AP49" i="85"/>
  <c r="D45" i="69"/>
  <c r="E48" i="76"/>
  <c r="AU60" i="76"/>
  <c r="AS49" i="76"/>
  <c r="E49" i="76"/>
  <c r="U49" i="76"/>
  <c r="AB49" i="76"/>
  <c r="K49" i="76"/>
  <c r="AD49" i="76"/>
  <c r="AM49" i="76"/>
  <c r="AI49" i="76"/>
  <c r="AR49" i="76"/>
  <c r="R49" i="76"/>
  <c r="AT49" i="76"/>
  <c r="AO49" i="76"/>
  <c r="L49" i="76"/>
  <c r="AH49" i="76"/>
  <c r="AP49" i="76"/>
  <c r="AE49" i="76"/>
  <c r="AJ49" i="76"/>
  <c r="Q49" i="76"/>
  <c r="AL49" i="76"/>
  <c r="X49" i="76"/>
  <c r="V49" i="76"/>
  <c r="AQ49" i="76"/>
  <c r="M49" i="76"/>
  <c r="O49" i="76"/>
  <c r="AN49" i="76"/>
  <c r="AF49" i="76"/>
  <c r="W49" i="76"/>
  <c r="T49" i="76"/>
  <c r="AA49" i="76"/>
  <c r="H49" i="76"/>
  <c r="Z49" i="76"/>
  <c r="N49" i="76"/>
  <c r="S49" i="76"/>
  <c r="G49" i="76"/>
  <c r="AK49" i="76"/>
  <c r="Y49" i="76"/>
  <c r="AG49" i="76"/>
  <c r="AC49" i="76"/>
  <c r="F49" i="76"/>
  <c r="I49" i="76"/>
  <c r="J49" i="76"/>
  <c r="P49" i="76"/>
  <c r="F44" i="69"/>
  <c r="E48" i="87"/>
  <c r="AT60" i="87"/>
  <c r="AS49" i="87"/>
  <c r="Z49" i="87"/>
  <c r="V49" i="87"/>
  <c r="E49" i="87"/>
  <c r="P49" i="87"/>
  <c r="R49" i="87"/>
  <c r="AD49" i="87"/>
  <c r="H49" i="87"/>
  <c r="AF49" i="87"/>
  <c r="AE49" i="87"/>
  <c r="X49" i="87"/>
  <c r="AG49" i="87"/>
  <c r="G49" i="87"/>
  <c r="T49" i="87"/>
  <c r="S49" i="87"/>
  <c r="J49" i="87"/>
  <c r="AN49" i="87"/>
  <c r="AB49" i="87"/>
  <c r="AJ49" i="87"/>
  <c r="L49" i="87"/>
  <c r="I49" i="87"/>
  <c r="U49" i="87"/>
  <c r="W49" i="87"/>
  <c r="AK49" i="87"/>
  <c r="F49" i="87"/>
  <c r="K49" i="87"/>
  <c r="M49" i="87"/>
  <c r="AO49" i="87"/>
  <c r="AA49" i="87"/>
  <c r="AH49" i="87"/>
  <c r="AI49" i="87"/>
  <c r="AP49" i="87"/>
  <c r="AC49" i="87"/>
  <c r="AL49" i="87"/>
  <c r="AM49" i="87"/>
  <c r="Q49" i="87"/>
  <c r="Y49" i="87"/>
  <c r="AQ49" i="87"/>
  <c r="O49" i="87"/>
  <c r="N49" i="87"/>
  <c r="AR49" i="87"/>
  <c r="AQ34" i="87" l="1"/>
  <c r="AQ52" i="87" s="1"/>
  <c r="AQ33" i="87"/>
  <c r="AQ32" i="87"/>
  <c r="K34" i="87"/>
  <c r="K52" i="87" s="1"/>
  <c r="K33" i="87"/>
  <c r="K32" i="87"/>
  <c r="AD33" i="87"/>
  <c r="AD32" i="87"/>
  <c r="AD34" i="87"/>
  <c r="AD52" i="87" s="1"/>
  <c r="I33" i="76"/>
  <c r="I34" i="76"/>
  <c r="I52" i="76" s="1"/>
  <c r="I32" i="76"/>
  <c r="O32" i="76"/>
  <c r="O33" i="76"/>
  <c r="O34" i="76"/>
  <c r="O52" i="76" s="1"/>
  <c r="AO34" i="76"/>
  <c r="AO52" i="76" s="1"/>
  <c r="AO33" i="76"/>
  <c r="AO32" i="76"/>
  <c r="AF34" i="85"/>
  <c r="AF52" i="85" s="1"/>
  <c r="AF33" i="85"/>
  <c r="AF32" i="85"/>
  <c r="I33" i="85"/>
  <c r="I32" i="85"/>
  <c r="I34" i="85"/>
  <c r="I52" i="85" s="1"/>
  <c r="AR33" i="87"/>
  <c r="AR32" i="87"/>
  <c r="AR34" i="87"/>
  <c r="AR52" i="87" s="1"/>
  <c r="AA34" i="87"/>
  <c r="AA52" i="87" s="1"/>
  <c r="AA32" i="87"/>
  <c r="AA33" i="87"/>
  <c r="F33" i="87"/>
  <c r="F32" i="87"/>
  <c r="F34" i="87"/>
  <c r="F52" i="87" s="1"/>
  <c r="T32" i="87"/>
  <c r="T33" i="87"/>
  <c r="T34" i="87"/>
  <c r="T52" i="87" s="1"/>
  <c r="AE34" i="87"/>
  <c r="AE52" i="87" s="1"/>
  <c r="AE32" i="87"/>
  <c r="AE33" i="87"/>
  <c r="R32" i="87"/>
  <c r="R33" i="87"/>
  <c r="R34" i="87"/>
  <c r="R52" i="87" s="1"/>
  <c r="Z32" i="87"/>
  <c r="Z34" i="87"/>
  <c r="Z52" i="87" s="1"/>
  <c r="Z33" i="87"/>
  <c r="F32" i="76"/>
  <c r="F34" i="76"/>
  <c r="F52" i="76" s="1"/>
  <c r="F33" i="76"/>
  <c r="AK34" i="76"/>
  <c r="AK52" i="76" s="1"/>
  <c r="AK32" i="76"/>
  <c r="AK33" i="76"/>
  <c r="Z33" i="76"/>
  <c r="Z32" i="76"/>
  <c r="Z34" i="76"/>
  <c r="Z52" i="76" s="1"/>
  <c r="W32" i="76"/>
  <c r="W34" i="76"/>
  <c r="W52" i="76" s="1"/>
  <c r="W33" i="76"/>
  <c r="M32" i="76"/>
  <c r="M33" i="76"/>
  <c r="M34" i="76"/>
  <c r="M52" i="76" s="1"/>
  <c r="AL32" i="76"/>
  <c r="AL34" i="76"/>
  <c r="AL52" i="76" s="1"/>
  <c r="AL33" i="76"/>
  <c r="AP34" i="76"/>
  <c r="AP52" i="76" s="1"/>
  <c r="AP33" i="76"/>
  <c r="AP32" i="76"/>
  <c r="AT32" i="76"/>
  <c r="AT33" i="76"/>
  <c r="AT34" i="76"/>
  <c r="AT52" i="76" s="1"/>
  <c r="AM33" i="76"/>
  <c r="AM34" i="76"/>
  <c r="AM52" i="76" s="1"/>
  <c r="AM32" i="76"/>
  <c r="U32" i="76"/>
  <c r="U33" i="76"/>
  <c r="U34" i="76"/>
  <c r="U52" i="76" s="1"/>
  <c r="AL32" i="85"/>
  <c r="AL34" i="85"/>
  <c r="AL52" i="85" s="1"/>
  <c r="AL33" i="85"/>
  <c r="F32" i="85"/>
  <c r="F33" i="85"/>
  <c r="F34" i="85"/>
  <c r="F52" i="85" s="1"/>
  <c r="G34" i="85"/>
  <c r="G52" i="85" s="1"/>
  <c r="G32" i="85"/>
  <c r="G33" i="85"/>
  <c r="Z32" i="85"/>
  <c r="Z34" i="85"/>
  <c r="Z52" i="85" s="1"/>
  <c r="Z33" i="85"/>
  <c r="AA32" i="85"/>
  <c r="AA34" i="85"/>
  <c r="AA52" i="85" s="1"/>
  <c r="AA33" i="85"/>
  <c r="J32" i="85"/>
  <c r="J33" i="85"/>
  <c r="J34" i="85"/>
  <c r="J52" i="85" s="1"/>
  <c r="AS34" i="85"/>
  <c r="AS52" i="85" s="1"/>
  <c r="AS33" i="85"/>
  <c r="AS32" i="85"/>
  <c r="N34" i="85"/>
  <c r="N52" i="85" s="1"/>
  <c r="N32" i="85"/>
  <c r="N33" i="85"/>
  <c r="AH32" i="85"/>
  <c r="AH33" i="85"/>
  <c r="AH34" i="85"/>
  <c r="AH52" i="85" s="1"/>
  <c r="M34" i="85"/>
  <c r="M52" i="85" s="1"/>
  <c r="M32" i="85"/>
  <c r="M33" i="85"/>
  <c r="AL32" i="87"/>
  <c r="AL33" i="87"/>
  <c r="AL34" i="87"/>
  <c r="AL52" i="87" s="1"/>
  <c r="AJ34" i="87"/>
  <c r="AJ52" i="87" s="1"/>
  <c r="AJ33" i="87"/>
  <c r="AJ32" i="87"/>
  <c r="X32" i="87"/>
  <c r="X33" i="87"/>
  <c r="X34" i="87"/>
  <c r="X52" i="87" s="1"/>
  <c r="Y32" i="76"/>
  <c r="Y34" i="76"/>
  <c r="Y52" i="76" s="1"/>
  <c r="Y33" i="76"/>
  <c r="T33" i="76"/>
  <c r="T34" i="76"/>
  <c r="T52" i="76" s="1"/>
  <c r="T32" i="76"/>
  <c r="AE34" i="76"/>
  <c r="AE52" i="76" s="1"/>
  <c r="AE33" i="76"/>
  <c r="AE32" i="76"/>
  <c r="AB33" i="76"/>
  <c r="AB34" i="76"/>
  <c r="AB52" i="76" s="1"/>
  <c r="AB32" i="76"/>
  <c r="AK32" i="85"/>
  <c r="AK34" i="85"/>
  <c r="AK52" i="85" s="1"/>
  <c r="AK33" i="85"/>
  <c r="AT33" i="85"/>
  <c r="AT32" i="85"/>
  <c r="AT34" i="85"/>
  <c r="AT52" i="85" s="1"/>
  <c r="U33" i="85"/>
  <c r="U32" i="85"/>
  <c r="U34" i="85"/>
  <c r="U52" i="85" s="1"/>
  <c r="P34" i="85"/>
  <c r="P52" i="85" s="1"/>
  <c r="P32" i="85"/>
  <c r="P33" i="85"/>
  <c r="Y34" i="87"/>
  <c r="Y52" i="87" s="1"/>
  <c r="Y33" i="87"/>
  <c r="Y32" i="87"/>
  <c r="AB33" i="87"/>
  <c r="AB34" i="87"/>
  <c r="AB52" i="87" s="1"/>
  <c r="AB32" i="87"/>
  <c r="N34" i="87"/>
  <c r="N52" i="87" s="1"/>
  <c r="N32" i="87"/>
  <c r="N33" i="87"/>
  <c r="Q32" i="87"/>
  <c r="Q34" i="87"/>
  <c r="Q52" i="87" s="1"/>
  <c r="Q33" i="87"/>
  <c r="AP33" i="87"/>
  <c r="AP34" i="87"/>
  <c r="AP52" i="87" s="1"/>
  <c r="AP32" i="87"/>
  <c r="AO33" i="87"/>
  <c r="AO34" i="87"/>
  <c r="AO52" i="87" s="1"/>
  <c r="AO32" i="87"/>
  <c r="AK32" i="87"/>
  <c r="AK34" i="87"/>
  <c r="AK52" i="87" s="1"/>
  <c r="AK33" i="87"/>
  <c r="L34" i="87"/>
  <c r="L52" i="87" s="1"/>
  <c r="L32" i="87"/>
  <c r="L33" i="87"/>
  <c r="AN34" i="87"/>
  <c r="AN52" i="87" s="1"/>
  <c r="AN32" i="87"/>
  <c r="AN33" i="87"/>
  <c r="G34" i="87"/>
  <c r="G52" i="87" s="1"/>
  <c r="G33" i="87"/>
  <c r="G32" i="87"/>
  <c r="AF34" i="87"/>
  <c r="AF52" i="87" s="1"/>
  <c r="AF32" i="87"/>
  <c r="AF33" i="87"/>
  <c r="P34" i="87"/>
  <c r="P52" i="87" s="1"/>
  <c r="P33" i="87"/>
  <c r="P32" i="87"/>
  <c r="AS32" i="87"/>
  <c r="AS34" i="87"/>
  <c r="AS52" i="87" s="1"/>
  <c r="AS33" i="87"/>
  <c r="P33" i="76"/>
  <c r="P34" i="76"/>
  <c r="P52" i="76" s="1"/>
  <c r="P32" i="76"/>
  <c r="AC34" i="76"/>
  <c r="AC52" i="76" s="1"/>
  <c r="AC33" i="76"/>
  <c r="AC32" i="76"/>
  <c r="G34" i="76"/>
  <c r="G52" i="76" s="1"/>
  <c r="G33" i="76"/>
  <c r="G32" i="76"/>
  <c r="H32" i="76"/>
  <c r="H34" i="76"/>
  <c r="H52" i="76" s="1"/>
  <c r="H33" i="76"/>
  <c r="AF34" i="76"/>
  <c r="AF52" i="76" s="1"/>
  <c r="AF32" i="76"/>
  <c r="AF33" i="76"/>
  <c r="AQ33" i="76"/>
  <c r="AQ34" i="76"/>
  <c r="AQ52" i="76" s="1"/>
  <c r="AQ32" i="76"/>
  <c r="Q34" i="76"/>
  <c r="Q52" i="76" s="1"/>
  <c r="Q33" i="76"/>
  <c r="Q32" i="76"/>
  <c r="AH33" i="76"/>
  <c r="AH34" i="76"/>
  <c r="AH52" i="76" s="1"/>
  <c r="AH32" i="76"/>
  <c r="R33" i="76"/>
  <c r="R34" i="76"/>
  <c r="R52" i="76" s="1"/>
  <c r="R32" i="76"/>
  <c r="AD34" i="76"/>
  <c r="AD52" i="76" s="1"/>
  <c r="AD33" i="76"/>
  <c r="AD32" i="76"/>
  <c r="E33" i="76"/>
  <c r="AU49" i="76"/>
  <c r="D34" i="69"/>
  <c r="G12" i="69" s="1"/>
  <c r="E34" i="76"/>
  <c r="E32" i="76"/>
  <c r="S34" i="85"/>
  <c r="S52" i="85" s="1"/>
  <c r="S32" i="85"/>
  <c r="S33" i="85"/>
  <c r="R33" i="85"/>
  <c r="R32" i="85"/>
  <c r="R34" i="85"/>
  <c r="R52" i="85" s="1"/>
  <c r="AE32" i="85"/>
  <c r="AE33" i="85"/>
  <c r="AE34" i="85"/>
  <c r="AE52" i="85" s="1"/>
  <c r="AM33" i="85"/>
  <c r="AM34" i="85"/>
  <c r="AM52" i="85" s="1"/>
  <c r="AM32" i="85"/>
  <c r="H33" i="85"/>
  <c r="H32" i="85"/>
  <c r="H34" i="85"/>
  <c r="H52" i="85" s="1"/>
  <c r="X34" i="85"/>
  <c r="X52" i="85" s="1"/>
  <c r="X32" i="85"/>
  <c r="X33" i="85"/>
  <c r="AC32" i="85"/>
  <c r="AC33" i="85"/>
  <c r="AC34" i="85"/>
  <c r="AC52" i="85" s="1"/>
  <c r="W32" i="85"/>
  <c r="W33" i="85"/>
  <c r="W34" i="85"/>
  <c r="W52" i="85" s="1"/>
  <c r="AJ33" i="85"/>
  <c r="AJ34" i="85"/>
  <c r="AJ52" i="85" s="1"/>
  <c r="AJ32" i="85"/>
  <c r="L33" i="85"/>
  <c r="L32" i="85"/>
  <c r="L34" i="85"/>
  <c r="L52" i="85" s="1"/>
  <c r="AH33" i="87"/>
  <c r="AH34" i="87"/>
  <c r="AH52" i="87" s="1"/>
  <c r="AH32" i="87"/>
  <c r="U32" i="87"/>
  <c r="U33" i="87"/>
  <c r="U34" i="87"/>
  <c r="U52" i="87" s="1"/>
  <c r="S34" i="87"/>
  <c r="S52" i="87" s="1"/>
  <c r="S33" i="87"/>
  <c r="S32" i="87"/>
  <c r="V34" i="87"/>
  <c r="V52" i="87" s="1"/>
  <c r="V33" i="87"/>
  <c r="V32" i="87"/>
  <c r="N34" i="76"/>
  <c r="N52" i="76" s="1"/>
  <c r="N32" i="76"/>
  <c r="N33" i="76"/>
  <c r="X33" i="76"/>
  <c r="X34" i="76"/>
  <c r="X52" i="76" s="1"/>
  <c r="X32" i="76"/>
  <c r="AI33" i="76"/>
  <c r="AI34" i="76"/>
  <c r="AI52" i="76" s="1"/>
  <c r="AI32" i="76"/>
  <c r="AG34" i="85"/>
  <c r="AG52" i="85" s="1"/>
  <c r="AG33" i="85"/>
  <c r="AG32" i="85"/>
  <c r="AI33" i="85"/>
  <c r="AI34" i="85"/>
  <c r="AI52" i="85" s="1"/>
  <c r="AI32" i="85"/>
  <c r="K32" i="85"/>
  <c r="K33" i="85"/>
  <c r="K34" i="85"/>
  <c r="K52" i="85" s="1"/>
  <c r="AR32" i="85"/>
  <c r="AR33" i="85"/>
  <c r="AR34" i="85"/>
  <c r="AR52" i="85" s="1"/>
  <c r="E34" i="69"/>
  <c r="H12" i="69" s="1"/>
  <c r="E32" i="85"/>
  <c r="E34" i="85"/>
  <c r="AC32" i="87"/>
  <c r="AC33" i="87"/>
  <c r="AC34" i="87"/>
  <c r="AC52" i="87" s="1"/>
  <c r="I34" i="87"/>
  <c r="I52" i="87" s="1"/>
  <c r="I33" i="87"/>
  <c r="I32" i="87"/>
  <c r="O32" i="87"/>
  <c r="O34" i="87"/>
  <c r="O52" i="87" s="1"/>
  <c r="O33" i="87"/>
  <c r="AM34" i="87"/>
  <c r="AM52" i="87" s="1"/>
  <c r="AM33" i="87"/>
  <c r="AM32" i="87"/>
  <c r="AI34" i="87"/>
  <c r="AI52" i="87" s="1"/>
  <c r="AI33" i="87"/>
  <c r="AI32" i="87"/>
  <c r="M32" i="87"/>
  <c r="M33" i="87"/>
  <c r="M34" i="87"/>
  <c r="M52" i="87" s="1"/>
  <c r="W32" i="87"/>
  <c r="W34" i="87"/>
  <c r="W52" i="87" s="1"/>
  <c r="W33" i="87"/>
  <c r="J33" i="87"/>
  <c r="J34" i="87"/>
  <c r="J52" i="87" s="1"/>
  <c r="J32" i="87"/>
  <c r="AG34" i="87"/>
  <c r="AG52" i="87" s="1"/>
  <c r="AG33" i="87"/>
  <c r="AG32" i="87"/>
  <c r="H32" i="87"/>
  <c r="H33" i="87"/>
  <c r="H34" i="87"/>
  <c r="H52" i="87" s="1"/>
  <c r="E33" i="87"/>
  <c r="E32" i="87"/>
  <c r="AT49" i="87"/>
  <c r="E34" i="87"/>
  <c r="J34" i="76"/>
  <c r="J52" i="76" s="1"/>
  <c r="J33" i="76"/>
  <c r="J32" i="76"/>
  <c r="AG32" i="76"/>
  <c r="AG33" i="76"/>
  <c r="AG34" i="76"/>
  <c r="AG52" i="76" s="1"/>
  <c r="S34" i="76"/>
  <c r="S52" i="76" s="1"/>
  <c r="S33" i="76"/>
  <c r="S32" i="76"/>
  <c r="AA32" i="76"/>
  <c r="AA34" i="76"/>
  <c r="AA52" i="76" s="1"/>
  <c r="AA33" i="76"/>
  <c r="AN33" i="76"/>
  <c r="AN32" i="76"/>
  <c r="AN34" i="76"/>
  <c r="AN52" i="76" s="1"/>
  <c r="V33" i="76"/>
  <c r="V34" i="76"/>
  <c r="V52" i="76" s="1"/>
  <c r="V32" i="76"/>
  <c r="AJ34" i="76"/>
  <c r="AJ52" i="76" s="1"/>
  <c r="AJ32" i="76"/>
  <c r="AJ33" i="76"/>
  <c r="L33" i="76"/>
  <c r="L32" i="76"/>
  <c r="L34" i="76"/>
  <c r="L52" i="76" s="1"/>
  <c r="AR32" i="76"/>
  <c r="AR34" i="76"/>
  <c r="AR52" i="76" s="1"/>
  <c r="AR33" i="76"/>
  <c r="K33" i="76"/>
  <c r="K32" i="76"/>
  <c r="K34" i="76"/>
  <c r="K52" i="76" s="1"/>
  <c r="AS33" i="76"/>
  <c r="AS34" i="76"/>
  <c r="AS52" i="76" s="1"/>
  <c r="AS32" i="76"/>
  <c r="AP34" i="85"/>
  <c r="AP52" i="85" s="1"/>
  <c r="AP32" i="85"/>
  <c r="AP33" i="85"/>
  <c r="AD32" i="85"/>
  <c r="AD34" i="85"/>
  <c r="AD52" i="85" s="1"/>
  <c r="AD33" i="85"/>
  <c r="Q34" i="85"/>
  <c r="Q52" i="85" s="1"/>
  <c r="Q32" i="85"/>
  <c r="Q33" i="85"/>
  <c r="Y32" i="85"/>
  <c r="Y34" i="85"/>
  <c r="Y52" i="85" s="1"/>
  <c r="Y33" i="85"/>
  <c r="T34" i="85"/>
  <c r="T52" i="85" s="1"/>
  <c r="T32" i="85"/>
  <c r="T33" i="85"/>
  <c r="AQ32" i="85"/>
  <c r="AQ34" i="85"/>
  <c r="AQ52" i="85" s="1"/>
  <c r="AQ33" i="85"/>
  <c r="O33" i="85"/>
  <c r="O34" i="85"/>
  <c r="O52" i="85" s="1"/>
  <c r="O32" i="85"/>
  <c r="AN34" i="85"/>
  <c r="AN52" i="85" s="1"/>
  <c r="AN33" i="85"/>
  <c r="AN32" i="85"/>
  <c r="AO33" i="85"/>
  <c r="AO34" i="85"/>
  <c r="AO52" i="85" s="1"/>
  <c r="AO32" i="85"/>
  <c r="V32" i="85"/>
  <c r="V34" i="85"/>
  <c r="V52" i="85" s="1"/>
  <c r="V33" i="85"/>
  <c r="AB34" i="85"/>
  <c r="AB52" i="85" s="1"/>
  <c r="AB32" i="85"/>
  <c r="AB33" i="85"/>
  <c r="F45" i="69"/>
  <c r="AQ35" i="87" l="1"/>
  <c r="AI35" i="76"/>
  <c r="S35" i="87"/>
  <c r="AJ35" i="85"/>
  <c r="AD35" i="76"/>
  <c r="AQ35" i="76"/>
  <c r="AC35" i="76"/>
  <c r="AE35" i="76"/>
  <c r="AJ35" i="87"/>
  <c r="J35" i="87"/>
  <c r="AI35" i="87"/>
  <c r="O35" i="85"/>
  <c r="V35" i="76"/>
  <c r="T35" i="85"/>
  <c r="Y35" i="85"/>
  <c r="AP35" i="85"/>
  <c r="L35" i="76"/>
  <c r="J35" i="76"/>
  <c r="M35" i="87"/>
  <c r="AM35" i="87"/>
  <c r="X35" i="76"/>
  <c r="N35" i="76"/>
  <c r="AM35" i="85"/>
  <c r="R35" i="76"/>
  <c r="P35" i="76"/>
  <c r="G35" i="87"/>
  <c r="AN35" i="87"/>
  <c r="AO35" i="87"/>
  <c r="Q35" i="87"/>
  <c r="AB35" i="87"/>
  <c r="T35" i="76"/>
  <c r="X35" i="87"/>
  <c r="M35" i="85"/>
  <c r="AH35" i="85"/>
  <c r="AS35" i="85"/>
  <c r="AA35" i="85"/>
  <c r="AL35" i="85"/>
  <c r="AM35" i="76"/>
  <c r="R35" i="87"/>
  <c r="F35" i="87"/>
  <c r="I35" i="76"/>
  <c r="AD35" i="87"/>
  <c r="AN53" i="76"/>
  <c r="AN29" i="76" s="1"/>
  <c r="O53" i="87"/>
  <c r="O29" i="87" s="1"/>
  <c r="F34" i="69"/>
  <c r="AH53" i="87"/>
  <c r="AH29" i="87" s="1"/>
  <c r="X53" i="85"/>
  <c r="X29" i="85" s="1"/>
  <c r="AU32" i="76"/>
  <c r="E35" i="76"/>
  <c r="AH53" i="76"/>
  <c r="AH29" i="76" s="1"/>
  <c r="G53" i="76"/>
  <c r="G29" i="76" s="1"/>
  <c r="P53" i="87"/>
  <c r="P29" i="87" s="1"/>
  <c r="P53" i="85"/>
  <c r="P29" i="85" s="1"/>
  <c r="AL53" i="87"/>
  <c r="AL29" i="87" s="1"/>
  <c r="AP53" i="76"/>
  <c r="AP29" i="76" s="1"/>
  <c r="K53" i="76"/>
  <c r="K29" i="76" s="1"/>
  <c r="AN35" i="76"/>
  <c r="O35" i="87"/>
  <c r="AC53" i="87"/>
  <c r="AC29" i="87" s="1"/>
  <c r="E35" i="85"/>
  <c r="AU32" i="85"/>
  <c r="AR53" i="85"/>
  <c r="AR29" i="85" s="1"/>
  <c r="X53" i="76"/>
  <c r="X29" i="76" s="1"/>
  <c r="N53" i="76"/>
  <c r="N29" i="76" s="1"/>
  <c r="AC35" i="85"/>
  <c r="H53" i="85"/>
  <c r="H29" i="85" s="1"/>
  <c r="AM53" i="85"/>
  <c r="AM29" i="85" s="1"/>
  <c r="AE35" i="85"/>
  <c r="D19" i="69"/>
  <c r="AU34" i="76"/>
  <c r="E52" i="76"/>
  <c r="R53" i="76"/>
  <c r="R29" i="76" s="1"/>
  <c r="AF35" i="76"/>
  <c r="H35" i="76"/>
  <c r="P53" i="76"/>
  <c r="P29" i="76" s="1"/>
  <c r="AS35" i="87"/>
  <c r="AN53" i="87"/>
  <c r="AN29" i="87" s="1"/>
  <c r="AO53" i="87"/>
  <c r="AO29" i="87" s="1"/>
  <c r="AB53" i="87"/>
  <c r="AB29" i="87" s="1"/>
  <c r="Y53" i="87"/>
  <c r="Y29" i="87" s="1"/>
  <c r="U53" i="85"/>
  <c r="U29" i="85" s="1"/>
  <c r="AT35" i="85"/>
  <c r="AK35" i="85"/>
  <c r="T53" i="76"/>
  <c r="T29" i="76" s="1"/>
  <c r="Y35" i="76"/>
  <c r="M53" i="85"/>
  <c r="M29" i="85" s="1"/>
  <c r="J35" i="85"/>
  <c r="G35" i="85"/>
  <c r="F35" i="85"/>
  <c r="U53" i="76"/>
  <c r="U29" i="76" s="1"/>
  <c r="AM53" i="76"/>
  <c r="AM29" i="76" s="1"/>
  <c r="AT35" i="76"/>
  <c r="W35" i="76"/>
  <c r="F53" i="76"/>
  <c r="F29" i="76" s="1"/>
  <c r="Z35" i="87"/>
  <c r="AR53" i="87"/>
  <c r="AR29" i="87" s="1"/>
  <c r="I35" i="85"/>
  <c r="AF53" i="85"/>
  <c r="AF29" i="85" s="1"/>
  <c r="O53" i="76"/>
  <c r="O29" i="76" s="1"/>
  <c r="I53" i="76"/>
  <c r="I29" i="76" s="1"/>
  <c r="AO53" i="85"/>
  <c r="AO29" i="85" s="1"/>
  <c r="AJ53" i="76"/>
  <c r="AJ29" i="76" s="1"/>
  <c r="S53" i="76"/>
  <c r="S29" i="76" s="1"/>
  <c r="AG53" i="87"/>
  <c r="AG29" i="87" s="1"/>
  <c r="I53" i="87"/>
  <c r="I29" i="87" s="1"/>
  <c r="K53" i="85"/>
  <c r="K29" i="85" s="1"/>
  <c r="AG53" i="85"/>
  <c r="AG29" i="85" s="1"/>
  <c r="V53" i="87"/>
  <c r="V29" i="87" s="1"/>
  <c r="W53" i="85"/>
  <c r="W29" i="85" s="1"/>
  <c r="D18" i="69"/>
  <c r="AU33" i="76"/>
  <c r="Q53" i="76"/>
  <c r="Q29" i="76" s="1"/>
  <c r="L53" i="87"/>
  <c r="L29" i="87" s="1"/>
  <c r="AK53" i="85"/>
  <c r="AK29" i="85" s="1"/>
  <c r="W53" i="76"/>
  <c r="W29" i="76" s="1"/>
  <c r="T53" i="87"/>
  <c r="T29" i="87" s="1"/>
  <c r="AA53" i="87"/>
  <c r="AA29" i="87" s="1"/>
  <c r="AO53" i="76"/>
  <c r="AO29" i="76" s="1"/>
  <c r="K53" i="87"/>
  <c r="K29" i="87" s="1"/>
  <c r="T53" i="85"/>
  <c r="T29" i="85" s="1"/>
  <c r="AD53" i="85"/>
  <c r="AD29" i="85" s="1"/>
  <c r="AR53" i="76"/>
  <c r="AR29" i="76" s="1"/>
  <c r="AG53" i="76"/>
  <c r="AG29" i="76" s="1"/>
  <c r="E35" i="87"/>
  <c r="AT32" i="87"/>
  <c r="AB35" i="85"/>
  <c r="V35" i="85"/>
  <c r="O53" i="85"/>
  <c r="O29" i="85" s="1"/>
  <c r="O37" i="85" s="1"/>
  <c r="O38" i="85" s="1"/>
  <c r="O39" i="85" s="1"/>
  <c r="O42" i="85" s="1"/>
  <c r="O45" i="85" s="1"/>
  <c r="AQ35" i="85"/>
  <c r="Q35" i="85"/>
  <c r="AD35" i="85"/>
  <c r="AS35" i="76"/>
  <c r="K35" i="76"/>
  <c r="AR35" i="76"/>
  <c r="V53" i="76"/>
  <c r="V29" i="76" s="1"/>
  <c r="S35" i="76"/>
  <c r="J53" i="76"/>
  <c r="J29" i="76" s="1"/>
  <c r="AT33" i="87"/>
  <c r="AG35" i="87"/>
  <c r="J53" i="87"/>
  <c r="J29" i="87" s="1"/>
  <c r="M53" i="87"/>
  <c r="M29" i="87" s="1"/>
  <c r="AM53" i="87"/>
  <c r="AM29" i="87" s="1"/>
  <c r="I35" i="87"/>
  <c r="E18" i="69"/>
  <c r="AU33" i="85"/>
  <c r="K35" i="85"/>
  <c r="AG35" i="85"/>
  <c r="AI53" i="76"/>
  <c r="AI29" i="76" s="1"/>
  <c r="V35" i="87"/>
  <c r="U35" i="87"/>
  <c r="L53" i="85"/>
  <c r="L29" i="85" s="1"/>
  <c r="AJ53" i="85"/>
  <c r="AJ29" i="85" s="1"/>
  <c r="AJ37" i="85" s="1"/>
  <c r="AJ38" i="85" s="1"/>
  <c r="AJ39" i="85" s="1"/>
  <c r="AJ42" i="85" s="1"/>
  <c r="AJ45" i="85" s="1"/>
  <c r="W35" i="85"/>
  <c r="H35" i="85"/>
  <c r="R53" i="85"/>
  <c r="R29" i="85" s="1"/>
  <c r="S35" i="85"/>
  <c r="Q35" i="76"/>
  <c r="AQ53" i="76"/>
  <c r="AQ29" i="76" s="1"/>
  <c r="AQ37" i="76" s="1"/>
  <c r="AQ38" i="76" s="1"/>
  <c r="AQ39" i="76" s="1"/>
  <c r="AQ42" i="76" s="1"/>
  <c r="AQ45" i="76" s="1"/>
  <c r="AF53" i="76"/>
  <c r="AF29" i="76" s="1"/>
  <c r="G35" i="76"/>
  <c r="P35" i="87"/>
  <c r="AF35" i="87"/>
  <c r="G53" i="87"/>
  <c r="G29" i="87" s="1"/>
  <c r="AK53" i="87"/>
  <c r="AK29" i="87" s="1"/>
  <c r="N35" i="87"/>
  <c r="U35" i="85"/>
  <c r="AB35" i="76"/>
  <c r="X53" i="87"/>
  <c r="X29" i="87" s="1"/>
  <c r="X37" i="87" s="1"/>
  <c r="X38" i="87" s="1"/>
  <c r="X39" i="87" s="1"/>
  <c r="X42" i="87" s="1"/>
  <c r="X45" i="87" s="1"/>
  <c r="AL35" i="87"/>
  <c r="AH53" i="85"/>
  <c r="AH29" i="85" s="1"/>
  <c r="AH37" i="85" s="1"/>
  <c r="AH38" i="85" s="1"/>
  <c r="AH39" i="85" s="1"/>
  <c r="AH42" i="85" s="1"/>
  <c r="AH45" i="85" s="1"/>
  <c r="N35" i="85"/>
  <c r="AS53" i="85"/>
  <c r="AS29" i="85" s="1"/>
  <c r="AS37" i="85" s="1"/>
  <c r="AS38" i="85" s="1"/>
  <c r="AS39" i="85" s="1"/>
  <c r="AS42" i="85" s="1"/>
  <c r="AS45" i="85" s="1"/>
  <c r="Z53" i="85"/>
  <c r="Z29" i="85" s="1"/>
  <c r="G53" i="85"/>
  <c r="G29" i="85" s="1"/>
  <c r="AP35" i="76"/>
  <c r="AL53" i="76"/>
  <c r="AL29" i="76" s="1"/>
  <c r="M35" i="76"/>
  <c r="Z53" i="76"/>
  <c r="Z29" i="76" s="1"/>
  <c r="AK35" i="76"/>
  <c r="F35" i="76"/>
  <c r="R53" i="87"/>
  <c r="R29" i="87" s="1"/>
  <c r="AE35" i="87"/>
  <c r="T35" i="87"/>
  <c r="AR35" i="87"/>
  <c r="AO35" i="76"/>
  <c r="K35" i="87"/>
  <c r="AN53" i="85"/>
  <c r="AN29" i="85" s="1"/>
  <c r="AA53" i="76"/>
  <c r="AA29" i="76" s="1"/>
  <c r="W53" i="87"/>
  <c r="W29" i="87" s="1"/>
  <c r="E19" i="69"/>
  <c r="E52" i="85"/>
  <c r="AU34" i="85"/>
  <c r="AI53" i="85"/>
  <c r="AI29" i="85" s="1"/>
  <c r="U53" i="87"/>
  <c r="U29" i="87" s="1"/>
  <c r="H53" i="76"/>
  <c r="H29" i="76" s="1"/>
  <c r="AS53" i="87"/>
  <c r="AS29" i="87" s="1"/>
  <c r="AP53" i="87"/>
  <c r="AP29" i="87" s="1"/>
  <c r="AT53" i="85"/>
  <c r="AT29" i="85" s="1"/>
  <c r="Y53" i="76"/>
  <c r="Y29" i="76" s="1"/>
  <c r="M53" i="76"/>
  <c r="M29" i="76" s="1"/>
  <c r="Z53" i="87"/>
  <c r="Z29" i="87" s="1"/>
  <c r="I53" i="85"/>
  <c r="I29" i="85" s="1"/>
  <c r="V53" i="85"/>
  <c r="V29" i="85" s="1"/>
  <c r="AQ53" i="85"/>
  <c r="AQ29" i="85" s="1"/>
  <c r="AP53" i="85"/>
  <c r="AP29" i="85" s="1"/>
  <c r="AA35" i="76"/>
  <c r="H35" i="87"/>
  <c r="W35" i="87"/>
  <c r="AN35" i="85"/>
  <c r="AB53" i="85"/>
  <c r="AB29" i="85" s="1"/>
  <c r="AO35" i="85"/>
  <c r="Y53" i="85"/>
  <c r="Y29" i="85" s="1"/>
  <c r="Y37" i="85" s="1"/>
  <c r="Q53" i="85"/>
  <c r="Q29" i="85" s="1"/>
  <c r="AS53" i="76"/>
  <c r="AS29" i="76" s="1"/>
  <c r="L53" i="76"/>
  <c r="L29" i="76" s="1"/>
  <c r="AJ35" i="76"/>
  <c r="AG35" i="76"/>
  <c r="AT34" i="87"/>
  <c r="E52" i="87"/>
  <c r="H53" i="87"/>
  <c r="H29" i="87" s="1"/>
  <c r="AI53" i="87"/>
  <c r="AI29" i="87" s="1"/>
  <c r="AC35" i="87"/>
  <c r="AR35" i="85"/>
  <c r="AI35" i="85"/>
  <c r="S53" i="87"/>
  <c r="S29" i="87" s="1"/>
  <c r="AH35" i="87"/>
  <c r="L35" i="85"/>
  <c r="AC53" i="85"/>
  <c r="AC29" i="85" s="1"/>
  <c r="X35" i="85"/>
  <c r="AE53" i="85"/>
  <c r="AE29" i="85" s="1"/>
  <c r="R35" i="85"/>
  <c r="S53" i="85"/>
  <c r="S29" i="85" s="1"/>
  <c r="AD53" i="76"/>
  <c r="AD29" i="76" s="1"/>
  <c r="AH35" i="76"/>
  <c r="AC53" i="76"/>
  <c r="AC29" i="76" s="1"/>
  <c r="AF53" i="87"/>
  <c r="AF29" i="87" s="1"/>
  <c r="L35" i="87"/>
  <c r="AK35" i="87"/>
  <c r="AP35" i="87"/>
  <c r="Q53" i="87"/>
  <c r="Q29" i="87" s="1"/>
  <c r="N53" i="87"/>
  <c r="N29" i="87" s="1"/>
  <c r="Y35" i="87"/>
  <c r="P35" i="85"/>
  <c r="AB53" i="76"/>
  <c r="AB29" i="76" s="1"/>
  <c r="AE53" i="76"/>
  <c r="AE29" i="76" s="1"/>
  <c r="AJ53" i="87"/>
  <c r="AJ29" i="87" s="1"/>
  <c r="N53" i="85"/>
  <c r="N29" i="85" s="1"/>
  <c r="N37" i="85" s="1"/>
  <c r="N38" i="85" s="1"/>
  <c r="N39" i="85" s="1"/>
  <c r="N42" i="85" s="1"/>
  <c r="N45" i="85" s="1"/>
  <c r="J53" i="85"/>
  <c r="J29" i="85" s="1"/>
  <c r="AA53" i="85"/>
  <c r="AA29" i="85" s="1"/>
  <c r="Z35" i="85"/>
  <c r="F53" i="85"/>
  <c r="F29" i="85" s="1"/>
  <c r="AL53" i="85"/>
  <c r="AL29" i="85" s="1"/>
  <c r="U35" i="76"/>
  <c r="AT53" i="76"/>
  <c r="AT29" i="76" s="1"/>
  <c r="AL35" i="76"/>
  <c r="Z35" i="76"/>
  <c r="AK53" i="76"/>
  <c r="AK29" i="76" s="1"/>
  <c r="AE53" i="87"/>
  <c r="AE29" i="87" s="1"/>
  <c r="F53" i="87"/>
  <c r="F29" i="87" s="1"/>
  <c r="AA35" i="87"/>
  <c r="AF35" i="85"/>
  <c r="O35" i="76"/>
  <c r="AD53" i="87"/>
  <c r="AD29" i="87" s="1"/>
  <c r="AD37" i="87" s="1"/>
  <c r="AD38" i="87" s="1"/>
  <c r="AD39" i="87" s="1"/>
  <c r="AD42" i="87" s="1"/>
  <c r="AD45" i="87" s="1"/>
  <c r="AQ53" i="87"/>
  <c r="AQ29" i="87" s="1"/>
  <c r="AI37" i="76" l="1"/>
  <c r="AI38" i="76" s="1"/>
  <c r="AI39" i="76" s="1"/>
  <c r="AI42" i="76" s="1"/>
  <c r="AI45" i="76" s="1"/>
  <c r="T37" i="85"/>
  <c r="T38" i="85" s="1"/>
  <c r="T39" i="85" s="1"/>
  <c r="T42" i="85" s="1"/>
  <c r="T45" i="85" s="1"/>
  <c r="N37" i="76"/>
  <c r="N38" i="76" s="1"/>
  <c r="N39" i="76" s="1"/>
  <c r="N42" i="76" s="1"/>
  <c r="N45" i="76" s="1"/>
  <c r="AB37" i="87"/>
  <c r="AB38" i="87" s="1"/>
  <c r="AB39" i="87" s="1"/>
  <c r="AB42" i="87" s="1"/>
  <c r="AB45" i="87" s="1"/>
  <c r="J37" i="76"/>
  <c r="J38" i="76" s="1"/>
  <c r="J39" i="76" s="1"/>
  <c r="J42" i="76" s="1"/>
  <c r="J45" i="76" s="1"/>
  <c r="AQ37" i="87"/>
  <c r="AQ38" i="87" s="1"/>
  <c r="AQ39" i="87" s="1"/>
  <c r="AQ42" i="87" s="1"/>
  <c r="AQ45" i="87" s="1"/>
  <c r="J37" i="87"/>
  <c r="J38" i="87" s="1"/>
  <c r="J39" i="87" s="1"/>
  <c r="J42" i="87" s="1"/>
  <c r="J45" i="87" s="1"/>
  <c r="N37" i="87"/>
  <c r="N38" i="87" s="1"/>
  <c r="N39" i="87" s="1"/>
  <c r="N42" i="87" s="1"/>
  <c r="N45" i="87" s="1"/>
  <c r="G37" i="87"/>
  <c r="G38" i="87" s="1"/>
  <c r="G39" i="87" s="1"/>
  <c r="G42" i="87" s="1"/>
  <c r="G45" i="87" s="1"/>
  <c r="T37" i="76"/>
  <c r="T38" i="76" s="1"/>
  <c r="T39" i="76" s="1"/>
  <c r="T42" i="76" s="1"/>
  <c r="T45" i="76" s="1"/>
  <c r="AM37" i="76"/>
  <c r="AM38" i="76" s="1"/>
  <c r="AM39" i="76" s="1"/>
  <c r="AM42" i="76" s="1"/>
  <c r="AM45" i="76" s="1"/>
  <c r="F37" i="87"/>
  <c r="F38" i="87" s="1"/>
  <c r="F39" i="87" s="1"/>
  <c r="F42" i="87" s="1"/>
  <c r="F45" i="87" s="1"/>
  <c r="AE37" i="85"/>
  <c r="AE38" i="85" s="1"/>
  <c r="AE39" i="85" s="1"/>
  <c r="AE42" i="85" s="1"/>
  <c r="AE45" i="85" s="1"/>
  <c r="AO37" i="87"/>
  <c r="AO38" i="87" s="1"/>
  <c r="AO39" i="87" s="1"/>
  <c r="AO42" i="87" s="1"/>
  <c r="AO45" i="87" s="1"/>
  <c r="AL37" i="85"/>
  <c r="AL38" i="85" s="1"/>
  <c r="AL39" i="85" s="1"/>
  <c r="AL42" i="85" s="1"/>
  <c r="AL45" i="85" s="1"/>
  <c r="Q37" i="87"/>
  <c r="Q38" i="87" s="1"/>
  <c r="Q39" i="87" s="1"/>
  <c r="Q42" i="87" s="1"/>
  <c r="Q45" i="87" s="1"/>
  <c r="M37" i="85"/>
  <c r="M38" i="85" s="1"/>
  <c r="M39" i="85" s="1"/>
  <c r="M42" i="85" s="1"/>
  <c r="M45" i="85" s="1"/>
  <c r="AH54" i="87"/>
  <c r="O54" i="87"/>
  <c r="AC37" i="76"/>
  <c r="AC38" i="76" s="1"/>
  <c r="AC39" i="76" s="1"/>
  <c r="AC42" i="76" s="1"/>
  <c r="AC45" i="76" s="1"/>
  <c r="AN37" i="87"/>
  <c r="AN38" i="87" s="1"/>
  <c r="AN39" i="87" s="1"/>
  <c r="AN42" i="87" s="1"/>
  <c r="AN45" i="87" s="1"/>
  <c r="R37" i="76"/>
  <c r="R38" i="76" s="1"/>
  <c r="R39" i="76" s="1"/>
  <c r="R42" i="76" s="1"/>
  <c r="R45" i="76" s="1"/>
  <c r="AA37" i="85"/>
  <c r="AA38" i="85" s="1"/>
  <c r="AA39" i="85" s="1"/>
  <c r="AA42" i="85" s="1"/>
  <c r="AA45" i="85" s="1"/>
  <c r="AE37" i="76"/>
  <c r="AE38" i="76" s="1"/>
  <c r="AE39" i="76" s="1"/>
  <c r="AE42" i="76" s="1"/>
  <c r="AE45" i="76" s="1"/>
  <c r="AD37" i="76"/>
  <c r="AD38" i="76" s="1"/>
  <c r="AD39" i="76" s="1"/>
  <c r="AD42" i="76" s="1"/>
  <c r="AD45" i="76" s="1"/>
  <c r="AP37" i="85"/>
  <c r="AP38" i="85" s="1"/>
  <c r="AP39" i="85" s="1"/>
  <c r="AP42" i="85" s="1"/>
  <c r="AP45" i="85" s="1"/>
  <c r="AM37" i="85"/>
  <c r="AM38" i="85" s="1"/>
  <c r="AM39" i="85" s="1"/>
  <c r="AM42" i="85" s="1"/>
  <c r="AM45" i="85" s="1"/>
  <c r="AJ37" i="87"/>
  <c r="AJ38" i="87" s="1"/>
  <c r="AJ39" i="87" s="1"/>
  <c r="AJ42" i="87" s="1"/>
  <c r="AJ45" i="87" s="1"/>
  <c r="AM37" i="87"/>
  <c r="AM38" i="87" s="1"/>
  <c r="AM39" i="87" s="1"/>
  <c r="AM42" i="87" s="1"/>
  <c r="AM45" i="87" s="1"/>
  <c r="S37" i="87"/>
  <c r="S38" i="87" s="1"/>
  <c r="S39" i="87" s="1"/>
  <c r="S42" i="87" s="1"/>
  <c r="S45" i="87" s="1"/>
  <c r="AI37" i="87"/>
  <c r="AI38" i="87" s="1"/>
  <c r="AI39" i="87" s="1"/>
  <c r="AI42" i="87" s="1"/>
  <c r="AI45" i="87" s="1"/>
  <c r="R37" i="87"/>
  <c r="R38" i="87" s="1"/>
  <c r="R39" i="87" s="1"/>
  <c r="R42" i="87" s="1"/>
  <c r="R45" i="87" s="1"/>
  <c r="M37" i="87"/>
  <c r="M38" i="87" s="1"/>
  <c r="M39" i="87" s="1"/>
  <c r="M42" i="87" s="1"/>
  <c r="M45" i="87" s="1"/>
  <c r="L37" i="76"/>
  <c r="L38" i="76" s="1"/>
  <c r="L39" i="76" s="1"/>
  <c r="L42" i="76" s="1"/>
  <c r="L45" i="76" s="1"/>
  <c r="V37" i="76"/>
  <c r="V38" i="76" s="1"/>
  <c r="V39" i="76" s="1"/>
  <c r="V42" i="76" s="1"/>
  <c r="V45" i="76" s="1"/>
  <c r="K54" i="87"/>
  <c r="I37" i="76"/>
  <c r="I38" i="76" s="1"/>
  <c r="I39" i="76" s="1"/>
  <c r="I42" i="76" s="1"/>
  <c r="I45" i="76" s="1"/>
  <c r="P37" i="76"/>
  <c r="P38" i="76" s="1"/>
  <c r="P39" i="76" s="1"/>
  <c r="P42" i="76" s="1"/>
  <c r="P45" i="76" s="1"/>
  <c r="X37" i="76"/>
  <c r="X38" i="76" s="1"/>
  <c r="X39" i="76" s="1"/>
  <c r="X42" i="76" s="1"/>
  <c r="X45" i="76" s="1"/>
  <c r="M37" i="76"/>
  <c r="M38" i="76" s="1"/>
  <c r="M39" i="76" s="1"/>
  <c r="M42" i="76" s="1"/>
  <c r="M45" i="76" s="1"/>
  <c r="X54" i="87"/>
  <c r="AE54" i="87"/>
  <c r="AB54" i="87"/>
  <c r="V37" i="85"/>
  <c r="V38" i="85" s="1"/>
  <c r="V39" i="85" s="1"/>
  <c r="V42" i="85" s="1"/>
  <c r="V45" i="85" s="1"/>
  <c r="J54" i="76"/>
  <c r="I54" i="76"/>
  <c r="G54" i="76"/>
  <c r="P54" i="85"/>
  <c r="X54" i="85"/>
  <c r="AB37" i="85"/>
  <c r="AB38" i="85" s="1"/>
  <c r="AB39" i="85" s="1"/>
  <c r="AB42" i="85" s="1"/>
  <c r="AB45" i="85" s="1"/>
  <c r="I37" i="85"/>
  <c r="I38" i="85" s="1"/>
  <c r="I39" i="85" s="1"/>
  <c r="I42" i="85" s="1"/>
  <c r="I45" i="85" s="1"/>
  <c r="AT37" i="85"/>
  <c r="AT38" i="85" s="1"/>
  <c r="AT39" i="85" s="1"/>
  <c r="AT42" i="85" s="1"/>
  <c r="AT45" i="85" s="1"/>
  <c r="Q37" i="85"/>
  <c r="Q38" i="85" s="1"/>
  <c r="Q39" i="85" s="1"/>
  <c r="Q42" i="85" s="1"/>
  <c r="Q45" i="85" s="1"/>
  <c r="AN54" i="76"/>
  <c r="F54" i="85"/>
  <c r="U54" i="76"/>
  <c r="AF37" i="87"/>
  <c r="AF38" i="87" s="1"/>
  <c r="AF39" i="87" s="1"/>
  <c r="AF42" i="87" s="1"/>
  <c r="AF45" i="87" s="1"/>
  <c r="H37" i="85"/>
  <c r="H38" i="85" s="1"/>
  <c r="H39" i="85" s="1"/>
  <c r="H42" i="85" s="1"/>
  <c r="H45" i="85" s="1"/>
  <c r="H54" i="76"/>
  <c r="AL54" i="76"/>
  <c r="Z54" i="85"/>
  <c r="G54" i="87"/>
  <c r="H37" i="76"/>
  <c r="H38" i="76" s="1"/>
  <c r="H39" i="76" s="1"/>
  <c r="H42" i="76" s="1"/>
  <c r="H45" i="76" s="1"/>
  <c r="L54" i="85"/>
  <c r="AI54" i="76"/>
  <c r="V54" i="76"/>
  <c r="O54" i="85"/>
  <c r="AG54" i="76"/>
  <c r="AF54" i="85"/>
  <c r="T54" i="76"/>
  <c r="U54" i="85"/>
  <c r="AM54" i="85"/>
  <c r="AT37" i="76"/>
  <c r="AT38" i="76" s="1"/>
  <c r="AT39" i="76" s="1"/>
  <c r="AT42" i="76" s="1"/>
  <c r="AT45" i="76" s="1"/>
  <c r="F37" i="85"/>
  <c r="F38" i="85" s="1"/>
  <c r="F39" i="85" s="1"/>
  <c r="S37" i="85"/>
  <c r="S38" i="85" s="1"/>
  <c r="S39" i="85" s="1"/>
  <c r="S42" i="85" s="1"/>
  <c r="S45" i="85" s="1"/>
  <c r="AC37" i="85"/>
  <c r="AC38" i="85" s="1"/>
  <c r="AC39" i="85" s="1"/>
  <c r="AC42" i="85" s="1"/>
  <c r="AC45" i="85" s="1"/>
  <c r="AQ37" i="85"/>
  <c r="AQ38" i="85" s="1"/>
  <c r="AQ39" i="85" s="1"/>
  <c r="AQ42" i="85" s="1"/>
  <c r="AQ45" i="85" s="1"/>
  <c r="Z37" i="87"/>
  <c r="Z38" i="87" s="1"/>
  <c r="Z39" i="87" s="1"/>
  <c r="Z42" i="87" s="1"/>
  <c r="Z45" i="87" s="1"/>
  <c r="K54" i="85"/>
  <c r="AK37" i="85"/>
  <c r="AK38" i="85" s="1"/>
  <c r="AK39" i="85" s="1"/>
  <c r="AK42" i="85" s="1"/>
  <c r="AK45" i="85" s="1"/>
  <c r="AJ54" i="87"/>
  <c r="V54" i="85"/>
  <c r="AS37" i="87"/>
  <c r="AS38" i="87" s="1"/>
  <c r="AS39" i="87" s="1"/>
  <c r="AS42" i="87" s="1"/>
  <c r="AS45" i="87" s="1"/>
  <c r="W37" i="87"/>
  <c r="W38" i="87" s="1"/>
  <c r="W39" i="87" s="1"/>
  <c r="W42" i="87" s="1"/>
  <c r="W45" i="87" s="1"/>
  <c r="W54" i="76"/>
  <c r="V54" i="87"/>
  <c r="AJ54" i="76"/>
  <c r="M54" i="85"/>
  <c r="AP54" i="76"/>
  <c r="AQ54" i="87"/>
  <c r="AB54" i="76"/>
  <c r="N54" i="87"/>
  <c r="AC54" i="85"/>
  <c r="S54" i="87"/>
  <c r="Y54" i="85"/>
  <c r="AP54" i="85"/>
  <c r="AP54" i="87"/>
  <c r="AA54" i="76"/>
  <c r="R54" i="87"/>
  <c r="Z54" i="76"/>
  <c r="AF54" i="76"/>
  <c r="AM54" i="87"/>
  <c r="J54" i="87"/>
  <c r="AA54" i="87"/>
  <c r="W37" i="85"/>
  <c r="W38" i="85" s="1"/>
  <c r="W39" i="85" s="1"/>
  <c r="W42" i="85" s="1"/>
  <c r="W45" i="85" s="1"/>
  <c r="AK37" i="76"/>
  <c r="AK38" i="76" s="1"/>
  <c r="AK39" i="76" s="1"/>
  <c r="AK42" i="76" s="1"/>
  <c r="AK45" i="76" s="1"/>
  <c r="AB37" i="76"/>
  <c r="AB38" i="76" s="1"/>
  <c r="AB39" i="76" s="1"/>
  <c r="AB42" i="76" s="1"/>
  <c r="AB45" i="76" s="1"/>
  <c r="AS54" i="76"/>
  <c r="Y54" i="76"/>
  <c r="U37" i="87"/>
  <c r="U38" i="87" s="1"/>
  <c r="U39" i="87" s="1"/>
  <c r="U42" i="87" s="1"/>
  <c r="U45" i="87" s="1"/>
  <c r="AF37" i="76"/>
  <c r="AF38" i="76" s="1"/>
  <c r="AF39" i="76" s="1"/>
  <c r="AF42" i="76" s="1"/>
  <c r="AF45" i="76" s="1"/>
  <c r="R37" i="85"/>
  <c r="R38" i="85" s="1"/>
  <c r="R39" i="85" s="1"/>
  <c r="R42" i="85" s="1"/>
  <c r="R45" i="85" s="1"/>
  <c r="AR37" i="76"/>
  <c r="AR38" i="76" s="1"/>
  <c r="AR39" i="76" s="1"/>
  <c r="AR42" i="76" s="1"/>
  <c r="AR45" i="76" s="1"/>
  <c r="AL54" i="87"/>
  <c r="P54" i="87"/>
  <c r="AH54" i="76"/>
  <c r="AF54" i="87"/>
  <c r="AD54" i="76"/>
  <c r="H54" i="87"/>
  <c r="Z54" i="87"/>
  <c r="Y37" i="76"/>
  <c r="Y38" i="76" s="1"/>
  <c r="Y39" i="76" s="1"/>
  <c r="Y42" i="76" s="1"/>
  <c r="Y45" i="76" s="1"/>
  <c r="AI54" i="85"/>
  <c r="F19" i="69"/>
  <c r="AN37" i="85"/>
  <c r="AN38" i="85" s="1"/>
  <c r="AN39" i="85" s="1"/>
  <c r="AN42" i="85" s="1"/>
  <c r="AN45" i="85" s="1"/>
  <c r="G37" i="85"/>
  <c r="G38" i="85" s="1"/>
  <c r="G39" i="85" s="1"/>
  <c r="G42" i="85" s="1"/>
  <c r="G45" i="85" s="1"/>
  <c r="AD54" i="85"/>
  <c r="L54" i="87"/>
  <c r="D20" i="69"/>
  <c r="AG54" i="87"/>
  <c r="AR37" i="87"/>
  <c r="AR38" i="87" s="1"/>
  <c r="AR39" i="87" s="1"/>
  <c r="AR42" i="87" s="1"/>
  <c r="AR45" i="87" s="1"/>
  <c r="AN54" i="87"/>
  <c r="X54" i="76"/>
  <c r="E37" i="69"/>
  <c r="E53" i="85"/>
  <c r="E54" i="85" s="1"/>
  <c r="AU35" i="76"/>
  <c r="J54" i="85"/>
  <c r="H37" i="87"/>
  <c r="H38" i="87" s="1"/>
  <c r="H39" i="87" s="1"/>
  <c r="H42" i="87" s="1"/>
  <c r="H45" i="87" s="1"/>
  <c r="AS37" i="76"/>
  <c r="AS38" i="76" s="1"/>
  <c r="AS39" i="76" s="1"/>
  <c r="AS42" i="76" s="1"/>
  <c r="AS45" i="76" s="1"/>
  <c r="Y38" i="85"/>
  <c r="Y39" i="85" s="1"/>
  <c r="Y42" i="85" s="1"/>
  <c r="Y45" i="85" s="1"/>
  <c r="AA37" i="76"/>
  <c r="AA38" i="76" s="1"/>
  <c r="AA39" i="76" s="1"/>
  <c r="AA42" i="76" s="1"/>
  <c r="AA45" i="76" s="1"/>
  <c r="AL37" i="76"/>
  <c r="AL38" i="76" s="1"/>
  <c r="AL39" i="76" s="1"/>
  <c r="AL42" i="76" s="1"/>
  <c r="AL45" i="76" s="1"/>
  <c r="AG37" i="76"/>
  <c r="AG38" i="76" s="1"/>
  <c r="AG39" i="76" s="1"/>
  <c r="AG42" i="76" s="1"/>
  <c r="AG45" i="76" s="1"/>
  <c r="AD37" i="85"/>
  <c r="AD38" i="85" s="1"/>
  <c r="AD39" i="85" s="1"/>
  <c r="AD42" i="85" s="1"/>
  <c r="AD45" i="85" s="1"/>
  <c r="K37" i="87"/>
  <c r="K38" i="87" s="1"/>
  <c r="K39" i="87" s="1"/>
  <c r="K42" i="87" s="1"/>
  <c r="K45" i="87" s="1"/>
  <c r="AA37" i="87"/>
  <c r="AA38" i="87" s="1"/>
  <c r="AA39" i="87" s="1"/>
  <c r="AA42" i="87" s="1"/>
  <c r="AA45" i="87" s="1"/>
  <c r="W37" i="76"/>
  <c r="W38" i="76" s="1"/>
  <c r="W39" i="76" s="1"/>
  <c r="W42" i="76" s="1"/>
  <c r="W45" i="76" s="1"/>
  <c r="L37" i="87"/>
  <c r="L38" i="87" s="1"/>
  <c r="L39" i="87" s="1"/>
  <c r="L42" i="87" s="1"/>
  <c r="L45" i="87" s="1"/>
  <c r="V37" i="87"/>
  <c r="V38" i="87" s="1"/>
  <c r="V39" i="87" s="1"/>
  <c r="V42" i="87" s="1"/>
  <c r="V45" i="87" s="1"/>
  <c r="K37" i="85"/>
  <c r="K38" i="85" s="1"/>
  <c r="K39" i="85" s="1"/>
  <c r="K42" i="85" s="1"/>
  <c r="K45" i="85" s="1"/>
  <c r="AG37" i="87"/>
  <c r="AG38" i="87" s="1"/>
  <c r="AG39" i="87" s="1"/>
  <c r="AG42" i="87" s="1"/>
  <c r="AG45" i="87" s="1"/>
  <c r="AJ37" i="76"/>
  <c r="AJ38" i="76" s="1"/>
  <c r="AJ39" i="76" s="1"/>
  <c r="AJ42" i="76" s="1"/>
  <c r="AJ45" i="76" s="1"/>
  <c r="AF37" i="85"/>
  <c r="AF38" i="85" s="1"/>
  <c r="AF39" i="85" s="1"/>
  <c r="AF42" i="85" s="1"/>
  <c r="AF45" i="85" s="1"/>
  <c r="U37" i="76"/>
  <c r="U38" i="76" s="1"/>
  <c r="U39" i="76" s="1"/>
  <c r="U42" i="76" s="1"/>
  <c r="U45" i="76" s="1"/>
  <c r="U37" i="85"/>
  <c r="U38" i="85" s="1"/>
  <c r="U39" i="85" s="1"/>
  <c r="U42" i="85" s="1"/>
  <c r="U45" i="85" s="1"/>
  <c r="D37" i="69"/>
  <c r="AU52" i="76"/>
  <c r="E53" i="76"/>
  <c r="E54" i="76" s="1"/>
  <c r="AU35" i="85"/>
  <c r="AP37" i="76"/>
  <c r="AP38" i="76" s="1"/>
  <c r="AP39" i="76" s="1"/>
  <c r="AP42" i="76" s="1"/>
  <c r="AP45" i="76" s="1"/>
  <c r="P37" i="85"/>
  <c r="P38" i="85" s="1"/>
  <c r="P39" i="85" s="1"/>
  <c r="P42" i="85" s="1"/>
  <c r="P45" i="85" s="1"/>
  <c r="G37" i="76"/>
  <c r="G38" i="76" s="1"/>
  <c r="G39" i="76" s="1"/>
  <c r="G42" i="76" s="1"/>
  <c r="G45" i="76" s="1"/>
  <c r="AH37" i="87"/>
  <c r="AH38" i="87" s="1"/>
  <c r="AH39" i="87" s="1"/>
  <c r="AH42" i="87" s="1"/>
  <c r="AH45" i="87" s="1"/>
  <c r="O37" i="87"/>
  <c r="O38" i="87" s="1"/>
  <c r="O39" i="87" s="1"/>
  <c r="O42" i="87" s="1"/>
  <c r="O45" i="87" s="1"/>
  <c r="AD54" i="87"/>
  <c r="AE37" i="87"/>
  <c r="AE38" i="87" s="1"/>
  <c r="AE39" i="87" s="1"/>
  <c r="AE42" i="87" s="1"/>
  <c r="AE45" i="87" s="1"/>
  <c r="AL54" i="85"/>
  <c r="J37" i="85"/>
  <c r="J38" i="85" s="1"/>
  <c r="J39" i="85" s="1"/>
  <c r="J42" i="85" s="1"/>
  <c r="J45" i="85" s="1"/>
  <c r="AC54" i="76"/>
  <c r="AE54" i="85"/>
  <c r="AI54" i="87"/>
  <c r="E53" i="87"/>
  <c r="E54" i="87" s="1"/>
  <c r="AT52" i="87"/>
  <c r="L54" i="76"/>
  <c r="Q54" i="85"/>
  <c r="AP37" i="87"/>
  <c r="AP38" i="87" s="1"/>
  <c r="AP39" i="87" s="1"/>
  <c r="AP42" i="87" s="1"/>
  <c r="AP45" i="87" s="1"/>
  <c r="AI37" i="85"/>
  <c r="AI38" i="85" s="1"/>
  <c r="AI39" i="85" s="1"/>
  <c r="AI42" i="85" s="1"/>
  <c r="AI45" i="85" s="1"/>
  <c r="W54" i="87"/>
  <c r="AN54" i="85"/>
  <c r="Z37" i="76"/>
  <c r="Z38" i="76" s="1"/>
  <c r="Z39" i="76" s="1"/>
  <c r="Z42" i="76" s="1"/>
  <c r="Z45" i="76" s="1"/>
  <c r="Z37" i="85"/>
  <c r="Z38" i="85" s="1"/>
  <c r="Z39" i="85" s="1"/>
  <c r="Z42" i="85" s="1"/>
  <c r="Z45" i="85" s="1"/>
  <c r="AH54" i="85"/>
  <c r="AK54" i="87"/>
  <c r="L37" i="85"/>
  <c r="L38" i="85" s="1"/>
  <c r="L39" i="85" s="1"/>
  <c r="L42" i="85" s="1"/>
  <c r="L45" i="85" s="1"/>
  <c r="F18" i="69"/>
  <c r="E20" i="69"/>
  <c r="M54" i="87"/>
  <c r="AR54" i="76"/>
  <c r="T54" i="85"/>
  <c r="AO54" i="76"/>
  <c r="T54" i="87"/>
  <c r="AK54" i="85"/>
  <c r="Q54" i="76"/>
  <c r="W54" i="85"/>
  <c r="AG54" i="85"/>
  <c r="I54" i="87"/>
  <c r="S54" i="76"/>
  <c r="AO54" i="85"/>
  <c r="O54" i="76"/>
  <c r="F54" i="76"/>
  <c r="AM54" i="76"/>
  <c r="Y54" i="87"/>
  <c r="AO54" i="87"/>
  <c r="N54" i="76"/>
  <c r="AR54" i="85"/>
  <c r="AC54" i="87"/>
  <c r="K54" i="76"/>
  <c r="F54" i="87"/>
  <c r="AK54" i="76"/>
  <c r="AT54" i="76"/>
  <c r="AA54" i="85"/>
  <c r="N54" i="85"/>
  <c r="AE54" i="76"/>
  <c r="Q54" i="87"/>
  <c r="S54" i="85"/>
  <c r="AB54" i="85"/>
  <c r="AQ54" i="85"/>
  <c r="I54" i="85"/>
  <c r="M54" i="76"/>
  <c r="AT54" i="85"/>
  <c r="AS54" i="87"/>
  <c r="U54" i="87"/>
  <c r="G54" i="85"/>
  <c r="AS54" i="85"/>
  <c r="AK37" i="87"/>
  <c r="AK38" i="87" s="1"/>
  <c r="AK39" i="87" s="1"/>
  <c r="AK42" i="87" s="1"/>
  <c r="AK45" i="87" s="1"/>
  <c r="AQ54" i="76"/>
  <c r="R54" i="85"/>
  <c r="AJ54" i="85"/>
  <c r="AT35" i="87"/>
  <c r="AO37" i="76"/>
  <c r="AO38" i="76" s="1"/>
  <c r="AO39" i="76" s="1"/>
  <c r="AO42" i="76" s="1"/>
  <c r="AO45" i="76" s="1"/>
  <c r="T37" i="87"/>
  <c r="T38" i="87" s="1"/>
  <c r="T39" i="87" s="1"/>
  <c r="T42" i="87" s="1"/>
  <c r="T45" i="87" s="1"/>
  <c r="Q37" i="76"/>
  <c r="Q38" i="76" s="1"/>
  <c r="Q39" i="76" s="1"/>
  <c r="Q42" i="76" s="1"/>
  <c r="Q45" i="76" s="1"/>
  <c r="AG37" i="85"/>
  <c r="AG38" i="85" s="1"/>
  <c r="AG39" i="85" s="1"/>
  <c r="AG42" i="85" s="1"/>
  <c r="AG45" i="85" s="1"/>
  <c r="I37" i="87"/>
  <c r="I38" i="87" s="1"/>
  <c r="I39" i="87" s="1"/>
  <c r="I42" i="87" s="1"/>
  <c r="I45" i="87" s="1"/>
  <c r="S37" i="76"/>
  <c r="S38" i="76" s="1"/>
  <c r="S39" i="76" s="1"/>
  <c r="S42" i="76" s="1"/>
  <c r="S45" i="76" s="1"/>
  <c r="AO37" i="85"/>
  <c r="AO38" i="85" s="1"/>
  <c r="AO39" i="85" s="1"/>
  <c r="AO42" i="85" s="1"/>
  <c r="AO45" i="85" s="1"/>
  <c r="O37" i="76"/>
  <c r="O38" i="76" s="1"/>
  <c r="O39" i="76" s="1"/>
  <c r="O42" i="76" s="1"/>
  <c r="O45" i="76" s="1"/>
  <c r="AR54" i="87"/>
  <c r="F37" i="76"/>
  <c r="F38" i="76" s="1"/>
  <c r="F39" i="76" s="1"/>
  <c r="F42" i="76" s="1"/>
  <c r="F45" i="76" s="1"/>
  <c r="Y37" i="87"/>
  <c r="Y38" i="87" s="1"/>
  <c r="Y39" i="87" s="1"/>
  <c r="Y42" i="87" s="1"/>
  <c r="Y45" i="87" s="1"/>
  <c r="P54" i="76"/>
  <c r="R54" i="76"/>
  <c r="H54" i="85"/>
  <c r="AR37" i="85"/>
  <c r="AR38" i="85" s="1"/>
  <c r="AR39" i="85" s="1"/>
  <c r="AR42" i="85" s="1"/>
  <c r="AR45" i="85" s="1"/>
  <c r="AC37" i="87"/>
  <c r="AC38" i="87" s="1"/>
  <c r="AC39" i="87" s="1"/>
  <c r="AC42" i="87" s="1"/>
  <c r="AC45" i="87" s="1"/>
  <c r="K37" i="76"/>
  <c r="K38" i="76" s="1"/>
  <c r="K39" i="76" s="1"/>
  <c r="K42" i="76" s="1"/>
  <c r="K45" i="76" s="1"/>
  <c r="AL37" i="87"/>
  <c r="AL38" i="87" s="1"/>
  <c r="AL39" i="87" s="1"/>
  <c r="AL42" i="87" s="1"/>
  <c r="AL45" i="87" s="1"/>
  <c r="P37" i="87"/>
  <c r="P38" i="87" s="1"/>
  <c r="P39" i="87" s="1"/>
  <c r="P42" i="87" s="1"/>
  <c r="P45" i="87" s="1"/>
  <c r="AH37" i="76"/>
  <c r="AH38" i="76" s="1"/>
  <c r="AH39" i="76" s="1"/>
  <c r="AH42" i="76" s="1"/>
  <c r="AH45" i="76" s="1"/>
  <c r="X37" i="85"/>
  <c r="X38" i="85" s="1"/>
  <c r="X39" i="85" s="1"/>
  <c r="X42" i="85" s="1"/>
  <c r="X45" i="85" s="1"/>
  <c r="AN37" i="76"/>
  <c r="AN38" i="76" s="1"/>
  <c r="AN39" i="76" s="1"/>
  <c r="AN42" i="76" s="1"/>
  <c r="AN45" i="76" s="1"/>
  <c r="F42" i="85" l="1"/>
  <c r="F45" i="85" s="1"/>
  <c r="B12" i="67"/>
  <c r="F20" i="69"/>
  <c r="D38" i="69"/>
  <c r="D39" i="69" s="1"/>
  <c r="AU53" i="76"/>
  <c r="E29" i="76"/>
  <c r="AU54" i="76"/>
  <c r="AT53" i="87"/>
  <c r="E29" i="87"/>
  <c r="E38" i="69"/>
  <c r="E29" i="85"/>
  <c r="AT54" i="87"/>
  <c r="F37" i="69"/>
  <c r="F38" i="69" l="1"/>
  <c r="AU29" i="76"/>
  <c r="D14" i="69"/>
  <c r="E37" i="76"/>
  <c r="AT29" i="87"/>
  <c r="E37" i="87"/>
  <c r="E14" i="69"/>
  <c r="AU29" i="85"/>
  <c r="E37" i="85"/>
  <c r="E39" i="69"/>
  <c r="F39" i="69" s="1"/>
  <c r="F14" i="69" l="1"/>
  <c r="E22" i="69"/>
  <c r="AU37" i="85"/>
  <c r="E38" i="85"/>
  <c r="E38" i="76"/>
  <c r="D22" i="69"/>
  <c r="AU37" i="76"/>
  <c r="AT37" i="87"/>
  <c r="E38" i="87"/>
  <c r="AT38" i="87" s="1"/>
  <c r="E39" i="87" l="1"/>
  <c r="F27" i="77" s="1"/>
  <c r="F28" i="77" s="1"/>
  <c r="D23" i="69"/>
  <c r="D24" i="69" s="1"/>
  <c r="D27" i="69" s="1"/>
  <c r="AU38" i="76"/>
  <c r="E39" i="76"/>
  <c r="E39" i="85"/>
  <c r="E23" i="69"/>
  <c r="AU38" i="85"/>
  <c r="F22" i="69"/>
  <c r="AT39" i="87" l="1"/>
  <c r="E42" i="87"/>
  <c r="E45" i="87" s="1"/>
  <c r="F23" i="69"/>
  <c r="D6" i="69"/>
  <c r="E24" i="69"/>
  <c r="F24" i="69" s="1"/>
  <c r="E42" i="76"/>
  <c r="AU39" i="76"/>
  <c r="B14" i="67"/>
  <c r="AU39" i="85"/>
  <c r="E42" i="85"/>
  <c r="AT42" i="87"/>
  <c r="E27" i="69" l="1"/>
  <c r="E6" i="69" s="1"/>
  <c r="F6" i="69" s="1"/>
  <c r="F7" i="69" s="1"/>
  <c r="B13" i="67" s="1"/>
  <c r="B15" i="67" s="1"/>
  <c r="AU42" i="85"/>
  <c r="E45" i="85"/>
  <c r="E30" i="69" s="1"/>
  <c r="E45" i="76"/>
  <c r="D30" i="69" s="1"/>
  <c r="AU42" i="76"/>
  <c r="E28" i="69"/>
  <c r="F27" i="69"/>
  <c r="F30" i="69" l="1"/>
</calcChain>
</file>

<file path=xl/sharedStrings.xml><?xml version="1.0" encoding="utf-8"?>
<sst xmlns="http://schemas.openxmlformats.org/spreadsheetml/2006/main" count="842" uniqueCount="264">
  <si>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</si>
  <si>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</si>
  <si>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</si>
  <si>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</si>
  <si>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</si>
  <si>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</si>
  <si>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</si>
  <si>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</si>
  <si>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</si>
  <si>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</si>
  <si>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</si>
  <si>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</si>
  <si>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</si>
  <si>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</si>
  <si>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</si>
  <si>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</si>
  <si>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</si>
  <si>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</si>
  <si>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</si>
  <si>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</si>
  <si>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</si>
  <si>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</si>
  <si>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</si>
  <si>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</si>
  <si>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</si>
  <si>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</si>
  <si>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</si>
  <si>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</si>
  <si>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</si>
  <si>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</si>
  <si>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</si>
  <si>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</si>
  <si>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</si>
  <si>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</si>
  <si>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</si>
  <si>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</si>
  <si>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</si>
  <si>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</si>
  <si>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</si>
  <si>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</si>
  <si>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</si>
  <si>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</si>
  <si>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</si>
  <si>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</si>
  <si>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</si>
  <si>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</si>
  <si>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</si>
  <si>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</si>
  <si>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</si>
  <si>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</si>
  <si>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</si>
  <si>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</si>
  <si>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</si>
  <si>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</si>
  <si>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</si>
  <si>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</si>
  <si>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</si>
  <si>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</si>
  <si>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</si>
  <si>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</si>
  <si>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</si>
  <si>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</si>
  <si>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</si>
  <si>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</si>
  <si>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</si>
  <si>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</si>
  <si>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</si>
  <si>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</si>
  <si>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</si>
  <si>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</si>
  <si>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</si>
  <si>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</si>
  <si>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</si>
  <si>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</si>
  <si>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</si>
  <si>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</si>
  <si>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</si>
  <si>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</si>
  <si>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Mains</t>
  </si>
  <si>
    <t>Services</t>
  </si>
  <si>
    <t>Total</t>
  </si>
  <si>
    <t>Main</t>
  </si>
  <si>
    <t>WEIGHTED AVERAGE COMPOSITE RATE</t>
  </si>
  <si>
    <t>R.10015.03.04.01</t>
  </si>
  <si>
    <t>Program Years</t>
  </si>
  <si>
    <t>True Up Amount</t>
  </si>
  <si>
    <t>Year</t>
  </si>
  <si>
    <t>Check</t>
  </si>
  <si>
    <t>Table</t>
  </si>
  <si>
    <t>Apply 50% Bonus</t>
  </si>
  <si>
    <t>Apply 40% Bonus</t>
  </si>
  <si>
    <t>LINE</t>
  </si>
  <si>
    <t>NO.</t>
  </si>
  <si>
    <t>DESCRIPTION</t>
  </si>
  <si>
    <t>RATE</t>
  </si>
  <si>
    <t>BAD DEBTS</t>
  </si>
  <si>
    <t>ANNUAL FILING FEE</t>
  </si>
  <si>
    <t>SUM OF TAXES OTHER</t>
  </si>
  <si>
    <t>CONVERSION FACTOR EXCLUDING FEDERAL INCOME TAX ( 1 - LINE 5)</t>
  </si>
  <si>
    <t>FEDERAL INCOME TAX ( LINE 7 * 35%)</t>
  </si>
  <si>
    <t xml:space="preserve">CONVERSION FACTOR INCL FEDERAL INCOME TAX ( LINE 5 + LINE 8 ) </t>
  </si>
  <si>
    <t>Current Year</t>
  </si>
  <si>
    <t>Pre Tax Long and Short Term Debt</t>
  </si>
  <si>
    <t>Year 38</t>
  </si>
  <si>
    <t>Year 39</t>
  </si>
  <si>
    <t>Year 40</t>
  </si>
  <si>
    <t>Partial Year 41</t>
  </si>
  <si>
    <t>Per Depreciation Study Adjustment</t>
  </si>
  <si>
    <t>ACCOUNT</t>
  </si>
  <si>
    <t>Pre Jan 1, 2018</t>
  </si>
  <si>
    <t>17 GRC rate, Jan 1, 2018</t>
  </si>
  <si>
    <t>NUMBER</t>
  </si>
  <si>
    <t>%</t>
  </si>
  <si>
    <t xml:space="preserve">MAINS - PLASTIC                           </t>
  </si>
  <si>
    <t>SERVICES - PLASTIC</t>
  </si>
  <si>
    <t>Page 3.04</t>
  </si>
  <si>
    <t>PUGET SOUND ENERGY-ELECTRIC</t>
  </si>
  <si>
    <t>FOR THE TWELVE MONTHS ENDED SEPTEMBER 30, 2016</t>
  </si>
  <si>
    <t>STATE UTILITY TAX - NET OF BAD DEBTS ( 3.8734% - ( LINE 1 * 3.8734%) )</t>
  </si>
  <si>
    <t>CONVERSION FACTOR - GAS</t>
  </si>
  <si>
    <t>Revenue Sensitive Items Rate</t>
  </si>
  <si>
    <t>Rates beginning November 1, 2019</t>
  </si>
  <si>
    <t>2018 - 2019</t>
  </si>
  <si>
    <t>Depreciation, Capital Spendings</t>
  </si>
  <si>
    <t>O&amp;M</t>
  </si>
  <si>
    <t>WBS</t>
  </si>
  <si>
    <t>Buried Meters mitigations</t>
  </si>
  <si>
    <t>R.99999.04.20.03</t>
  </si>
  <si>
    <t>Legacy Cross Bore inspections</t>
  </si>
  <si>
    <t>R.99999.04.37.10</t>
  </si>
  <si>
    <t>Legacy Cross Bore repairs</t>
  </si>
  <si>
    <t>R.99999.04.37.11</t>
  </si>
  <si>
    <t>CAPITAL</t>
  </si>
  <si>
    <t>Buried Meters replacements</t>
  </si>
  <si>
    <t>R.10015.03.09.15</t>
  </si>
  <si>
    <t>DuPont Pipe Replacement Program</t>
  </si>
  <si>
    <t>Total for all programs</t>
  </si>
  <si>
    <t>Depr. Exp</t>
  </si>
  <si>
    <t>Program</t>
  </si>
  <si>
    <t>Total O&amp;M Rev Req</t>
  </si>
  <si>
    <t>Total Cost of Service (Capital)</t>
  </si>
  <si>
    <t>2019 - 2020</t>
  </si>
  <si>
    <t>Total True up</t>
  </si>
  <si>
    <t>Rates beginning December 19, 2018</t>
  </si>
  <si>
    <t>Rates through December 18, 2018</t>
  </si>
  <si>
    <t>check s/b $0</t>
  </si>
  <si>
    <t>Plant Investment</t>
  </si>
  <si>
    <t>Dep Rate</t>
  </si>
  <si>
    <t>InfraSource Labor</t>
  </si>
  <si>
    <t>HydroMax Labor</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</si>
  <si>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</si>
  <si>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</si>
  <si>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</si>
  <si>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</si>
  <si>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</si>
  <si>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</si>
  <si>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</si>
  <si>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</si>
  <si>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</si>
  <si>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</si>
  <si>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</si>
  <si>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</si>
  <si>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</si>
  <si>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</si>
  <si>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</si>
  <si>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</si>
  <si>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</si>
  <si>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</si>
  <si>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</si>
  <si>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</si>
  <si>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2019 GRC Compliance Filing</t>
  </si>
  <si>
    <t>2017 GRC</t>
  </si>
  <si>
    <t>2019 GRC</t>
  </si>
  <si>
    <t>For the Period November 2019 - October 2020</t>
  </si>
  <si>
    <t xml:space="preserve">O &amp; M </t>
  </si>
  <si>
    <t>Actual (Nov 2019 - Sept 2020)</t>
  </si>
  <si>
    <t>Forecast Est. (October 2020)</t>
  </si>
  <si>
    <t>Total(Nov 2019 -Oct 2020)</t>
  </si>
  <si>
    <t xml:space="preserve">Total O&amp;M </t>
  </si>
  <si>
    <t>Dupont Plastic Replacement</t>
  </si>
  <si>
    <t>Buried Meters Replacements</t>
  </si>
  <si>
    <t>R.99999.03.09.15</t>
  </si>
  <si>
    <t>Total Capital</t>
  </si>
  <si>
    <t>Total O&amp;M + CAPITAL</t>
  </si>
  <si>
    <t>(See detail orders in the Summary All Program Orders Oct 2020 Filing)</t>
  </si>
  <si>
    <t>Remove Legasy Cross Bore in Rates Estimate</t>
  </si>
  <si>
    <t>2021 PROGRAM YEAR</t>
  </si>
  <si>
    <t>2020 CRM Program, Year 2</t>
  </si>
  <si>
    <t>2020 CRM Program, Year 1 True Up to Actuals</t>
  </si>
  <si>
    <t>2021 CRM Program, Year 1</t>
  </si>
  <si>
    <t>True up of 2020 CRM Year One</t>
  </si>
  <si>
    <t>Program Year 2020</t>
  </si>
  <si>
    <t>FILED ON OCT 16, 2020</t>
  </si>
  <si>
    <t>As  Filed Oct 16, 2020</t>
  </si>
  <si>
    <t>2020 - 2021</t>
  </si>
  <si>
    <t>AS FILED 10/16/2020</t>
  </si>
  <si>
    <t>Actual October 2020 Amounts</t>
  </si>
  <si>
    <t>Total Actual CRM Program Year 2019-2020</t>
  </si>
  <si>
    <t>2019 CRM Program, Year 3</t>
  </si>
  <si>
    <t>TRUE UP FOR OCTOBER 2020 ACTUALS</t>
  </si>
  <si>
    <t>Total Capital from 2021 CRM tab</t>
  </si>
  <si>
    <t>PSE Labor</t>
  </si>
  <si>
    <t>Capital Investment</t>
  </si>
  <si>
    <t>Support the Depreciation Rate</t>
  </si>
  <si>
    <t>(a)</t>
  </si>
  <si>
    <t>(b)</t>
  </si>
  <si>
    <t>TM Legend</t>
  </si>
  <si>
    <t>Mains, FERC 376</t>
  </si>
  <si>
    <t>Services, FERC 380</t>
  </si>
  <si>
    <t>2021 True Up</t>
  </si>
  <si>
    <t>Total True up (Capital &amp; O&amp;M)</t>
  </si>
  <si>
    <t>RSI</t>
  </si>
  <si>
    <t>Updated for RSI</t>
  </si>
  <si>
    <t>G874</t>
  </si>
  <si>
    <t>G887</t>
  </si>
  <si>
    <t xml:space="preserve">Mains &amp; Services Expense </t>
  </si>
  <si>
    <t>Maint Mains</t>
  </si>
  <si>
    <t>CAPITAL EXPENSE</t>
  </si>
  <si>
    <t>COST BREAKDOWN BY PROGRAM</t>
  </si>
  <si>
    <t>WBS Element</t>
  </si>
  <si>
    <t>WBS Description</t>
  </si>
  <si>
    <t>2019 Projects 
In Service November to September Actual Costs</t>
  </si>
  <si>
    <t>2019 Projects 
October Project Actuals</t>
  </si>
  <si>
    <t>Total CRM Actual and Forecast</t>
  </si>
  <si>
    <t>G-DIMP DUPONT PIPE REPL-MAIN WITH SERV</t>
  </si>
  <si>
    <t>R.10015.03.04.02</t>
  </si>
  <si>
    <t>G-DIMP OLDER STW REPL-MAIN WITH SERVICE</t>
  </si>
  <si>
    <t>R.10015.03.04.03</t>
  </si>
  <si>
    <t>G-DIMP OLDER STW REPL-SERVICE ONLY</t>
  </si>
  <si>
    <t>Grand Total</t>
  </si>
  <si>
    <t>DEPRECIATION EXPENSE CALCULATION</t>
  </si>
  <si>
    <t>Type</t>
  </si>
  <si>
    <t>Rate per 2017 GRC Study</t>
  </si>
  <si>
    <t>FERC G376.2</t>
  </si>
  <si>
    <t>FERC G380.2</t>
  </si>
  <si>
    <t>Total Annual Depr</t>
  </si>
  <si>
    <t>41 years of depr</t>
  </si>
  <si>
    <t>Partial last year due to composite rate</t>
  </si>
  <si>
    <t>Rate per Study</t>
  </si>
  <si>
    <t>FERC G376</t>
  </si>
  <si>
    <t>FERC G380</t>
  </si>
  <si>
    <t>2018 Projects 
In Service November to September Actual Costs</t>
  </si>
  <si>
    <t>2018 Projects 
 October Project Forecast</t>
  </si>
  <si>
    <t>Rate per 2007 GRC Study</t>
  </si>
  <si>
    <t>Actuals Nov 2016 - July 2017</t>
  </si>
  <si>
    <t>Actual October 2017</t>
  </si>
  <si>
    <t>Percent Mains</t>
  </si>
  <si>
    <t>Percent Services</t>
  </si>
  <si>
    <t>Total 2019 CRM Actuals</t>
  </si>
  <si>
    <t>October 18, 2021 FILING</t>
  </si>
  <si>
    <t>Actual Amount Nov 2020 - Sept 2021</t>
  </si>
  <si>
    <t>Forecast October 2021</t>
  </si>
  <si>
    <r>
      <t xml:space="preserve">Remove Buried Meters mitigations in Rates </t>
    </r>
    <r>
      <rPr>
        <b/>
        <sz val="10"/>
        <color rgb="FF0000FF"/>
        <rFont val="Calibri"/>
        <family val="2"/>
        <scheme val="minor"/>
      </rPr>
      <t>(a)</t>
    </r>
  </si>
  <si>
    <r>
      <t xml:space="preserve">Remove Legasy Cross Bore in Rates Estimate </t>
    </r>
    <r>
      <rPr>
        <b/>
        <sz val="10"/>
        <color rgb="FF0000FF"/>
        <rFont val="Calibri"/>
        <family val="2"/>
        <scheme val="minor"/>
      </rPr>
      <t>(b)</t>
    </r>
  </si>
  <si>
    <t xml:space="preserve">FERC </t>
  </si>
  <si>
    <t>Percent</t>
  </si>
  <si>
    <t>Depreciation Exp</t>
  </si>
  <si>
    <t>Description</t>
  </si>
  <si>
    <t>FERC spread for Capital Project</t>
  </si>
  <si>
    <t>FERC spread for O&amp;M Project</t>
  </si>
  <si>
    <t>Total CRM Program Year 1</t>
  </si>
  <si>
    <t>Total Revenue Requirement For October 2021 Filing</t>
  </si>
  <si>
    <t>PSE included  buried meter mitigation expenses that were included in its historical test year in its 2019 GRC as an offset to  November 2020 - October 2021 buried meter costs.</t>
  </si>
  <si>
    <t>Similar to above, Legacy Cross Bore costs were included in the test year of PSE's 2019 GRC. As only approximately 300 inspections were completed in 2018 as compared to over 7,300 in 2020-2021, the costs have significantly increased and PSE is removing the estimated 2018 costs from this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</si>
</sst>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0.000%"/>
    <numFmt numFmtId="168" formatCode="_(* #,##0_);_(* \(#,##0\);_(* &quot;-&quot;??_);_(@_)"/>
    <numFmt numFmtId="169" formatCode="#,##0.000"/>
    <numFmt numFmtId="170" formatCode="_(* #,##0.00000_);_(* \(#,##0.00000\);_(* &quot;-&quot;??_);_(@_)"/>
    <numFmt numFmtId="171" formatCode="#,##0.0"/>
    <numFmt numFmtId="172" formatCode="&quot;$&quot;#,##0"/>
    <numFmt numFmtId="173" formatCode="_(* #,##0.0000_);_(* \(#,##0.0000\);_(* &quot;-&quot;??_);_(@_)"/>
    <numFmt numFmtId="174" formatCode="_(* #,##0.000_);_(* \(#,##0.000\);_(* &quot;-&quot;??_);_(@_)"/>
  </numFmts>
  <fonts count="6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Arial"/>
      <family val="2"/>
    </font>
    <font>
      <b/>
      <sz val="10"/>
      <name val="Times New Roman"/>
      <family val="1"/>
    </font>
    <font>
      <sz val="10"/>
      <name val="Times New Roman"/>
      <family val="1"/>
    </font>
    <font>
      <b/>
      <sz val="9"/>
      <name val="Arial"/>
      <family val="2"/>
    </font>
    <font>
      <sz val="9"/>
      <name val="Arial"/>
      <family val="2"/>
    </font>
    <font>
      <b/>
      <sz val="11"/>
      <color theme="0"/>
      <name val="Calibri"/>
      <family val="2"/>
    </font>
    <font>
      <sz val="11"/>
      <color rgb="FF000000"/>
      <name val="Calibri"/>
      <family val="2"/>
    </font>
    <font>
      <b/>
      <sz val="11"/>
      <color rgb="FF000000"/>
      <name val="Calibri"/>
      <family val="2"/>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1"/>
      <color rgb="FF0000FF"/>
      <name val="Times New Roman"/>
      <family val="1"/>
    </font>
    <font>
      <sz val="11"/>
      <color rgb="FF0000FF"/>
      <name val="Calibri"/>
      <family val="2"/>
    </font>
    <font>
      <b/>
      <sz val="11"/>
      <color rgb="FF0000FF"/>
      <name val="Calibri"/>
      <family val="2"/>
    </font>
    <font>
      <sz val="10"/>
      <color theme="1"/>
      <name val="Calibri"/>
      <family val="2"/>
      <scheme val="minor"/>
    </font>
    <font>
      <b/>
      <sz val="10"/>
      <color theme="1"/>
      <name val="Calibri"/>
      <family val="2"/>
      <scheme val="minor"/>
    </font>
    <font>
      <sz val="9"/>
      <color rgb="FF0000FF"/>
      <name val="Calibri"/>
      <family val="2"/>
      <scheme val="minor"/>
    </font>
    <font>
      <b/>
      <sz val="11"/>
      <color rgb="FF0000FF"/>
      <name val="Calibri"/>
      <family val="2"/>
      <scheme val="minor"/>
    </font>
    <font>
      <sz val="11"/>
      <color rgb="FF0000FF"/>
      <name val="Calibri"/>
      <family val="2"/>
      <scheme val="minor"/>
    </font>
    <font>
      <b/>
      <sz val="11"/>
      <color rgb="FFFF0000"/>
      <name val="Calibri"/>
      <family val="2"/>
    </font>
    <font>
      <b/>
      <sz val="9"/>
      <color rgb="FF0000FF"/>
      <name val="Calibri"/>
      <family val="2"/>
    </font>
    <font>
      <sz val="11"/>
      <color theme="0"/>
      <name val="Calibri"/>
      <family val="2"/>
      <scheme val="minor"/>
    </font>
    <font>
      <sz val="10"/>
      <color rgb="FFFF0000"/>
      <name val="Arial"/>
      <family val="2"/>
    </font>
    <font>
      <sz val="12"/>
      <color theme="1"/>
      <name val="Calibri"/>
      <family val="2"/>
      <scheme val="minor"/>
    </font>
    <font>
      <sz val="8"/>
      <name val="Helv"/>
    </font>
    <font>
      <sz val="10"/>
      <color rgb="FF0000FF"/>
      <name val="Calibri"/>
      <family val="2"/>
      <scheme val="minor"/>
    </font>
    <font>
      <b/>
      <sz val="10"/>
      <color rgb="FF0000FF"/>
      <name val="Calibri"/>
      <family val="2"/>
      <scheme val="minor"/>
    </font>
    <font>
      <sz val="10"/>
      <name val="Calibri"/>
      <family val="2"/>
      <scheme val="minor"/>
    </font>
    <font>
      <b/>
      <sz val="10"/>
      <name val="Calibri"/>
      <family val="2"/>
      <scheme val="minor"/>
    </font>
    <font>
      <b/>
      <sz val="10"/>
      <color theme="0"/>
      <name val="Calibri"/>
      <family val="2"/>
      <scheme val="minor"/>
    </font>
    <font>
      <sz val="10"/>
      <color rgb="FF000000"/>
      <name val="Calibri"/>
      <family val="2"/>
      <scheme val="minor"/>
    </font>
    <font>
      <b/>
      <sz val="10"/>
      <color rgb="FF000000"/>
      <name val="Calibri"/>
      <family val="2"/>
      <scheme val="minor"/>
    </font>
    <font>
      <b/>
      <u/>
      <sz val="10"/>
      <color theme="1"/>
      <name val="Calibri"/>
      <family val="2"/>
      <scheme val="minor"/>
    </font>
    <font>
      <sz val="10"/>
      <color theme="0"/>
      <name val="Calibri"/>
      <family val="2"/>
      <scheme val="minor"/>
    </font>
    <font>
      <sz val="10"/>
      <color theme="0"/>
      <name val="Arial"/>
      <family val="2"/>
    </font>
    <font>
      <b/>
      <sz val="11"/>
      <color indexed="12"/>
      <name val="Calibri"/>
      <family val="2"/>
    </font>
  </fonts>
  <fills count="8">
    <fill>
      <patternFill patternType="none"/>
    </fill>
    <fill>
      <patternFill patternType="gray125"/>
    </fill>
    <fill>
      <patternFill patternType="solid">
        <fgColor theme="6" tint="0.59999389629810485"/>
        <bgColor indexed="64"/>
      </patternFill>
    </fill>
    <fill>
      <patternFill patternType="solid">
        <fgColor rgb="FF66FFFF"/>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7">
    <xf numFmtId="0" fontId="0" fillId="0" borderId="0"/>
    <xf numFmtId="9" fontId="18" fillId="0" borderId="0" applyFont="0" applyFill="0" applyBorder="0" applyAlignment="0" applyProtection="0"/>
    <xf numFmtId="0" fontId="21"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18"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43" fontId="18" fillId="0" borderId="0" applyFont="0" applyFill="0" applyBorder="0" applyAlignment="0" applyProtection="0"/>
  </cellStyleXfs>
  <cellXfs count="514">
    <xf numFmtId="0" fontId="0" fillId="0" borderId="0" xfId="0"/>
    <xf numFmtId="0" fontId="14" fillId="0" borderId="0" xfId="0" applyFont="1" applyFill="1" applyAlignment="1" applyProtection="1">
      <alignment horizontal="left"/>
    </xf>
    <xf numFmtId="0" fontId="14" fillId="0" borderId="0" xfId="0" applyFont="1" applyFill="1" applyAlignment="1">
      <alignment vertical="top"/>
    </xf>
    <xf numFmtId="0" fontId="10" fillId="0" borderId="0" xfId="0" applyFont="1" applyFill="1" applyAlignment="1">
      <alignment vertical="top"/>
    </xf>
    <xf numFmtId="0" fontId="12" fillId="0" borderId="0" xfId="0" applyFont="1" applyFill="1" applyAlignment="1">
      <alignment vertical="top"/>
    </xf>
    <xf numFmtId="3" fontId="10" fillId="0" borderId="0" xfId="0" applyNumberFormat="1" applyFont="1" applyFill="1" applyAlignment="1">
      <alignment vertical="top"/>
    </xf>
    <xf numFmtId="0" fontId="14" fillId="0" borderId="0" xfId="0" applyFont="1" applyFill="1" applyAlignment="1">
      <alignment horizontal="left"/>
    </xf>
    <xf numFmtId="0" fontId="14" fillId="0" borderId="3" xfId="0" quotePrefix="1" applyFont="1" applyFill="1" applyBorder="1" applyAlignment="1">
      <alignment horizontal="left" vertical="top"/>
    </xf>
    <xf numFmtId="0" fontId="14" fillId="0" borderId="4" xfId="0" applyFont="1" applyFill="1" applyBorder="1" applyAlignment="1">
      <alignment vertical="top"/>
    </xf>
    <xf numFmtId="0" fontId="10" fillId="0" borderId="4" xfId="0" applyFont="1" applyFill="1" applyBorder="1" applyAlignment="1">
      <alignment vertical="top"/>
    </xf>
    <xf numFmtId="3" fontId="10" fillId="0" borderId="5" xfId="0" applyNumberFormat="1" applyFont="1" applyFill="1" applyBorder="1" applyAlignment="1">
      <alignment vertical="top"/>
    </xf>
    <xf numFmtId="3" fontId="10" fillId="0" borderId="0" xfId="0" applyNumberFormat="1" applyFont="1" applyFill="1" applyBorder="1" applyAlignment="1">
      <alignment vertical="top"/>
    </xf>
    <xf numFmtId="0" fontId="14" fillId="0" borderId="6" xfId="0" applyFont="1" applyFill="1" applyBorder="1" applyAlignment="1">
      <alignment vertical="top"/>
    </xf>
    <xf numFmtId="0" fontId="14" fillId="0" borderId="0" xfId="0" applyFont="1" applyFill="1" applyBorder="1" applyAlignment="1">
      <alignment vertical="top"/>
    </xf>
    <xf numFmtId="0" fontId="10" fillId="0" borderId="0" xfId="0" applyFont="1" applyFill="1" applyBorder="1" applyAlignment="1">
      <alignment vertical="top"/>
    </xf>
    <xf numFmtId="3" fontId="10" fillId="0" borderId="7" xfId="0" applyNumberFormat="1" applyFont="1" applyFill="1" applyBorder="1" applyAlignment="1">
      <alignment vertical="top"/>
    </xf>
    <xf numFmtId="0" fontId="14" fillId="0" borderId="0" xfId="0" applyFont="1" applyFill="1" applyBorder="1" applyAlignment="1">
      <alignment horizontal="center" vertical="top"/>
    </xf>
    <xf numFmtId="0" fontId="14" fillId="0" borderId="7" xfId="0" applyFont="1" applyFill="1" applyBorder="1" applyAlignment="1">
      <alignment horizontal="center" vertical="top"/>
    </xf>
    <xf numFmtId="0" fontId="13" fillId="0" borderId="0" xfId="0" applyFont="1" applyFill="1" applyBorder="1" applyAlignment="1">
      <alignment horizontal="center" vertical="top"/>
    </xf>
    <xf numFmtId="0" fontId="14" fillId="0" borderId="1" xfId="0" applyFont="1" applyFill="1" applyBorder="1" applyAlignment="1">
      <alignment horizontal="center" vertical="top"/>
    </xf>
    <xf numFmtId="0" fontId="14" fillId="0" borderId="8" xfId="0" applyFont="1" applyFill="1" applyBorder="1" applyAlignment="1">
      <alignment horizontal="center" vertical="top"/>
    </xf>
    <xf numFmtId="0" fontId="10" fillId="0" borderId="7" xfId="0" applyFont="1" applyFill="1" applyBorder="1" applyAlignment="1">
      <alignment vertical="top"/>
    </xf>
    <xf numFmtId="42" fontId="10" fillId="0" borderId="0" xfId="0" applyNumberFormat="1" applyFont="1" applyFill="1" applyAlignment="1">
      <alignment vertical="top"/>
    </xf>
    <xf numFmtId="10" fontId="15" fillId="0" borderId="0" xfId="0" applyNumberFormat="1" applyFont="1" applyFill="1" applyBorder="1" applyAlignment="1">
      <alignment vertical="top"/>
    </xf>
    <xf numFmtId="10" fontId="15" fillId="0" borderId="7" xfId="0" applyNumberFormat="1" applyFont="1" applyFill="1" applyBorder="1" applyAlignment="1">
      <alignment vertical="top"/>
    </xf>
    <xf numFmtId="10" fontId="15" fillId="0" borderId="1" xfId="0" applyNumberFormat="1" applyFont="1" applyFill="1" applyBorder="1" applyAlignment="1">
      <alignment vertical="top"/>
    </xf>
    <xf numFmtId="10" fontId="15" fillId="0" borderId="8" xfId="0" applyNumberFormat="1" applyFont="1" applyFill="1" applyBorder="1" applyAlignment="1">
      <alignment vertical="top"/>
    </xf>
    <xf numFmtId="10" fontId="10" fillId="0" borderId="9" xfId="0" applyNumberFormat="1" applyFont="1" applyFill="1" applyBorder="1" applyAlignment="1">
      <alignment vertical="top"/>
    </xf>
    <xf numFmtId="10" fontId="10" fillId="0" borderId="0" xfId="0" applyNumberFormat="1" applyFont="1" applyFill="1" applyBorder="1" applyAlignment="1">
      <alignment vertical="top"/>
    </xf>
    <xf numFmtId="10" fontId="10" fillId="0" borderId="10" xfId="0" applyNumberFormat="1" applyFont="1" applyFill="1" applyBorder="1" applyAlignment="1">
      <alignment vertical="top"/>
    </xf>
    <xf numFmtId="3" fontId="15" fillId="0" borderId="7" xfId="0" applyNumberFormat="1" applyFont="1" applyFill="1" applyBorder="1" applyAlignment="1">
      <alignment vertical="top"/>
    </xf>
    <xf numFmtId="0" fontId="14" fillId="0" borderId="11" xfId="0" applyFont="1" applyFill="1" applyBorder="1" applyAlignment="1">
      <alignment vertical="top"/>
    </xf>
    <xf numFmtId="0" fontId="14" fillId="0" borderId="2" xfId="0" applyFont="1" applyFill="1" applyBorder="1" applyAlignment="1">
      <alignment vertical="top"/>
    </xf>
    <xf numFmtId="0" fontId="10" fillId="0" borderId="2" xfId="0" applyFont="1" applyFill="1" applyBorder="1" applyAlignment="1">
      <alignment vertical="top"/>
    </xf>
    <xf numFmtId="0" fontId="13" fillId="0" borderId="0" xfId="0" applyFont="1" applyFill="1" applyAlignment="1">
      <alignment vertical="top"/>
    </xf>
    <xf numFmtId="3" fontId="10" fillId="0" borderId="0" xfId="0" applyNumberFormat="1" applyFont="1" applyFill="1" applyAlignment="1" applyProtection="1">
      <alignment vertical="top"/>
      <protection hidden="1"/>
    </xf>
    <xf numFmtId="3" fontId="14" fillId="2" borderId="1" xfId="0" quotePrefix="1" applyNumberFormat="1" applyFont="1" applyFill="1" applyBorder="1" applyAlignment="1">
      <alignment horizontal="center" vertical="top"/>
    </xf>
    <xf numFmtId="3" fontId="14" fillId="0" borderId="1" xfId="0" quotePrefix="1" applyNumberFormat="1" applyFont="1" applyFill="1" applyBorder="1" applyAlignment="1">
      <alignment horizontal="center" vertical="top"/>
    </xf>
    <xf numFmtId="42" fontId="9" fillId="2" borderId="0" xfId="0" applyNumberFormat="1" applyFont="1" applyFill="1" applyAlignment="1">
      <alignment vertical="top"/>
    </xf>
    <xf numFmtId="44" fontId="9" fillId="0" borderId="0" xfId="0" applyNumberFormat="1" applyFont="1" applyFill="1" applyAlignment="1">
      <alignment vertical="top"/>
    </xf>
    <xf numFmtId="42" fontId="9" fillId="2" borderId="1" xfId="0" applyNumberFormat="1" applyFont="1" applyFill="1" applyBorder="1" applyAlignment="1">
      <alignment vertical="top"/>
    </xf>
    <xf numFmtId="42" fontId="9" fillId="2" borderId="0" xfId="0" applyNumberFormat="1" applyFont="1" applyFill="1" applyBorder="1" applyAlignment="1">
      <alignment vertical="top"/>
    </xf>
    <xf numFmtId="3" fontId="9" fillId="0" borderId="0" xfId="0" applyNumberFormat="1" applyFont="1" applyFill="1" applyAlignment="1">
      <alignment vertical="top"/>
    </xf>
    <xf numFmtId="5" fontId="9" fillId="2" borderId="0" xfId="0" applyNumberFormat="1" applyFont="1" applyFill="1" applyAlignment="1">
      <alignment vertical="top"/>
    </xf>
    <xf numFmtId="5" fontId="9" fillId="0" borderId="0" xfId="0" applyNumberFormat="1" applyFont="1" applyFill="1" applyAlignment="1">
      <alignment vertical="top"/>
    </xf>
    <xf numFmtId="10" fontId="9" fillId="2" borderId="0" xfId="0" applyNumberFormat="1" applyFont="1" applyFill="1" applyAlignment="1">
      <alignment vertical="top"/>
    </xf>
    <xf numFmtId="0" fontId="14" fillId="0" borderId="0" xfId="0" quotePrefix="1" applyFont="1" applyFill="1" applyAlignment="1">
      <alignment horizontal="left" vertical="top"/>
    </xf>
    <xf numFmtId="0" fontId="16" fillId="0" borderId="0" xfId="0" applyFont="1" applyFill="1" applyAlignment="1">
      <alignment vertical="top"/>
    </xf>
    <xf numFmtId="10" fontId="9" fillId="0" borderId="0" xfId="0" applyNumberFormat="1" applyFont="1" applyFill="1" applyAlignment="1" applyProtection="1">
      <alignment vertical="top"/>
    </xf>
    <xf numFmtId="10" fontId="15" fillId="0" borderId="0" xfId="0" applyNumberFormat="1" applyFont="1" applyFill="1" applyAlignment="1">
      <alignment vertical="top"/>
    </xf>
    <xf numFmtId="0" fontId="17" fillId="0" borderId="0" xfId="0" applyFont="1" applyFill="1" applyAlignment="1">
      <alignment vertical="top"/>
    </xf>
    <xf numFmtId="10" fontId="16" fillId="0" borderId="0" xfId="0" applyNumberFormat="1" applyFont="1" applyFill="1" applyAlignment="1" applyProtection="1">
      <alignment vertical="top"/>
    </xf>
    <xf numFmtId="10" fontId="9" fillId="0" borderId="0" xfId="0" applyNumberFormat="1" applyFont="1" applyFill="1"/>
    <xf numFmtId="10" fontId="17" fillId="0" borderId="0" xfId="0" applyNumberFormat="1" applyFont="1" applyFill="1" applyAlignment="1">
      <alignment vertical="top"/>
    </xf>
    <xf numFmtId="0" fontId="15" fillId="0" borderId="0" xfId="0" applyFont="1" applyFill="1" applyAlignment="1">
      <alignment vertical="top"/>
    </xf>
    <xf numFmtId="0" fontId="8" fillId="0" borderId="0" xfId="0" applyFont="1" applyFill="1"/>
    <xf numFmtId="0" fontId="11" fillId="0" borderId="0" xfId="0" applyFont="1" applyFill="1" applyAlignment="1">
      <alignment vertical="top"/>
    </xf>
    <xf numFmtId="42" fontId="15" fillId="2" borderId="12" xfId="0" applyNumberFormat="1" applyFont="1" applyFill="1" applyBorder="1" applyAlignment="1">
      <alignment vertical="top"/>
    </xf>
    <xf numFmtId="164" fontId="9" fillId="0" borderId="0" xfId="0" applyNumberFormat="1" applyFont="1" applyFill="1" applyAlignment="1" applyProtection="1">
      <alignment vertical="top"/>
    </xf>
    <xf numFmtId="164" fontId="9" fillId="2" borderId="0" xfId="0" applyNumberFormat="1" applyFont="1" applyFill="1" applyAlignment="1" applyProtection="1">
      <alignment vertical="top"/>
    </xf>
    <xf numFmtId="164" fontId="9" fillId="0" borderId="0" xfId="0" applyNumberFormat="1" applyFont="1" applyFill="1"/>
    <xf numFmtId="164" fontId="15" fillId="0" borderId="0" xfId="0" applyNumberFormat="1" applyFont="1" applyFill="1" applyAlignment="1">
      <alignment vertical="top"/>
    </xf>
    <xf numFmtId="164" fontId="16" fillId="2" borderId="0" xfId="0" applyNumberFormat="1" applyFont="1" applyFill="1" applyAlignment="1" applyProtection="1">
      <alignment vertical="top"/>
    </xf>
    <xf numFmtId="0" fontId="25" fillId="0" borderId="0" xfId="0" applyNumberFormat="1" applyFont="1" applyFill="1" applyAlignment="1"/>
    <xf numFmtId="0" fontId="26" fillId="0" borderId="0" xfId="0" applyNumberFormat="1" applyFont="1" applyFill="1" applyAlignment="1"/>
    <xf numFmtId="0" fontId="18" fillId="0" borderId="0" xfId="0" applyNumberFormat="1" applyFont="1" applyAlignment="1"/>
    <xf numFmtId="0" fontId="25" fillId="0" borderId="20" xfId="0" applyNumberFormat="1" applyFont="1" applyFill="1" applyBorder="1" applyAlignment="1">
      <alignment horizontal="right"/>
    </xf>
    <xf numFmtId="0" fontId="25" fillId="0" borderId="0" xfId="0" applyNumberFormat="1" applyFont="1" applyFill="1" applyAlignment="1">
      <alignment horizontal="centerContinuous"/>
    </xf>
    <xf numFmtId="0" fontId="25" fillId="0" borderId="0" xfId="0" applyNumberFormat="1" applyFont="1" applyFill="1" applyAlignment="1" applyProtection="1">
      <alignment horizontal="centerContinuous"/>
      <protection locked="0"/>
    </xf>
    <xf numFmtId="0" fontId="25" fillId="0" borderId="1" xfId="0" applyNumberFormat="1" applyFont="1" applyFill="1" applyBorder="1" applyAlignment="1">
      <alignment horizontal="center"/>
    </xf>
    <xf numFmtId="0" fontId="25" fillId="0" borderId="1" xfId="0" applyNumberFormat="1" applyFont="1" applyFill="1" applyBorder="1" applyAlignment="1" applyProtection="1">
      <protection locked="0"/>
    </xf>
    <xf numFmtId="0" fontId="25" fillId="0" borderId="1" xfId="0" applyNumberFormat="1" applyFont="1" applyFill="1" applyBorder="1" applyAlignment="1"/>
    <xf numFmtId="0" fontId="25" fillId="0" borderId="1" xfId="0" applyNumberFormat="1" applyFont="1" applyFill="1" applyBorder="1" applyAlignment="1">
      <alignment horizontal="right"/>
    </xf>
    <xf numFmtId="0" fontId="26" fillId="0" borderId="0" xfId="0" applyNumberFormat="1" applyFont="1" applyFill="1" applyAlignment="1">
      <alignment horizontal="center"/>
    </xf>
    <xf numFmtId="0" fontId="26" fillId="0" borderId="0" xfId="0" applyNumberFormat="1" applyFont="1" applyFill="1" applyAlignment="1">
      <alignment horizontal="left"/>
    </xf>
    <xf numFmtId="166" fontId="26" fillId="0" borderId="0" xfId="0" applyNumberFormat="1" applyFont="1" applyFill="1" applyAlignment="1"/>
    <xf numFmtId="167" fontId="26" fillId="0" borderId="0" xfId="0" applyNumberFormat="1" applyFont="1" applyFill="1" applyAlignment="1"/>
    <xf numFmtId="166" fontId="26" fillId="0" borderId="1" xfId="0" applyNumberFormat="1" applyFont="1" applyFill="1" applyBorder="1" applyAlignment="1"/>
    <xf numFmtId="166" fontId="26" fillId="0" borderId="0" xfId="0" applyNumberFormat="1" applyFont="1" applyFill="1" applyBorder="1" applyAlignment="1"/>
    <xf numFmtId="166" fontId="18" fillId="0" borderId="0" xfId="0" applyNumberFormat="1" applyFont="1" applyAlignment="1"/>
    <xf numFmtId="9" fontId="26" fillId="0" borderId="0" xfId="0" applyNumberFormat="1" applyFont="1" applyFill="1" applyAlignment="1"/>
    <xf numFmtId="166" fontId="26" fillId="0" borderId="14" xfId="0" applyNumberFormat="1" applyFont="1" applyFill="1" applyBorder="1" applyAlignment="1" applyProtection="1">
      <protection locked="0"/>
    </xf>
    <xf numFmtId="0" fontId="14" fillId="2" borderId="1" xfId="0" quotePrefix="1" applyNumberFormat="1" applyFont="1" applyFill="1" applyBorder="1" applyAlignment="1">
      <alignment horizontal="center" vertical="top"/>
    </xf>
    <xf numFmtId="169" fontId="9" fillId="2" borderId="0" xfId="0" applyNumberFormat="1" applyFont="1" applyFill="1" applyAlignment="1">
      <alignment vertical="top"/>
    </xf>
    <xf numFmtId="3" fontId="8" fillId="2" borderId="0" xfId="0" applyNumberFormat="1" applyFont="1" applyFill="1" applyAlignment="1">
      <alignment vertical="top"/>
    </xf>
    <xf numFmtId="0" fontId="20" fillId="0" borderId="0" xfId="0" applyFont="1" applyAlignment="1">
      <alignment horizontal="centerContinuous"/>
    </xf>
    <xf numFmtId="0" fontId="18" fillId="0" borderId="14" xfId="0" applyFont="1" applyBorder="1" applyAlignment="1">
      <alignment horizontal="center"/>
    </xf>
    <xf numFmtId="0" fontId="18" fillId="0" borderId="14" xfId="0" applyFont="1" applyFill="1" applyBorder="1"/>
    <xf numFmtId="0" fontId="18" fillId="0" borderId="0" xfId="0" applyFont="1" applyFill="1"/>
    <xf numFmtId="41" fontId="18" fillId="0" borderId="0" xfId="0" applyNumberFormat="1" applyFont="1" applyFill="1"/>
    <xf numFmtId="0" fontId="23" fillId="0" borderId="0" xfId="0" applyFont="1" applyFill="1" applyAlignment="1">
      <alignment horizontal="centerContinuous"/>
    </xf>
    <xf numFmtId="3" fontId="14" fillId="0" borderId="1" xfId="0" applyNumberFormat="1" applyFont="1" applyFill="1" applyBorder="1" applyAlignment="1">
      <alignment horizontal="center" vertical="top"/>
    </xf>
    <xf numFmtId="0" fontId="14" fillId="0" borderId="0" xfId="0" applyFont="1" applyAlignment="1">
      <alignment vertical="top"/>
    </xf>
    <xf numFmtId="3" fontId="0" fillId="0" borderId="0" xfId="0" applyNumberFormat="1" applyFont="1" applyFill="1" applyAlignment="1" applyProtection="1">
      <alignment vertical="top"/>
      <protection hidden="1"/>
    </xf>
    <xf numFmtId="0" fontId="14" fillId="0" borderId="0" xfId="0" applyFont="1" applyAlignment="1">
      <alignment horizontal="center" vertical="top"/>
    </xf>
    <xf numFmtId="42" fontId="9" fillId="0" borderId="0" xfId="0" applyNumberFormat="1" applyFont="1" applyFill="1" applyBorder="1" applyAlignment="1">
      <alignment vertical="top"/>
    </xf>
    <xf numFmtId="42" fontId="9" fillId="0" borderId="1" xfId="0" applyNumberFormat="1" applyFont="1" applyFill="1" applyBorder="1" applyAlignment="1">
      <alignment vertical="top"/>
    </xf>
    <xf numFmtId="10" fontId="9" fillId="0" borderId="0" xfId="0" applyNumberFormat="1" applyFont="1" applyFill="1" applyAlignment="1">
      <alignment vertical="top"/>
    </xf>
    <xf numFmtId="42" fontId="9" fillId="0" borderId="0" xfId="0" applyNumberFormat="1" applyFont="1" applyFill="1" applyAlignment="1">
      <alignment vertical="top"/>
    </xf>
    <xf numFmtId="37" fontId="9" fillId="0" borderId="0" xfId="0" applyNumberFormat="1" applyFont="1" applyFill="1" applyAlignment="1">
      <alignment vertical="top"/>
    </xf>
    <xf numFmtId="43" fontId="10" fillId="0" borderId="0" xfId="0" applyNumberFormat="1" applyFont="1" applyFill="1" applyAlignment="1">
      <alignment vertical="top"/>
    </xf>
    <xf numFmtId="10" fontId="10" fillId="0" borderId="0" xfId="0" applyNumberFormat="1" applyFont="1" applyFill="1" applyAlignment="1">
      <alignment vertical="top"/>
    </xf>
    <xf numFmtId="0" fontId="24" fillId="0" borderId="0" xfId="0" applyFont="1"/>
    <xf numFmtId="167" fontId="24" fillId="0" borderId="0" xfId="0" applyNumberFormat="1" applyFont="1"/>
    <xf numFmtId="0" fontId="24" fillId="0" borderId="0" xfId="0" applyFont="1" applyBorder="1" applyAlignment="1">
      <alignment horizontal="center"/>
    </xf>
    <xf numFmtId="0" fontId="24" fillId="0" borderId="0" xfId="0" applyFont="1" applyAlignment="1">
      <alignment horizontal="center"/>
    </xf>
    <xf numFmtId="0" fontId="24" fillId="0" borderId="14" xfId="0" applyFont="1" applyBorder="1" applyAlignment="1">
      <alignment horizontal="left"/>
    </xf>
    <xf numFmtId="164" fontId="24" fillId="0" borderId="14" xfId="0" applyNumberFormat="1" applyFont="1" applyBorder="1" applyAlignment="1">
      <alignment vertical="center" wrapText="1"/>
    </xf>
    <xf numFmtId="0" fontId="18" fillId="0" borderId="0" xfId="0" applyFont="1"/>
    <xf numFmtId="0" fontId="29" fillId="4" borderId="0" xfId="0" applyFont="1" applyFill="1" applyBorder="1" applyAlignment="1">
      <alignment horizontal="centerContinuous" vertical="top"/>
    </xf>
    <xf numFmtId="3" fontId="29" fillId="4" borderId="7" xfId="0" applyNumberFormat="1" applyFont="1" applyFill="1" applyBorder="1" applyAlignment="1">
      <alignment horizontal="centerContinuous" vertical="top"/>
    </xf>
    <xf numFmtId="0" fontId="10" fillId="0" borderId="0" xfId="0" applyFont="1" applyFill="1" applyAlignment="1">
      <alignment horizontal="center" vertical="top"/>
    </xf>
    <xf numFmtId="42" fontId="11" fillId="0" borderId="0" xfId="0" applyNumberFormat="1" applyFont="1" applyFill="1" applyAlignment="1">
      <alignment vertical="top"/>
    </xf>
    <xf numFmtId="165" fontId="9" fillId="0" borderId="0" xfId="0" applyNumberFormat="1" applyFont="1" applyFill="1" applyBorder="1" applyAlignment="1">
      <alignment vertical="top"/>
    </xf>
    <xf numFmtId="0" fontId="25" fillId="0" borderId="0" xfId="0" applyNumberFormat="1" applyFont="1" applyFill="1" applyAlignment="1">
      <alignment horizontal="center"/>
    </xf>
    <xf numFmtId="0" fontId="7" fillId="0" borderId="0" xfId="0" applyFont="1" applyFill="1" applyAlignment="1">
      <alignment vertical="top"/>
    </xf>
    <xf numFmtId="42" fontId="7" fillId="0" borderId="0" xfId="0" applyNumberFormat="1" applyFont="1" applyFill="1" applyAlignment="1">
      <alignment vertical="top"/>
    </xf>
    <xf numFmtId="42" fontId="7" fillId="2" borderId="0" xfId="0" applyNumberFormat="1" applyFont="1" applyFill="1" applyAlignment="1">
      <alignment vertical="top"/>
    </xf>
    <xf numFmtId="0" fontId="7" fillId="0" borderId="0" xfId="0" applyFont="1" applyFill="1"/>
    <xf numFmtId="164" fontId="7" fillId="2" borderId="0" xfId="0" applyNumberFormat="1" applyFont="1" applyFill="1" applyBorder="1" applyAlignment="1">
      <alignment horizontal="center"/>
    </xf>
    <xf numFmtId="164" fontId="7" fillId="0" borderId="0" xfId="0" applyNumberFormat="1" applyFont="1" applyFill="1" applyBorder="1" applyAlignment="1">
      <alignment horizontal="center"/>
    </xf>
    <xf numFmtId="164" fontId="7" fillId="0" borderId="0" xfId="0" applyNumberFormat="1" applyFont="1" applyFill="1" applyAlignment="1">
      <alignment vertical="top"/>
    </xf>
    <xf numFmtId="0" fontId="7" fillId="0" borderId="0" xfId="0" applyFont="1"/>
    <xf numFmtId="42" fontId="7" fillId="0" borderId="0" xfId="0" applyNumberFormat="1" applyFont="1" applyFill="1"/>
    <xf numFmtId="10" fontId="7" fillId="0" borderId="0" xfId="0" applyNumberFormat="1" applyFont="1" applyFill="1"/>
    <xf numFmtId="0" fontId="14" fillId="0" borderId="0" xfId="0" applyFont="1" applyFill="1" applyAlignment="1">
      <alignment horizontal="center" vertical="top"/>
    </xf>
    <xf numFmtId="0" fontId="9" fillId="0" borderId="14" xfId="0" applyFont="1" applyFill="1" applyBorder="1"/>
    <xf numFmtId="0" fontId="7" fillId="0" borderId="14" xfId="0" applyFont="1" applyFill="1" applyBorder="1"/>
    <xf numFmtId="0" fontId="22" fillId="0" borderId="14" xfId="0" applyNumberFormat="1" applyFont="1" applyFill="1" applyBorder="1" applyAlignment="1"/>
    <xf numFmtId="0" fontId="14" fillId="0" borderId="0" xfId="0" applyFont="1" applyFill="1" applyAlignment="1">
      <alignment horizontal="center" vertical="top"/>
    </xf>
    <xf numFmtId="0" fontId="18" fillId="0" borderId="14" xfId="0" applyFont="1" applyBorder="1" applyAlignment="1">
      <alignment horizontal="center" wrapText="1"/>
    </xf>
    <xf numFmtId="42" fontId="18" fillId="0" borderId="14" xfId="0" applyNumberFormat="1" applyFont="1" applyFill="1" applyBorder="1"/>
    <xf numFmtId="41" fontId="18" fillId="0" borderId="23" xfId="0" applyNumberFormat="1" applyFont="1" applyFill="1" applyBorder="1"/>
    <xf numFmtId="0" fontId="14" fillId="0" borderId="9" xfId="0" applyFont="1" applyFill="1" applyBorder="1" applyAlignment="1">
      <alignment vertical="top"/>
    </xf>
    <xf numFmtId="0" fontId="14" fillId="0" borderId="0" xfId="0" applyFont="1" applyFill="1" applyAlignment="1">
      <alignment horizontal="center" vertical="top"/>
    </xf>
    <xf numFmtId="0" fontId="4" fillId="0" borderId="0" xfId="0" applyFont="1" applyFill="1" applyAlignment="1">
      <alignment vertical="top"/>
    </xf>
    <xf numFmtId="0" fontId="10" fillId="0" borderId="3" xfId="0" applyFont="1" applyFill="1" applyBorder="1" applyAlignment="1">
      <alignment vertical="top"/>
    </xf>
    <xf numFmtId="0" fontId="29" fillId="4" borderId="6" xfId="0" applyFont="1" applyFill="1" applyBorder="1" applyAlignment="1">
      <alignment horizontal="centerContinuous" vertical="top"/>
    </xf>
    <xf numFmtId="0" fontId="14" fillId="0" borderId="6" xfId="0" applyFont="1" applyFill="1" applyBorder="1" applyAlignment="1">
      <alignment horizontal="center" vertical="top"/>
    </xf>
    <xf numFmtId="0" fontId="14" fillId="0" borderId="30" xfId="0" applyFont="1" applyFill="1" applyBorder="1" applyAlignment="1">
      <alignment horizontal="center" vertical="top"/>
    </xf>
    <xf numFmtId="41" fontId="10" fillId="0" borderId="0" xfId="0" applyNumberFormat="1" applyFont="1" applyFill="1" applyAlignment="1">
      <alignment vertical="top"/>
    </xf>
    <xf numFmtId="0" fontId="10" fillId="0" borderId="6" xfId="0" applyFont="1" applyFill="1" applyBorder="1" applyAlignment="1">
      <alignment vertical="top"/>
    </xf>
    <xf numFmtId="10" fontId="15" fillId="0" borderId="6" xfId="0" applyNumberFormat="1" applyFont="1" applyFill="1" applyBorder="1" applyAlignment="1">
      <alignment vertical="top"/>
    </xf>
    <xf numFmtId="10" fontId="15" fillId="0" borderId="30" xfId="0" applyNumberFormat="1" applyFont="1" applyFill="1" applyBorder="1" applyAlignment="1">
      <alignment vertical="top"/>
    </xf>
    <xf numFmtId="10" fontId="10" fillId="0" borderId="31" xfId="0" applyNumberFormat="1" applyFont="1" applyFill="1" applyBorder="1" applyAlignment="1">
      <alignment vertical="top"/>
    </xf>
    <xf numFmtId="170" fontId="10" fillId="0" borderId="0" xfId="0" applyNumberFormat="1" applyFont="1" applyFill="1" applyAlignment="1">
      <alignment vertical="top"/>
    </xf>
    <xf numFmtId="7" fontId="10" fillId="0" borderId="6" xfId="0" applyNumberFormat="1" applyFont="1" applyFill="1" applyBorder="1" applyAlignment="1">
      <alignment vertical="top"/>
    </xf>
    <xf numFmtId="44" fontId="11" fillId="0" borderId="0" xfId="0" applyNumberFormat="1" applyFont="1" applyFill="1" applyAlignment="1">
      <alignment vertical="top"/>
    </xf>
    <xf numFmtId="8" fontId="10" fillId="0" borderId="11" xfId="0" applyNumberFormat="1" applyFont="1" applyFill="1" applyBorder="1" applyAlignment="1">
      <alignment vertical="top"/>
    </xf>
    <xf numFmtId="171" fontId="10" fillId="0" borderId="12" xfId="0" applyNumberFormat="1" applyFont="1" applyFill="1" applyBorder="1" applyAlignment="1">
      <alignment horizontal="center" vertical="top"/>
    </xf>
    <xf numFmtId="43" fontId="10" fillId="0" borderId="0" xfId="0" applyNumberFormat="1" applyFont="1" applyFill="1" applyAlignment="1" applyProtection="1">
      <alignment vertical="top"/>
      <protection hidden="1"/>
    </xf>
    <xf numFmtId="0" fontId="0" fillId="2" borderId="0" xfId="0" applyNumberFormat="1" applyFont="1" applyFill="1" applyAlignment="1" applyProtection="1">
      <alignment horizontal="center" vertical="top"/>
      <protection hidden="1"/>
    </xf>
    <xf numFmtId="10" fontId="4" fillId="0" borderId="0" xfId="0" applyNumberFormat="1" applyFont="1" applyFill="1" applyAlignment="1">
      <alignment vertical="top"/>
    </xf>
    <xf numFmtId="42" fontId="4" fillId="0" borderId="0" xfId="0" applyNumberFormat="1" applyFont="1" applyFill="1" applyAlignment="1">
      <alignment vertical="top"/>
    </xf>
    <xf numFmtId="42" fontId="9" fillId="2" borderId="15" xfId="0" applyNumberFormat="1" applyFont="1" applyFill="1" applyBorder="1" applyAlignment="1">
      <alignment vertical="top"/>
    </xf>
    <xf numFmtId="42" fontId="0" fillId="0" borderId="0" xfId="0" applyNumberFormat="1" applyFont="1" applyFill="1" applyBorder="1" applyAlignment="1">
      <alignment vertical="top"/>
    </xf>
    <xf numFmtId="3" fontId="9" fillId="2" borderId="0" xfId="0" applyNumberFormat="1" applyFont="1" applyFill="1" applyAlignment="1">
      <alignment vertical="top"/>
    </xf>
    <xf numFmtId="3" fontId="8" fillId="0" borderId="0" xfId="0" applyNumberFormat="1" applyFont="1" applyFill="1" applyAlignment="1">
      <alignment vertical="top"/>
    </xf>
    <xf numFmtId="42" fontId="4" fillId="2" borderId="0" xfId="0" applyNumberFormat="1" applyFont="1" applyFill="1" applyAlignment="1">
      <alignment vertical="top"/>
    </xf>
    <xf numFmtId="42" fontId="9" fillId="3" borderId="0" xfId="0" applyNumberFormat="1" applyFont="1" applyFill="1" applyAlignment="1">
      <alignment vertical="top"/>
    </xf>
    <xf numFmtId="0" fontId="4" fillId="0" borderId="0" xfId="0" applyFont="1" applyFill="1"/>
    <xf numFmtId="164" fontId="4" fillId="2" borderId="0" xfId="0" applyNumberFormat="1" applyFont="1" applyFill="1" applyBorder="1" applyAlignment="1">
      <alignment horizontal="center"/>
    </xf>
    <xf numFmtId="164" fontId="4" fillId="0" borderId="0" xfId="0" applyNumberFormat="1" applyFont="1" applyFill="1" applyBorder="1" applyAlignment="1">
      <alignment horizontal="center"/>
    </xf>
    <xf numFmtId="164" fontId="4" fillId="0" borderId="0" xfId="0" applyNumberFormat="1" applyFont="1" applyFill="1" applyAlignment="1">
      <alignment vertical="top"/>
    </xf>
    <xf numFmtId="41" fontId="11" fillId="0" borderId="0" xfId="0" applyNumberFormat="1" applyFont="1" applyFill="1" applyAlignment="1">
      <alignment vertical="top"/>
    </xf>
    <xf numFmtId="14" fontId="10" fillId="0" borderId="0" xfId="0" applyNumberFormat="1" applyFont="1" applyFill="1" applyAlignment="1">
      <alignment vertical="top"/>
    </xf>
    <xf numFmtId="0" fontId="32" fillId="0" borderId="0" xfId="0" applyFont="1" applyFill="1"/>
    <xf numFmtId="0" fontId="33" fillId="0" borderId="19" xfId="0" applyFont="1" applyFill="1" applyBorder="1" applyAlignment="1">
      <alignment horizontal="centerContinuous"/>
    </xf>
    <xf numFmtId="0" fontId="33" fillId="0" borderId="32" xfId="0" applyFont="1" applyFill="1" applyBorder="1" applyAlignment="1">
      <alignment horizontal="centerContinuous"/>
    </xf>
    <xf numFmtId="0" fontId="33" fillId="0" borderId="0" xfId="0" applyFont="1" applyFill="1" applyAlignment="1">
      <alignment horizontal="centerContinuous"/>
    </xf>
    <xf numFmtId="0" fontId="32" fillId="0" borderId="0" xfId="0" applyFont="1" applyFill="1" applyAlignment="1">
      <alignment horizontal="centerContinuous"/>
    </xf>
    <xf numFmtId="0" fontId="34" fillId="0" borderId="0" xfId="0" applyNumberFormat="1" applyFont="1" applyFill="1" applyAlignment="1">
      <alignment horizontal="center"/>
    </xf>
    <xf numFmtId="0" fontId="34" fillId="0" borderId="0" xfId="0" applyFont="1" applyFill="1" applyAlignment="1">
      <alignment horizontal="center"/>
    </xf>
    <xf numFmtId="0" fontId="35" fillId="0" borderId="0" xfId="0" applyFont="1" applyFill="1"/>
    <xf numFmtId="0" fontId="34" fillId="0" borderId="1" xfId="0" applyNumberFormat="1" applyFont="1" applyFill="1" applyBorder="1" applyAlignment="1">
      <alignment horizontal="center"/>
    </xf>
    <xf numFmtId="0" fontId="34" fillId="0" borderId="1" xfId="0" applyFont="1" applyFill="1" applyBorder="1" applyAlignment="1">
      <alignment horizontal="center"/>
    </xf>
    <xf numFmtId="0" fontId="35" fillId="0" borderId="1" xfId="0" applyFont="1" applyFill="1" applyBorder="1"/>
    <xf numFmtId="0" fontId="32" fillId="0" borderId="0" xfId="0" applyNumberFormat="1" applyFont="1" applyFill="1" applyAlignment="1">
      <alignment horizontal="center"/>
    </xf>
    <xf numFmtId="0" fontId="32" fillId="0" borderId="0" xfId="0" applyNumberFormat="1" applyFont="1" applyFill="1" applyAlignment="1"/>
    <xf numFmtId="10" fontId="32" fillId="0" borderId="0" xfId="0" applyNumberFormat="1" applyFont="1" applyFill="1"/>
    <xf numFmtId="0" fontId="32" fillId="0" borderId="0" xfId="0" applyNumberFormat="1" applyFont="1" applyFill="1" applyAlignment="1">
      <alignment horizontal="left"/>
    </xf>
    <xf numFmtId="166" fontId="32" fillId="0" borderId="0" xfId="0" applyNumberFormat="1" applyFont="1" applyFill="1" applyAlignment="1"/>
    <xf numFmtId="10" fontId="32" fillId="0" borderId="15" xfId="0" applyNumberFormat="1" applyFont="1" applyFill="1" applyBorder="1"/>
    <xf numFmtId="0" fontId="32" fillId="0" borderId="15" xfId="0" applyFont="1" applyFill="1" applyBorder="1"/>
    <xf numFmtId="164" fontId="32" fillId="0" borderId="0" xfId="0" applyNumberFormat="1" applyFont="1" applyFill="1" applyAlignment="1"/>
    <xf numFmtId="166" fontId="32" fillId="0" borderId="1" xfId="0" applyNumberFormat="1" applyFont="1" applyFill="1" applyBorder="1" applyAlignment="1"/>
    <xf numFmtId="166" fontId="32" fillId="0" borderId="0" xfId="0" applyNumberFormat="1" applyFont="1" applyFill="1" applyBorder="1" applyAlignment="1"/>
    <xf numFmtId="9" fontId="32" fillId="0" borderId="0" xfId="0" applyNumberFormat="1" applyFont="1" applyFill="1" applyAlignment="1"/>
    <xf numFmtId="166" fontId="33" fillId="0" borderId="24" xfId="0" applyNumberFormat="1" applyFont="1" applyFill="1" applyBorder="1" applyAlignment="1" applyProtection="1">
      <protection locked="0"/>
    </xf>
    <xf numFmtId="168" fontId="32" fillId="0" borderId="0" xfId="0" applyNumberFormat="1" applyFont="1" applyFill="1"/>
    <xf numFmtId="0" fontId="0" fillId="0" borderId="0" xfId="0" applyFont="1" applyFill="1"/>
    <xf numFmtId="0" fontId="36" fillId="0" borderId="0" xfId="0" applyFont="1" applyFill="1"/>
    <xf numFmtId="166" fontId="32" fillId="6" borderId="0" xfId="0" applyNumberFormat="1" applyFont="1" applyFill="1" applyAlignment="1"/>
    <xf numFmtId="10" fontId="32" fillId="6" borderId="15" xfId="0" applyNumberFormat="1" applyFont="1" applyFill="1" applyBorder="1"/>
    <xf numFmtId="0" fontId="38" fillId="0" borderId="4" xfId="0" applyFont="1" applyFill="1" applyBorder="1" applyAlignment="1">
      <alignment vertical="top"/>
    </xf>
    <xf numFmtId="10" fontId="37" fillId="0" borderId="10" xfId="0" applyNumberFormat="1" applyFont="1" applyFill="1" applyBorder="1" applyAlignment="1">
      <alignment vertical="top"/>
    </xf>
    <xf numFmtId="10" fontId="7" fillId="0" borderId="0" xfId="1" applyNumberFormat="1" applyFont="1"/>
    <xf numFmtId="0" fontId="29" fillId="4" borderId="0" xfId="0" applyFont="1" applyFill="1" applyBorder="1" applyAlignment="1">
      <alignment horizontal="left" vertical="top"/>
    </xf>
    <xf numFmtId="3" fontId="15" fillId="0" borderId="0" xfId="0" applyNumberFormat="1" applyFont="1" applyFill="1" applyBorder="1" applyAlignment="1">
      <alignment vertical="top"/>
    </xf>
    <xf numFmtId="42" fontId="15" fillId="0" borderId="0" xfId="0" applyNumberFormat="1" applyFont="1" applyFill="1" applyBorder="1" applyAlignment="1">
      <alignment vertical="top"/>
    </xf>
    <xf numFmtId="3" fontId="10" fillId="0" borderId="33" xfId="0" applyNumberFormat="1" applyFont="1" applyFill="1" applyBorder="1" applyAlignment="1">
      <alignment vertical="top"/>
    </xf>
    <xf numFmtId="3" fontId="29" fillId="4" borderId="25" xfId="0" applyNumberFormat="1" applyFont="1" applyFill="1" applyBorder="1" applyAlignment="1">
      <alignment horizontal="centerContinuous" vertical="top"/>
    </xf>
    <xf numFmtId="0" fontId="14" fillId="0" borderId="25" xfId="0" applyFont="1" applyFill="1" applyBorder="1" applyAlignment="1">
      <alignment horizontal="center" vertical="top"/>
    </xf>
    <xf numFmtId="0" fontId="14" fillId="0" borderId="34" xfId="0" applyFont="1" applyFill="1" applyBorder="1" applyAlignment="1">
      <alignment horizontal="center" vertical="top"/>
    </xf>
    <xf numFmtId="0" fontId="10" fillId="0" borderId="25" xfId="0" applyFont="1" applyFill="1" applyBorder="1" applyAlignment="1">
      <alignment vertical="top"/>
    </xf>
    <xf numFmtId="10" fontId="15" fillId="0" borderId="25" xfId="0" applyNumberFormat="1" applyFont="1" applyFill="1" applyBorder="1" applyAlignment="1">
      <alignment vertical="top"/>
    </xf>
    <xf numFmtId="10" fontId="15" fillId="0" borderId="34" xfId="0" applyNumberFormat="1" applyFont="1" applyFill="1" applyBorder="1" applyAlignment="1">
      <alignment vertical="top"/>
    </xf>
    <xf numFmtId="10" fontId="37" fillId="0" borderId="35" xfId="0" applyNumberFormat="1" applyFont="1" applyFill="1" applyBorder="1" applyAlignment="1">
      <alignment vertical="top"/>
    </xf>
    <xf numFmtId="10" fontId="15" fillId="0" borderId="36" xfId="0" applyNumberFormat="1" applyFont="1" applyFill="1" applyBorder="1" applyAlignment="1">
      <alignment vertical="top"/>
    </xf>
    <xf numFmtId="44" fontId="10" fillId="0" borderId="0" xfId="0" applyNumberFormat="1" applyFont="1" applyFill="1" applyAlignment="1">
      <alignment vertical="top"/>
    </xf>
    <xf numFmtId="0" fontId="19" fillId="0" borderId="14" xfId="5" applyFont="1" applyFill="1" applyBorder="1" applyAlignment="1">
      <alignment wrapText="1"/>
    </xf>
    <xf numFmtId="0" fontId="19" fillId="0" borderId="14" xfId="5" applyFont="1" applyFill="1" applyBorder="1"/>
    <xf numFmtId="0" fontId="39" fillId="0" borderId="14" xfId="5" applyFont="1" applyFill="1" applyBorder="1"/>
    <xf numFmtId="0" fontId="39" fillId="0" borderId="0" xfId="5" applyFont="1" applyFill="1"/>
    <xf numFmtId="10" fontId="39" fillId="0" borderId="0" xfId="5" applyNumberFormat="1" applyFont="1" applyFill="1" applyBorder="1"/>
    <xf numFmtId="0" fontId="40" fillId="0" borderId="14" xfId="5" applyFont="1" applyFill="1" applyBorder="1"/>
    <xf numFmtId="44" fontId="39" fillId="0" borderId="0" xfId="5" applyNumberFormat="1" applyFont="1" applyFill="1"/>
    <xf numFmtId="0" fontId="39" fillId="0" borderId="28" xfId="5" applyFont="1" applyFill="1" applyBorder="1"/>
    <xf numFmtId="0" fontId="0" fillId="0" borderId="0" xfId="0" applyFill="1"/>
    <xf numFmtId="0" fontId="13" fillId="0" borderId="4" xfId="0" applyFont="1" applyFill="1" applyBorder="1" applyAlignment="1">
      <alignment horizontal="centerContinuous"/>
    </xf>
    <xf numFmtId="0" fontId="13" fillId="0" borderId="5" xfId="0" applyFont="1" applyFill="1" applyBorder="1" applyAlignment="1">
      <alignment horizontal="centerContinuous"/>
    </xf>
    <xf numFmtId="43" fontId="27" fillId="0" borderId="0" xfId="0" applyNumberFormat="1" applyFont="1" applyFill="1" applyBorder="1" applyAlignment="1">
      <alignment horizontal="center"/>
    </xf>
    <xf numFmtId="0" fontId="28" fillId="0" borderId="6" xfId="0" applyFont="1" applyFill="1" applyBorder="1"/>
    <xf numFmtId="0" fontId="28" fillId="0" borderId="0" xfId="0" applyFont="1" applyFill="1" applyBorder="1"/>
    <xf numFmtId="0" fontId="28" fillId="0" borderId="7" xfId="0" applyFont="1" applyFill="1" applyBorder="1"/>
    <xf numFmtId="0" fontId="28" fillId="0" borderId="6" xfId="0" applyFont="1" applyFill="1" applyBorder="1" applyAlignment="1">
      <alignment horizontal="left"/>
    </xf>
    <xf numFmtId="10" fontId="28" fillId="0" borderId="0" xfId="0" applyNumberFormat="1" applyFont="1" applyFill="1" applyBorder="1"/>
    <xf numFmtId="10" fontId="28" fillId="0" borderId="7" xfId="0" applyNumberFormat="1" applyFont="1" applyFill="1" applyBorder="1"/>
    <xf numFmtId="0" fontId="28" fillId="0" borderId="11" xfId="0" applyFont="1" applyFill="1" applyBorder="1" applyAlignment="1">
      <alignment horizontal="left"/>
    </xf>
    <xf numFmtId="0" fontId="28" fillId="0" borderId="2" xfId="0" applyFont="1" applyFill="1" applyBorder="1"/>
    <xf numFmtId="10" fontId="28" fillId="0" borderId="2" xfId="0" applyNumberFormat="1" applyFont="1" applyFill="1" applyBorder="1"/>
    <xf numFmtId="10" fontId="28" fillId="0" borderId="12" xfId="0" applyNumberFormat="1" applyFont="1" applyFill="1" applyBorder="1"/>
    <xf numFmtId="0" fontId="23" fillId="0" borderId="0" xfId="9" applyFont="1"/>
    <xf numFmtId="0" fontId="3" fillId="0" borderId="0" xfId="9"/>
    <xf numFmtId="0" fontId="31" fillId="0" borderId="37" xfId="9" applyFont="1" applyFill="1" applyBorder="1" applyAlignment="1">
      <alignment horizontal="center" vertical="center"/>
    </xf>
    <xf numFmtId="0" fontId="31" fillId="0" borderId="14" xfId="9" applyFont="1" applyFill="1" applyBorder="1" applyAlignment="1">
      <alignment horizontal="center" vertical="center"/>
    </xf>
    <xf numFmtId="0" fontId="19" fillId="0" borderId="14" xfId="9" applyFont="1" applyFill="1" applyBorder="1" applyAlignment="1">
      <alignment horizontal="center" wrapText="1"/>
    </xf>
    <xf numFmtId="0" fontId="19" fillId="0" borderId="14" xfId="9" applyFont="1" applyFill="1" applyBorder="1" applyAlignment="1">
      <alignment wrapText="1"/>
    </xf>
    <xf numFmtId="0" fontId="19" fillId="0" borderId="38" xfId="9" applyFont="1" applyFill="1" applyBorder="1" applyAlignment="1">
      <alignment wrapText="1"/>
    </xf>
    <xf numFmtId="0" fontId="30" fillId="0" borderId="37" xfId="9" applyFont="1" applyFill="1" applyBorder="1" applyAlignment="1">
      <alignment vertical="center"/>
    </xf>
    <xf numFmtId="0" fontId="30" fillId="0" borderId="14" xfId="9" applyFont="1" applyFill="1" applyBorder="1" applyAlignment="1">
      <alignment vertical="center"/>
    </xf>
    <xf numFmtId="168" fontId="0" fillId="0" borderId="39" xfId="10" applyNumberFormat="1" applyFont="1" applyFill="1" applyBorder="1"/>
    <xf numFmtId="0" fontId="30" fillId="0" borderId="40" xfId="9" applyFont="1" applyFill="1" applyBorder="1" applyAlignment="1">
      <alignment vertical="center"/>
    </xf>
    <xf numFmtId="168" fontId="0" fillId="0" borderId="41" xfId="10" applyNumberFormat="1" applyFont="1" applyFill="1" applyBorder="1"/>
    <xf numFmtId="0" fontId="31" fillId="0" borderId="42" xfId="9" applyFont="1" applyFill="1" applyBorder="1" applyAlignment="1">
      <alignment vertical="center"/>
    </xf>
    <xf numFmtId="0" fontId="31" fillId="0" borderId="18" xfId="9" applyFont="1" applyFill="1" applyBorder="1" applyAlignment="1">
      <alignment vertical="center"/>
    </xf>
    <xf numFmtId="168" fontId="19" fillId="0" borderId="39" xfId="10" applyNumberFormat="1" applyFont="1" applyFill="1" applyBorder="1"/>
    <xf numFmtId="0" fontId="3" fillId="0" borderId="6" xfId="9" applyFill="1" applyBorder="1"/>
    <xf numFmtId="0" fontId="3" fillId="0" borderId="0" xfId="9" applyFill="1" applyBorder="1"/>
    <xf numFmtId="0" fontId="3" fillId="0" borderId="7" xfId="9" applyFill="1" applyBorder="1"/>
    <xf numFmtId="0" fontId="31" fillId="0" borderId="43" xfId="9" applyFont="1" applyFill="1" applyBorder="1" applyAlignment="1">
      <alignment horizontal="center" vertical="center"/>
    </xf>
    <xf numFmtId="0" fontId="31" fillId="0" borderId="44" xfId="9" applyFont="1" applyFill="1" applyBorder="1" applyAlignment="1">
      <alignment horizontal="center" vertical="center"/>
    </xf>
    <xf numFmtId="0" fontId="3" fillId="0" borderId="42" xfId="9" applyFill="1" applyBorder="1"/>
    <xf numFmtId="0" fontId="30" fillId="0" borderId="19" xfId="11" applyFont="1" applyBorder="1" applyAlignment="1">
      <alignment vertical="center"/>
    </xf>
    <xf numFmtId="0" fontId="30" fillId="0" borderId="28" xfId="9" applyFont="1" applyBorder="1" applyAlignment="1">
      <alignment vertical="center"/>
    </xf>
    <xf numFmtId="0" fontId="31" fillId="0" borderId="45" xfId="9" applyFont="1" applyBorder="1" applyAlignment="1">
      <alignment vertical="center"/>
    </xf>
    <xf numFmtId="168" fontId="19" fillId="0" borderId="39" xfId="10" applyNumberFormat="1" applyFont="1" applyBorder="1"/>
    <xf numFmtId="0" fontId="3" fillId="0" borderId="0" xfId="9" applyBorder="1"/>
    <xf numFmtId="0" fontId="30" fillId="0" borderId="19" xfId="5" applyFont="1" applyFill="1" applyBorder="1" applyAlignment="1">
      <alignment vertical="center"/>
    </xf>
    <xf numFmtId="0" fontId="14" fillId="0" borderId="0" xfId="0" applyFont="1" applyBorder="1" applyAlignment="1">
      <alignment vertical="top"/>
    </xf>
    <xf numFmtId="3" fontId="14" fillId="0" borderId="0" xfId="0" applyNumberFormat="1" applyFont="1" applyFill="1" applyBorder="1" applyAlignment="1">
      <alignment horizontal="center" vertical="top"/>
    </xf>
    <xf numFmtId="0" fontId="14" fillId="0" borderId="16" xfId="0" applyFont="1" applyFill="1" applyBorder="1" applyAlignment="1">
      <alignment vertical="top"/>
    </xf>
    <xf numFmtId="0" fontId="14" fillId="0" borderId="0" xfId="0" applyFont="1" applyFill="1" applyAlignment="1">
      <alignment horizontal="center" vertical="top"/>
    </xf>
    <xf numFmtId="0" fontId="14" fillId="0" borderId="0" xfId="0" applyFont="1" applyFill="1" applyAlignment="1">
      <alignment horizontal="center" vertical="top"/>
    </xf>
    <xf numFmtId="0" fontId="8" fillId="0" borderId="0" xfId="0" applyFont="1"/>
    <xf numFmtId="3" fontId="44" fillId="0" borderId="0" xfId="0" applyNumberFormat="1" applyFont="1" applyFill="1" applyAlignment="1">
      <alignment vertical="top"/>
    </xf>
    <xf numFmtId="0" fontId="3" fillId="0" borderId="0" xfId="9" applyFill="1"/>
    <xf numFmtId="0" fontId="3" fillId="0" borderId="0" xfId="9" applyFill="1" applyAlignment="1">
      <alignment horizontal="centerContinuous"/>
    </xf>
    <xf numFmtId="0" fontId="41" fillId="0" borderId="16" xfId="9" applyFont="1" applyBorder="1"/>
    <xf numFmtId="0" fontId="3" fillId="0" borderId="13" xfId="9" applyBorder="1"/>
    <xf numFmtId="0" fontId="42" fillId="0" borderId="13" xfId="9" applyFont="1" applyFill="1" applyBorder="1" applyAlignment="1">
      <alignment horizontal="centerContinuous"/>
    </xf>
    <xf numFmtId="0" fontId="43" fillId="0" borderId="17" xfId="9" applyFont="1" applyFill="1" applyBorder="1" applyAlignment="1">
      <alignment horizontal="centerContinuous"/>
    </xf>
    <xf numFmtId="0" fontId="19" fillId="0" borderId="19" xfId="9" applyFont="1" applyFill="1" applyBorder="1" applyAlignment="1">
      <alignment horizontal="center" wrapText="1"/>
    </xf>
    <xf numFmtId="168" fontId="0" fillId="0" borderId="0" xfId="10" applyNumberFormat="1" applyFont="1" applyFill="1" applyBorder="1"/>
    <xf numFmtId="0" fontId="46" fillId="0" borderId="0" xfId="9" applyFont="1" applyFill="1" applyBorder="1" applyAlignment="1">
      <alignment horizontal="centerContinuous"/>
    </xf>
    <xf numFmtId="0" fontId="29" fillId="5" borderId="16" xfId="9" applyFont="1" applyFill="1" applyBorder="1" applyAlignment="1">
      <alignment horizontal="centerContinuous" vertical="center"/>
    </xf>
    <xf numFmtId="0" fontId="46" fillId="5" borderId="13" xfId="9" applyFont="1" applyFill="1" applyBorder="1" applyAlignment="1">
      <alignment horizontal="centerContinuous"/>
    </xf>
    <xf numFmtId="0" fontId="46" fillId="5" borderId="17" xfId="9" applyFont="1" applyFill="1" applyBorder="1" applyAlignment="1">
      <alignment horizontal="centerContinuous"/>
    </xf>
    <xf numFmtId="0" fontId="46" fillId="5" borderId="0" xfId="9" applyFont="1" applyFill="1" applyBorder="1" applyAlignment="1">
      <alignment horizontal="centerContinuous"/>
    </xf>
    <xf numFmtId="0" fontId="3" fillId="5" borderId="17" xfId="9" applyFill="1" applyBorder="1" applyAlignment="1">
      <alignment horizontal="centerContinuous"/>
    </xf>
    <xf numFmtId="0" fontId="31" fillId="0" borderId="40" xfId="9" applyFont="1" applyFill="1" applyBorder="1" applyAlignment="1">
      <alignment vertical="center"/>
    </xf>
    <xf numFmtId="0" fontId="31" fillId="0" borderId="28" xfId="9" applyFont="1" applyFill="1" applyBorder="1" applyAlignment="1">
      <alignment vertical="center"/>
    </xf>
    <xf numFmtId="168" fontId="19" fillId="0" borderId="41" xfId="10" applyNumberFormat="1" applyFont="1" applyFill="1" applyBorder="1"/>
    <xf numFmtId="168" fontId="19" fillId="0" borderId="1" xfId="10" applyNumberFormat="1" applyFont="1" applyFill="1" applyBorder="1"/>
    <xf numFmtId="0" fontId="19" fillId="0" borderId="47" xfId="9" applyFont="1" applyFill="1" applyBorder="1" applyAlignment="1">
      <alignment wrapText="1"/>
    </xf>
    <xf numFmtId="168" fontId="0" fillId="0" borderId="1" xfId="10" applyNumberFormat="1" applyFont="1" applyFill="1" applyBorder="1"/>
    <xf numFmtId="168" fontId="0" fillId="0" borderId="15" xfId="10" applyNumberFormat="1" applyFont="1" applyFill="1" applyBorder="1"/>
    <xf numFmtId="168" fontId="19" fillId="0" borderId="29" xfId="10" applyNumberFormat="1" applyFont="1" applyFill="1" applyBorder="1"/>
    <xf numFmtId="0" fontId="30" fillId="0" borderId="37" xfId="5" applyFont="1" applyBorder="1" applyAlignment="1">
      <alignment vertical="center"/>
    </xf>
    <xf numFmtId="168" fontId="3" fillId="0" borderId="41" xfId="9" applyNumberFormat="1" applyFill="1" applyBorder="1"/>
    <xf numFmtId="0" fontId="46" fillId="5" borderId="6" xfId="9" applyFont="1" applyFill="1" applyBorder="1" applyAlignment="1">
      <alignment horizontal="centerContinuous"/>
    </xf>
    <xf numFmtId="0" fontId="46" fillId="5" borderId="7" xfId="9" applyFont="1" applyFill="1" applyBorder="1" applyAlignment="1">
      <alignment horizontal="centerContinuous"/>
    </xf>
    <xf numFmtId="0" fontId="20" fillId="0" borderId="0" xfId="0" applyFont="1" applyFill="1" applyAlignment="1">
      <alignment horizontal="centerContinuous"/>
    </xf>
    <xf numFmtId="42" fontId="18" fillId="0" borderId="23" xfId="0" applyNumberFormat="1" applyFont="1" applyFill="1" applyBorder="1"/>
    <xf numFmtId="0" fontId="39" fillId="0" borderId="14" xfId="5" applyFont="1" applyFill="1" applyBorder="1" applyAlignment="1">
      <alignment horizontal="center"/>
    </xf>
    <xf numFmtId="42" fontId="23" fillId="0" borderId="29" xfId="0" applyNumberFormat="1" applyFont="1" applyFill="1" applyBorder="1" applyAlignment="1">
      <alignment horizontal="left"/>
    </xf>
    <xf numFmtId="0" fontId="23" fillId="0" borderId="0" xfId="0" applyFont="1" applyFill="1" applyAlignment="1">
      <alignment horizontal="center"/>
    </xf>
    <xf numFmtId="3" fontId="45" fillId="0" borderId="1" xfId="0" applyNumberFormat="1" applyFont="1" applyFill="1" applyBorder="1" applyAlignment="1">
      <alignment horizontal="center" vertical="top"/>
    </xf>
    <xf numFmtId="0" fontId="14" fillId="0" borderId="13" xfId="0" applyFont="1" applyFill="1" applyBorder="1" applyAlignment="1">
      <alignment vertical="top"/>
    </xf>
    <xf numFmtId="44" fontId="14" fillId="0" borderId="13" xfId="8" applyFont="1" applyFill="1" applyBorder="1" applyAlignment="1">
      <alignment horizontal="center" vertical="top"/>
    </xf>
    <xf numFmtId="0" fontId="9" fillId="0" borderId="0" xfId="0" applyFont="1" applyFill="1" applyAlignment="1">
      <alignment vertical="top"/>
    </xf>
    <xf numFmtId="42" fontId="7" fillId="0" borderId="0" xfId="0" applyNumberFormat="1" applyFont="1" applyFill="1" applyBorder="1"/>
    <xf numFmtId="42" fontId="7" fillId="0" borderId="1" xfId="0" applyNumberFormat="1" applyFont="1" applyFill="1" applyBorder="1"/>
    <xf numFmtId="0" fontId="9" fillId="0" borderId="0" xfId="0" applyFont="1" applyFill="1" applyBorder="1" applyAlignment="1">
      <alignment vertical="top"/>
    </xf>
    <xf numFmtId="3" fontId="9" fillId="0" borderId="9" xfId="0" applyNumberFormat="1" applyFont="1" applyFill="1" applyBorder="1" applyAlignment="1">
      <alignment vertical="top"/>
    </xf>
    <xf numFmtId="42" fontId="7" fillId="0" borderId="9" xfId="0" applyNumberFormat="1" applyFont="1" applyFill="1" applyBorder="1"/>
    <xf numFmtId="10" fontId="9" fillId="0" borderId="1" xfId="0" applyNumberFormat="1" applyFont="1" applyFill="1" applyBorder="1" applyAlignment="1">
      <alignment vertical="top"/>
    </xf>
    <xf numFmtId="167" fontId="9" fillId="0" borderId="0" xfId="0" applyNumberFormat="1" applyFont="1" applyFill="1" applyAlignment="1" applyProtection="1">
      <alignment vertical="top"/>
    </xf>
    <xf numFmtId="167" fontId="7" fillId="0" borderId="0" xfId="0" applyNumberFormat="1" applyFont="1" applyFill="1"/>
    <xf numFmtId="0" fontId="19" fillId="7" borderId="37" xfId="9" applyFont="1" applyFill="1" applyBorder="1" applyAlignment="1">
      <alignment horizontal="center" wrapText="1"/>
    </xf>
    <xf numFmtId="0" fontId="23" fillId="7" borderId="29" xfId="0" applyFont="1" applyFill="1" applyBorder="1" applyAlignment="1">
      <alignment horizontal="left"/>
    </xf>
    <xf numFmtId="0" fontId="23" fillId="7" borderId="29" xfId="0" applyFont="1" applyFill="1" applyBorder="1" applyAlignment="1">
      <alignment horizontal="centerContinuous"/>
    </xf>
    <xf numFmtId="42" fontId="23" fillId="7" borderId="29" xfId="0" applyNumberFormat="1" applyFont="1" applyFill="1" applyBorder="1" applyAlignment="1">
      <alignment horizontal="left"/>
    </xf>
    <xf numFmtId="0" fontId="4" fillId="0" borderId="0" xfId="0" applyFont="1" applyFill="1" applyAlignment="1">
      <alignment horizontal="center" vertical="top"/>
    </xf>
    <xf numFmtId="43" fontId="4" fillId="0" borderId="0" xfId="0" applyNumberFormat="1" applyFont="1" applyFill="1" applyAlignment="1">
      <alignment horizontal="center" vertical="top"/>
    </xf>
    <xf numFmtId="37" fontId="4" fillId="0" borderId="0" xfId="0" applyNumberFormat="1" applyFont="1" applyFill="1" applyAlignment="1">
      <alignment horizontal="right" vertical="top"/>
    </xf>
    <xf numFmtId="168" fontId="0" fillId="0" borderId="14" xfId="10" applyNumberFormat="1" applyFont="1" applyFill="1" applyBorder="1"/>
    <xf numFmtId="168" fontId="3" fillId="0" borderId="14" xfId="9" applyNumberFormat="1" applyFill="1" applyBorder="1"/>
    <xf numFmtId="168" fontId="0" fillId="0" borderId="28" xfId="10" applyNumberFormat="1" applyFont="1" applyFill="1" applyBorder="1"/>
    <xf numFmtId="168" fontId="19" fillId="0" borderId="18" xfId="10" applyNumberFormat="1" applyFont="1" applyFill="1" applyBorder="1"/>
    <xf numFmtId="43" fontId="19" fillId="0" borderId="18" xfId="9" applyNumberFormat="1" applyFont="1" applyFill="1" applyBorder="1"/>
    <xf numFmtId="168" fontId="3" fillId="0" borderId="37" xfId="9" applyNumberFormat="1" applyFill="1" applyBorder="1"/>
    <xf numFmtId="168" fontId="0" fillId="0" borderId="45" xfId="10" applyNumberFormat="1" applyFont="1" applyFill="1" applyBorder="1"/>
    <xf numFmtId="168" fontId="0" fillId="0" borderId="40" xfId="10" applyNumberFormat="1" applyFont="1" applyFill="1" applyBorder="1"/>
    <xf numFmtId="168" fontId="0" fillId="0" borderId="46" xfId="10" applyNumberFormat="1" applyFont="1" applyFill="1" applyBorder="1"/>
    <xf numFmtId="43" fontId="19" fillId="0" borderId="42" xfId="9" applyNumberFormat="1" applyFont="1" applyFill="1" applyBorder="1"/>
    <xf numFmtId="168" fontId="19" fillId="0" borderId="45" xfId="10" applyNumberFormat="1" applyFont="1" applyFill="1" applyBorder="1"/>
    <xf numFmtId="168" fontId="0" fillId="0" borderId="18" xfId="10" applyNumberFormat="1" applyFont="1" applyFill="1" applyBorder="1"/>
    <xf numFmtId="168" fontId="3" fillId="0" borderId="28" xfId="9" applyNumberFormat="1" applyFill="1" applyBorder="1"/>
    <xf numFmtId="168" fontId="19" fillId="0" borderId="28" xfId="10" applyNumberFormat="1" applyFont="1" applyFill="1" applyBorder="1"/>
    <xf numFmtId="168" fontId="0" fillId="0" borderId="42" xfId="10" applyNumberFormat="1" applyFont="1" applyFill="1" applyBorder="1"/>
    <xf numFmtId="168" fontId="19" fillId="0" borderId="42" xfId="10" applyNumberFormat="1" applyFont="1" applyFill="1" applyBorder="1"/>
    <xf numFmtId="168" fontId="19" fillId="0" borderId="40" xfId="10" applyNumberFormat="1" applyFont="1" applyFill="1" applyBorder="1"/>
    <xf numFmtId="168" fontId="19" fillId="0" borderId="46" xfId="10" applyNumberFormat="1" applyFont="1" applyFill="1" applyBorder="1"/>
    <xf numFmtId="10" fontId="39" fillId="0" borderId="14" xfId="5" applyNumberFormat="1" applyFont="1" applyFill="1" applyBorder="1"/>
    <xf numFmtId="44" fontId="39" fillId="0" borderId="14" xfId="5" applyNumberFormat="1" applyFont="1" applyFill="1" applyBorder="1"/>
    <xf numFmtId="43" fontId="39" fillId="0" borderId="14" xfId="5" applyNumberFormat="1" applyFont="1" applyFill="1" applyBorder="1"/>
    <xf numFmtId="10" fontId="39" fillId="0" borderId="19" xfId="5" applyNumberFormat="1" applyFont="1" applyFill="1" applyBorder="1"/>
    <xf numFmtId="165" fontId="40" fillId="0" borderId="48" xfId="6" applyNumberFormat="1" applyFont="1" applyFill="1" applyBorder="1"/>
    <xf numFmtId="0" fontId="39" fillId="0" borderId="48" xfId="5" applyFont="1" applyFill="1" applyBorder="1"/>
    <xf numFmtId="10" fontId="39" fillId="0" borderId="14" xfId="1" applyNumberFormat="1" applyFont="1" applyFill="1" applyBorder="1"/>
    <xf numFmtId="0" fontId="3" fillId="0" borderId="14" xfId="9" applyFill="1" applyBorder="1"/>
    <xf numFmtId="0" fontId="14" fillId="2" borderId="0" xfId="0" applyFont="1" applyFill="1" applyAlignment="1">
      <alignment vertical="top"/>
    </xf>
    <xf numFmtId="0" fontId="31" fillId="0" borderId="6" xfId="9" applyFont="1" applyFill="1" applyBorder="1" applyAlignment="1">
      <alignment vertical="center"/>
    </xf>
    <xf numFmtId="0" fontId="31" fillId="0" borderId="0" xfId="9" applyFont="1" applyFill="1" applyBorder="1" applyAlignment="1">
      <alignment vertical="center"/>
    </xf>
    <xf numFmtId="168" fontId="19" fillId="0" borderId="0" xfId="10" applyNumberFormat="1" applyFont="1" applyFill="1" applyBorder="1"/>
    <xf numFmtId="43" fontId="19" fillId="0" borderId="0" xfId="9" applyNumberFormat="1" applyFont="1" applyFill="1" applyBorder="1"/>
    <xf numFmtId="168" fontId="19" fillId="0" borderId="7" xfId="10" applyNumberFormat="1" applyFont="1" applyFill="1" applyBorder="1"/>
    <xf numFmtId="43" fontId="19" fillId="0" borderId="6" xfId="9" applyNumberFormat="1" applyFont="1" applyFill="1" applyBorder="1"/>
    <xf numFmtId="0" fontId="31" fillId="0" borderId="37" xfId="9" applyFont="1" applyFill="1" applyBorder="1" applyAlignment="1">
      <alignment vertical="center"/>
    </xf>
    <xf numFmtId="168" fontId="20" fillId="0" borderId="14" xfId="10" applyNumberFormat="1" applyFont="1" applyFill="1" applyBorder="1"/>
    <xf numFmtId="168" fontId="19" fillId="0" borderId="14" xfId="9" applyNumberFormat="1" applyFont="1" applyFill="1" applyBorder="1"/>
    <xf numFmtId="168" fontId="20" fillId="0" borderId="39" xfId="10" applyNumberFormat="1" applyFont="1" applyFill="1" applyBorder="1"/>
    <xf numFmtId="168" fontId="20" fillId="0" borderId="1" xfId="10" applyNumberFormat="1" applyFont="1" applyFill="1" applyBorder="1"/>
    <xf numFmtId="168" fontId="19" fillId="0" borderId="37" xfId="9" applyNumberFormat="1" applyFont="1" applyFill="1" applyBorder="1"/>
    <xf numFmtId="168" fontId="20" fillId="0" borderId="45" xfId="10" applyNumberFormat="1" applyFont="1" applyFill="1" applyBorder="1"/>
    <xf numFmtId="10" fontId="31" fillId="0" borderId="14" xfId="9" applyNumberFormat="1" applyFont="1" applyFill="1" applyBorder="1" applyAlignment="1">
      <alignment vertical="center"/>
    </xf>
    <xf numFmtId="0" fontId="23" fillId="2" borderId="0" xfId="0" applyFont="1" applyFill="1" applyAlignment="1">
      <alignment horizontal="centerContinuous"/>
    </xf>
    <xf numFmtId="42" fontId="23" fillId="2" borderId="29" xfId="0" applyNumberFormat="1" applyFont="1" applyFill="1" applyBorder="1" applyAlignment="1">
      <alignment horizontal="left"/>
    </xf>
    <xf numFmtId="0" fontId="47" fillId="0" borderId="0" xfId="0" applyFont="1" applyFill="1"/>
    <xf numFmtId="0" fontId="20" fillId="0" borderId="26" xfId="0" applyFont="1" applyFill="1" applyBorder="1"/>
    <xf numFmtId="42" fontId="20" fillId="0" borderId="22" xfId="0" applyNumberFormat="1" applyFont="1" applyFill="1" applyBorder="1"/>
    <xf numFmtId="0" fontId="1" fillId="0" borderId="14" xfId="0" applyFont="1" applyFill="1" applyBorder="1"/>
    <xf numFmtId="0" fontId="1" fillId="0" borderId="0" xfId="0" applyFont="1"/>
    <xf numFmtId="0" fontId="1" fillId="0" borderId="0" xfId="0" applyFont="1" applyFill="1"/>
    <xf numFmtId="0" fontId="19" fillId="0" borderId="0" xfId="0" applyFont="1" applyFill="1" applyAlignment="1">
      <alignment horizontal="centerContinuous"/>
    </xf>
    <xf numFmtId="0" fontId="1" fillId="0" borderId="0" xfId="0" applyFont="1" applyFill="1" applyAlignment="1">
      <alignment horizontal="centerContinuous"/>
    </xf>
    <xf numFmtId="0" fontId="1" fillId="0" borderId="16" xfId="0" applyFont="1" applyFill="1" applyBorder="1"/>
    <xf numFmtId="17" fontId="19" fillId="0" borderId="13" xfId="0" applyNumberFormat="1" applyFont="1" applyFill="1" applyBorder="1" applyAlignment="1">
      <alignment horizontal="centerContinuous"/>
    </xf>
    <xf numFmtId="0" fontId="1" fillId="0" borderId="13" xfId="0" applyFont="1" applyFill="1" applyBorder="1" applyAlignment="1">
      <alignment horizontal="centerContinuous"/>
    </xf>
    <xf numFmtId="0" fontId="1" fillId="0" borderId="17" xfId="0" applyFont="1" applyFill="1" applyBorder="1" applyAlignment="1">
      <alignment horizontal="centerContinuous"/>
    </xf>
    <xf numFmtId="43" fontId="1" fillId="0" borderId="0" xfId="0" applyNumberFormat="1" applyFont="1" applyFill="1"/>
    <xf numFmtId="43" fontId="1" fillId="0" borderId="0" xfId="0" applyNumberFormat="1" applyFont="1"/>
    <xf numFmtId="0" fontId="9" fillId="0" borderId="18" xfId="0" applyFont="1" applyFill="1" applyBorder="1"/>
    <xf numFmtId="0" fontId="19" fillId="0" borderId="14" xfId="0" applyFont="1" applyFill="1" applyBorder="1" applyAlignment="1">
      <alignment horizontal="center" vertical="center" wrapText="1"/>
    </xf>
    <xf numFmtId="0" fontId="9" fillId="0" borderId="18" xfId="0" applyFont="1" applyFill="1" applyBorder="1" applyAlignment="1">
      <alignment horizontal="center" wrapText="1"/>
    </xf>
    <xf numFmtId="0" fontId="48" fillId="0" borderId="19" xfId="0" applyFont="1" applyFill="1" applyBorder="1"/>
    <xf numFmtId="165" fontId="9" fillId="0" borderId="14" xfId="0" applyNumberFormat="1" applyFont="1" applyFill="1" applyBorder="1"/>
    <xf numFmtId="172" fontId="9" fillId="0" borderId="14" xfId="0" applyNumberFormat="1" applyFont="1" applyFill="1" applyBorder="1"/>
    <xf numFmtId="172" fontId="1" fillId="0" borderId="14" xfId="0" applyNumberFormat="1" applyFont="1" applyFill="1" applyBorder="1"/>
    <xf numFmtId="10" fontId="1" fillId="0" borderId="0" xfId="0" applyNumberFormat="1" applyFont="1" applyFill="1"/>
    <xf numFmtId="0" fontId="49" fillId="0" borderId="0" xfId="0" applyNumberFormat="1" applyFont="1" applyFill="1" applyAlignment="1"/>
    <xf numFmtId="0" fontId="1" fillId="0" borderId="14" xfId="0" applyFont="1" applyFill="1" applyBorder="1" applyAlignment="1">
      <alignment horizontal="center"/>
    </xf>
    <xf numFmtId="0" fontId="9" fillId="0" borderId="14" xfId="0" applyFont="1" applyFill="1" applyBorder="1" applyAlignment="1">
      <alignment horizontal="center" wrapText="1"/>
    </xf>
    <xf numFmtId="0" fontId="22" fillId="0" borderId="14" xfId="0" applyFont="1" applyFill="1" applyBorder="1" applyAlignment="1">
      <alignment horizontal="center"/>
    </xf>
    <xf numFmtId="10" fontId="9" fillId="0" borderId="14" xfId="0" applyNumberFormat="1" applyFont="1" applyFill="1" applyBorder="1" applyAlignment="1"/>
    <xf numFmtId="43" fontId="9" fillId="0" borderId="14" xfId="0" applyNumberFormat="1" applyFont="1" applyFill="1" applyBorder="1" applyAlignment="1"/>
    <xf numFmtId="0" fontId="9" fillId="0" borderId="14" xfId="0" applyNumberFormat="1" applyFont="1" applyFill="1" applyBorder="1" applyAlignment="1"/>
    <xf numFmtId="170" fontId="1" fillId="0" borderId="0" xfId="0" applyNumberFormat="1" applyFont="1" applyFill="1"/>
    <xf numFmtId="43" fontId="1" fillId="0" borderId="0" xfId="0" applyNumberFormat="1" applyFont="1" applyFill="1" applyAlignment="1">
      <alignment wrapText="1"/>
    </xf>
    <xf numFmtId="0" fontId="22" fillId="0" borderId="3" xfId="0" applyFont="1" applyFill="1" applyBorder="1" applyAlignment="1">
      <alignment horizontal="centerContinuous"/>
    </xf>
    <xf numFmtId="0" fontId="27" fillId="0" borderId="6" xfId="0" applyFont="1" applyFill="1" applyBorder="1" applyAlignment="1">
      <alignment horizontal="center"/>
    </xf>
    <xf numFmtId="0" fontId="27" fillId="0" borderId="0" xfId="0" applyFont="1" applyFill="1" applyBorder="1" applyAlignment="1">
      <alignment horizontal="center"/>
    </xf>
    <xf numFmtId="43" fontId="27" fillId="0" borderId="0" xfId="0" applyNumberFormat="1" applyFont="1" applyFill="1" applyBorder="1" applyAlignment="1">
      <alignment horizontal="center" wrapText="1"/>
    </xf>
    <xf numFmtId="0" fontId="27" fillId="0" borderId="7" xfId="0" applyFont="1" applyFill="1" applyBorder="1" applyAlignment="1">
      <alignment horizontal="center" wrapText="1"/>
    </xf>
    <xf numFmtId="173" fontId="1" fillId="0" borderId="0" xfId="0" applyNumberFormat="1" applyFont="1" applyFill="1"/>
    <xf numFmtId="0" fontId="27" fillId="0" borderId="7" xfId="0" applyFont="1" applyFill="1" applyBorder="1" applyAlignment="1">
      <alignment horizontal="center"/>
    </xf>
    <xf numFmtId="174" fontId="1" fillId="0" borderId="0" xfId="0" applyNumberFormat="1" applyFont="1" applyFill="1"/>
    <xf numFmtId="0" fontId="19" fillId="0" borderId="13" xfId="0" applyFont="1" applyFill="1" applyBorder="1" applyAlignment="1">
      <alignment horizontal="centerContinuous"/>
    </xf>
    <xf numFmtId="0" fontId="19" fillId="0" borderId="0" xfId="0" applyFont="1" applyFill="1" applyBorder="1"/>
    <xf numFmtId="0" fontId="19" fillId="0" borderId="0" xfId="0" applyFont="1" applyFill="1" applyBorder="1" applyAlignment="1">
      <alignment horizontal="center" vertical="center" wrapText="1"/>
    </xf>
    <xf numFmtId="165" fontId="9" fillId="0" borderId="0" xfId="0" applyNumberFormat="1" applyFont="1" applyFill="1" applyBorder="1"/>
    <xf numFmtId="168" fontId="1" fillId="0" borderId="0" xfId="16" applyNumberFormat="1" applyFont="1" applyFill="1"/>
    <xf numFmtId="172" fontId="9" fillId="0" borderId="0" xfId="0" applyNumberFormat="1" applyFont="1" applyFill="1" applyBorder="1"/>
    <xf numFmtId="0" fontId="1" fillId="0" borderId="0" xfId="0" applyFont="1" applyFill="1" applyBorder="1"/>
    <xf numFmtId="44" fontId="1" fillId="0" borderId="0" xfId="0" applyNumberFormat="1" applyFont="1" applyFill="1" applyBorder="1"/>
    <xf numFmtId="43" fontId="1" fillId="0" borderId="0" xfId="0" applyNumberFormat="1" applyFont="1" applyFill="1" applyBorder="1"/>
    <xf numFmtId="0" fontId="1" fillId="0" borderId="0" xfId="0" applyFont="1" applyBorder="1"/>
    <xf numFmtId="42" fontId="1" fillId="0" borderId="0" xfId="0" applyNumberFormat="1" applyFont="1" applyFill="1"/>
    <xf numFmtId="44" fontId="1" fillId="0" borderId="0" xfId="0" applyNumberFormat="1" applyFont="1" applyFill="1"/>
    <xf numFmtId="0" fontId="14" fillId="0" borderId="0" xfId="0" applyFont="1" applyFill="1" applyAlignment="1">
      <alignment horizontal="center" vertical="top"/>
    </xf>
    <xf numFmtId="0" fontId="43" fillId="0" borderId="0" xfId="9" applyFont="1"/>
    <xf numFmtId="42" fontId="18" fillId="0" borderId="0" xfId="0" applyNumberFormat="1" applyFont="1"/>
    <xf numFmtId="0" fontId="51" fillId="0" borderId="0" xfId="5" applyFont="1"/>
    <xf numFmtId="0" fontId="50" fillId="0" borderId="0" xfId="5" applyFont="1"/>
    <xf numFmtId="165" fontId="52" fillId="0" borderId="14" xfId="6" applyNumberFormat="1" applyFont="1" applyFill="1" applyBorder="1"/>
    <xf numFmtId="165" fontId="52" fillId="0" borderId="0" xfId="6" applyNumberFormat="1" applyFont="1" applyFill="1" applyBorder="1"/>
    <xf numFmtId="165" fontId="40" fillId="0" borderId="26" xfId="6" applyNumberFormat="1" applyFont="1" applyFill="1" applyBorder="1"/>
    <xf numFmtId="165" fontId="40" fillId="0" borderId="0" xfId="6" applyNumberFormat="1" applyFont="1" applyFill="1" applyBorder="1"/>
    <xf numFmtId="10" fontId="51" fillId="0" borderId="14" xfId="5" applyNumberFormat="1" applyFont="1" applyFill="1" applyBorder="1"/>
    <xf numFmtId="165" fontId="40" fillId="0" borderId="14" xfId="6" applyNumberFormat="1" applyFont="1" applyFill="1" applyBorder="1"/>
    <xf numFmtId="3" fontId="39" fillId="0" borderId="14" xfId="5" applyNumberFormat="1" applyFont="1" applyFill="1" applyBorder="1"/>
    <xf numFmtId="0" fontId="52" fillId="0" borderId="0" xfId="0" applyFont="1"/>
    <xf numFmtId="0" fontId="54" fillId="5" borderId="0" xfId="0" applyFont="1" applyFill="1" applyAlignment="1">
      <alignment horizontal="centerContinuous"/>
    </xf>
    <xf numFmtId="0" fontId="54" fillId="5" borderId="27" xfId="5" applyFont="1" applyFill="1" applyBorder="1" applyAlignment="1">
      <alignment horizontal="center" vertical="center"/>
    </xf>
    <xf numFmtId="0" fontId="39" fillId="0" borderId="0" xfId="5" applyFont="1"/>
    <xf numFmtId="0" fontId="40" fillId="0" borderId="14" xfId="5" applyFont="1" applyBorder="1"/>
    <xf numFmtId="0" fontId="40" fillId="0" borderId="19" xfId="5" applyFont="1" applyBorder="1" applyAlignment="1">
      <alignment horizontal="center"/>
    </xf>
    <xf numFmtId="0" fontId="40" fillId="0" borderId="14" xfId="5" applyFont="1" applyFill="1" applyBorder="1" applyAlignment="1">
      <alignment wrapText="1"/>
    </xf>
    <xf numFmtId="0" fontId="40" fillId="0" borderId="0" xfId="5" applyFont="1" applyFill="1" applyBorder="1"/>
    <xf numFmtId="0" fontId="55" fillId="0" borderId="14" xfId="5" applyFont="1" applyFill="1" applyBorder="1" applyAlignment="1">
      <alignment vertical="center"/>
    </xf>
    <xf numFmtId="0" fontId="55" fillId="0" borderId="19" xfId="5" applyFont="1" applyFill="1" applyBorder="1" applyAlignment="1">
      <alignment vertical="center"/>
    </xf>
    <xf numFmtId="0" fontId="56" fillId="0" borderId="26" xfId="5" applyFont="1" applyFill="1" applyBorder="1" applyAlignment="1">
      <alignment vertical="center"/>
    </xf>
    <xf numFmtId="0" fontId="56" fillId="0" borderId="21" xfId="5" applyFont="1" applyFill="1" applyBorder="1" applyAlignment="1">
      <alignment vertical="center"/>
    </xf>
    <xf numFmtId="0" fontId="53" fillId="0" borderId="0" xfId="0" applyNumberFormat="1" applyFont="1" applyFill="1" applyBorder="1" applyAlignment="1"/>
    <xf numFmtId="0" fontId="54" fillId="5" borderId="14" xfId="5" applyFont="1" applyFill="1" applyBorder="1" applyAlignment="1">
      <alignment horizontal="center" vertical="center"/>
    </xf>
    <xf numFmtId="0" fontId="39" fillId="0" borderId="14" xfId="5" applyFont="1" applyBorder="1"/>
    <xf numFmtId="0" fontId="55" fillId="0" borderId="37" xfId="5" applyFont="1" applyBorder="1" applyAlignment="1">
      <alignment vertical="center"/>
    </xf>
    <xf numFmtId="0" fontId="56" fillId="0" borderId="14" xfId="5" applyFont="1" applyFill="1" applyBorder="1" applyAlignment="1">
      <alignment vertical="center"/>
    </xf>
    <xf numFmtId="0" fontId="40" fillId="0" borderId="19" xfId="5" applyFont="1" applyFill="1" applyBorder="1"/>
    <xf numFmtId="0" fontId="51" fillId="0" borderId="3" xfId="0" applyFont="1" applyFill="1" applyBorder="1" applyAlignment="1">
      <alignment horizontal="centerContinuous"/>
    </xf>
    <xf numFmtId="0" fontId="53" fillId="0" borderId="4" xfId="0" applyFont="1" applyFill="1" applyBorder="1" applyAlignment="1">
      <alignment horizontal="centerContinuous"/>
    </xf>
    <xf numFmtId="0" fontId="53" fillId="0" borderId="5" xfId="0" applyFont="1" applyFill="1" applyBorder="1" applyAlignment="1">
      <alignment horizontal="centerContinuous"/>
    </xf>
    <xf numFmtId="0" fontId="53" fillId="0" borderId="49" xfId="0" applyFont="1" applyFill="1" applyBorder="1" applyAlignment="1">
      <alignment horizontal="center"/>
    </xf>
    <xf numFmtId="0" fontId="53" fillId="0" borderId="15" xfId="0" applyFont="1" applyFill="1" applyBorder="1" applyAlignment="1">
      <alignment horizontal="center"/>
    </xf>
    <xf numFmtId="43" fontId="53" fillId="0" borderId="15" xfId="0" applyNumberFormat="1" applyFont="1" applyFill="1" applyBorder="1" applyAlignment="1">
      <alignment horizontal="center" wrapText="1"/>
    </xf>
    <xf numFmtId="0" fontId="53" fillId="0" borderId="50" xfId="0" applyFont="1" applyFill="1" applyBorder="1" applyAlignment="1">
      <alignment horizontal="center" wrapText="1"/>
    </xf>
    <xf numFmtId="0" fontId="53" fillId="0" borderId="30" xfId="0" applyFont="1" applyFill="1" applyBorder="1" applyAlignment="1">
      <alignment horizontal="center"/>
    </xf>
    <xf numFmtId="0" fontId="53" fillId="0" borderId="1" xfId="0" applyFont="1" applyFill="1" applyBorder="1" applyAlignment="1">
      <alignment horizontal="center"/>
    </xf>
    <xf numFmtId="43" fontId="53" fillId="0" borderId="1" xfId="0" applyNumberFormat="1" applyFont="1" applyFill="1" applyBorder="1" applyAlignment="1">
      <alignment horizontal="center"/>
    </xf>
    <xf numFmtId="0" fontId="53" fillId="0" borderId="8" xfId="0" applyFont="1" applyFill="1" applyBorder="1" applyAlignment="1">
      <alignment horizontal="center"/>
    </xf>
    <xf numFmtId="0" fontId="52" fillId="0" borderId="6" xfId="0" applyFont="1" applyFill="1" applyBorder="1"/>
    <xf numFmtId="0" fontId="52" fillId="0" borderId="0" xfId="0" applyFont="1" applyFill="1" applyBorder="1"/>
    <xf numFmtId="43" fontId="53" fillId="0" borderId="0" xfId="0" applyNumberFormat="1" applyFont="1" applyFill="1" applyBorder="1" applyAlignment="1">
      <alignment horizontal="center"/>
    </xf>
    <xf numFmtId="0" fontId="52" fillId="0" borderId="7" xfId="0" applyFont="1" applyFill="1" applyBorder="1"/>
    <xf numFmtId="0" fontId="52" fillId="0" borderId="6" xfId="0" applyFont="1" applyFill="1" applyBorder="1" applyAlignment="1">
      <alignment horizontal="left"/>
    </xf>
    <xf numFmtId="10" fontId="52" fillId="0" borderId="0" xfId="0" applyNumberFormat="1" applyFont="1" applyFill="1" applyBorder="1"/>
    <xf numFmtId="10" fontId="52" fillId="0" borderId="7" xfId="0" applyNumberFormat="1" applyFont="1" applyFill="1" applyBorder="1"/>
    <xf numFmtId="0" fontId="52" fillId="0" borderId="11" xfId="0" applyFont="1" applyFill="1" applyBorder="1" applyAlignment="1">
      <alignment horizontal="left"/>
    </xf>
    <xf numFmtId="0" fontId="52" fillId="0" borderId="2" xfId="0" applyFont="1" applyFill="1" applyBorder="1"/>
    <xf numFmtId="10" fontId="52" fillId="0" borderId="2" xfId="0" applyNumberFormat="1" applyFont="1" applyFill="1" applyBorder="1"/>
    <xf numFmtId="10" fontId="52" fillId="0" borderId="12" xfId="0" applyNumberFormat="1" applyFont="1" applyFill="1" applyBorder="1"/>
    <xf numFmtId="0" fontId="57" fillId="0" borderId="0" xfId="5" applyFont="1"/>
    <xf numFmtId="44" fontId="52" fillId="0" borderId="14" xfId="6" applyFont="1" applyFill="1" applyBorder="1"/>
    <xf numFmtId="10" fontId="52" fillId="0" borderId="14" xfId="5" applyNumberFormat="1" applyFont="1" applyFill="1" applyBorder="1"/>
    <xf numFmtId="41" fontId="39" fillId="0" borderId="14" xfId="5" applyNumberFormat="1" applyFont="1" applyFill="1" applyBorder="1"/>
    <xf numFmtId="41" fontId="52" fillId="0" borderId="14" xfId="6" applyNumberFormat="1" applyFont="1" applyFill="1" applyBorder="1"/>
    <xf numFmtId="41" fontId="52" fillId="0" borderId="48" xfId="6" applyNumberFormat="1" applyFont="1" applyFill="1" applyBorder="1"/>
    <xf numFmtId="41" fontId="39" fillId="0" borderId="48" xfId="5" applyNumberFormat="1" applyFont="1" applyFill="1" applyBorder="1"/>
    <xf numFmtId="10" fontId="52" fillId="0" borderId="14" xfId="7" applyNumberFormat="1" applyFont="1" applyFill="1" applyBorder="1"/>
    <xf numFmtId="0" fontId="53" fillId="0" borderId="48" xfId="0" applyNumberFormat="1" applyFont="1" applyFill="1" applyBorder="1" applyAlignment="1"/>
    <xf numFmtId="0" fontId="40" fillId="0" borderId="0" xfId="5" applyFont="1"/>
    <xf numFmtId="0" fontId="39" fillId="0" borderId="0" xfId="5" applyFont="1" applyBorder="1"/>
    <xf numFmtId="10" fontId="39" fillId="0" borderId="1" xfId="1" applyNumberFormat="1" applyFont="1" applyBorder="1"/>
    <xf numFmtId="0" fontId="40" fillId="0" borderId="51" xfId="5" applyFont="1" applyBorder="1" applyAlignment="1">
      <alignment horizontal="right"/>
    </xf>
    <xf numFmtId="0" fontId="40" fillId="0" borderId="52" xfId="5" applyFont="1" applyBorder="1"/>
    <xf numFmtId="0" fontId="40" fillId="0" borderId="53" xfId="5" applyFont="1" applyBorder="1"/>
    <xf numFmtId="0" fontId="39" fillId="0" borderId="6" xfId="5" applyFont="1" applyBorder="1"/>
    <xf numFmtId="10" fontId="39" fillId="0" borderId="7" xfId="1" applyNumberFormat="1" applyFont="1" applyBorder="1"/>
    <xf numFmtId="10" fontId="39" fillId="0" borderId="8" xfId="1" applyNumberFormat="1" applyFont="1" applyBorder="1"/>
    <xf numFmtId="0" fontId="39" fillId="0" borderId="11" xfId="5" applyFont="1" applyBorder="1"/>
    <xf numFmtId="0" fontId="39" fillId="0" borderId="2" xfId="5" applyFont="1" applyBorder="1"/>
    <xf numFmtId="10" fontId="39" fillId="0" borderId="2" xfId="5" applyNumberFormat="1" applyFont="1" applyBorder="1"/>
    <xf numFmtId="10" fontId="39" fillId="0" borderId="12" xfId="5" applyNumberFormat="1" applyFont="1" applyBorder="1"/>
    <xf numFmtId="0" fontId="54" fillId="5" borderId="16" xfId="5" applyFont="1" applyFill="1" applyBorder="1" applyAlignment="1">
      <alignment horizontal="centerContinuous"/>
    </xf>
    <xf numFmtId="0" fontId="58" fillId="5" borderId="13" xfId="5" applyFont="1" applyFill="1" applyBorder="1" applyAlignment="1">
      <alignment horizontal="centerContinuous"/>
    </xf>
    <xf numFmtId="0" fontId="58" fillId="5" borderId="17" xfId="5" applyFont="1" applyFill="1" applyBorder="1" applyAlignment="1">
      <alignment horizontal="centerContinuous"/>
    </xf>
    <xf numFmtId="0" fontId="59" fillId="5" borderId="0" xfId="0" applyFont="1" applyFill="1" applyAlignment="1">
      <alignment horizontal="centerContinuous"/>
    </xf>
    <xf numFmtId="0" fontId="58" fillId="5" borderId="0" xfId="5" applyFont="1" applyFill="1" applyAlignment="1">
      <alignment horizontal="centerContinuous"/>
    </xf>
    <xf numFmtId="0" fontId="40" fillId="0" borderId="14" xfId="5" applyFont="1" applyFill="1" applyBorder="1" applyAlignment="1">
      <alignment horizontal="right"/>
    </xf>
    <xf numFmtId="10" fontId="52" fillId="0" borderId="14" xfId="0" applyNumberFormat="1" applyFont="1" applyFill="1" applyBorder="1"/>
    <xf numFmtId="0" fontId="51" fillId="0" borderId="14" xfId="0" applyFont="1" applyFill="1" applyBorder="1"/>
    <xf numFmtId="0" fontId="40" fillId="0" borderId="28" xfId="5" applyFont="1" applyFill="1" applyBorder="1" applyAlignment="1">
      <alignment wrapText="1"/>
    </xf>
    <xf numFmtId="165" fontId="40" fillId="0" borderId="54" xfId="8" applyNumberFormat="1" applyFont="1" applyFill="1" applyBorder="1"/>
    <xf numFmtId="42" fontId="60" fillId="2" borderId="20" xfId="0" applyNumberFormat="1" applyFont="1" applyFill="1" applyBorder="1" applyAlignment="1">
      <alignment vertical="top"/>
    </xf>
    <xf numFmtId="0" fontId="50" fillId="0" borderId="0" xfId="5" applyFont="1" applyAlignment="1">
      <alignment wrapText="1"/>
    </xf>
    <xf numFmtId="0" fontId="50" fillId="0" borderId="0" xfId="5" applyFont="1" applyAlignment="1"/>
    <xf numFmtId="10" fontId="39" fillId="0" borderId="0" xfId="1" applyNumberFormat="1" applyFont="1" applyBorder="1" applyAlignment="1">
      <alignment horizontal="right"/>
    </xf>
    <xf numFmtId="0" fontId="40" fillId="0" borderId="52" xfId="5" applyFont="1" applyBorder="1" applyAlignment="1">
      <alignment horizontal="right"/>
    </xf>
    <xf numFmtId="0" fontId="9" fillId="0" borderId="0" xfId="9" applyFont="1" applyFill="1"/>
    <xf numFmtId="0" fontId="2" fillId="0" borderId="55" xfId="15" applyFill="1" applyBorder="1" applyAlignment="1">
      <alignment wrapText="1"/>
    </xf>
    <xf numFmtId="0" fontId="2" fillId="0" borderId="23" xfId="15" applyFill="1" applyBorder="1" applyAlignment="1">
      <alignment wrapText="1"/>
    </xf>
    <xf numFmtId="9" fontId="1" fillId="0" borderId="56" xfId="1" applyFont="1" applyFill="1" applyBorder="1"/>
    <xf numFmtId="0" fontId="3" fillId="0" borderId="45" xfId="9" applyFill="1" applyBorder="1"/>
    <xf numFmtId="9" fontId="2" fillId="0" borderId="57" xfId="15" applyNumberFormat="1" applyFill="1" applyBorder="1"/>
    <xf numFmtId="9" fontId="1" fillId="0" borderId="18" xfId="1" applyFont="1" applyFill="1" applyBorder="1"/>
    <xf numFmtId="0" fontId="14" fillId="0" borderId="0" xfId="0" applyFont="1" applyFill="1" applyAlignment="1">
      <alignment horizontal="center" vertical="top"/>
    </xf>
    <xf numFmtId="0" fontId="50" fillId="0" borderId="0" xfId="5" applyFont="1" applyAlignment="1">
      <alignment horizontal="left" wrapText="1"/>
    </xf>
    <xf numFmtId="0" fontId="42" fillId="0" borderId="16" xfId="9" applyFont="1" applyFill="1" applyBorder="1" applyAlignment="1">
      <alignment horizontal="center"/>
    </xf>
    <xf numFmtId="0" fontId="42" fillId="0" borderId="13" xfId="9" applyFont="1" applyFill="1" applyBorder="1" applyAlignment="1">
      <alignment horizontal="center"/>
    </xf>
    <xf numFmtId="0" fontId="42" fillId="0" borderId="17" xfId="9" applyFont="1" applyFill="1" applyBorder="1" applyAlignment="1">
      <alignment horizontal="center"/>
    </xf>
    <xf numFmtId="0" fontId="25" fillId="0" borderId="0" xfId="0" applyNumberFormat="1" applyFont="1" applyFill="1" applyAlignment="1" applyProtection="1">
      <alignment horizontal="center"/>
      <protection locked="0"/>
    </xf>
    <xf numFmtId="0" fontId="25" fillId="0" borderId="0" xfId="0" applyNumberFormat="1" applyFont="1" applyAlignment="1">
      <alignment horizontal="center"/>
    </xf>
    <xf numFmtId="0" fontId="25" fillId="0" borderId="0" xfId="0" applyNumberFormat="1" applyFont="1" applyFill="1" applyAlignment="1">
      <alignment horizontal="center"/>
    </xf>
  </cellXfs>
  <cellStyles count="17">
    <cellStyle name="Comma" xfId="16" builtinId="3"/>
    <cellStyle name="Comma 2" xfId="10"/>
    <cellStyle name="Comma 3" xfId="13"/>
    <cellStyle name="Currency" xfId="8" builtinId="4"/>
    <cellStyle name="Currency 2" xfId="4"/>
    <cellStyle name="Currency 3" xfId="6"/>
    <cellStyle name="Normal" xfId="0" builtinId="0"/>
    <cellStyle name="Normal 162" xfId="2"/>
    <cellStyle name="Normal 2" xfId="3"/>
    <cellStyle name="Normal 3" xfId="5"/>
    <cellStyle name="Normal 3 2" xfId="11"/>
    <cellStyle name="Normal 3 3" xfId="14"/>
    <cellStyle name="Normal 4" xfId="9"/>
    <cellStyle name="Normal 4 2" xfId="15"/>
    <cellStyle name="Normal 5" xfId="12"/>
    <cellStyle name="Percent" xfId="1" builtinId="5"/>
    <cellStyle name="Percent 2" xfId="7"/>
  </cellStyles>
  <dxfs count="0"/>
  <tableStyles count="0" defaultTableStyle="TableStyleMedium2" defaultPivotStyle="PivotStyleLight16"/>
  <colors>
    <mruColors>
      <color rgb="FF0000FF"/>
      <color rgb="FFFFCCCC"/>
      <color rgb="FFCCFFCC"/>
      <color rgb="FFE31D93"/>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customXml" Target="../customXml/item4.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customXml" Target="../customXml/item2.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stdpt2\rpl\GrpRevnu\PUBLIC\%23%202017%20GRC\Settlement\Settlement%20Workpapers\%23Gas%20Model%202017%20GRC%20(SETTLEM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stdpt2\rpl\GrpRevnu\PUBLIC\Cost%20Recovery%20Mechanism%20for%20Gas%20(CRM)\2019%20Filing\October%202019%20CRM%20Filing\Support\Removed%20pag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jwalta\AppData\Local\Microsoft\Windows\INetCache\Content.Outlook\8RCHVBY7\CRM%20Summary%20Orders%20Oct%2021%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ed Volume"/>
      <sheetName val="CRM Rates"/>
      <sheetName val="Rate Impacts--&gt;"/>
      <sheetName val="Rate Impacts"/>
      <sheetName val="Typical Res Bill"/>
      <sheetName val="Schedule 149 Revenue"/>
      <sheetName val="Removed pages"/>
    </sheetNames>
    <definedNames>
      <definedName name="Number_of_Payments" refersTo="#REF!"/>
      <definedName name="Values_Entered" refersTo="#REF!"/>
    </definedNames>
    <sheetDataSet>
      <sheetData sheetId="0"/>
      <sheetData sheetId="1"/>
      <sheetData sheetId="2"/>
      <sheetData sheetId="3"/>
      <sheetData sheetId="4"/>
      <sheetData sheetId="5"/>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refreshError="1"/>
      <sheetData sheetId="1" refreshError="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amp;M=&gt;"/>
      <sheetName val="Cross Bore Insp"/>
      <sheetName val="Cross Bore Repairs"/>
      <sheetName val="Buried Meters Insp"/>
      <sheetName val="Capital=&gt;"/>
      <sheetName val="Buried Meters Repl "/>
      <sheetName val="Dupont Pipe Repl"/>
    </sheetNames>
    <sheetDataSet>
      <sheetData sheetId="0">
        <row r="5">
          <cell r="C5">
            <v>3372737.88</v>
          </cell>
          <cell r="D5">
            <v>32632.38112233928</v>
          </cell>
        </row>
        <row r="6">
          <cell r="C6">
            <v>55286.64</v>
          </cell>
          <cell r="D6">
            <v>0</v>
          </cell>
        </row>
        <row r="7">
          <cell r="C7">
            <v>1496840.2499999984</v>
          </cell>
          <cell r="D7">
            <v>38325.156058420442</v>
          </cell>
        </row>
        <row r="12">
          <cell r="C12">
            <v>38193603.479999885</v>
          </cell>
          <cell r="D12">
            <v>2692261</v>
          </cell>
        </row>
        <row r="13">
          <cell r="C13">
            <v>3059912.300000004</v>
          </cell>
          <cell r="D13">
            <v>172736.98467741959</v>
          </cell>
        </row>
      </sheetData>
      <sheetData sheetId="1"/>
      <sheetData sheetId="2"/>
      <sheetData sheetId="3">
        <row r="18">
          <cell r="F18">
            <v>0.29316304987968156</v>
          </cell>
        </row>
        <row r="19">
          <cell r="F19">
            <v>0.70683695012031844</v>
          </cell>
        </row>
      </sheetData>
      <sheetData sheetId="4">
        <row r="10314">
          <cell r="F10314">
            <v>1.1681406883600347E-2</v>
          </cell>
        </row>
        <row r="10315">
          <cell r="F10315">
            <v>0.98753444798133938</v>
          </cell>
        </row>
        <row r="10316">
          <cell r="F10316">
            <v>7.841451350603406E-4</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6"/>
  <sheetViews>
    <sheetView tabSelected="1" zoomScaleNormal="100" workbookViewId="0">
      <selection activeCell="C27" sqref="C27"/>
    </sheetView>
  </sheetViews>
  <sheetFormatPr defaultColWidth="9.28515625" defaultRowHeight="12.75" x14ac:dyDescent="0.2"/>
  <cols>
    <col min="1" max="1" width="53" style="108" bestFit="1" customWidth="1"/>
    <col min="2" max="2" width="15.28515625" style="108" bestFit="1" customWidth="1"/>
    <col min="3" max="4" width="9.28515625" style="108"/>
    <col min="5" max="5" width="45.28515625" style="108" customWidth="1"/>
    <col min="6" max="6" width="12.7109375" style="108" bestFit="1" customWidth="1"/>
    <col min="7" max="8" width="9.28515625" style="108"/>
    <col min="9" max="9" width="48.28515625" style="108" bestFit="1" customWidth="1"/>
    <col min="10" max="10" width="12.42578125" style="108" bestFit="1" customWidth="1"/>
    <col min="11" max="16384" width="9.28515625" style="108"/>
  </cols>
  <sheetData>
    <row r="3" spans="1:10" x14ac:dyDescent="0.2">
      <c r="A3" s="85" t="s">
        <v>76</v>
      </c>
      <c r="B3" s="85"/>
    </row>
    <row r="4" spans="1:10" x14ac:dyDescent="0.2">
      <c r="A4" s="85" t="s">
        <v>77</v>
      </c>
      <c r="B4" s="85"/>
    </row>
    <row r="5" spans="1:10" x14ac:dyDescent="0.2">
      <c r="A5" s="292" t="s">
        <v>186</v>
      </c>
      <c r="B5" s="292"/>
      <c r="E5"/>
      <c r="F5"/>
      <c r="G5"/>
      <c r="I5"/>
      <c r="J5"/>
    </row>
    <row r="6" spans="1:10" x14ac:dyDescent="0.2">
      <c r="A6" s="292" t="s">
        <v>249</v>
      </c>
      <c r="B6" s="292"/>
      <c r="E6"/>
      <c r="F6"/>
      <c r="G6"/>
      <c r="I6"/>
      <c r="J6"/>
    </row>
    <row r="7" spans="1:10" x14ac:dyDescent="0.2">
      <c r="A7" s="85"/>
      <c r="B7" s="85"/>
      <c r="E7"/>
      <c r="F7"/>
      <c r="G7"/>
      <c r="I7"/>
      <c r="J7"/>
    </row>
    <row r="8" spans="1:10" x14ac:dyDescent="0.2">
      <c r="E8"/>
      <c r="F8"/>
      <c r="G8"/>
      <c r="I8"/>
      <c r="J8"/>
    </row>
    <row r="9" spans="1:10" ht="65.25" customHeight="1" x14ac:dyDescent="0.2">
      <c r="A9" s="86" t="s">
        <v>84</v>
      </c>
      <c r="B9" s="130" t="s">
        <v>101</v>
      </c>
      <c r="E9"/>
      <c r="F9"/>
      <c r="G9"/>
      <c r="I9"/>
      <c r="J9"/>
    </row>
    <row r="10" spans="1:10" ht="27.75" customHeight="1" x14ac:dyDescent="0.2">
      <c r="A10" s="87"/>
      <c r="B10" s="131"/>
      <c r="E10"/>
      <c r="F10"/>
      <c r="G10"/>
      <c r="I10"/>
      <c r="J10"/>
    </row>
    <row r="11" spans="1:10" ht="27.75" customHeight="1" x14ac:dyDescent="0.2">
      <c r="A11" s="87" t="s">
        <v>198</v>
      </c>
      <c r="B11" s="293">
        <f>'2019 CRM'!G42</f>
        <v>6589498.4750629179</v>
      </c>
      <c r="D11" s="412"/>
      <c r="E11"/>
      <c r="F11"/>
      <c r="G11"/>
      <c r="I11"/>
      <c r="J11"/>
    </row>
    <row r="12" spans="1:10" x14ac:dyDescent="0.2">
      <c r="A12" s="87" t="s">
        <v>187</v>
      </c>
      <c r="B12" s="132">
        <f>'2020 + true up CAP'!F39</f>
        <v>5999565.1661180267</v>
      </c>
      <c r="D12" s="412"/>
      <c r="E12"/>
      <c r="F12"/>
      <c r="G12"/>
      <c r="I12"/>
      <c r="J12"/>
    </row>
    <row r="13" spans="1:10" s="88" customFormat="1" x14ac:dyDescent="0.2">
      <c r="A13" s="87" t="s">
        <v>188</v>
      </c>
      <c r="B13" s="132">
        <f>'2020TrueUp'!F7</f>
        <v>-109844.95791395041</v>
      </c>
      <c r="C13" s="359"/>
      <c r="D13" s="412"/>
      <c r="E13"/>
      <c r="F13"/>
      <c r="G13"/>
      <c r="I13" s="218"/>
      <c r="J13" s="218"/>
    </row>
    <row r="14" spans="1:10" s="88" customFormat="1" x14ac:dyDescent="0.2">
      <c r="A14" s="87" t="s">
        <v>189</v>
      </c>
      <c r="B14" s="132">
        <f>'2021 C&amp;OM'!F28</f>
        <v>9764812.3317765668</v>
      </c>
      <c r="D14" s="412"/>
      <c r="E14"/>
      <c r="F14"/>
      <c r="G14"/>
      <c r="I14" s="218"/>
      <c r="J14" s="218"/>
    </row>
    <row r="15" spans="1:10" s="88" customFormat="1" ht="13.5" thickBot="1" x14ac:dyDescent="0.25">
      <c r="A15" s="360" t="s">
        <v>261</v>
      </c>
      <c r="B15" s="361">
        <f>SUM(B11:B14)</f>
        <v>22244031.01504356</v>
      </c>
      <c r="C15" s="359"/>
      <c r="E15"/>
      <c r="F15"/>
      <c r="G15"/>
      <c r="I15" s="218"/>
      <c r="J15" s="218"/>
    </row>
    <row r="16" spans="1:10" ht="13.5" thickTop="1" x14ac:dyDescent="0.2">
      <c r="A16" s="88"/>
      <c r="B16" s="89"/>
      <c r="E16"/>
      <c r="F16"/>
      <c r="G16"/>
      <c r="I16"/>
      <c r="J16"/>
    </row>
    <row r="17" spans="1:10" x14ac:dyDescent="0.2">
      <c r="A17" s="218"/>
      <c r="B17" s="218"/>
      <c r="E17"/>
      <c r="F17"/>
      <c r="G17"/>
      <c r="I17"/>
      <c r="J17"/>
    </row>
    <row r="18" spans="1:10" x14ac:dyDescent="0.2">
      <c r="A18" s="218"/>
      <c r="B18" s="218"/>
      <c r="E18"/>
      <c r="F18"/>
      <c r="G18"/>
      <c r="I18"/>
      <c r="J18"/>
    </row>
    <row r="19" spans="1:10" x14ac:dyDescent="0.2">
      <c r="A19" s="218"/>
      <c r="B19" s="218"/>
      <c r="E19"/>
      <c r="F19"/>
      <c r="G19"/>
    </row>
    <row r="20" spans="1:10" x14ac:dyDescent="0.2">
      <c r="A20" s="218"/>
      <c r="B20" s="218"/>
      <c r="E20"/>
      <c r="F20"/>
      <c r="G20"/>
    </row>
    <row r="21" spans="1:10" x14ac:dyDescent="0.2">
      <c r="A21" s="218"/>
      <c r="B21" s="218"/>
      <c r="E21"/>
      <c r="F21"/>
      <c r="G21"/>
    </row>
    <row r="22" spans="1:10" x14ac:dyDescent="0.2">
      <c r="A22" s="218"/>
      <c r="B22" s="218"/>
      <c r="E22"/>
      <c r="F22"/>
      <c r="G22"/>
    </row>
    <row r="23" spans="1:10" x14ac:dyDescent="0.2">
      <c r="A23" s="218"/>
      <c r="B23" s="218"/>
      <c r="E23"/>
      <c r="F23"/>
      <c r="G23"/>
    </row>
    <row r="24" spans="1:10" x14ac:dyDescent="0.2">
      <c r="A24"/>
      <c r="B24"/>
      <c r="E24"/>
      <c r="F24"/>
      <c r="G24"/>
    </row>
    <row r="25" spans="1:10" x14ac:dyDescent="0.2">
      <c r="A25"/>
      <c r="B25"/>
    </row>
    <row r="26" spans="1:10" x14ac:dyDescent="0.2">
      <c r="A26"/>
    </row>
  </sheetData>
  <printOptions horizontalCentered="1"/>
  <pageMargins left="0.7" right="0.7" top="0.75" bottom="0.75" header="0.3" footer="0.3"/>
  <pageSetup orientation="portrait" r:id="rId1"/>
  <headerFooter>
    <oddFooter>&amp;L&amp;F
&amp;A&amp;C&amp;P&amp;R&amp;D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J40" sqref="J40"/>
    </sheetView>
  </sheetViews>
  <sheetFormatPr defaultRowHeight="12.75" x14ac:dyDescent="0.2"/>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48" activePane="bottomRight" state="frozen"/>
      <selection activeCell="F22" sqref="F22"/>
      <selection pane="topRight" activeCell="F22" sqref="F22"/>
      <selection pane="bottomLeft" activeCell="F22" sqref="F22"/>
      <selection pane="bottomRight" activeCell="J33" sqref="J33"/>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6.5703125" style="3" customWidth="1"/>
    <col min="47" max="47" width="15" style="3" bestFit="1" customWidth="1"/>
    <col min="48" max="48" width="11.28515625" style="3" bestFit="1" customWidth="1"/>
    <col min="49" max="16384" width="10.28515625" style="3"/>
  </cols>
  <sheetData>
    <row r="1" spans="1:41" ht="17.25" customHeight="1" x14ac:dyDescent="0.25">
      <c r="A1" s="1" t="s">
        <v>0</v>
      </c>
      <c r="B1" s="2"/>
      <c r="C1" s="2"/>
      <c r="E1" s="506"/>
      <c r="F1" s="506"/>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63" t="s">
        <v>194</v>
      </c>
      <c r="D3" s="115"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94" t="s">
        <v>170</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9" t="s">
        <v>121</v>
      </c>
      <c r="E6" s="109"/>
      <c r="F6" s="110"/>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95">
        <f>F10+F11+F12</f>
        <v>7.3899999999999993E-2</v>
      </c>
      <c r="G13" s="28"/>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8"/>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'2021 C&amp;OM'!G7</f>
        <v>2.4981536072077995E-2</v>
      </c>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5.75" thickBot="1" x14ac:dyDescent="0.25">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494">
        <f>'2021 C&amp;OM'!F6</f>
        <v>44118513.764677308</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5"/>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5"/>
      <c r="E26" s="82">
        <v>2021</v>
      </c>
      <c r="F26" s="82">
        <v>2022</v>
      </c>
      <c r="G26" s="82">
        <v>2023</v>
      </c>
      <c r="H26" s="82">
        <v>2024</v>
      </c>
      <c r="I26" s="82">
        <v>2025</v>
      </c>
      <c r="J26" s="82">
        <v>2026</v>
      </c>
      <c r="K26" s="82">
        <v>2027</v>
      </c>
      <c r="L26" s="82">
        <v>2028</v>
      </c>
      <c r="M26" s="82">
        <v>2029</v>
      </c>
      <c r="N26" s="82">
        <v>2030</v>
      </c>
      <c r="O26" s="82">
        <v>2031</v>
      </c>
      <c r="P26" s="82">
        <v>2032</v>
      </c>
      <c r="Q26" s="82">
        <v>2033</v>
      </c>
      <c r="R26" s="82">
        <v>2034</v>
      </c>
      <c r="S26" s="82">
        <v>2035</v>
      </c>
      <c r="T26" s="82">
        <v>2036</v>
      </c>
      <c r="U26" s="82">
        <v>2037</v>
      </c>
      <c r="V26" s="82">
        <v>2038</v>
      </c>
      <c r="W26" s="82">
        <v>2039</v>
      </c>
      <c r="X26" s="82">
        <v>2040</v>
      </c>
      <c r="Y26" s="82">
        <v>2041</v>
      </c>
      <c r="Z26" s="82">
        <v>2042</v>
      </c>
      <c r="AA26" s="82">
        <v>2043</v>
      </c>
      <c r="AB26" s="82">
        <v>2044</v>
      </c>
      <c r="AC26" s="82">
        <v>2045</v>
      </c>
      <c r="AD26" s="82">
        <v>2046</v>
      </c>
      <c r="AE26" s="82">
        <v>2047</v>
      </c>
      <c r="AF26" s="82">
        <v>2048</v>
      </c>
      <c r="AG26" s="82">
        <v>2049</v>
      </c>
      <c r="AH26" s="82">
        <v>2050</v>
      </c>
      <c r="AI26" s="82">
        <v>2051</v>
      </c>
      <c r="AJ26" s="82">
        <v>2052</v>
      </c>
      <c r="AK26" s="82">
        <v>2053</v>
      </c>
      <c r="AL26" s="82">
        <v>2054</v>
      </c>
      <c r="AM26" s="82">
        <v>2055</v>
      </c>
      <c r="AN26" s="82">
        <v>2056</v>
      </c>
      <c r="AO26" s="82">
        <v>2057</v>
      </c>
      <c r="AP26" s="82">
        <v>2058</v>
      </c>
      <c r="AQ26" s="82">
        <v>2059</v>
      </c>
      <c r="AR26" s="82">
        <v>2060</v>
      </c>
      <c r="AS26" s="82">
        <v>2061</v>
      </c>
    </row>
    <row r="27" spans="1:48" x14ac:dyDescent="0.2">
      <c r="A27" s="263">
        <v>1</v>
      </c>
      <c r="B27" s="2" t="s">
        <v>123</v>
      </c>
      <c r="C27" s="2"/>
      <c r="D27" s="115"/>
      <c r="E27" s="38">
        <f>$F22*$F17</f>
        <v>1102148.2430587558</v>
      </c>
      <c r="F27" s="98">
        <f>$F22*$F17</f>
        <v>1102148.2430587558</v>
      </c>
      <c r="G27" s="98">
        <f>$F22*$F17</f>
        <v>1102148.2430587558</v>
      </c>
      <c r="H27" s="98">
        <f t="shared" ref="H27:AQ27" si="0">$F22*$F17</f>
        <v>1102148.2430587558</v>
      </c>
      <c r="I27" s="98">
        <f t="shared" si="0"/>
        <v>1102148.2430587558</v>
      </c>
      <c r="J27" s="98">
        <f t="shared" si="0"/>
        <v>1102148.2430587558</v>
      </c>
      <c r="K27" s="98">
        <f t="shared" si="0"/>
        <v>1102148.2430587558</v>
      </c>
      <c r="L27" s="98">
        <f t="shared" si="0"/>
        <v>1102148.2430587558</v>
      </c>
      <c r="M27" s="98">
        <f t="shared" si="0"/>
        <v>1102148.2430587558</v>
      </c>
      <c r="N27" s="98">
        <f t="shared" si="0"/>
        <v>1102148.2430587558</v>
      </c>
      <c r="O27" s="98">
        <f t="shared" si="0"/>
        <v>1102148.2430587558</v>
      </c>
      <c r="P27" s="98">
        <f t="shared" si="0"/>
        <v>1102148.2430587558</v>
      </c>
      <c r="Q27" s="98">
        <f t="shared" si="0"/>
        <v>1102148.2430587558</v>
      </c>
      <c r="R27" s="98">
        <f t="shared" si="0"/>
        <v>1102148.2430587558</v>
      </c>
      <c r="S27" s="98">
        <f t="shared" si="0"/>
        <v>1102148.2430587558</v>
      </c>
      <c r="T27" s="98">
        <f t="shared" si="0"/>
        <v>1102148.2430587558</v>
      </c>
      <c r="U27" s="98">
        <f t="shared" si="0"/>
        <v>1102148.2430587558</v>
      </c>
      <c r="V27" s="98">
        <f t="shared" si="0"/>
        <v>1102148.2430587558</v>
      </c>
      <c r="W27" s="98">
        <f t="shared" si="0"/>
        <v>1102148.2430587558</v>
      </c>
      <c r="X27" s="98">
        <f t="shared" si="0"/>
        <v>1102148.2430587558</v>
      </c>
      <c r="Y27" s="98">
        <f t="shared" si="0"/>
        <v>1102148.2430587558</v>
      </c>
      <c r="Z27" s="98">
        <f t="shared" si="0"/>
        <v>1102148.2430587558</v>
      </c>
      <c r="AA27" s="98">
        <f t="shared" si="0"/>
        <v>1102148.2430587558</v>
      </c>
      <c r="AB27" s="98">
        <f t="shared" si="0"/>
        <v>1102148.2430587558</v>
      </c>
      <c r="AC27" s="98">
        <f t="shared" si="0"/>
        <v>1102148.2430587558</v>
      </c>
      <c r="AD27" s="98">
        <f t="shared" si="0"/>
        <v>1102148.2430587558</v>
      </c>
      <c r="AE27" s="98">
        <f t="shared" si="0"/>
        <v>1102148.2430587558</v>
      </c>
      <c r="AF27" s="98">
        <f t="shared" si="0"/>
        <v>1102148.2430587558</v>
      </c>
      <c r="AG27" s="98">
        <f t="shared" si="0"/>
        <v>1102148.2430587558</v>
      </c>
      <c r="AH27" s="98">
        <f t="shared" si="0"/>
        <v>1102148.2430587558</v>
      </c>
      <c r="AI27" s="98">
        <f t="shared" si="0"/>
        <v>1102148.2430587558</v>
      </c>
      <c r="AJ27" s="98">
        <f t="shared" si="0"/>
        <v>1102148.2430587558</v>
      </c>
      <c r="AK27" s="98">
        <f t="shared" si="0"/>
        <v>1102148.2430587558</v>
      </c>
      <c r="AL27" s="98">
        <f t="shared" si="0"/>
        <v>1102148.2430587558</v>
      </c>
      <c r="AM27" s="98">
        <f t="shared" si="0"/>
        <v>1102148.2430587558</v>
      </c>
      <c r="AN27" s="98">
        <f t="shared" si="0"/>
        <v>1102148.2430587558</v>
      </c>
      <c r="AO27" s="98">
        <f t="shared" si="0"/>
        <v>1102148.2430587558</v>
      </c>
      <c r="AP27" s="98">
        <f t="shared" si="0"/>
        <v>1102148.2430587558</v>
      </c>
      <c r="AQ27" s="98">
        <f t="shared" si="0"/>
        <v>1102148.2430587558</v>
      </c>
      <c r="AR27" s="98">
        <f>$F22*$F17-65809</f>
        <v>1036339.2430587558</v>
      </c>
      <c r="AS27" s="98"/>
      <c r="AT27" s="100">
        <f>SUM(D27:AS27)</f>
        <v>44020120.722350232</v>
      </c>
      <c r="AU27" s="22">
        <f>F22</f>
        <v>44118513.764677308</v>
      </c>
      <c r="AV27" s="100">
        <f>+AU27-AT27</f>
        <v>98393.042327076197</v>
      </c>
    </row>
    <row r="28" spans="1:48" x14ac:dyDescent="0.2">
      <c r="A28" s="2"/>
      <c r="B28" s="2"/>
      <c r="C28" s="2"/>
      <c r="D28" s="115"/>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6"/>
    </row>
    <row r="29" spans="1:48" x14ac:dyDescent="0.2">
      <c r="A29" s="263">
        <f>A27+1</f>
        <v>2</v>
      </c>
      <c r="B29" s="2" t="s">
        <v>54</v>
      </c>
      <c r="C29" s="2"/>
      <c r="D29" s="115"/>
      <c r="E29" s="38">
        <f>E53</f>
        <v>527400.60685754579</v>
      </c>
      <c r="F29" s="98">
        <f t="shared" ref="F29:AS29" si="1">F53</f>
        <v>510687.09418528917</v>
      </c>
      <c r="G29" s="98">
        <f t="shared" si="1"/>
        <v>492330.00494359876</v>
      </c>
      <c r="H29" s="98">
        <f t="shared" si="1"/>
        <v>474558.02222235588</v>
      </c>
      <c r="I29" s="98">
        <f t="shared" si="1"/>
        <v>457327.34726091282</v>
      </c>
      <c r="J29" s="98">
        <f t="shared" si="1"/>
        <v>440597.5504340562</v>
      </c>
      <c r="K29" s="98">
        <f t="shared" si="1"/>
        <v>424331.00972943509</v>
      </c>
      <c r="L29" s="98">
        <f t="shared" si="1"/>
        <v>408492.91074755997</v>
      </c>
      <c r="M29" s="98">
        <f t="shared" si="1"/>
        <v>392894.02038153005</v>
      </c>
      <c r="N29" s="98">
        <f t="shared" si="1"/>
        <v>377329.38289241679</v>
      </c>
      <c r="O29" s="98">
        <f t="shared" si="1"/>
        <v>361764.74540330359</v>
      </c>
      <c r="P29" s="98">
        <f t="shared" si="1"/>
        <v>346200.10791419039</v>
      </c>
      <c r="Q29" s="98">
        <f t="shared" si="1"/>
        <v>330635.47042507725</v>
      </c>
      <c r="R29" s="98">
        <f t="shared" si="1"/>
        <v>315070.83293596405</v>
      </c>
      <c r="S29" s="98">
        <f t="shared" si="1"/>
        <v>299506.19544685079</v>
      </c>
      <c r="T29" s="98">
        <f t="shared" si="1"/>
        <v>283941.55795773771</v>
      </c>
      <c r="U29" s="98">
        <f t="shared" si="1"/>
        <v>268376.92046862445</v>
      </c>
      <c r="V29" s="98">
        <f t="shared" si="1"/>
        <v>252812.28297951128</v>
      </c>
      <c r="W29" s="98">
        <f t="shared" si="1"/>
        <v>237247.64549039805</v>
      </c>
      <c r="X29" s="98">
        <f t="shared" si="1"/>
        <v>221683.00800128488</v>
      </c>
      <c r="Y29" s="98">
        <f t="shared" si="1"/>
        <v>207371.1273712104</v>
      </c>
      <c r="Z29" s="98">
        <f t="shared" si="1"/>
        <v>195564.19893664104</v>
      </c>
      <c r="AA29" s="98">
        <f t="shared" si="1"/>
        <v>185010.02736111038</v>
      </c>
      <c r="AB29" s="98">
        <f t="shared" si="1"/>
        <v>174455.85578557977</v>
      </c>
      <c r="AC29" s="98">
        <f t="shared" si="1"/>
        <v>163901.6842100491</v>
      </c>
      <c r="AD29" s="98">
        <f t="shared" si="1"/>
        <v>153347.51263451847</v>
      </c>
      <c r="AE29" s="98">
        <f t="shared" si="1"/>
        <v>142793.3410589878</v>
      </c>
      <c r="AF29" s="98">
        <f t="shared" si="1"/>
        <v>132239.16948345717</v>
      </c>
      <c r="AG29" s="98">
        <f t="shared" si="1"/>
        <v>121684.99790792652</v>
      </c>
      <c r="AH29" s="98">
        <f t="shared" si="1"/>
        <v>111130.82633239587</v>
      </c>
      <c r="AI29" s="98">
        <f t="shared" si="1"/>
        <v>100576.65475686525</v>
      </c>
      <c r="AJ29" s="98">
        <f t="shared" si="1"/>
        <v>90022.48318133461</v>
      </c>
      <c r="AK29" s="98">
        <f t="shared" si="1"/>
        <v>79468.31160580396</v>
      </c>
      <c r="AL29" s="98">
        <f t="shared" si="1"/>
        <v>68914.140030273309</v>
      </c>
      <c r="AM29" s="98">
        <f t="shared" si="1"/>
        <v>58359.968454742666</v>
      </c>
      <c r="AN29" s="98">
        <f t="shared" si="1"/>
        <v>47805.796879212008</v>
      </c>
      <c r="AO29" s="98">
        <f t="shared" si="1"/>
        <v>37251.625303681365</v>
      </c>
      <c r="AP29" s="98">
        <f t="shared" si="1"/>
        <v>26697.453728150722</v>
      </c>
      <c r="AQ29" s="98">
        <f t="shared" si="1"/>
        <v>16143.282152620073</v>
      </c>
      <c r="AR29" s="98">
        <f t="shared" si="1"/>
        <v>5904.2040690894264</v>
      </c>
      <c r="AS29" s="98">
        <f t="shared" si="1"/>
        <v>942.2117733241023</v>
      </c>
      <c r="AT29" s="100">
        <f>SUM(D29:AS29)</f>
        <v>9542771.5896946173</v>
      </c>
    </row>
    <row r="30" spans="1:48" x14ac:dyDescent="0.2">
      <c r="A30" s="2"/>
      <c r="B30" s="2"/>
      <c r="C30" s="2"/>
      <c r="D30" s="115"/>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row>
    <row r="31" spans="1:48" x14ac:dyDescent="0.2">
      <c r="A31" s="2"/>
      <c r="B31" s="2" t="s">
        <v>55</v>
      </c>
      <c r="C31" s="2"/>
      <c r="D31" s="115"/>
      <c r="E31" s="38">
        <f>+E30/0.79</f>
        <v>0</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row>
    <row r="32" spans="1:48" x14ac:dyDescent="0.2">
      <c r="A32" s="263">
        <f>A29+1</f>
        <v>3</v>
      </c>
      <c r="B32" s="2"/>
      <c r="C32" s="2"/>
      <c r="D32" s="115"/>
      <c r="E32" s="38">
        <f>E49*$F10</f>
        <v>0</v>
      </c>
      <c r="F32" s="98">
        <f t="shared" ref="F32:AS32" si="2">F49*$F10</f>
        <v>0</v>
      </c>
      <c r="G32" s="98">
        <f t="shared" si="2"/>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2"/>
        <v>0</v>
      </c>
      <c r="S32" s="98">
        <f t="shared" si="2"/>
        <v>0</v>
      </c>
      <c r="T32" s="98">
        <f t="shared" si="2"/>
        <v>0</v>
      </c>
      <c r="U32" s="98">
        <f t="shared" si="2"/>
        <v>0</v>
      </c>
      <c r="V32" s="98">
        <f t="shared" si="2"/>
        <v>0</v>
      </c>
      <c r="W32" s="98">
        <f t="shared" si="2"/>
        <v>0</v>
      </c>
      <c r="X32" s="98">
        <f t="shared" si="2"/>
        <v>0</v>
      </c>
      <c r="Y32" s="98">
        <f t="shared" si="2"/>
        <v>0</v>
      </c>
      <c r="Z32" s="98">
        <f t="shared" si="2"/>
        <v>0</v>
      </c>
      <c r="AA32" s="98">
        <f t="shared" si="2"/>
        <v>0</v>
      </c>
      <c r="AB32" s="98">
        <f t="shared" si="2"/>
        <v>0</v>
      </c>
      <c r="AC32" s="98">
        <f t="shared" si="2"/>
        <v>0</v>
      </c>
      <c r="AD32" s="98">
        <f t="shared" si="2"/>
        <v>0</v>
      </c>
      <c r="AE32" s="98">
        <f t="shared" si="2"/>
        <v>0</v>
      </c>
      <c r="AF32" s="98">
        <f t="shared" si="2"/>
        <v>0</v>
      </c>
      <c r="AG32" s="98">
        <f t="shared" si="2"/>
        <v>0</v>
      </c>
      <c r="AH32" s="98">
        <f t="shared" si="2"/>
        <v>0</v>
      </c>
      <c r="AI32" s="98">
        <f t="shared" si="2"/>
        <v>0</v>
      </c>
      <c r="AJ32" s="98">
        <f t="shared" si="2"/>
        <v>0</v>
      </c>
      <c r="AK32" s="98">
        <f t="shared" si="2"/>
        <v>0</v>
      </c>
      <c r="AL32" s="98">
        <f t="shared" si="2"/>
        <v>0</v>
      </c>
      <c r="AM32" s="98">
        <f t="shared" si="2"/>
        <v>0</v>
      </c>
      <c r="AN32" s="98">
        <f t="shared" si="2"/>
        <v>0</v>
      </c>
      <c r="AO32" s="98">
        <f t="shared" si="2"/>
        <v>0</v>
      </c>
      <c r="AP32" s="98">
        <f t="shared" si="2"/>
        <v>0</v>
      </c>
      <c r="AQ32" s="98">
        <f t="shared" si="2"/>
        <v>0</v>
      </c>
      <c r="AR32" s="98">
        <f t="shared" si="2"/>
        <v>0</v>
      </c>
      <c r="AS32" s="98">
        <f t="shared" si="2"/>
        <v>0</v>
      </c>
      <c r="AT32" s="100">
        <f t="shared" ref="AT32:AT42" si="3">SUM(D32:AS32)</f>
        <v>0</v>
      </c>
    </row>
    <row r="33" spans="1:46" x14ac:dyDescent="0.2">
      <c r="A33" s="263">
        <f>A32+1</f>
        <v>4</v>
      </c>
      <c r="B33" s="13"/>
      <c r="C33" s="13" t="s">
        <v>102</v>
      </c>
      <c r="D33" s="115"/>
      <c r="E33" s="38">
        <f>E49*$F11</f>
        <v>1231317.3942683951</v>
      </c>
      <c r="F33" s="98">
        <f t="shared" ref="F33:AS33" si="4">F49*$F11</f>
        <v>1192296.5084273715</v>
      </c>
      <c r="G33" s="98">
        <f t="shared" si="4"/>
        <v>1149438.3793362612</v>
      </c>
      <c r="H33" s="98">
        <f t="shared" si="4"/>
        <v>1107946.2931104021</v>
      </c>
      <c r="I33" s="98">
        <f t="shared" si="4"/>
        <v>1067717.9931821458</v>
      </c>
      <c r="J33" s="98">
        <f t="shared" si="4"/>
        <v>1028659.088873663</v>
      </c>
      <c r="K33" s="98">
        <f t="shared" si="4"/>
        <v>990681.74441530695</v>
      </c>
      <c r="L33" s="98">
        <f t="shared" si="4"/>
        <v>953704.67894561391</v>
      </c>
      <c r="M33" s="98">
        <f t="shared" si="4"/>
        <v>917286.09165307705</v>
      </c>
      <c r="N33" s="98">
        <f t="shared" si="4"/>
        <v>880947.47424036777</v>
      </c>
      <c r="O33" s="98">
        <f t="shared" si="4"/>
        <v>844608.8568276586</v>
      </c>
      <c r="P33" s="98">
        <f t="shared" si="4"/>
        <v>808270.23941494932</v>
      </c>
      <c r="Q33" s="98">
        <f t="shared" si="4"/>
        <v>771931.62200224004</v>
      </c>
      <c r="R33" s="98">
        <f t="shared" si="4"/>
        <v>735593.00458953087</v>
      </c>
      <c r="S33" s="98">
        <f t="shared" si="4"/>
        <v>699254.38717682159</v>
      </c>
      <c r="T33" s="98">
        <f t="shared" si="4"/>
        <v>662915.76976411243</v>
      </c>
      <c r="U33" s="98">
        <f t="shared" si="4"/>
        <v>626577.15235140326</v>
      </c>
      <c r="V33" s="98">
        <f t="shared" si="4"/>
        <v>590238.53493869398</v>
      </c>
      <c r="W33" s="98">
        <f t="shared" si="4"/>
        <v>553899.9175259847</v>
      </c>
      <c r="X33" s="98">
        <f t="shared" si="4"/>
        <v>517561.30011327547</v>
      </c>
      <c r="Y33" s="98">
        <f t="shared" si="4"/>
        <v>484147.48273163644</v>
      </c>
      <c r="Z33" s="98">
        <f t="shared" si="4"/>
        <v>456581.95443050162</v>
      </c>
      <c r="AA33" s="98">
        <f t="shared" si="4"/>
        <v>431941.22616043704</v>
      </c>
      <c r="AB33" s="98">
        <f t="shared" si="4"/>
        <v>407300.49789037241</v>
      </c>
      <c r="AC33" s="98">
        <f t="shared" si="4"/>
        <v>382659.76962030784</v>
      </c>
      <c r="AD33" s="98">
        <f t="shared" si="4"/>
        <v>358019.04135024321</v>
      </c>
      <c r="AE33" s="98">
        <f t="shared" si="4"/>
        <v>333378.31308017863</v>
      </c>
      <c r="AF33" s="98">
        <f t="shared" si="4"/>
        <v>308737.584810114</v>
      </c>
      <c r="AG33" s="98">
        <f t="shared" si="4"/>
        <v>284096.85654004943</v>
      </c>
      <c r="AH33" s="98">
        <f t="shared" si="4"/>
        <v>259456.12826998479</v>
      </c>
      <c r="AI33" s="98">
        <f t="shared" si="4"/>
        <v>234815.39999992028</v>
      </c>
      <c r="AJ33" s="98">
        <f t="shared" si="4"/>
        <v>210174.67172985568</v>
      </c>
      <c r="AK33" s="98">
        <f t="shared" si="4"/>
        <v>185533.94345979104</v>
      </c>
      <c r="AL33" s="98">
        <f t="shared" si="4"/>
        <v>160893.21518972644</v>
      </c>
      <c r="AM33" s="98">
        <f t="shared" si="4"/>
        <v>136252.48691966184</v>
      </c>
      <c r="AN33" s="98">
        <f t="shared" si="4"/>
        <v>111611.75864959722</v>
      </c>
      <c r="AO33" s="98">
        <f t="shared" si="4"/>
        <v>86971.030379532618</v>
      </c>
      <c r="AP33" s="98">
        <f t="shared" si="4"/>
        <v>62330.302109468008</v>
      </c>
      <c r="AQ33" s="98">
        <f t="shared" si="4"/>
        <v>37689.573839403405</v>
      </c>
      <c r="AR33" s="98">
        <f t="shared" si="4"/>
        <v>13784.491475838795</v>
      </c>
      <c r="AS33" s="98">
        <f t="shared" si="4"/>
        <v>2199.7732473064907</v>
      </c>
      <c r="AT33" s="100">
        <f t="shared" si="3"/>
        <v>22279421.933041204</v>
      </c>
    </row>
    <row r="34" spans="1:46" x14ac:dyDescent="0.2">
      <c r="A34" s="263">
        <f>A33+1</f>
        <v>5</v>
      </c>
      <c r="B34" s="2"/>
      <c r="C34" s="2" t="s">
        <v>9</v>
      </c>
      <c r="D34" s="115"/>
      <c r="E34" s="40">
        <f>E49*$F12</f>
        <v>1984030.8543688632</v>
      </c>
      <c r="F34" s="96">
        <f t="shared" ref="F34:AS34" si="5">F49*$F12</f>
        <v>1921156.2114589449</v>
      </c>
      <c r="G34" s="96">
        <f t="shared" si="5"/>
        <v>1852098.5900259193</v>
      </c>
      <c r="H34" s="96">
        <f t="shared" si="5"/>
        <v>1785242.0835983867</v>
      </c>
      <c r="I34" s="96">
        <f t="shared" si="5"/>
        <v>1720421.9254101007</v>
      </c>
      <c r="J34" s="96">
        <f t="shared" si="5"/>
        <v>1657486.0230614499</v>
      </c>
      <c r="K34" s="96">
        <f t="shared" si="5"/>
        <v>1596292.8461250179</v>
      </c>
      <c r="L34" s="96">
        <f t="shared" si="5"/>
        <v>1536711.4261455829</v>
      </c>
      <c r="M34" s="96">
        <f t="shared" si="5"/>
        <v>1478029.8861971844</v>
      </c>
      <c r="N34" s="96">
        <f t="shared" si="5"/>
        <v>1419477.2023095679</v>
      </c>
      <c r="O34" s="96">
        <f t="shared" si="5"/>
        <v>1360924.5184219517</v>
      </c>
      <c r="P34" s="96">
        <f t="shared" si="5"/>
        <v>1302371.8345343354</v>
      </c>
      <c r="Q34" s="96">
        <f t="shared" si="5"/>
        <v>1243819.1506467192</v>
      </c>
      <c r="R34" s="96">
        <f t="shared" si="5"/>
        <v>1185266.4667591029</v>
      </c>
      <c r="S34" s="96">
        <f t="shared" si="5"/>
        <v>1126713.7828714864</v>
      </c>
      <c r="T34" s="96">
        <f t="shared" si="5"/>
        <v>1068161.0989838704</v>
      </c>
      <c r="U34" s="96">
        <f t="shared" si="5"/>
        <v>1009608.415096254</v>
      </c>
      <c r="V34" s="96">
        <f t="shared" si="5"/>
        <v>951055.73120863771</v>
      </c>
      <c r="W34" s="96">
        <f t="shared" si="5"/>
        <v>892503.04732102132</v>
      </c>
      <c r="X34" s="96">
        <f t="shared" si="5"/>
        <v>833950.36343340506</v>
      </c>
      <c r="Y34" s="96">
        <f t="shared" si="5"/>
        <v>780110.43153931538</v>
      </c>
      <c r="Z34" s="96">
        <f t="shared" si="5"/>
        <v>735693.89123784017</v>
      </c>
      <c r="AA34" s="96">
        <f t="shared" si="5"/>
        <v>695990.10292989155</v>
      </c>
      <c r="AB34" s="96">
        <f t="shared" si="5"/>
        <v>656286.31462194293</v>
      </c>
      <c r="AC34" s="96">
        <f t="shared" si="5"/>
        <v>616582.52631399431</v>
      </c>
      <c r="AD34" s="96">
        <f t="shared" si="5"/>
        <v>576878.73800604569</v>
      </c>
      <c r="AE34" s="96">
        <f t="shared" si="5"/>
        <v>537174.94969809707</v>
      </c>
      <c r="AF34" s="96">
        <f t="shared" si="5"/>
        <v>497471.16139014839</v>
      </c>
      <c r="AG34" s="96">
        <f t="shared" si="5"/>
        <v>457767.37308219977</v>
      </c>
      <c r="AH34" s="96">
        <f t="shared" si="5"/>
        <v>418063.58477425115</v>
      </c>
      <c r="AI34" s="96">
        <f t="shared" si="5"/>
        <v>378359.79646630265</v>
      </c>
      <c r="AJ34" s="96">
        <f t="shared" si="5"/>
        <v>338656.00815835403</v>
      </c>
      <c r="AK34" s="96">
        <f t="shared" si="5"/>
        <v>298952.21985040541</v>
      </c>
      <c r="AL34" s="96">
        <f t="shared" si="5"/>
        <v>259248.43154245676</v>
      </c>
      <c r="AM34" s="96">
        <f t="shared" si="5"/>
        <v>219544.64323450814</v>
      </c>
      <c r="AN34" s="96">
        <f t="shared" si="5"/>
        <v>179840.85492655949</v>
      </c>
      <c r="AO34" s="96">
        <f t="shared" si="5"/>
        <v>140137.06661861087</v>
      </c>
      <c r="AP34" s="96">
        <f t="shared" si="5"/>
        <v>100433.27831066224</v>
      </c>
      <c r="AQ34" s="96">
        <f t="shared" si="5"/>
        <v>60729.490002713617</v>
      </c>
      <c r="AR34" s="96">
        <f t="shared" si="5"/>
        <v>22211.053402764988</v>
      </c>
      <c r="AS34" s="96">
        <f t="shared" si="5"/>
        <v>3544.5109567906707</v>
      </c>
      <c r="AT34" s="100">
        <f t="shared" si="3"/>
        <v>35898997.885041669</v>
      </c>
    </row>
    <row r="35" spans="1:46" x14ac:dyDescent="0.2">
      <c r="A35" s="263">
        <f>A34+1</f>
        <v>6</v>
      </c>
      <c r="B35" s="2"/>
      <c r="C35" s="2" t="s">
        <v>58</v>
      </c>
      <c r="D35" s="115"/>
      <c r="E35" s="38">
        <f>E32+E33+E34</f>
        <v>3215348.2486372581</v>
      </c>
      <c r="F35" s="98">
        <f>F32+F33+F34</f>
        <v>3113452.7198863165</v>
      </c>
      <c r="G35" s="98">
        <f>G32+G33+G34</f>
        <v>3001536.9693621807</v>
      </c>
      <c r="H35" s="98">
        <f t="shared" ref="H35:AS35" si="6">H32+H33+H34</f>
        <v>2893188.3767087888</v>
      </c>
      <c r="I35" s="98">
        <f t="shared" si="6"/>
        <v>2788139.9185922462</v>
      </c>
      <c r="J35" s="98">
        <f t="shared" si="6"/>
        <v>2686145.1119351126</v>
      </c>
      <c r="K35" s="98">
        <f t="shared" si="6"/>
        <v>2586974.5905403248</v>
      </c>
      <c r="L35" s="98">
        <f t="shared" si="6"/>
        <v>2490416.105091197</v>
      </c>
      <c r="M35" s="98">
        <f t="shared" si="6"/>
        <v>2395315.9778502616</v>
      </c>
      <c r="N35" s="98">
        <f t="shared" si="6"/>
        <v>2300424.6765499357</v>
      </c>
      <c r="O35" s="98">
        <f t="shared" si="6"/>
        <v>2205533.3752496103</v>
      </c>
      <c r="P35" s="98">
        <f t="shared" si="6"/>
        <v>2110642.0739492849</v>
      </c>
      <c r="Q35" s="98">
        <f t="shared" si="6"/>
        <v>2015750.7726489592</v>
      </c>
      <c r="R35" s="98">
        <f t="shared" si="6"/>
        <v>1920859.4713486338</v>
      </c>
      <c r="S35" s="98">
        <f t="shared" si="6"/>
        <v>1825968.1700483081</v>
      </c>
      <c r="T35" s="98">
        <f t="shared" si="6"/>
        <v>1731076.8687479827</v>
      </c>
      <c r="U35" s="98">
        <f t="shared" si="6"/>
        <v>1636185.5674476572</v>
      </c>
      <c r="V35" s="98">
        <f t="shared" si="6"/>
        <v>1541294.2661473318</v>
      </c>
      <c r="W35" s="98">
        <f t="shared" si="6"/>
        <v>1446402.9648470059</v>
      </c>
      <c r="X35" s="98">
        <f t="shared" si="6"/>
        <v>1351511.6635466805</v>
      </c>
      <c r="Y35" s="98">
        <f t="shared" si="6"/>
        <v>1264257.9142709519</v>
      </c>
      <c r="Z35" s="98">
        <f t="shared" si="6"/>
        <v>1192275.8456683417</v>
      </c>
      <c r="AA35" s="98">
        <f t="shared" si="6"/>
        <v>1127931.3290903287</v>
      </c>
      <c r="AB35" s="98">
        <f t="shared" si="6"/>
        <v>1063586.8125123153</v>
      </c>
      <c r="AC35" s="98">
        <f t="shared" si="6"/>
        <v>999242.29593430215</v>
      </c>
      <c r="AD35" s="98">
        <f t="shared" si="6"/>
        <v>934897.77935628896</v>
      </c>
      <c r="AE35" s="98">
        <f t="shared" si="6"/>
        <v>870553.26277827565</v>
      </c>
      <c r="AF35" s="98">
        <f t="shared" si="6"/>
        <v>806208.74620026234</v>
      </c>
      <c r="AG35" s="98">
        <f t="shared" si="6"/>
        <v>741864.22962224926</v>
      </c>
      <c r="AH35" s="98">
        <f t="shared" si="6"/>
        <v>677519.71304423595</v>
      </c>
      <c r="AI35" s="98">
        <f t="shared" si="6"/>
        <v>613175.19646622287</v>
      </c>
      <c r="AJ35" s="98">
        <f t="shared" si="6"/>
        <v>548830.67988820968</v>
      </c>
      <c r="AK35" s="98">
        <f t="shared" si="6"/>
        <v>484486.16331019648</v>
      </c>
      <c r="AL35" s="98">
        <f t="shared" si="6"/>
        <v>420141.64673218317</v>
      </c>
      <c r="AM35" s="98">
        <f t="shared" si="6"/>
        <v>355797.13015416998</v>
      </c>
      <c r="AN35" s="98">
        <f t="shared" si="6"/>
        <v>291452.61357615673</v>
      </c>
      <c r="AO35" s="98">
        <f t="shared" si="6"/>
        <v>227108.09699814348</v>
      </c>
      <c r="AP35" s="98">
        <f t="shared" si="6"/>
        <v>162763.58042013025</v>
      </c>
      <c r="AQ35" s="98">
        <f t="shared" si="6"/>
        <v>98419.06384211703</v>
      </c>
      <c r="AR35" s="98">
        <f t="shared" si="6"/>
        <v>35995.544878603781</v>
      </c>
      <c r="AS35" s="98">
        <f t="shared" si="6"/>
        <v>5744.2842040971609</v>
      </c>
      <c r="AT35" s="100">
        <f t="shared" si="3"/>
        <v>58178419.818082854</v>
      </c>
    </row>
    <row r="36" spans="1:46" x14ac:dyDescent="0.2">
      <c r="A36" s="2"/>
      <c r="B36" s="2"/>
      <c r="C36" s="2"/>
      <c r="D36" s="115"/>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100">
        <f t="shared" si="3"/>
        <v>0</v>
      </c>
    </row>
    <row r="37" spans="1:46" x14ac:dyDescent="0.2">
      <c r="A37" s="263">
        <f>A35+1</f>
        <v>7</v>
      </c>
      <c r="B37" s="2" t="s">
        <v>59</v>
      </c>
      <c r="C37" s="2"/>
      <c r="D37" s="115"/>
      <c r="E37" s="41">
        <f>E27+E29+E35</f>
        <v>4844897.0985535597</v>
      </c>
      <c r="F37" s="95">
        <f>F27+F29+F35</f>
        <v>4726288.057130361</v>
      </c>
      <c r="G37" s="95">
        <f t="shared" ref="G37:AS37" si="7">G27+G29+G35</f>
        <v>4596015.2173645347</v>
      </c>
      <c r="H37" s="95">
        <f t="shared" si="7"/>
        <v>4469894.6419899007</v>
      </c>
      <c r="I37" s="95">
        <f t="shared" si="7"/>
        <v>4347615.5089119151</v>
      </c>
      <c r="J37" s="95">
        <f t="shared" si="7"/>
        <v>4228890.9054279244</v>
      </c>
      <c r="K37" s="95">
        <f t="shared" si="7"/>
        <v>4113453.8433285155</v>
      </c>
      <c r="L37" s="95">
        <f t="shared" si="7"/>
        <v>4001057.2588975127</v>
      </c>
      <c r="M37" s="95">
        <f t="shared" si="7"/>
        <v>3890358.2412905474</v>
      </c>
      <c r="N37" s="95">
        <f t="shared" si="7"/>
        <v>3779902.3025011085</v>
      </c>
      <c r="O37" s="95">
        <f t="shared" si="7"/>
        <v>3669446.3637116696</v>
      </c>
      <c r="P37" s="95">
        <f t="shared" si="7"/>
        <v>3558990.4249222311</v>
      </c>
      <c r="Q37" s="95">
        <f t="shared" si="7"/>
        <v>3448534.4861327922</v>
      </c>
      <c r="R37" s="95">
        <f t="shared" si="7"/>
        <v>3338078.5473433537</v>
      </c>
      <c r="S37" s="95">
        <f t="shared" si="7"/>
        <v>3227622.6085539144</v>
      </c>
      <c r="T37" s="95">
        <f t="shared" si="7"/>
        <v>3117166.6697644759</v>
      </c>
      <c r="U37" s="95">
        <f t="shared" si="7"/>
        <v>3006710.7309750374</v>
      </c>
      <c r="V37" s="95">
        <f t="shared" si="7"/>
        <v>2896254.792185599</v>
      </c>
      <c r="W37" s="95">
        <f t="shared" si="7"/>
        <v>2785798.8533961596</v>
      </c>
      <c r="X37" s="95">
        <f t="shared" si="7"/>
        <v>2675342.9146067211</v>
      </c>
      <c r="Y37" s="95">
        <f t="shared" si="7"/>
        <v>2573777.284700918</v>
      </c>
      <c r="Z37" s="95">
        <f t="shared" si="7"/>
        <v>2489988.2876637382</v>
      </c>
      <c r="AA37" s="95">
        <f t="shared" si="7"/>
        <v>2415089.5995101947</v>
      </c>
      <c r="AB37" s="95">
        <f t="shared" si="7"/>
        <v>2340190.9113566508</v>
      </c>
      <c r="AC37" s="95">
        <f t="shared" si="7"/>
        <v>2265292.2232031072</v>
      </c>
      <c r="AD37" s="95">
        <f t="shared" si="7"/>
        <v>2190393.5350495633</v>
      </c>
      <c r="AE37" s="95">
        <f t="shared" si="7"/>
        <v>2115494.8468960193</v>
      </c>
      <c r="AF37" s="95">
        <f t="shared" si="7"/>
        <v>2040596.1587424753</v>
      </c>
      <c r="AG37" s="95">
        <f t="shared" si="7"/>
        <v>1965697.4705889316</v>
      </c>
      <c r="AH37" s="95">
        <f t="shared" si="7"/>
        <v>1890798.7824353876</v>
      </c>
      <c r="AI37" s="95">
        <f t="shared" si="7"/>
        <v>1815900.0942818439</v>
      </c>
      <c r="AJ37" s="95">
        <f t="shared" si="7"/>
        <v>1741001.4061282999</v>
      </c>
      <c r="AK37" s="95">
        <f t="shared" si="7"/>
        <v>1666102.7179747561</v>
      </c>
      <c r="AL37" s="95">
        <f t="shared" si="7"/>
        <v>1591204.0298212122</v>
      </c>
      <c r="AM37" s="95">
        <f t="shared" si="7"/>
        <v>1516305.3416676684</v>
      </c>
      <c r="AN37" s="95">
        <f t="shared" si="7"/>
        <v>1441406.6535141245</v>
      </c>
      <c r="AO37" s="95">
        <f t="shared" si="7"/>
        <v>1366507.9653605807</v>
      </c>
      <c r="AP37" s="95">
        <f t="shared" si="7"/>
        <v>1291609.2772070367</v>
      </c>
      <c r="AQ37" s="95">
        <f t="shared" si="7"/>
        <v>1216710.589053493</v>
      </c>
      <c r="AR37" s="95">
        <f t="shared" si="7"/>
        <v>1078238.992006449</v>
      </c>
      <c r="AS37" s="95">
        <f t="shared" si="7"/>
        <v>6686.495977421263</v>
      </c>
      <c r="AT37" s="100">
        <f t="shared" si="3"/>
        <v>111741312.13012771</v>
      </c>
    </row>
    <row r="38" spans="1:46" x14ac:dyDescent="0.2">
      <c r="A38" s="263">
        <f>A37+1</f>
        <v>8</v>
      </c>
      <c r="B38" s="2" t="s">
        <v>60</v>
      </c>
      <c r="C38" s="2"/>
      <c r="D38" s="115"/>
      <c r="E38" s="40">
        <f>E37/(1-$F16)-E37</f>
        <v>230669.26450177561</v>
      </c>
      <c r="F38" s="96">
        <f t="shared" ref="F38:AS38" si="8">F37/(1-$F16)-F37</f>
        <v>225022.19712514989</v>
      </c>
      <c r="G38" s="96">
        <f t="shared" si="8"/>
        <v>218819.80736906826</v>
      </c>
      <c r="H38" s="96">
        <f t="shared" si="8"/>
        <v>212815.11010338366</v>
      </c>
      <c r="I38" s="96">
        <f t="shared" si="8"/>
        <v>206993.30684992857</v>
      </c>
      <c r="J38" s="96">
        <f t="shared" si="8"/>
        <v>201340.73747500964</v>
      </c>
      <c r="K38" s="96">
        <f t="shared" si="8"/>
        <v>195844.69046532875</v>
      </c>
      <c r="L38" s="96">
        <f t="shared" si="8"/>
        <v>190493.40292798355</v>
      </c>
      <c r="M38" s="96">
        <f t="shared" si="8"/>
        <v>185222.93784832442</v>
      </c>
      <c r="N38" s="96">
        <f t="shared" si="8"/>
        <v>179964.04593748879</v>
      </c>
      <c r="O38" s="96">
        <f t="shared" si="8"/>
        <v>174705.15402665362</v>
      </c>
      <c r="P38" s="96">
        <f t="shared" si="8"/>
        <v>169446.26211581845</v>
      </c>
      <c r="Q38" s="96">
        <f t="shared" si="8"/>
        <v>164187.37020498281</v>
      </c>
      <c r="R38" s="96">
        <f t="shared" si="8"/>
        <v>158928.47829414764</v>
      </c>
      <c r="S38" s="96">
        <f t="shared" si="8"/>
        <v>153669.58638331201</v>
      </c>
      <c r="T38" s="96">
        <f t="shared" si="8"/>
        <v>148410.69447247684</v>
      </c>
      <c r="U38" s="96">
        <f t="shared" si="8"/>
        <v>143151.80256164167</v>
      </c>
      <c r="V38" s="96">
        <f t="shared" si="8"/>
        <v>137892.91065080604</v>
      </c>
      <c r="W38" s="96">
        <f t="shared" si="8"/>
        <v>132634.01873997087</v>
      </c>
      <c r="X38" s="96">
        <f t="shared" si="8"/>
        <v>127375.12682913523</v>
      </c>
      <c r="Y38" s="96">
        <f t="shared" si="8"/>
        <v>122539.5093387193</v>
      </c>
      <c r="Z38" s="96">
        <f t="shared" si="8"/>
        <v>118550.25096506299</v>
      </c>
      <c r="AA38" s="96">
        <f t="shared" si="8"/>
        <v>114984.26701182639</v>
      </c>
      <c r="AB38" s="96">
        <f t="shared" si="8"/>
        <v>111418.28305858932</v>
      </c>
      <c r="AC38" s="96">
        <f t="shared" si="8"/>
        <v>107852.29910535272</v>
      </c>
      <c r="AD38" s="96">
        <f t="shared" si="8"/>
        <v>104286.31515211565</v>
      </c>
      <c r="AE38" s="96">
        <f t="shared" si="8"/>
        <v>100720.33119887905</v>
      </c>
      <c r="AF38" s="96">
        <f t="shared" si="8"/>
        <v>97154.347245641984</v>
      </c>
      <c r="AG38" s="96">
        <f t="shared" si="8"/>
        <v>93588.363292405149</v>
      </c>
      <c r="AH38" s="96">
        <f t="shared" si="8"/>
        <v>90022.379339168314</v>
      </c>
      <c r="AI38" s="96">
        <f t="shared" si="8"/>
        <v>86456.395385931479</v>
      </c>
      <c r="AJ38" s="96">
        <f t="shared" si="8"/>
        <v>82890.411432694644</v>
      </c>
      <c r="AK38" s="96">
        <f t="shared" si="8"/>
        <v>79324.427479457576</v>
      </c>
      <c r="AL38" s="96">
        <f t="shared" si="8"/>
        <v>75758.443526220741</v>
      </c>
      <c r="AM38" s="96">
        <f t="shared" si="8"/>
        <v>72192.459572983906</v>
      </c>
      <c r="AN38" s="96">
        <f t="shared" si="8"/>
        <v>68626.475619747071</v>
      </c>
      <c r="AO38" s="96">
        <f t="shared" si="8"/>
        <v>65060.491666510236</v>
      </c>
      <c r="AP38" s="96">
        <f t="shared" si="8"/>
        <v>61494.5077132734</v>
      </c>
      <c r="AQ38" s="96">
        <f t="shared" si="8"/>
        <v>57928.523760036565</v>
      </c>
      <c r="AR38" s="96">
        <f t="shared" si="8"/>
        <v>51335.784885404166</v>
      </c>
      <c r="AS38" s="96">
        <f t="shared" si="8"/>
        <v>318.34919872009687</v>
      </c>
      <c r="AT38" s="100">
        <f t="shared" si="3"/>
        <v>5320089.5208311277</v>
      </c>
    </row>
    <row r="39" spans="1:46" x14ac:dyDescent="0.2">
      <c r="A39" s="263">
        <f>A38+1</f>
        <v>9</v>
      </c>
      <c r="B39" s="2"/>
      <c r="C39" s="2" t="s">
        <v>61</v>
      </c>
      <c r="D39" s="115"/>
      <c r="E39" s="41">
        <f>SUM(E37:E38)</f>
        <v>5075566.3630553354</v>
      </c>
      <c r="F39" s="95">
        <f t="shared" ref="F39:AS39" si="9">SUM(F37:F38)</f>
        <v>4951310.2542555109</v>
      </c>
      <c r="G39" s="95">
        <f t="shared" si="9"/>
        <v>4814835.024733603</v>
      </c>
      <c r="H39" s="95">
        <f t="shared" si="9"/>
        <v>4682709.7520932844</v>
      </c>
      <c r="I39" s="95">
        <f t="shared" si="9"/>
        <v>4554608.8157618437</v>
      </c>
      <c r="J39" s="95">
        <f t="shared" si="9"/>
        <v>4430231.642902934</v>
      </c>
      <c r="K39" s="95">
        <f t="shared" si="9"/>
        <v>4309298.5337938443</v>
      </c>
      <c r="L39" s="95">
        <f t="shared" si="9"/>
        <v>4191550.6618254962</v>
      </c>
      <c r="M39" s="95">
        <f t="shared" si="9"/>
        <v>4075581.1791388718</v>
      </c>
      <c r="N39" s="95">
        <f t="shared" si="9"/>
        <v>3959866.3484385973</v>
      </c>
      <c r="O39" s="95">
        <f t="shared" si="9"/>
        <v>3844151.5177383232</v>
      </c>
      <c r="P39" s="95">
        <f t="shared" si="9"/>
        <v>3728436.6870380496</v>
      </c>
      <c r="Q39" s="95">
        <f t="shared" si="9"/>
        <v>3612721.856337775</v>
      </c>
      <c r="R39" s="95">
        <f t="shared" si="9"/>
        <v>3497007.0256375014</v>
      </c>
      <c r="S39" s="95">
        <f t="shared" si="9"/>
        <v>3381292.1949372264</v>
      </c>
      <c r="T39" s="95">
        <f t="shared" si="9"/>
        <v>3265577.3642369527</v>
      </c>
      <c r="U39" s="95">
        <f t="shared" si="9"/>
        <v>3149862.5335366791</v>
      </c>
      <c r="V39" s="95">
        <f t="shared" si="9"/>
        <v>3034147.702836405</v>
      </c>
      <c r="W39" s="95">
        <f t="shared" si="9"/>
        <v>2918432.8721361305</v>
      </c>
      <c r="X39" s="95">
        <f t="shared" si="9"/>
        <v>2802718.0414358564</v>
      </c>
      <c r="Y39" s="95">
        <f t="shared" si="9"/>
        <v>2696316.7940396373</v>
      </c>
      <c r="Z39" s="95">
        <f t="shared" si="9"/>
        <v>2608538.5386288012</v>
      </c>
      <c r="AA39" s="95">
        <f t="shared" si="9"/>
        <v>2530073.8665220211</v>
      </c>
      <c r="AB39" s="95">
        <f t="shared" si="9"/>
        <v>2451609.1944152401</v>
      </c>
      <c r="AC39" s="95">
        <f t="shared" si="9"/>
        <v>2373144.52230846</v>
      </c>
      <c r="AD39" s="95">
        <f t="shared" si="9"/>
        <v>2294679.8502016789</v>
      </c>
      <c r="AE39" s="95">
        <f t="shared" si="9"/>
        <v>2216215.1780948984</v>
      </c>
      <c r="AF39" s="95">
        <f t="shared" si="9"/>
        <v>2137750.5059881173</v>
      </c>
      <c r="AG39" s="95">
        <f t="shared" si="9"/>
        <v>2059285.8338813367</v>
      </c>
      <c r="AH39" s="95">
        <f t="shared" si="9"/>
        <v>1980821.1617745559</v>
      </c>
      <c r="AI39" s="95">
        <f t="shared" si="9"/>
        <v>1902356.4896677753</v>
      </c>
      <c r="AJ39" s="95">
        <f t="shared" si="9"/>
        <v>1823891.8175609945</v>
      </c>
      <c r="AK39" s="95">
        <f t="shared" si="9"/>
        <v>1745427.1454542137</v>
      </c>
      <c r="AL39" s="95">
        <f t="shared" si="9"/>
        <v>1666962.4733474329</v>
      </c>
      <c r="AM39" s="95">
        <f t="shared" si="9"/>
        <v>1588497.8012406523</v>
      </c>
      <c r="AN39" s="95">
        <f t="shared" si="9"/>
        <v>1510033.1291338715</v>
      </c>
      <c r="AO39" s="95">
        <f t="shared" si="9"/>
        <v>1431568.4570270909</v>
      </c>
      <c r="AP39" s="95">
        <f t="shared" si="9"/>
        <v>1353103.7849203101</v>
      </c>
      <c r="AQ39" s="95">
        <f t="shared" si="9"/>
        <v>1274639.1128135296</v>
      </c>
      <c r="AR39" s="95">
        <f t="shared" si="9"/>
        <v>1129574.7768918532</v>
      </c>
      <c r="AS39" s="95">
        <f t="shared" si="9"/>
        <v>7004.8451761413598</v>
      </c>
      <c r="AT39" s="100">
        <f t="shared" si="3"/>
        <v>117061401.65095882</v>
      </c>
    </row>
    <row r="40" spans="1:46" x14ac:dyDescent="0.2">
      <c r="A40" s="263">
        <f t="shared" ref="A40:A66" si="10">A39+1</f>
        <v>10</v>
      </c>
      <c r="B40" s="2"/>
      <c r="C40" s="2"/>
      <c r="D40" s="115"/>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100">
        <f t="shared" si="3"/>
        <v>0</v>
      </c>
    </row>
    <row r="41" spans="1:46" x14ac:dyDescent="0.2">
      <c r="A41" s="263">
        <f t="shared" si="10"/>
        <v>11</v>
      </c>
      <c r="B41" s="2"/>
      <c r="C41" s="2"/>
      <c r="D41" s="115"/>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100">
        <f t="shared" si="3"/>
        <v>0</v>
      </c>
    </row>
    <row r="42" spans="1:46" x14ac:dyDescent="0.2">
      <c r="A42" s="263">
        <f t="shared" si="10"/>
        <v>12</v>
      </c>
      <c r="B42" s="2" t="s">
        <v>140</v>
      </c>
      <c r="C42" s="2"/>
      <c r="D42" s="115"/>
      <c r="E42" s="40">
        <f>E39</f>
        <v>5075566.3630553354</v>
      </c>
      <c r="F42" s="96">
        <f>F39</f>
        <v>4951310.2542555109</v>
      </c>
      <c r="G42" s="96">
        <f t="shared" ref="G42:AS42" si="11">G39</f>
        <v>4814835.024733603</v>
      </c>
      <c r="H42" s="96">
        <f t="shared" si="11"/>
        <v>4682709.7520932844</v>
      </c>
      <c r="I42" s="96">
        <f t="shared" si="11"/>
        <v>4554608.8157618437</v>
      </c>
      <c r="J42" s="96">
        <f t="shared" si="11"/>
        <v>4430231.642902934</v>
      </c>
      <c r="K42" s="96">
        <f t="shared" si="11"/>
        <v>4309298.5337938443</v>
      </c>
      <c r="L42" s="96">
        <f t="shared" si="11"/>
        <v>4191550.6618254962</v>
      </c>
      <c r="M42" s="96">
        <f t="shared" si="11"/>
        <v>4075581.1791388718</v>
      </c>
      <c r="N42" s="96">
        <f t="shared" si="11"/>
        <v>3959866.3484385973</v>
      </c>
      <c r="O42" s="96">
        <f t="shared" si="11"/>
        <v>3844151.5177383232</v>
      </c>
      <c r="P42" s="96">
        <f t="shared" si="11"/>
        <v>3728436.6870380496</v>
      </c>
      <c r="Q42" s="96">
        <f t="shared" si="11"/>
        <v>3612721.856337775</v>
      </c>
      <c r="R42" s="96">
        <f t="shared" si="11"/>
        <v>3497007.0256375014</v>
      </c>
      <c r="S42" s="96">
        <f t="shared" si="11"/>
        <v>3381292.1949372264</v>
      </c>
      <c r="T42" s="96">
        <f t="shared" si="11"/>
        <v>3265577.3642369527</v>
      </c>
      <c r="U42" s="96">
        <f t="shared" si="11"/>
        <v>3149862.5335366791</v>
      </c>
      <c r="V42" s="96">
        <f t="shared" si="11"/>
        <v>3034147.702836405</v>
      </c>
      <c r="W42" s="96">
        <f t="shared" si="11"/>
        <v>2918432.8721361305</v>
      </c>
      <c r="X42" s="96">
        <f t="shared" si="11"/>
        <v>2802718.0414358564</v>
      </c>
      <c r="Y42" s="96">
        <f t="shared" si="11"/>
        <v>2696316.7940396373</v>
      </c>
      <c r="Z42" s="96">
        <f t="shared" si="11"/>
        <v>2608538.5386288012</v>
      </c>
      <c r="AA42" s="96">
        <f t="shared" si="11"/>
        <v>2530073.8665220211</v>
      </c>
      <c r="AB42" s="96">
        <f t="shared" si="11"/>
        <v>2451609.1944152401</v>
      </c>
      <c r="AC42" s="96">
        <f t="shared" si="11"/>
        <v>2373144.52230846</v>
      </c>
      <c r="AD42" s="96">
        <f t="shared" si="11"/>
        <v>2294679.8502016789</v>
      </c>
      <c r="AE42" s="96">
        <f t="shared" si="11"/>
        <v>2216215.1780948984</v>
      </c>
      <c r="AF42" s="96">
        <f t="shared" si="11"/>
        <v>2137750.5059881173</v>
      </c>
      <c r="AG42" s="96">
        <f t="shared" si="11"/>
        <v>2059285.8338813367</v>
      </c>
      <c r="AH42" s="96">
        <f t="shared" si="11"/>
        <v>1980821.1617745559</v>
      </c>
      <c r="AI42" s="96">
        <f t="shared" si="11"/>
        <v>1902356.4896677753</v>
      </c>
      <c r="AJ42" s="96">
        <f t="shared" si="11"/>
        <v>1823891.8175609945</v>
      </c>
      <c r="AK42" s="96">
        <f t="shared" si="11"/>
        <v>1745427.1454542137</v>
      </c>
      <c r="AL42" s="96">
        <f t="shared" si="11"/>
        <v>1666962.4733474329</v>
      </c>
      <c r="AM42" s="96">
        <f t="shared" si="11"/>
        <v>1588497.8012406523</v>
      </c>
      <c r="AN42" s="96">
        <f t="shared" si="11"/>
        <v>1510033.1291338715</v>
      </c>
      <c r="AO42" s="96">
        <f t="shared" si="11"/>
        <v>1431568.4570270909</v>
      </c>
      <c r="AP42" s="96">
        <f t="shared" si="11"/>
        <v>1353103.7849203101</v>
      </c>
      <c r="AQ42" s="96">
        <f t="shared" si="11"/>
        <v>1274639.1128135296</v>
      </c>
      <c r="AR42" s="96">
        <f t="shared" si="11"/>
        <v>1129574.7768918532</v>
      </c>
      <c r="AS42" s="96">
        <f t="shared" si="11"/>
        <v>7004.8451761413598</v>
      </c>
      <c r="AT42" s="100">
        <f t="shared" si="3"/>
        <v>117061401.65095882</v>
      </c>
    </row>
    <row r="43" spans="1:46" x14ac:dyDescent="0.2">
      <c r="A43" s="263">
        <f t="shared" si="10"/>
        <v>13</v>
      </c>
      <c r="B43" s="2"/>
      <c r="C43" s="2"/>
      <c r="D43" s="115"/>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263">
        <f t="shared" si="10"/>
        <v>14</v>
      </c>
      <c r="B44" s="2"/>
      <c r="C44" s="2"/>
      <c r="D44" s="115"/>
      <c r="E44" s="43"/>
      <c r="F44" s="11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263">
        <f t="shared" si="10"/>
        <v>15</v>
      </c>
      <c r="B45" s="2" t="s">
        <v>63</v>
      </c>
      <c r="C45" s="115"/>
      <c r="D45" s="115"/>
      <c r="E45" s="45">
        <f>+E42/$F$22</f>
        <v>0.11504391082001941</v>
      </c>
      <c r="F45" s="97">
        <f t="shared" ref="F45:AS45" si="12">+F42/$F$22</f>
        <v>0.11222749434999527</v>
      </c>
      <c r="G45" s="97">
        <f t="shared" si="12"/>
        <v>0.10913411658460068</v>
      </c>
      <c r="H45" s="97">
        <f t="shared" si="12"/>
        <v>0.10613933590488289</v>
      </c>
      <c r="I45" s="97">
        <f t="shared" si="12"/>
        <v>0.10323577172285457</v>
      </c>
      <c r="J45" s="97">
        <f t="shared" si="12"/>
        <v>0.10041661118806589</v>
      </c>
      <c r="K45" s="97">
        <f t="shared" si="12"/>
        <v>9.7675514564681598E-2</v>
      </c>
      <c r="L45" s="97">
        <f t="shared" si="12"/>
        <v>9.5006615231481018E-2</v>
      </c>
      <c r="M45" s="97">
        <f t="shared" si="12"/>
        <v>9.2378025263441951E-2</v>
      </c>
      <c r="N45" s="97">
        <f t="shared" si="12"/>
        <v>8.9755207293700651E-2</v>
      </c>
      <c r="O45" s="97">
        <f t="shared" si="12"/>
        <v>8.7132389323959364E-2</v>
      </c>
      <c r="P45" s="97">
        <f t="shared" si="12"/>
        <v>8.4509571354218077E-2</v>
      </c>
      <c r="Q45" s="97">
        <f t="shared" si="12"/>
        <v>8.1886753384476776E-2</v>
      </c>
      <c r="R45" s="97">
        <f t="shared" si="12"/>
        <v>7.9263935414735504E-2</v>
      </c>
      <c r="S45" s="97">
        <f t="shared" si="12"/>
        <v>7.6641117444994189E-2</v>
      </c>
      <c r="T45" s="97">
        <f t="shared" si="12"/>
        <v>7.4018299475252916E-2</v>
      </c>
      <c r="U45" s="97">
        <f t="shared" si="12"/>
        <v>7.1395481505511629E-2</v>
      </c>
      <c r="V45" s="97">
        <f t="shared" si="12"/>
        <v>6.8772663535770343E-2</v>
      </c>
      <c r="W45" s="97">
        <f t="shared" si="12"/>
        <v>6.6149845566029042E-2</v>
      </c>
      <c r="X45" s="97">
        <f t="shared" si="12"/>
        <v>6.3527027596287755E-2</v>
      </c>
      <c r="Y45" s="97">
        <f t="shared" si="12"/>
        <v>6.1115313367568487E-2</v>
      </c>
      <c r="Z45" s="97">
        <f t="shared" si="12"/>
        <v>5.912571199797035E-2</v>
      </c>
      <c r="AA45" s="97">
        <f t="shared" si="12"/>
        <v>5.7347214369394266E-2</v>
      </c>
      <c r="AB45" s="97">
        <f t="shared" si="12"/>
        <v>5.5568716740818154E-2</v>
      </c>
      <c r="AC45" s="97">
        <f t="shared" si="12"/>
        <v>5.3790219112242063E-2</v>
      </c>
      <c r="AD45" s="97">
        <f t="shared" si="12"/>
        <v>5.2011721483665958E-2</v>
      </c>
      <c r="AE45" s="97">
        <f t="shared" si="12"/>
        <v>5.0233223855089854E-2</v>
      </c>
      <c r="AF45" s="97">
        <f t="shared" si="12"/>
        <v>4.8454726226513749E-2</v>
      </c>
      <c r="AG45" s="97">
        <f t="shared" si="12"/>
        <v>4.6676228597937651E-2</v>
      </c>
      <c r="AH45" s="97">
        <f t="shared" si="12"/>
        <v>4.4897730969361546E-2</v>
      </c>
      <c r="AI45" s="97">
        <f t="shared" si="12"/>
        <v>4.3119233340785441E-2</v>
      </c>
      <c r="AJ45" s="97">
        <f t="shared" si="12"/>
        <v>4.1340735712209337E-2</v>
      </c>
      <c r="AK45" s="97">
        <f t="shared" si="12"/>
        <v>3.9562238083633239E-2</v>
      </c>
      <c r="AL45" s="97">
        <f t="shared" si="12"/>
        <v>3.7783740455057134E-2</v>
      </c>
      <c r="AM45" s="97">
        <f t="shared" si="12"/>
        <v>3.6005242826481029E-2</v>
      </c>
      <c r="AN45" s="97">
        <f t="shared" si="12"/>
        <v>3.4226745197904924E-2</v>
      </c>
      <c r="AO45" s="97">
        <f t="shared" si="12"/>
        <v>3.2448247569328827E-2</v>
      </c>
      <c r="AP45" s="97">
        <f t="shared" si="12"/>
        <v>3.0669749940752725E-2</v>
      </c>
      <c r="AQ45" s="97">
        <f t="shared" si="12"/>
        <v>2.8891252312176624E-2</v>
      </c>
      <c r="AR45" s="97">
        <f t="shared" si="12"/>
        <v>2.5603191959658142E-2</v>
      </c>
      <c r="AS45" s="97">
        <f t="shared" si="12"/>
        <v>1.5877337150349934E-4</v>
      </c>
    </row>
    <row r="46" spans="1:46" outlineLevel="1" x14ac:dyDescent="0.2">
      <c r="A46" s="263">
        <f t="shared" si="10"/>
        <v>16</v>
      </c>
      <c r="B46" s="2"/>
      <c r="C46" s="2"/>
      <c r="D46" s="115"/>
      <c r="E46" s="43"/>
      <c r="F46" s="11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263">
        <f t="shared" si="10"/>
        <v>17</v>
      </c>
      <c r="B47" s="2"/>
      <c r="C47" s="2"/>
      <c r="D47" s="115"/>
      <c r="E47" s="43">
        <f>+E27/2</f>
        <v>551074.12152937788</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263">
        <f t="shared" si="10"/>
        <v>18</v>
      </c>
      <c r="B48" s="2"/>
      <c r="C48" s="2"/>
      <c r="D48" s="115"/>
      <c r="E48" s="43">
        <f>+E60/2</f>
        <v>57991.082427247544</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263">
        <f t="shared" si="10"/>
        <v>19</v>
      </c>
      <c r="B49" s="46" t="s">
        <v>64</v>
      </c>
      <c r="C49" s="2"/>
      <c r="D49" s="115"/>
      <c r="E49" s="41">
        <f>F22-E27/2-E60/2</f>
        <v>43509448.560720682</v>
      </c>
      <c r="F49" s="113">
        <f>$F$22-(SUM($E$27:E27)+F27/2)-(SUM($E$60:E60)+F60/2)</f>
        <v>42130618.672345281</v>
      </c>
      <c r="G49" s="113">
        <f>$F$22-(SUM($E$27:F27)+G27/2)-(SUM($E$60:F60)+G60/2)</f>
        <v>40616197.149691209</v>
      </c>
      <c r="H49" s="113">
        <f>$F$22-(SUM($E$27:G27)+H27/2)-(SUM($E$60:G60)+H60/2)</f>
        <v>39150045.692947075</v>
      </c>
      <c r="I49" s="113">
        <f>$F$22-(SUM($E$27:H27)+I27/2)-(SUM($E$60:H60)+I60/2)</f>
        <v>37728550.995835543</v>
      </c>
      <c r="J49" s="113">
        <f>$F$22-(SUM($E$27:I27)+J27/2)-(SUM($E$60:I60)+J60/2)</f>
        <v>36348377.698716007</v>
      </c>
      <c r="K49" s="113">
        <f>$F$22-(SUM($E$27:J27)+K27/2)-(SUM($E$60:J60)+K60/2)</f>
        <v>35006422.064145125</v>
      </c>
      <c r="L49" s="113">
        <f>$F$22-(SUM($E$27:K27)+L27/2)-(SUM($E$60:K60)+L60/2)</f>
        <v>33699811.976876818</v>
      </c>
      <c r="M49" s="113">
        <f>$F$22-(SUM($E$27:L27)+M27/2)-(SUM($E$60:L60)+M60/2)</f>
        <v>32412936.100815445</v>
      </c>
      <c r="N49" s="113">
        <f>$F$22-(SUM($E$27:M27)+N27/2)-(SUM($E$60:M60)+N60/2)</f>
        <v>31128886.015560701</v>
      </c>
      <c r="O49" s="113">
        <f>$F$22-(SUM($E$27:N27)+O27/2)-(SUM($E$60:N60)+O60/2)</f>
        <v>29844835.930305958</v>
      </c>
      <c r="P49" s="113">
        <f>$F$22-(SUM($E$27:O27)+P27/2)-(SUM($E$60:O60)+P60/2)</f>
        <v>28560785.845051214</v>
      </c>
      <c r="Q49" s="113">
        <f>$F$22-(SUM($E$27:P27)+Q27/2)-(SUM($E$60:P60)+Q60/2)</f>
        <v>27276735.75979647</v>
      </c>
      <c r="R49" s="113">
        <f>$F$22-(SUM($E$27:Q27)+R27/2)-(SUM($E$60:Q60)+R60/2)</f>
        <v>25992685.674541727</v>
      </c>
      <c r="S49" s="113">
        <f>$F$22-(SUM($E$27:R27)+S27/2)-(SUM($E$60:R60)+S60/2)</f>
        <v>24708635.589286983</v>
      </c>
      <c r="T49" s="113">
        <f>$F$22-(SUM($E$27:S27)+T27/2)-(SUM($E$60:S60)+T60/2)</f>
        <v>23424585.504032243</v>
      </c>
      <c r="U49" s="113">
        <f>$F$22-(SUM($E$27:T27)+U27/2)-(SUM($E$60:T60)+U60/2)</f>
        <v>22140535.418777499</v>
      </c>
      <c r="V49" s="113">
        <f>$F$22-(SUM($E$27:U27)+V27/2)-(SUM($E$60:U60)+V60/2)</f>
        <v>20856485.333522756</v>
      </c>
      <c r="W49" s="113">
        <f>$F$22-(SUM($E$27:V27)+W27/2)-(SUM($E$60:V60)+W60/2)</f>
        <v>19572435.248268012</v>
      </c>
      <c r="X49" s="113">
        <f>$F$22-(SUM($E$27:W27)+X27/2)-(SUM($E$60:W60)+X60/2)</f>
        <v>18288385.163013268</v>
      </c>
      <c r="Y49" s="113">
        <f>$F$22-(SUM($E$27:X27)+Y27/2)-(SUM($E$60:X60)+Y60/2)</f>
        <v>17107684.902177967</v>
      </c>
      <c r="Z49" s="113">
        <f>$F$22-(SUM($E$27:Y27)+Z27/2)-(SUM($E$60:Y60)+Z60/2)</f>
        <v>16133637.965742107</v>
      </c>
      <c r="AA49" s="113">
        <f>$F$22-(SUM($E$27:Z27)+AA27/2)-(SUM($E$60:Z60)+AA60/2)</f>
        <v>15262940.85372569</v>
      </c>
      <c r="AB49" s="113">
        <f>$F$22-(SUM($E$27:AA27)+AB27/2)-(SUM($E$60:AA60)+AB60/2)</f>
        <v>14392243.741709273</v>
      </c>
      <c r="AC49" s="113">
        <f>$F$22-(SUM($E$27:AB27)+AC27/2)-(SUM($E$60:AB60)+AC60/2)</f>
        <v>13521546.629692856</v>
      </c>
      <c r="AD49" s="113">
        <f>$F$22-(SUM($E$27:AC27)+AD27/2)-(SUM($E$60:AC60)+AD60/2)</f>
        <v>12650849.517676439</v>
      </c>
      <c r="AE49" s="113">
        <f>$F$22-(SUM($E$27:AD27)+AE27/2)-(SUM($E$60:AD60)+AE60/2)</f>
        <v>11780152.405660022</v>
      </c>
      <c r="AF49" s="113">
        <f>$F$22-(SUM($E$27:AE27)+AF27/2)-(SUM($E$60:AE60)+AF60/2)</f>
        <v>10909455.293643605</v>
      </c>
      <c r="AG49" s="113">
        <f>$F$22-(SUM($E$27:AF27)+AG27/2)-(SUM($E$60:AF60)+AG60/2)</f>
        <v>10038758.181627188</v>
      </c>
      <c r="AH49" s="113">
        <f>$F$22-(SUM($E$27:AG27)+AH27/2)-(SUM($E$60:AG60)+AH60/2)</f>
        <v>9168061.0696107708</v>
      </c>
      <c r="AI49" s="113">
        <f>$F$22-(SUM($E$27:AH27)+AI27/2)-(SUM($E$60:AH60)+AI60/2)</f>
        <v>8297363.9575943565</v>
      </c>
      <c r="AJ49" s="113">
        <f>$F$22-(SUM($E$27:AI27)+AJ27/2)-(SUM($E$60:AI60)+AJ60/2)</f>
        <v>7426666.8455779394</v>
      </c>
      <c r="AK49" s="113">
        <f>$F$22-(SUM($E$27:AJ27)+AK27/2)-(SUM($E$60:AJ60)+AK60/2)</f>
        <v>6555969.7335615214</v>
      </c>
      <c r="AL49" s="113">
        <f>$F$22-(SUM($E$27:AK27)+AL27/2)-(SUM($E$60:AK60)+AL60/2)</f>
        <v>5685272.6215451043</v>
      </c>
      <c r="AM49" s="113">
        <f>$F$22-(SUM($E$27:AL27)+AM27/2)-(SUM($E$60:AL60)+AM60/2)</f>
        <v>4814575.5095286872</v>
      </c>
      <c r="AN49" s="113">
        <f>$F$22-(SUM($E$27:AM27)+AN27/2)-(SUM($E$60:AM60)+AN60/2)</f>
        <v>3943878.3975122697</v>
      </c>
      <c r="AO49" s="113">
        <f>$F$22-(SUM($E$27:AN27)+AO27/2)-(SUM($E$60:AN60)+AO60/2)</f>
        <v>3073181.2854958526</v>
      </c>
      <c r="AP49" s="113">
        <f>$F$22-(SUM($E$27:AO27)+AP27/2)-(SUM($E$60:AO60)+AP60/2)</f>
        <v>2202484.173479435</v>
      </c>
      <c r="AQ49" s="113">
        <f>$F$22-(SUM($E$27:AP27)+AQ27/2)-(SUM($E$60:AP60)+AQ60/2)</f>
        <v>1331787.0614630179</v>
      </c>
      <c r="AR49" s="113">
        <f>$F$22-(SUM($E$27:AQ27)+AR27/2)-(SUM($E$60:AQ60)+AR60/2)</f>
        <v>487084.50444660056</v>
      </c>
      <c r="AS49" s="113">
        <f>$F$22-(SUM($E$27:AR27)+AS27/2)-(SUM($E$60:AR60)+AS60/2)</f>
        <v>77730.503438391897</v>
      </c>
      <c r="AT49" s="100">
        <f t="shared" ref="AT49:AT60" si="13">SUM(D49:AS49)</f>
        <v>787258725.54915905</v>
      </c>
    </row>
    <row r="50" spans="1:46" x14ac:dyDescent="0.2">
      <c r="A50" s="263">
        <f t="shared" si="10"/>
        <v>20</v>
      </c>
      <c r="B50" s="2"/>
      <c r="C50" s="2"/>
      <c r="D50" s="115"/>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100">
        <f t="shared" si="13"/>
        <v>0</v>
      </c>
    </row>
    <row r="51" spans="1:46" x14ac:dyDescent="0.2">
      <c r="A51" s="263">
        <f t="shared" si="10"/>
        <v>21</v>
      </c>
      <c r="B51" s="2"/>
      <c r="C51" s="2"/>
      <c r="D51" s="115"/>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100">
        <f t="shared" si="13"/>
        <v>0</v>
      </c>
    </row>
    <row r="52" spans="1:46" x14ac:dyDescent="0.2">
      <c r="A52" s="263">
        <f t="shared" si="10"/>
        <v>22</v>
      </c>
      <c r="B52" s="2" t="s">
        <v>65</v>
      </c>
      <c r="C52" s="2"/>
      <c r="D52" s="115"/>
      <c r="E52" s="38">
        <f>(E34)/(1-$F$15)</f>
        <v>2511431.4612264088</v>
      </c>
      <c r="F52" s="98">
        <f t="shared" ref="F52:AS52" si="14">(F34)/(1-$F$15)</f>
        <v>2431843.3056442342</v>
      </c>
      <c r="G52" s="98">
        <f t="shared" si="14"/>
        <v>2344428.594969518</v>
      </c>
      <c r="H52" s="98">
        <f t="shared" si="14"/>
        <v>2259800.1058207424</v>
      </c>
      <c r="I52" s="98">
        <f t="shared" si="14"/>
        <v>2177749.2726710136</v>
      </c>
      <c r="J52" s="98">
        <f t="shared" si="14"/>
        <v>2098083.5734955058</v>
      </c>
      <c r="K52" s="98">
        <f t="shared" si="14"/>
        <v>2020623.8558544528</v>
      </c>
      <c r="L52" s="98">
        <f t="shared" si="14"/>
        <v>1945204.3368931429</v>
      </c>
      <c r="M52" s="98">
        <f t="shared" si="14"/>
        <v>1870923.9065787145</v>
      </c>
      <c r="N52" s="98">
        <f t="shared" si="14"/>
        <v>1796806.5852019847</v>
      </c>
      <c r="O52" s="98">
        <f t="shared" si="14"/>
        <v>1722689.2638252552</v>
      </c>
      <c r="P52" s="98">
        <f t="shared" si="14"/>
        <v>1648571.9424485257</v>
      </c>
      <c r="Q52" s="98">
        <f t="shared" si="14"/>
        <v>1574454.6210717964</v>
      </c>
      <c r="R52" s="98">
        <f t="shared" si="14"/>
        <v>1500337.2996950669</v>
      </c>
      <c r="S52" s="98">
        <f t="shared" si="14"/>
        <v>1426219.9783183371</v>
      </c>
      <c r="T52" s="98">
        <f t="shared" si="14"/>
        <v>1352102.6569416081</v>
      </c>
      <c r="U52" s="98">
        <f t="shared" si="14"/>
        <v>1277985.3355648783</v>
      </c>
      <c r="V52" s="98">
        <f t="shared" si="14"/>
        <v>1203868.014188149</v>
      </c>
      <c r="W52" s="98">
        <f t="shared" si="14"/>
        <v>1129750.6928114193</v>
      </c>
      <c r="X52" s="98">
        <f t="shared" si="14"/>
        <v>1055633.37143469</v>
      </c>
      <c r="Y52" s="98">
        <f t="shared" si="14"/>
        <v>987481.55891052575</v>
      </c>
      <c r="Z52" s="98">
        <f t="shared" si="14"/>
        <v>931258.09017448116</v>
      </c>
      <c r="AA52" s="98">
        <f t="shared" si="14"/>
        <v>881000.13029100187</v>
      </c>
      <c r="AB52" s="98">
        <f t="shared" si="14"/>
        <v>830742.1704075227</v>
      </c>
      <c r="AC52" s="98">
        <f t="shared" si="14"/>
        <v>780484.21052404342</v>
      </c>
      <c r="AD52" s="98">
        <f t="shared" si="14"/>
        <v>730226.25064056413</v>
      </c>
      <c r="AE52" s="98">
        <f t="shared" si="14"/>
        <v>679968.29075708485</v>
      </c>
      <c r="AF52" s="98">
        <f t="shared" si="14"/>
        <v>629710.33087360556</v>
      </c>
      <c r="AG52" s="98">
        <f t="shared" si="14"/>
        <v>579452.37099012628</v>
      </c>
      <c r="AH52" s="98">
        <f t="shared" si="14"/>
        <v>529194.41110664699</v>
      </c>
      <c r="AI52" s="98">
        <f t="shared" si="14"/>
        <v>478936.45122316788</v>
      </c>
      <c r="AJ52" s="98">
        <f t="shared" si="14"/>
        <v>428678.49133968865</v>
      </c>
      <c r="AK52" s="98">
        <f t="shared" si="14"/>
        <v>378420.53145620937</v>
      </c>
      <c r="AL52" s="98">
        <f t="shared" si="14"/>
        <v>328162.57157273008</v>
      </c>
      <c r="AM52" s="98">
        <f t="shared" si="14"/>
        <v>277904.6116892508</v>
      </c>
      <c r="AN52" s="98">
        <f t="shared" si="14"/>
        <v>227646.65180577149</v>
      </c>
      <c r="AO52" s="98">
        <f t="shared" si="14"/>
        <v>177388.69192229223</v>
      </c>
      <c r="AP52" s="98">
        <f t="shared" si="14"/>
        <v>127130.73203881296</v>
      </c>
      <c r="AQ52" s="98">
        <f t="shared" si="14"/>
        <v>76872.772155333689</v>
      </c>
      <c r="AR52" s="98">
        <f t="shared" si="14"/>
        <v>28115.257471854413</v>
      </c>
      <c r="AS52" s="98">
        <f t="shared" si="14"/>
        <v>4486.7227301147732</v>
      </c>
      <c r="AT52" s="100">
        <f t="shared" si="13"/>
        <v>45441769.474736273</v>
      </c>
    </row>
    <row r="53" spans="1:46" x14ac:dyDescent="0.2">
      <c r="A53" s="263">
        <f t="shared" si="10"/>
        <v>23</v>
      </c>
      <c r="B53" s="2" t="s">
        <v>66</v>
      </c>
      <c r="C53" s="2"/>
      <c r="D53" s="115"/>
      <c r="E53" s="40">
        <f t="shared" ref="E53:AS53" si="15">E52*$F15</f>
        <v>527400.60685754579</v>
      </c>
      <c r="F53" s="96">
        <f t="shared" si="15"/>
        <v>510687.09418528917</v>
      </c>
      <c r="G53" s="96">
        <f t="shared" si="15"/>
        <v>492330.00494359876</v>
      </c>
      <c r="H53" s="96">
        <f t="shared" si="15"/>
        <v>474558.02222235588</v>
      </c>
      <c r="I53" s="96">
        <f t="shared" si="15"/>
        <v>457327.34726091282</v>
      </c>
      <c r="J53" s="96">
        <f t="shared" si="15"/>
        <v>440597.5504340562</v>
      </c>
      <c r="K53" s="96">
        <f t="shared" si="15"/>
        <v>424331.00972943509</v>
      </c>
      <c r="L53" s="96">
        <f t="shared" si="15"/>
        <v>408492.91074755997</v>
      </c>
      <c r="M53" s="96">
        <f t="shared" si="15"/>
        <v>392894.02038153005</v>
      </c>
      <c r="N53" s="96">
        <f t="shared" si="15"/>
        <v>377329.38289241679</v>
      </c>
      <c r="O53" s="96">
        <f t="shared" si="15"/>
        <v>361764.74540330359</v>
      </c>
      <c r="P53" s="96">
        <f t="shared" si="15"/>
        <v>346200.10791419039</v>
      </c>
      <c r="Q53" s="96">
        <f t="shared" si="15"/>
        <v>330635.47042507725</v>
      </c>
      <c r="R53" s="96">
        <f t="shared" si="15"/>
        <v>315070.83293596405</v>
      </c>
      <c r="S53" s="96">
        <f t="shared" si="15"/>
        <v>299506.19544685079</v>
      </c>
      <c r="T53" s="96">
        <f t="shared" si="15"/>
        <v>283941.55795773771</v>
      </c>
      <c r="U53" s="96">
        <f t="shared" si="15"/>
        <v>268376.92046862445</v>
      </c>
      <c r="V53" s="96">
        <f t="shared" si="15"/>
        <v>252812.28297951128</v>
      </c>
      <c r="W53" s="96">
        <f t="shared" si="15"/>
        <v>237247.64549039805</v>
      </c>
      <c r="X53" s="96">
        <f t="shared" si="15"/>
        <v>221683.00800128488</v>
      </c>
      <c r="Y53" s="96">
        <f t="shared" si="15"/>
        <v>207371.1273712104</v>
      </c>
      <c r="Z53" s="96">
        <f t="shared" si="15"/>
        <v>195564.19893664104</v>
      </c>
      <c r="AA53" s="96">
        <f t="shared" si="15"/>
        <v>185010.02736111038</v>
      </c>
      <c r="AB53" s="96">
        <f t="shared" si="15"/>
        <v>174455.85578557977</v>
      </c>
      <c r="AC53" s="96">
        <f t="shared" si="15"/>
        <v>163901.6842100491</v>
      </c>
      <c r="AD53" s="96">
        <f t="shared" si="15"/>
        <v>153347.51263451847</v>
      </c>
      <c r="AE53" s="96">
        <f t="shared" si="15"/>
        <v>142793.3410589878</v>
      </c>
      <c r="AF53" s="96">
        <f t="shared" si="15"/>
        <v>132239.16948345717</v>
      </c>
      <c r="AG53" s="96">
        <f t="shared" si="15"/>
        <v>121684.99790792652</v>
      </c>
      <c r="AH53" s="96">
        <f t="shared" si="15"/>
        <v>111130.82633239587</v>
      </c>
      <c r="AI53" s="96">
        <f t="shared" si="15"/>
        <v>100576.65475686525</v>
      </c>
      <c r="AJ53" s="96">
        <f t="shared" si="15"/>
        <v>90022.48318133461</v>
      </c>
      <c r="AK53" s="96">
        <f t="shared" si="15"/>
        <v>79468.31160580396</v>
      </c>
      <c r="AL53" s="96">
        <f t="shared" si="15"/>
        <v>68914.140030273309</v>
      </c>
      <c r="AM53" s="96">
        <f t="shared" si="15"/>
        <v>58359.968454742666</v>
      </c>
      <c r="AN53" s="96">
        <f t="shared" si="15"/>
        <v>47805.796879212008</v>
      </c>
      <c r="AO53" s="96">
        <f t="shared" si="15"/>
        <v>37251.625303681365</v>
      </c>
      <c r="AP53" s="96">
        <f t="shared" si="15"/>
        <v>26697.453728150722</v>
      </c>
      <c r="AQ53" s="96">
        <f t="shared" si="15"/>
        <v>16143.282152620073</v>
      </c>
      <c r="AR53" s="96">
        <f t="shared" si="15"/>
        <v>5904.2040690894264</v>
      </c>
      <c r="AS53" s="96">
        <f t="shared" si="15"/>
        <v>942.2117733241023</v>
      </c>
      <c r="AT53" s="100">
        <f t="shared" si="13"/>
        <v>9542771.5896946173</v>
      </c>
    </row>
    <row r="54" spans="1:46" x14ac:dyDescent="0.2">
      <c r="A54" s="263">
        <f t="shared" si="10"/>
        <v>24</v>
      </c>
      <c r="B54" s="2" t="s">
        <v>67</v>
      </c>
      <c r="C54" s="2"/>
      <c r="D54" s="115"/>
      <c r="E54" s="38">
        <f>E52-E53</f>
        <v>1984030.8543688632</v>
      </c>
      <c r="F54" s="98">
        <f t="shared" ref="F54:AS54" si="16">F52-F53</f>
        <v>1921156.2114589449</v>
      </c>
      <c r="G54" s="98">
        <f t="shared" si="16"/>
        <v>1852098.5900259193</v>
      </c>
      <c r="H54" s="98">
        <f t="shared" si="16"/>
        <v>1785242.0835983865</v>
      </c>
      <c r="I54" s="98">
        <f t="shared" si="16"/>
        <v>1720421.9254101007</v>
      </c>
      <c r="J54" s="98">
        <f t="shared" si="16"/>
        <v>1657486.0230614496</v>
      </c>
      <c r="K54" s="98">
        <f t="shared" si="16"/>
        <v>1596292.8461250179</v>
      </c>
      <c r="L54" s="98">
        <f t="shared" si="16"/>
        <v>1536711.4261455829</v>
      </c>
      <c r="M54" s="98">
        <f t="shared" si="16"/>
        <v>1478029.8861971844</v>
      </c>
      <c r="N54" s="98">
        <f t="shared" si="16"/>
        <v>1419477.2023095679</v>
      </c>
      <c r="O54" s="98">
        <f t="shared" si="16"/>
        <v>1360924.5184219517</v>
      </c>
      <c r="P54" s="98">
        <f t="shared" si="16"/>
        <v>1302371.8345343354</v>
      </c>
      <c r="Q54" s="98">
        <f t="shared" si="16"/>
        <v>1243819.1506467192</v>
      </c>
      <c r="R54" s="98">
        <f t="shared" si="16"/>
        <v>1185266.4667591029</v>
      </c>
      <c r="S54" s="98">
        <f t="shared" si="16"/>
        <v>1126713.7828714864</v>
      </c>
      <c r="T54" s="98">
        <f t="shared" si="16"/>
        <v>1068161.0989838704</v>
      </c>
      <c r="U54" s="98">
        <f t="shared" si="16"/>
        <v>1009608.4150962539</v>
      </c>
      <c r="V54" s="98">
        <f t="shared" si="16"/>
        <v>951055.73120863771</v>
      </c>
      <c r="W54" s="98">
        <f t="shared" si="16"/>
        <v>892503.04732102121</v>
      </c>
      <c r="X54" s="98">
        <f t="shared" si="16"/>
        <v>833950.36343340506</v>
      </c>
      <c r="Y54" s="98">
        <f t="shared" si="16"/>
        <v>780110.43153931538</v>
      </c>
      <c r="Z54" s="98">
        <f t="shared" si="16"/>
        <v>735693.89123784006</v>
      </c>
      <c r="AA54" s="98">
        <f t="shared" si="16"/>
        <v>695990.10292989155</v>
      </c>
      <c r="AB54" s="98">
        <f t="shared" si="16"/>
        <v>656286.31462194293</v>
      </c>
      <c r="AC54" s="98">
        <f t="shared" si="16"/>
        <v>616582.52631399431</v>
      </c>
      <c r="AD54" s="98">
        <f t="shared" si="16"/>
        <v>576878.73800604569</v>
      </c>
      <c r="AE54" s="98">
        <f t="shared" si="16"/>
        <v>537174.94969809707</v>
      </c>
      <c r="AF54" s="98">
        <f t="shared" si="16"/>
        <v>497471.16139014839</v>
      </c>
      <c r="AG54" s="98">
        <f t="shared" si="16"/>
        <v>457767.37308219977</v>
      </c>
      <c r="AH54" s="98">
        <f t="shared" si="16"/>
        <v>418063.5847742511</v>
      </c>
      <c r="AI54" s="98">
        <f t="shared" si="16"/>
        <v>378359.79646630265</v>
      </c>
      <c r="AJ54" s="98">
        <f t="shared" si="16"/>
        <v>338656.00815835403</v>
      </c>
      <c r="AK54" s="98">
        <f t="shared" si="16"/>
        <v>298952.21985040541</v>
      </c>
      <c r="AL54" s="98">
        <f t="shared" si="16"/>
        <v>259248.43154245679</v>
      </c>
      <c r="AM54" s="98">
        <f t="shared" si="16"/>
        <v>219544.64323450814</v>
      </c>
      <c r="AN54" s="98">
        <f t="shared" si="16"/>
        <v>179840.85492655949</v>
      </c>
      <c r="AO54" s="98">
        <f t="shared" si="16"/>
        <v>140137.06661861087</v>
      </c>
      <c r="AP54" s="98">
        <f t="shared" si="16"/>
        <v>100433.27831066224</v>
      </c>
      <c r="AQ54" s="98">
        <f t="shared" si="16"/>
        <v>60729.490002713617</v>
      </c>
      <c r="AR54" s="98">
        <f t="shared" si="16"/>
        <v>22211.053402764985</v>
      </c>
      <c r="AS54" s="98">
        <f t="shared" si="16"/>
        <v>3544.5109567906711</v>
      </c>
      <c r="AT54" s="100">
        <f t="shared" si="13"/>
        <v>35898997.885041669</v>
      </c>
    </row>
    <row r="55" spans="1:46" x14ac:dyDescent="0.2">
      <c r="A55" s="263">
        <f t="shared" si="10"/>
        <v>25</v>
      </c>
      <c r="B55" s="2"/>
      <c r="C55" s="2"/>
      <c r="D55" s="115"/>
      <c r="E55" s="117"/>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00">
        <f t="shared" si="13"/>
        <v>0</v>
      </c>
    </row>
    <row r="56" spans="1:46" x14ac:dyDescent="0.2">
      <c r="A56" s="263">
        <f t="shared" si="10"/>
        <v>26</v>
      </c>
      <c r="B56" s="2"/>
      <c r="C56" s="2"/>
      <c r="D56" s="115"/>
      <c r="E56" s="84"/>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00">
        <f t="shared" si="13"/>
        <v>0</v>
      </c>
    </row>
    <row r="57" spans="1:46" x14ac:dyDescent="0.2">
      <c r="A57" s="263">
        <f t="shared" si="10"/>
        <v>27</v>
      </c>
      <c r="B57" s="2" t="s">
        <v>68</v>
      </c>
      <c r="C57" s="2"/>
      <c r="D57" s="115"/>
      <c r="E57" s="117">
        <f>E27+E28</f>
        <v>1102148.2430587558</v>
      </c>
      <c r="F57" s="98">
        <f>F27</f>
        <v>1102148.2430587558</v>
      </c>
      <c r="G57" s="98">
        <f>G27</f>
        <v>1102148.2430587558</v>
      </c>
      <c r="H57" s="98">
        <f t="shared" ref="H57:AS57" si="17">H27</f>
        <v>1102148.2430587558</v>
      </c>
      <c r="I57" s="98">
        <f t="shared" si="17"/>
        <v>1102148.2430587558</v>
      </c>
      <c r="J57" s="98">
        <f t="shared" si="17"/>
        <v>1102148.2430587558</v>
      </c>
      <c r="K57" s="98">
        <f t="shared" si="17"/>
        <v>1102148.2430587558</v>
      </c>
      <c r="L57" s="98">
        <f t="shared" si="17"/>
        <v>1102148.2430587558</v>
      </c>
      <c r="M57" s="98">
        <f t="shared" si="17"/>
        <v>1102148.2430587558</v>
      </c>
      <c r="N57" s="98">
        <f t="shared" si="17"/>
        <v>1102148.2430587558</v>
      </c>
      <c r="O57" s="98">
        <f t="shared" si="17"/>
        <v>1102148.2430587558</v>
      </c>
      <c r="P57" s="98">
        <f t="shared" si="17"/>
        <v>1102148.2430587558</v>
      </c>
      <c r="Q57" s="98">
        <f t="shared" si="17"/>
        <v>1102148.2430587558</v>
      </c>
      <c r="R57" s="98">
        <f t="shared" si="17"/>
        <v>1102148.2430587558</v>
      </c>
      <c r="S57" s="98">
        <f t="shared" si="17"/>
        <v>1102148.2430587558</v>
      </c>
      <c r="T57" s="98">
        <f t="shared" si="17"/>
        <v>1102148.2430587558</v>
      </c>
      <c r="U57" s="98">
        <f t="shared" si="17"/>
        <v>1102148.2430587558</v>
      </c>
      <c r="V57" s="98">
        <f t="shared" si="17"/>
        <v>1102148.2430587558</v>
      </c>
      <c r="W57" s="98">
        <f t="shared" si="17"/>
        <v>1102148.2430587558</v>
      </c>
      <c r="X57" s="98">
        <f t="shared" si="17"/>
        <v>1102148.2430587558</v>
      </c>
      <c r="Y57" s="98">
        <f t="shared" si="17"/>
        <v>1102148.2430587558</v>
      </c>
      <c r="Z57" s="98">
        <f t="shared" si="17"/>
        <v>1102148.2430587558</v>
      </c>
      <c r="AA57" s="98">
        <f t="shared" si="17"/>
        <v>1102148.2430587558</v>
      </c>
      <c r="AB57" s="98">
        <f t="shared" si="17"/>
        <v>1102148.2430587558</v>
      </c>
      <c r="AC57" s="98">
        <f t="shared" si="17"/>
        <v>1102148.2430587558</v>
      </c>
      <c r="AD57" s="98">
        <f t="shared" si="17"/>
        <v>1102148.2430587558</v>
      </c>
      <c r="AE57" s="98">
        <f t="shared" si="17"/>
        <v>1102148.2430587558</v>
      </c>
      <c r="AF57" s="98">
        <f t="shared" si="17"/>
        <v>1102148.2430587558</v>
      </c>
      <c r="AG57" s="98">
        <f t="shared" si="17"/>
        <v>1102148.2430587558</v>
      </c>
      <c r="AH57" s="98">
        <f t="shared" si="17"/>
        <v>1102148.2430587558</v>
      </c>
      <c r="AI57" s="98">
        <f t="shared" si="17"/>
        <v>1102148.2430587558</v>
      </c>
      <c r="AJ57" s="98">
        <f t="shared" si="17"/>
        <v>1102148.2430587558</v>
      </c>
      <c r="AK57" s="98">
        <f t="shared" si="17"/>
        <v>1102148.2430587558</v>
      </c>
      <c r="AL57" s="98">
        <f t="shared" si="17"/>
        <v>1102148.2430587558</v>
      </c>
      <c r="AM57" s="98">
        <f t="shared" si="17"/>
        <v>1102148.2430587558</v>
      </c>
      <c r="AN57" s="98">
        <f t="shared" si="17"/>
        <v>1102148.2430587558</v>
      </c>
      <c r="AO57" s="98">
        <f t="shared" si="17"/>
        <v>1102148.2430587558</v>
      </c>
      <c r="AP57" s="98">
        <f t="shared" si="17"/>
        <v>1102148.2430587558</v>
      </c>
      <c r="AQ57" s="98">
        <f t="shared" si="17"/>
        <v>1102148.2430587558</v>
      </c>
      <c r="AR57" s="98">
        <f t="shared" si="17"/>
        <v>1036339.2430587558</v>
      </c>
      <c r="AS57" s="98">
        <f t="shared" si="17"/>
        <v>0</v>
      </c>
      <c r="AT57" s="100">
        <f t="shared" si="13"/>
        <v>44020120.722350232</v>
      </c>
    </row>
    <row r="58" spans="1:46" x14ac:dyDescent="0.2">
      <c r="A58" s="263">
        <f t="shared" si="10"/>
        <v>28</v>
      </c>
      <c r="B58" s="2" t="s">
        <v>69</v>
      </c>
      <c r="C58" s="2"/>
      <c r="D58" s="115"/>
      <c r="E58" s="38">
        <f>$F22*E62</f>
        <v>1654444.2661753991</v>
      </c>
      <c r="F58" s="98">
        <f t="shared" ref="F58:AS58" si="18">$F22*F62</f>
        <v>3184915.5086720549</v>
      </c>
      <c r="G58" s="98">
        <f t="shared" si="18"/>
        <v>2945793.1640675035</v>
      </c>
      <c r="H58" s="98">
        <f t="shared" si="18"/>
        <v>2725200.5952441171</v>
      </c>
      <c r="I58" s="98">
        <f t="shared" si="18"/>
        <v>2520490.6913760146</v>
      </c>
      <c r="J58" s="98">
        <f t="shared" si="18"/>
        <v>2331663.4524631957</v>
      </c>
      <c r="K58" s="98">
        <f t="shared" si="18"/>
        <v>2156512.952817427</v>
      </c>
      <c r="L58" s="98">
        <f t="shared" si="18"/>
        <v>1995039.1924387079</v>
      </c>
      <c r="M58" s="98">
        <f t="shared" si="18"/>
        <v>1968568.0841799015</v>
      </c>
      <c r="N58" s="98">
        <f t="shared" si="18"/>
        <v>1968126.899042255</v>
      </c>
      <c r="O58" s="98">
        <f t="shared" si="18"/>
        <v>1968568.0841799015</v>
      </c>
      <c r="P58" s="98">
        <f t="shared" si="18"/>
        <v>1968126.899042255</v>
      </c>
      <c r="Q58" s="98">
        <f t="shared" si="18"/>
        <v>1968568.0841799015</v>
      </c>
      <c r="R58" s="98">
        <f t="shared" si="18"/>
        <v>1968126.899042255</v>
      </c>
      <c r="S58" s="98">
        <f t="shared" si="18"/>
        <v>1968568.0841799015</v>
      </c>
      <c r="T58" s="98">
        <f t="shared" si="18"/>
        <v>1968126.899042255</v>
      </c>
      <c r="U58" s="98">
        <f t="shared" si="18"/>
        <v>1968568.0841799015</v>
      </c>
      <c r="V58" s="98">
        <f t="shared" si="18"/>
        <v>1968126.899042255</v>
      </c>
      <c r="W58" s="98">
        <f t="shared" si="18"/>
        <v>1968568.0841799015</v>
      </c>
      <c r="X58" s="98">
        <f t="shared" si="18"/>
        <v>1968126.899042255</v>
      </c>
      <c r="Y58" s="98">
        <f t="shared" si="18"/>
        <v>984284.04208995076</v>
      </c>
      <c r="Z58" s="98">
        <f t="shared" si="18"/>
        <v>0</v>
      </c>
      <c r="AA58" s="98">
        <f t="shared" si="18"/>
        <v>0</v>
      </c>
      <c r="AB58" s="98">
        <f t="shared" si="18"/>
        <v>0</v>
      </c>
      <c r="AC58" s="98">
        <f t="shared" si="18"/>
        <v>0</v>
      </c>
      <c r="AD58" s="98">
        <f t="shared" si="18"/>
        <v>0</v>
      </c>
      <c r="AE58" s="98">
        <f t="shared" si="18"/>
        <v>0</v>
      </c>
      <c r="AF58" s="98">
        <f t="shared" si="18"/>
        <v>0</v>
      </c>
      <c r="AG58" s="98">
        <f t="shared" si="18"/>
        <v>0</v>
      </c>
      <c r="AH58" s="98">
        <f t="shared" si="18"/>
        <v>0</v>
      </c>
      <c r="AI58" s="98">
        <f t="shared" si="18"/>
        <v>0</v>
      </c>
      <c r="AJ58" s="98">
        <f t="shared" si="18"/>
        <v>0</v>
      </c>
      <c r="AK58" s="98">
        <f t="shared" si="18"/>
        <v>0</v>
      </c>
      <c r="AL58" s="98">
        <f t="shared" si="18"/>
        <v>0</v>
      </c>
      <c r="AM58" s="98">
        <f t="shared" si="18"/>
        <v>0</v>
      </c>
      <c r="AN58" s="98">
        <f t="shared" si="18"/>
        <v>0</v>
      </c>
      <c r="AO58" s="98">
        <f t="shared" si="18"/>
        <v>0</v>
      </c>
      <c r="AP58" s="98">
        <f t="shared" si="18"/>
        <v>0</v>
      </c>
      <c r="AQ58" s="98">
        <f t="shared" si="18"/>
        <v>0</v>
      </c>
      <c r="AR58" s="98">
        <f t="shared" si="18"/>
        <v>0</v>
      </c>
      <c r="AS58" s="98">
        <f t="shared" si="18"/>
        <v>0</v>
      </c>
      <c r="AT58" s="100">
        <f t="shared" si="13"/>
        <v>44118513.764677308</v>
      </c>
    </row>
    <row r="59" spans="1:46" x14ac:dyDescent="0.2">
      <c r="A59" s="263">
        <f t="shared" si="10"/>
        <v>29</v>
      </c>
      <c r="B59" s="2" t="s">
        <v>70</v>
      </c>
      <c r="C59" s="2"/>
      <c r="D59" s="115"/>
      <c r="E59" s="38">
        <f>E58-E57</f>
        <v>552296.02311664331</v>
      </c>
      <c r="F59" s="98">
        <f>F58-F57</f>
        <v>2082767.2656132991</v>
      </c>
      <c r="G59" s="98">
        <f>G58-G57</f>
        <v>1843644.9210087478</v>
      </c>
      <c r="H59" s="98">
        <f t="shared" ref="H59:AS59" si="19">H58-H57</f>
        <v>1623052.3521853613</v>
      </c>
      <c r="I59" s="98">
        <f t="shared" si="19"/>
        <v>1418342.4483172589</v>
      </c>
      <c r="J59" s="98">
        <f t="shared" si="19"/>
        <v>1229515.2094044399</v>
      </c>
      <c r="K59" s="98">
        <f t="shared" si="19"/>
        <v>1054364.7097586712</v>
      </c>
      <c r="L59" s="98">
        <f t="shared" si="19"/>
        <v>892890.94937995216</v>
      </c>
      <c r="M59" s="98">
        <f t="shared" si="19"/>
        <v>866419.84112114576</v>
      </c>
      <c r="N59" s="98">
        <f t="shared" si="19"/>
        <v>865978.65598349925</v>
      </c>
      <c r="O59" s="98">
        <f t="shared" si="19"/>
        <v>866419.84112114576</v>
      </c>
      <c r="P59" s="98">
        <f t="shared" si="19"/>
        <v>865978.65598349925</v>
      </c>
      <c r="Q59" s="98">
        <f t="shared" si="19"/>
        <v>866419.84112114576</v>
      </c>
      <c r="R59" s="98">
        <f t="shared" si="19"/>
        <v>865978.65598349925</v>
      </c>
      <c r="S59" s="98">
        <f t="shared" si="19"/>
        <v>866419.84112114576</v>
      </c>
      <c r="T59" s="98">
        <f t="shared" si="19"/>
        <v>865978.65598349925</v>
      </c>
      <c r="U59" s="98">
        <f t="shared" si="19"/>
        <v>866419.84112114576</v>
      </c>
      <c r="V59" s="98">
        <f t="shared" si="19"/>
        <v>865978.65598349925</v>
      </c>
      <c r="W59" s="98">
        <f t="shared" si="19"/>
        <v>866419.84112114576</v>
      </c>
      <c r="X59" s="98">
        <f t="shared" si="19"/>
        <v>865978.65598349925</v>
      </c>
      <c r="Y59" s="98">
        <f t="shared" si="19"/>
        <v>-117864.200968805</v>
      </c>
      <c r="Z59" s="98">
        <f t="shared" si="19"/>
        <v>-1102148.2430587558</v>
      </c>
      <c r="AA59" s="98">
        <f t="shared" si="19"/>
        <v>-1102148.2430587558</v>
      </c>
      <c r="AB59" s="98">
        <f t="shared" si="19"/>
        <v>-1102148.2430587558</v>
      </c>
      <c r="AC59" s="98">
        <f t="shared" si="19"/>
        <v>-1102148.2430587558</v>
      </c>
      <c r="AD59" s="98">
        <f t="shared" si="19"/>
        <v>-1102148.2430587558</v>
      </c>
      <c r="AE59" s="98">
        <f t="shared" si="19"/>
        <v>-1102148.2430587558</v>
      </c>
      <c r="AF59" s="98">
        <f t="shared" si="19"/>
        <v>-1102148.2430587558</v>
      </c>
      <c r="AG59" s="98">
        <f t="shared" si="19"/>
        <v>-1102148.2430587558</v>
      </c>
      <c r="AH59" s="98">
        <f t="shared" si="19"/>
        <v>-1102148.2430587558</v>
      </c>
      <c r="AI59" s="98">
        <f t="shared" si="19"/>
        <v>-1102148.2430587558</v>
      </c>
      <c r="AJ59" s="98">
        <f t="shared" si="19"/>
        <v>-1102148.2430587558</v>
      </c>
      <c r="AK59" s="98">
        <f t="shared" si="19"/>
        <v>-1102148.2430587558</v>
      </c>
      <c r="AL59" s="98">
        <f t="shared" si="19"/>
        <v>-1102148.2430587558</v>
      </c>
      <c r="AM59" s="98">
        <f t="shared" si="19"/>
        <v>-1102148.2430587558</v>
      </c>
      <c r="AN59" s="98">
        <f t="shared" si="19"/>
        <v>-1102148.2430587558</v>
      </c>
      <c r="AO59" s="98">
        <f t="shared" si="19"/>
        <v>-1102148.2430587558</v>
      </c>
      <c r="AP59" s="98">
        <f t="shared" si="19"/>
        <v>-1102148.2430587558</v>
      </c>
      <c r="AQ59" s="98">
        <f t="shared" si="19"/>
        <v>-1102148.2430587558</v>
      </c>
      <c r="AR59" s="98">
        <f t="shared" si="19"/>
        <v>-1036339.2430587558</v>
      </c>
      <c r="AS59" s="98">
        <f t="shared" si="19"/>
        <v>0</v>
      </c>
      <c r="AT59" s="100">
        <f t="shared" si="13"/>
        <v>98393.042327072937</v>
      </c>
    </row>
    <row r="60" spans="1:46" x14ac:dyDescent="0.2">
      <c r="A60" s="263">
        <f t="shared" si="10"/>
        <v>30</v>
      </c>
      <c r="B60" s="2" t="s">
        <v>71</v>
      </c>
      <c r="C60" s="2"/>
      <c r="D60" s="115"/>
      <c r="E60" s="38">
        <f>E59*F15</f>
        <v>115982.16485449509</v>
      </c>
      <c r="F60" s="98">
        <f t="shared" ref="F60:AS60" si="20">F59*$F$15</f>
        <v>437381.12577879278</v>
      </c>
      <c r="G60" s="98">
        <f t="shared" si="20"/>
        <v>387165.43341183703</v>
      </c>
      <c r="H60" s="98">
        <f t="shared" si="20"/>
        <v>340840.99395892589</v>
      </c>
      <c r="I60" s="98">
        <f t="shared" si="20"/>
        <v>297851.91414662433</v>
      </c>
      <c r="J60" s="98">
        <f t="shared" si="20"/>
        <v>258198.19397493236</v>
      </c>
      <c r="K60" s="98">
        <f t="shared" si="20"/>
        <v>221416.58904932096</v>
      </c>
      <c r="L60" s="98">
        <f t="shared" si="20"/>
        <v>187507.09936978994</v>
      </c>
      <c r="M60" s="98">
        <f t="shared" si="20"/>
        <v>181948.1666354406</v>
      </c>
      <c r="N60" s="98">
        <f t="shared" si="20"/>
        <v>181855.51775653483</v>
      </c>
      <c r="O60" s="98">
        <f t="shared" si="20"/>
        <v>181948.1666354406</v>
      </c>
      <c r="P60" s="98">
        <f t="shared" si="20"/>
        <v>181855.51775653483</v>
      </c>
      <c r="Q60" s="98">
        <f t="shared" si="20"/>
        <v>181948.1666354406</v>
      </c>
      <c r="R60" s="98">
        <f t="shared" si="20"/>
        <v>181855.51775653483</v>
      </c>
      <c r="S60" s="98">
        <f t="shared" si="20"/>
        <v>181948.1666354406</v>
      </c>
      <c r="T60" s="98">
        <f t="shared" si="20"/>
        <v>181855.51775653483</v>
      </c>
      <c r="U60" s="98">
        <f t="shared" si="20"/>
        <v>181948.1666354406</v>
      </c>
      <c r="V60" s="98">
        <f t="shared" si="20"/>
        <v>181855.51775653483</v>
      </c>
      <c r="W60" s="98">
        <f t="shared" si="20"/>
        <v>181948.1666354406</v>
      </c>
      <c r="X60" s="98">
        <f t="shared" si="20"/>
        <v>181855.51775653483</v>
      </c>
      <c r="Y60" s="98">
        <f t="shared" si="20"/>
        <v>-24751.48220344905</v>
      </c>
      <c r="Z60" s="98">
        <f t="shared" si="20"/>
        <v>-231451.1310423387</v>
      </c>
      <c r="AA60" s="98">
        <f t="shared" si="20"/>
        <v>-231451.1310423387</v>
      </c>
      <c r="AB60" s="98">
        <f t="shared" si="20"/>
        <v>-231451.1310423387</v>
      </c>
      <c r="AC60" s="98">
        <f t="shared" si="20"/>
        <v>-231451.1310423387</v>
      </c>
      <c r="AD60" s="98">
        <f t="shared" si="20"/>
        <v>-231451.1310423387</v>
      </c>
      <c r="AE60" s="98">
        <f t="shared" si="20"/>
        <v>-231451.1310423387</v>
      </c>
      <c r="AF60" s="98">
        <f t="shared" si="20"/>
        <v>-231451.1310423387</v>
      </c>
      <c r="AG60" s="98">
        <f t="shared" si="20"/>
        <v>-231451.1310423387</v>
      </c>
      <c r="AH60" s="98">
        <f t="shared" si="20"/>
        <v>-231451.1310423387</v>
      </c>
      <c r="AI60" s="98">
        <f t="shared" si="20"/>
        <v>-231451.1310423387</v>
      </c>
      <c r="AJ60" s="98">
        <f t="shared" si="20"/>
        <v>-231451.1310423387</v>
      </c>
      <c r="AK60" s="98">
        <f t="shared" si="20"/>
        <v>-231451.1310423387</v>
      </c>
      <c r="AL60" s="98">
        <f t="shared" si="20"/>
        <v>-231451.1310423387</v>
      </c>
      <c r="AM60" s="98">
        <f t="shared" si="20"/>
        <v>-231451.1310423387</v>
      </c>
      <c r="AN60" s="98">
        <f t="shared" si="20"/>
        <v>-231451.1310423387</v>
      </c>
      <c r="AO60" s="98">
        <f t="shared" si="20"/>
        <v>-231451.1310423387</v>
      </c>
      <c r="AP60" s="98">
        <f t="shared" si="20"/>
        <v>-231451.1310423387</v>
      </c>
      <c r="AQ60" s="98">
        <f t="shared" si="20"/>
        <v>-231451.1310423387</v>
      </c>
      <c r="AR60" s="98">
        <f t="shared" si="20"/>
        <v>-217631.24104233869</v>
      </c>
      <c r="AS60" s="98">
        <f t="shared" si="20"/>
        <v>0</v>
      </c>
      <c r="AT60" s="100">
        <f t="shared" si="13"/>
        <v>20662.538888684299</v>
      </c>
    </row>
    <row r="61" spans="1:46" x14ac:dyDescent="0.2">
      <c r="A61" s="263">
        <f t="shared" si="10"/>
        <v>31</v>
      </c>
      <c r="B61" s="2"/>
      <c r="C61" s="2"/>
      <c r="D61" s="115"/>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5"/>
    </row>
    <row r="62" spans="1:46" s="50" customFormat="1" x14ac:dyDescent="0.2">
      <c r="A62" s="263">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6" outlineLevel="1" x14ac:dyDescent="0.25">
      <c r="A63" s="263">
        <f t="shared" si="10"/>
        <v>33</v>
      </c>
      <c r="B63" s="2"/>
      <c r="C63" s="118"/>
      <c r="E63" s="119"/>
      <c r="F63" s="120"/>
      <c r="G63" s="120"/>
      <c r="H63" s="120"/>
      <c r="I63" s="120"/>
      <c r="J63" s="120"/>
      <c r="K63" s="120"/>
      <c r="L63" s="120"/>
      <c r="M63" s="121"/>
      <c r="N63" s="121"/>
      <c r="O63" s="121"/>
      <c r="P63" s="121"/>
      <c r="Q63" s="121"/>
      <c r="R63" s="121"/>
      <c r="S63" s="121"/>
      <c r="T63" s="121"/>
      <c r="U63" s="121"/>
      <c r="V63" s="121"/>
      <c r="W63" s="121"/>
      <c r="X63" s="121"/>
      <c r="Y63" s="121"/>
      <c r="Z63" s="115"/>
      <c r="AA63" s="115"/>
      <c r="AB63" s="115"/>
      <c r="AC63" s="115"/>
      <c r="AD63" s="115"/>
      <c r="AE63" s="115"/>
      <c r="AF63" s="115"/>
      <c r="AG63" s="115"/>
      <c r="AH63" s="115"/>
      <c r="AI63" s="115"/>
      <c r="AJ63" s="115"/>
      <c r="AK63" s="115"/>
      <c r="AL63" s="115"/>
      <c r="AM63" s="115"/>
      <c r="AN63" s="115"/>
      <c r="AO63" s="3"/>
    </row>
    <row r="64" spans="1:46" outlineLevel="1" x14ac:dyDescent="0.25">
      <c r="A64" s="263">
        <f t="shared" si="10"/>
        <v>34</v>
      </c>
      <c r="B64" s="2"/>
      <c r="C64" s="118"/>
      <c r="E64" s="119"/>
      <c r="F64" s="120"/>
      <c r="G64" s="120"/>
      <c r="H64" s="120"/>
      <c r="I64" s="120"/>
      <c r="J64" s="120"/>
      <c r="K64" s="120"/>
      <c r="L64" s="120"/>
      <c r="M64" s="121"/>
      <c r="N64" s="121"/>
      <c r="O64" s="121"/>
      <c r="P64" s="121"/>
      <c r="Q64" s="121"/>
      <c r="R64" s="121"/>
      <c r="S64" s="121"/>
      <c r="T64" s="121"/>
      <c r="U64" s="121"/>
      <c r="V64" s="121"/>
      <c r="W64" s="121"/>
      <c r="X64" s="121"/>
      <c r="Y64" s="121"/>
      <c r="Z64" s="115"/>
      <c r="AA64" s="115"/>
      <c r="AB64" s="115"/>
      <c r="AC64" s="115"/>
      <c r="AD64" s="115"/>
      <c r="AE64" s="115"/>
      <c r="AF64" s="115"/>
      <c r="AG64" s="115"/>
      <c r="AH64" s="115"/>
      <c r="AI64" s="115"/>
      <c r="AJ64" s="115"/>
      <c r="AK64" s="115"/>
      <c r="AL64" s="115"/>
      <c r="AM64" s="115"/>
      <c r="AN64" s="115"/>
      <c r="AO64" s="3"/>
    </row>
    <row r="65" spans="1:42" s="50" customFormat="1" x14ac:dyDescent="0.25">
      <c r="A65" s="263">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63">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5"/>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zoomScale="96" zoomScaleNormal="96" workbookViewId="0">
      <selection activeCell="G28" sqref="G28"/>
    </sheetView>
  </sheetViews>
  <sheetFormatPr defaultColWidth="8.7109375" defaultRowHeight="12.75" x14ac:dyDescent="0.2"/>
  <cols>
    <col min="1" max="1" width="28.85546875" style="425" customWidth="1"/>
    <col min="2" max="2" width="29.5703125" style="425" customWidth="1"/>
    <col min="3" max="3" width="26.7109375" style="425" bestFit="1" customWidth="1"/>
    <col min="4" max="4" width="18.7109375" style="213" bestFit="1" customWidth="1"/>
    <col min="5" max="5" width="14.5703125" style="213" customWidth="1"/>
    <col min="6" max="6" width="15.42578125" style="213" customWidth="1"/>
    <col min="7" max="7" width="14.42578125" style="213" customWidth="1"/>
    <col min="8" max="8" width="12.28515625" style="213" bestFit="1" customWidth="1"/>
    <col min="9" max="9" width="11.28515625" style="213" customWidth="1"/>
    <col min="10" max="11" width="15" style="425" customWidth="1"/>
    <col min="12" max="12" width="12" style="425" customWidth="1"/>
    <col min="13" max="13" width="14.140625" style="425" customWidth="1"/>
    <col min="14" max="16384" width="8.7109375" style="425"/>
  </cols>
  <sheetData>
    <row r="1" spans="2:17" ht="13.5" thickBot="1" x14ac:dyDescent="0.25"/>
    <row r="2" spans="2:17" ht="13.5" thickBot="1" x14ac:dyDescent="0.25">
      <c r="B2" s="424" t="s">
        <v>132</v>
      </c>
      <c r="J2" s="484" t="s">
        <v>258</v>
      </c>
      <c r="K2" s="485"/>
      <c r="L2" s="485"/>
      <c r="M2" s="486"/>
    </row>
    <row r="3" spans="2:17" ht="25.5" x14ac:dyDescent="0.2">
      <c r="B3" s="426" t="s">
        <v>138</v>
      </c>
      <c r="C3" s="427" t="s">
        <v>125</v>
      </c>
      <c r="D3" s="428" t="s">
        <v>250</v>
      </c>
      <c r="E3" s="428" t="s">
        <v>251</v>
      </c>
      <c r="F3" s="215" t="s">
        <v>80</v>
      </c>
      <c r="G3" s="428" t="s">
        <v>13</v>
      </c>
      <c r="H3" s="215" t="s">
        <v>137</v>
      </c>
      <c r="I3" s="429"/>
      <c r="J3" s="474" t="s">
        <v>254</v>
      </c>
      <c r="K3" s="475" t="s">
        <v>257</v>
      </c>
      <c r="L3" s="498" t="s">
        <v>255</v>
      </c>
      <c r="M3" s="476" t="s">
        <v>256</v>
      </c>
    </row>
    <row r="4" spans="2:17" x14ac:dyDescent="0.2">
      <c r="B4" s="430" t="s">
        <v>133</v>
      </c>
      <c r="C4" s="431" t="s">
        <v>134</v>
      </c>
      <c r="D4" s="415">
        <f>[61]Summary!$C$13</f>
        <v>3059912.300000004</v>
      </c>
      <c r="E4" s="415">
        <f>[61]Summary!$D$13</f>
        <v>172736.98467741959</v>
      </c>
      <c r="F4" s="415">
        <f>+D4+E4</f>
        <v>3232649.2846774235</v>
      </c>
      <c r="G4" s="334">
        <f>E36</f>
        <v>3.1950138602539598E-2</v>
      </c>
      <c r="H4" s="415">
        <f>+G4*F4</f>
        <v>103283.59269884416</v>
      </c>
      <c r="I4" s="416"/>
      <c r="J4" s="477">
        <v>380</v>
      </c>
      <c r="K4" s="472" t="s">
        <v>79</v>
      </c>
      <c r="L4" s="497">
        <f>F4/F6</f>
        <v>7.3271944334298622E-2</v>
      </c>
      <c r="M4" s="478">
        <f>H4/H6</f>
        <v>9.371116213206003E-2</v>
      </c>
    </row>
    <row r="5" spans="2:17" x14ac:dyDescent="0.2">
      <c r="B5" s="430" t="s">
        <v>135</v>
      </c>
      <c r="C5" s="431" t="s">
        <v>83</v>
      </c>
      <c r="D5" s="466">
        <f>[61]Summary!$C$12</f>
        <v>38193603.479999885</v>
      </c>
      <c r="E5" s="466">
        <f>[61]Summary!$D$12</f>
        <v>2692261</v>
      </c>
      <c r="F5" s="466">
        <f>+D5+E5</f>
        <v>40885864.479999885</v>
      </c>
      <c r="G5" s="334">
        <f>E35</f>
        <v>2.443056207967733E-2</v>
      </c>
      <c r="H5" s="466">
        <f>+G5*F5</f>
        <v>998864.65035991149</v>
      </c>
      <c r="I5" s="416"/>
      <c r="J5" s="477">
        <v>376</v>
      </c>
      <c r="K5" s="472" t="s">
        <v>78</v>
      </c>
      <c r="L5" s="473">
        <f>F5/F6</f>
        <v>0.92672805566570138</v>
      </c>
      <c r="M5" s="479">
        <f>H5/H6</f>
        <v>0.9062888378679399</v>
      </c>
    </row>
    <row r="6" spans="2:17" ht="13.5" thickBot="1" x14ac:dyDescent="0.25">
      <c r="B6" s="432" t="s">
        <v>80</v>
      </c>
      <c r="C6" s="433"/>
      <c r="D6" s="417">
        <f>SUM(D4:D5)</f>
        <v>41253515.779999889</v>
      </c>
      <c r="E6" s="417">
        <f t="shared" ref="E6:F6" si="0">SUM(E4:E5)</f>
        <v>2864997.9846774195</v>
      </c>
      <c r="F6" s="417">
        <f t="shared" si="0"/>
        <v>44118513.764677308</v>
      </c>
      <c r="G6" s="212"/>
      <c r="H6" s="417">
        <f>SUM(H4:H5)</f>
        <v>1102148.2430587558</v>
      </c>
      <c r="I6" s="418"/>
      <c r="J6" s="480"/>
      <c r="K6" s="481"/>
      <c r="L6" s="482">
        <f>SUM(L4:L5)</f>
        <v>1</v>
      </c>
      <c r="M6" s="483">
        <f>SUM(M4:M5)</f>
        <v>0.99999999999999989</v>
      </c>
    </row>
    <row r="7" spans="2:17" ht="13.5" thickTop="1" x14ac:dyDescent="0.2">
      <c r="B7" s="470" t="s">
        <v>82</v>
      </c>
      <c r="G7" s="419">
        <f>+H6/F6</f>
        <v>2.4981536072077995E-2</v>
      </c>
      <c r="J7" s="213"/>
    </row>
    <row r="8" spans="2:17" x14ac:dyDescent="0.2">
      <c r="B8" s="434"/>
      <c r="C8" s="213"/>
      <c r="G8" s="214"/>
      <c r="J8" s="213"/>
    </row>
    <row r="9" spans="2:17" x14ac:dyDescent="0.2">
      <c r="B9"/>
      <c r="C9"/>
      <c r="D9"/>
      <c r="E9"/>
      <c r="F9"/>
      <c r="G9"/>
      <c r="H9"/>
      <c r="I9" s="214"/>
      <c r="J9" s="213"/>
    </row>
    <row r="10" spans="2:17" x14ac:dyDescent="0.2">
      <c r="B10"/>
      <c r="C10"/>
      <c r="D10"/>
      <c r="E10"/>
      <c r="F10"/>
      <c r="G10"/>
      <c r="H10"/>
      <c r="I10" s="214"/>
      <c r="J10" s="213"/>
    </row>
    <row r="11" spans="2:17" x14ac:dyDescent="0.2">
      <c r="B11" s="434"/>
      <c r="G11" s="425"/>
      <c r="H11" s="425"/>
      <c r="I11" s="425"/>
      <c r="J11" s="214"/>
      <c r="K11" s="213"/>
      <c r="L11" s="213"/>
      <c r="M11" s="213"/>
    </row>
    <row r="12" spans="2:17" ht="13.5" thickBot="1" x14ac:dyDescent="0.25">
      <c r="G12" s="425"/>
      <c r="H12" s="425"/>
      <c r="I12" s="425"/>
    </row>
    <row r="13" spans="2:17" ht="26.25" thickBot="1" x14ac:dyDescent="0.25">
      <c r="B13" s="435" t="s">
        <v>124</v>
      </c>
      <c r="C13" s="427" t="s">
        <v>125</v>
      </c>
      <c r="D13" s="428" t="s">
        <v>250</v>
      </c>
      <c r="E13" s="428" t="s">
        <v>251</v>
      </c>
      <c r="F13" s="215" t="s">
        <v>80</v>
      </c>
      <c r="G13" s="425"/>
      <c r="H13" s="425"/>
      <c r="I13" s="425"/>
      <c r="J13" s="484" t="s">
        <v>259</v>
      </c>
      <c r="K13" s="485"/>
      <c r="L13" s="485"/>
      <c r="M13" s="487"/>
      <c r="N13" s="488"/>
      <c r="O13" s="488"/>
    </row>
    <row r="14" spans="2:17" x14ac:dyDescent="0.2">
      <c r="B14" s="430" t="s">
        <v>126</v>
      </c>
      <c r="C14" s="430" t="s">
        <v>127</v>
      </c>
      <c r="D14" s="415">
        <f>[61]Summary!$C$7</f>
        <v>1496840.2499999984</v>
      </c>
      <c r="E14" s="415">
        <f>[61]Summary!$D$7</f>
        <v>38325.156058420442</v>
      </c>
      <c r="F14" s="463">
        <f>+D14+E14</f>
        <v>1535165.4060584188</v>
      </c>
      <c r="G14" s="425"/>
      <c r="H14" s="425"/>
      <c r="I14" s="425"/>
      <c r="J14" s="489" t="s">
        <v>254</v>
      </c>
      <c r="K14" s="215">
        <v>892</v>
      </c>
      <c r="L14" s="215">
        <v>893</v>
      </c>
      <c r="M14" s="215">
        <v>878</v>
      </c>
      <c r="N14" s="215">
        <v>887</v>
      </c>
      <c r="O14" s="215">
        <v>874</v>
      </c>
      <c r="P14" s="471"/>
      <c r="Q14" s="471"/>
    </row>
    <row r="15" spans="2:17" x14ac:dyDescent="0.2">
      <c r="B15" s="430" t="s">
        <v>252</v>
      </c>
      <c r="C15" s="430"/>
      <c r="D15" s="467">
        <v>-437688.5</v>
      </c>
      <c r="E15" s="465">
        <v>0</v>
      </c>
      <c r="F15" s="466">
        <f>+D15+E15</f>
        <v>-437688.5</v>
      </c>
      <c r="G15" s="425"/>
      <c r="H15" s="425"/>
      <c r="I15" s="425"/>
      <c r="J15" s="294" t="s">
        <v>201</v>
      </c>
      <c r="K15" s="490">
        <f>'[61]Buried Meters Insp'!$F$10315</f>
        <v>0.98753444798133938</v>
      </c>
      <c r="L15" s="490">
        <f>'[61]Buried Meters Insp'!$F$10316</f>
        <v>7.841451350603406E-4</v>
      </c>
      <c r="M15" s="490">
        <f>'[61]Buried Meters Insp'!$F$10314</f>
        <v>1.1681406883600347E-2</v>
      </c>
      <c r="N15" s="464"/>
      <c r="O15" s="464"/>
    </row>
    <row r="16" spans="2:17" x14ac:dyDescent="0.2">
      <c r="B16" s="430" t="s">
        <v>128</v>
      </c>
      <c r="C16" s="430" t="s">
        <v>129</v>
      </c>
      <c r="D16" s="421">
        <f>[61]Summary!$C$5</f>
        <v>3372737.88</v>
      </c>
      <c r="E16" s="421">
        <f>[61]Summary!$D$5</f>
        <v>32632.38112233928</v>
      </c>
      <c r="F16" s="421">
        <f>+D16+E16</f>
        <v>3405370.2611223389</v>
      </c>
      <c r="G16" s="425"/>
      <c r="H16" s="425"/>
      <c r="I16" s="425"/>
      <c r="J16" s="294"/>
      <c r="K16" s="490">
        <v>1</v>
      </c>
      <c r="L16" s="490"/>
      <c r="M16" s="490"/>
      <c r="N16" s="464"/>
      <c r="O16" s="464"/>
    </row>
    <row r="17" spans="1:15" x14ac:dyDescent="0.2">
      <c r="B17" s="430" t="s">
        <v>130</v>
      </c>
      <c r="C17" s="430" t="s">
        <v>131</v>
      </c>
      <c r="D17" s="421">
        <f>[61]Summary!$C$6</f>
        <v>55286.64</v>
      </c>
      <c r="E17" s="465">
        <f>[61]Summary!$D$6</f>
        <v>0</v>
      </c>
      <c r="F17" s="466">
        <f>+D17+E17</f>
        <v>55286.64</v>
      </c>
      <c r="G17" s="425"/>
      <c r="H17" s="425"/>
      <c r="I17" s="425"/>
      <c r="J17" s="294" t="s">
        <v>149</v>
      </c>
      <c r="K17" s="464"/>
      <c r="L17" s="464"/>
      <c r="M17" s="464"/>
      <c r="N17" s="464"/>
      <c r="O17" s="490">
        <v>1</v>
      </c>
    </row>
    <row r="18" spans="1:15" x14ac:dyDescent="0.2">
      <c r="B18" s="437" t="s">
        <v>253</v>
      </c>
      <c r="C18" s="431"/>
      <c r="D18" s="467">
        <f>'Summary 2020'!E8</f>
        <v>-82000</v>
      </c>
      <c r="E18" s="468">
        <v>0</v>
      </c>
      <c r="F18" s="466">
        <f>+D18+E18</f>
        <v>-82000</v>
      </c>
      <c r="G18" s="425"/>
      <c r="H18" s="425"/>
      <c r="I18" s="425"/>
      <c r="J18" s="294" t="s">
        <v>148</v>
      </c>
      <c r="K18" s="490">
        <f>'[61]Cross Bore Repairs'!$F$19</f>
        <v>0.70683695012031844</v>
      </c>
      <c r="L18" s="490"/>
      <c r="M18" s="490"/>
      <c r="N18" s="490">
        <f>'[61]Cross Bore Repairs'!$F$18</f>
        <v>0.29316304987968156</v>
      </c>
      <c r="O18" s="490"/>
    </row>
    <row r="19" spans="1:15" ht="13.5" thickBot="1" x14ac:dyDescent="0.25">
      <c r="B19" s="432" t="s">
        <v>80</v>
      </c>
      <c r="C19" s="433"/>
      <c r="D19" s="417">
        <f>SUM(D14:D18)</f>
        <v>4405176.2699999977</v>
      </c>
      <c r="E19" s="417">
        <f t="shared" ref="E19:F19" si="1">SUM(E14:E18)</f>
        <v>70957.537180759726</v>
      </c>
      <c r="F19" s="417">
        <f t="shared" si="1"/>
        <v>4476133.8071807576</v>
      </c>
      <c r="J19" s="491"/>
      <c r="K19" s="490"/>
      <c r="L19" s="490"/>
      <c r="M19" s="490"/>
      <c r="N19" s="464"/>
      <c r="O19" s="464">
        <v>1</v>
      </c>
    </row>
    <row r="20" spans="1:15" ht="13.5" thickTop="1" x14ac:dyDescent="0.2">
      <c r="B20" s="213"/>
      <c r="C20" s="213"/>
    </row>
    <row r="21" spans="1:15" x14ac:dyDescent="0.2">
      <c r="B21" s="438" t="s">
        <v>136</v>
      </c>
      <c r="C21" s="439"/>
      <c r="D21" s="420">
        <f>+D6+D19</f>
        <v>45658692.049999885</v>
      </c>
      <c r="E21" s="420">
        <f>+E6+E19</f>
        <v>2935955.5218581795</v>
      </c>
      <c r="F21" s="420">
        <f>SUM(D21:E21)</f>
        <v>48594647.571858063</v>
      </c>
      <c r="J21" s="213"/>
      <c r="K21"/>
      <c r="L21"/>
      <c r="M21"/>
      <c r="N21"/>
      <c r="O21"/>
    </row>
    <row r="22" spans="1:15" x14ac:dyDescent="0.2">
      <c r="B22" s="213"/>
      <c r="C22" s="213"/>
    </row>
    <row r="23" spans="1:15" x14ac:dyDescent="0.2">
      <c r="B23" s="213"/>
      <c r="C23" s="213"/>
    </row>
    <row r="24" spans="1:15" x14ac:dyDescent="0.2">
      <c r="B24" s="213"/>
      <c r="C24" s="213"/>
    </row>
    <row r="25" spans="1:15" x14ac:dyDescent="0.2">
      <c r="B25" s="436" t="s">
        <v>60</v>
      </c>
      <c r="C25" s="436"/>
      <c r="D25" s="212"/>
      <c r="E25" s="212"/>
      <c r="F25" s="469">
        <f>'2019 GRC'!J16</f>
        <v>4.5447000000000001E-2</v>
      </c>
    </row>
    <row r="26" spans="1:15" x14ac:dyDescent="0.2">
      <c r="B26" s="436" t="s">
        <v>139</v>
      </c>
      <c r="C26" s="436"/>
      <c r="D26" s="212"/>
      <c r="E26" s="212"/>
      <c r="F26" s="421">
        <f>+(F19)/(1-$F$25)</f>
        <v>4689245.9687212314</v>
      </c>
      <c r="G26" s="216"/>
    </row>
    <row r="27" spans="1:15" x14ac:dyDescent="0.2">
      <c r="B27" s="436" t="s">
        <v>200</v>
      </c>
      <c r="C27" s="436"/>
      <c r="D27" s="212"/>
      <c r="E27" s="212"/>
      <c r="F27" s="421">
        <f>'2021 CAP CRM'!E39</f>
        <v>5075566.3630553354</v>
      </c>
    </row>
    <row r="28" spans="1:15" ht="13.5" thickBot="1" x14ac:dyDescent="0.25">
      <c r="B28" s="492" t="s">
        <v>260</v>
      </c>
      <c r="C28" s="217"/>
      <c r="D28" s="217"/>
      <c r="E28" s="217"/>
      <c r="F28" s="493">
        <f>SUM(F26:F27)</f>
        <v>9764812.3317765668</v>
      </c>
    </row>
    <row r="30" spans="1:15" ht="13.5" thickBot="1" x14ac:dyDescent="0.25">
      <c r="A30" s="422"/>
      <c r="B30" s="423" t="s">
        <v>203</v>
      </c>
      <c r="C30" s="423"/>
      <c r="D30" s="423"/>
      <c r="E30" s="423"/>
      <c r="F30" s="423"/>
      <c r="G30" s="423"/>
      <c r="H30" s="422"/>
      <c r="I30" s="422"/>
      <c r="J30" s="422"/>
    </row>
    <row r="31" spans="1:15" x14ac:dyDescent="0.2">
      <c r="A31" s="422"/>
      <c r="B31" s="440" t="s">
        <v>107</v>
      </c>
      <c r="C31" s="441"/>
      <c r="D31" s="441"/>
      <c r="E31" s="442"/>
      <c r="F31" s="422"/>
      <c r="G31" s="422"/>
      <c r="H31" s="422"/>
      <c r="I31" s="422"/>
      <c r="J31" s="422"/>
    </row>
    <row r="32" spans="1:15" ht="25.5" x14ac:dyDescent="0.2">
      <c r="A32" s="422"/>
      <c r="B32" s="443" t="s">
        <v>108</v>
      </c>
      <c r="C32" s="444" t="s">
        <v>93</v>
      </c>
      <c r="D32" s="445" t="s">
        <v>109</v>
      </c>
      <c r="E32" s="446" t="s">
        <v>110</v>
      </c>
      <c r="F32" s="422"/>
      <c r="G32" s="422"/>
      <c r="H32" s="422"/>
      <c r="I32" s="422"/>
      <c r="J32" s="422"/>
    </row>
    <row r="33" spans="1:10" x14ac:dyDescent="0.2">
      <c r="A33" s="422"/>
      <c r="B33" s="447" t="s">
        <v>111</v>
      </c>
      <c r="C33" s="448"/>
      <c r="D33" s="449" t="s">
        <v>94</v>
      </c>
      <c r="E33" s="450" t="s">
        <v>94</v>
      </c>
      <c r="F33" s="422"/>
      <c r="G33" s="422"/>
      <c r="H33" s="422"/>
      <c r="I33" s="422"/>
      <c r="J33" s="422"/>
    </row>
    <row r="34" spans="1:10" x14ac:dyDescent="0.2">
      <c r="A34" s="422"/>
      <c r="B34" s="451"/>
      <c r="C34" s="452"/>
      <c r="D34" s="453" t="s">
        <v>112</v>
      </c>
      <c r="E34" s="454"/>
      <c r="F34" s="422"/>
      <c r="G34" s="422"/>
      <c r="H34" s="422"/>
      <c r="I34" s="422"/>
      <c r="J34" s="422"/>
    </row>
    <row r="35" spans="1:10" x14ac:dyDescent="0.2">
      <c r="B35" s="455">
        <v>376.2</v>
      </c>
      <c r="C35" s="452" t="s">
        <v>113</v>
      </c>
      <c r="D35" s="456">
        <v>2.7700000000000002E-2</v>
      </c>
      <c r="E35" s="457">
        <v>2.443056207967733E-2</v>
      </c>
      <c r="F35" s="422"/>
      <c r="G35" s="422"/>
      <c r="H35" s="422"/>
      <c r="I35" s="422"/>
      <c r="J35" s="422"/>
    </row>
    <row r="36" spans="1:10" ht="13.5" thickBot="1" x14ac:dyDescent="0.25">
      <c r="B36" s="458">
        <v>380.2</v>
      </c>
      <c r="C36" s="459" t="s">
        <v>114</v>
      </c>
      <c r="D36" s="460">
        <v>4.58E-2</v>
      </c>
      <c r="E36" s="461">
        <v>3.1950138602539598E-2</v>
      </c>
      <c r="F36" s="422"/>
      <c r="G36" s="422"/>
      <c r="H36" s="422"/>
      <c r="I36" s="422"/>
      <c r="J36" s="422"/>
    </row>
    <row r="37" spans="1:10" x14ac:dyDescent="0.2">
      <c r="B37" s="422"/>
      <c r="C37" s="422"/>
      <c r="D37" s="422"/>
      <c r="E37" s="422"/>
      <c r="F37" s="422"/>
      <c r="G37" s="422"/>
      <c r="H37" s="422"/>
      <c r="I37" s="422"/>
      <c r="J37" s="422"/>
    </row>
    <row r="38" spans="1:10" x14ac:dyDescent="0.2">
      <c r="A38" s="462" t="s">
        <v>206</v>
      </c>
    </row>
    <row r="39" spans="1:10" ht="12.75" customHeight="1" x14ac:dyDescent="0.2">
      <c r="A39" s="413" t="s">
        <v>204</v>
      </c>
      <c r="B39" s="496" t="s">
        <v>262</v>
      </c>
      <c r="C39" s="495"/>
      <c r="D39" s="495"/>
      <c r="E39" s="495"/>
      <c r="F39" s="495"/>
      <c r="G39" s="495"/>
      <c r="H39" s="495"/>
      <c r="I39" s="495"/>
      <c r="J39" s="495"/>
    </row>
    <row r="40" spans="1:10" x14ac:dyDescent="0.2">
      <c r="A40" s="413" t="s">
        <v>205</v>
      </c>
      <c r="B40" s="507" t="s">
        <v>263</v>
      </c>
      <c r="C40" s="507"/>
      <c r="D40" s="507"/>
      <c r="E40" s="507"/>
      <c r="F40" s="507"/>
      <c r="G40" s="507"/>
      <c r="H40" s="507"/>
      <c r="I40" s="507"/>
      <c r="J40" s="507"/>
    </row>
    <row r="41" spans="1:10" ht="12.75" customHeight="1" x14ac:dyDescent="0.2">
      <c r="B41" s="507"/>
      <c r="C41" s="507"/>
      <c r="D41" s="507"/>
      <c r="E41" s="507"/>
      <c r="F41" s="507"/>
      <c r="G41" s="507"/>
      <c r="H41" s="507"/>
      <c r="I41" s="507"/>
      <c r="J41" s="507"/>
    </row>
    <row r="42" spans="1:10" x14ac:dyDescent="0.2">
      <c r="A42" s="414"/>
      <c r="B42" s="495"/>
      <c r="C42" s="495"/>
      <c r="D42" s="495"/>
      <c r="E42" s="495"/>
      <c r="F42" s="495"/>
      <c r="G42" s="495"/>
      <c r="H42" s="495"/>
      <c r="I42" s="495"/>
      <c r="J42" s="495"/>
    </row>
  </sheetData>
  <mergeCells count="1">
    <mergeCell ref="B40:J41"/>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4"/>
  <sheetViews>
    <sheetView zoomScale="90" zoomScaleNormal="90" workbookViewId="0">
      <selection activeCell="I26" sqref="I26"/>
    </sheetView>
  </sheetViews>
  <sheetFormatPr defaultColWidth="9.28515625" defaultRowHeight="15" x14ac:dyDescent="0.25"/>
  <cols>
    <col min="1" max="1" width="9.28515625" style="233"/>
    <col min="2" max="2" width="27.7109375" style="233" bestFit="1" customWidth="1"/>
    <col min="3" max="3" width="15.5703125" style="233" bestFit="1" customWidth="1"/>
    <col min="4" max="4" width="26.28515625" style="233" customWidth="1"/>
    <col min="5" max="5" width="16.7109375" style="233" customWidth="1"/>
    <col min="6" max="6" width="25.5703125" style="233" customWidth="1"/>
    <col min="7" max="7" width="1" style="266" customWidth="1"/>
    <col min="8" max="8" width="17.7109375" style="233" customWidth="1"/>
    <col min="9" max="9" width="19.5703125" style="233" customWidth="1"/>
    <col min="10" max="10" width="14.28515625" style="233" bestFit="1" customWidth="1"/>
    <col min="11" max="11" width="16" style="233" bestFit="1" customWidth="1"/>
    <col min="12" max="12" width="23.7109375" style="233" customWidth="1"/>
    <col min="13" max="13" width="9.28515625" style="233"/>
    <col min="14" max="14" width="17.5703125" style="233" customWidth="1"/>
    <col min="15" max="15" width="16.28515625" style="233" bestFit="1" customWidth="1"/>
    <col min="16" max="16384" width="9.28515625" style="233"/>
  </cols>
  <sheetData>
    <row r="2" spans="2:17" ht="16.5" thickBot="1" x14ac:dyDescent="0.3">
      <c r="B2" s="232" t="s">
        <v>173</v>
      </c>
    </row>
    <row r="3" spans="2:17" ht="15.75" thickBot="1" x14ac:dyDescent="0.3">
      <c r="B3" s="268" t="s">
        <v>184</v>
      </c>
      <c r="C3" s="269"/>
      <c r="D3" s="269"/>
      <c r="E3" s="270" t="s">
        <v>195</v>
      </c>
      <c r="F3" s="271"/>
      <c r="G3" s="267"/>
      <c r="H3" s="508" t="s">
        <v>199</v>
      </c>
      <c r="I3" s="509"/>
      <c r="J3" s="510"/>
      <c r="N3" s="218"/>
      <c r="O3" s="218"/>
    </row>
    <row r="4" spans="2:17" ht="11.25" customHeight="1" thickBot="1" x14ac:dyDescent="0.3">
      <c r="B4" s="275" t="s">
        <v>174</v>
      </c>
      <c r="C4" s="276"/>
      <c r="D4" s="276"/>
      <c r="E4" s="276"/>
      <c r="F4" s="277"/>
      <c r="G4" s="274"/>
      <c r="H4" s="290"/>
      <c r="I4" s="278"/>
      <c r="J4" s="291"/>
      <c r="N4" s="218"/>
      <c r="O4" s="218"/>
    </row>
    <row r="5" spans="2:17" ht="45" x14ac:dyDescent="0.25">
      <c r="B5" s="234" t="s">
        <v>138</v>
      </c>
      <c r="C5" s="235" t="s">
        <v>125</v>
      </c>
      <c r="D5" s="236" t="s">
        <v>175</v>
      </c>
      <c r="E5" s="236" t="s">
        <v>176</v>
      </c>
      <c r="F5" s="238" t="s">
        <v>177</v>
      </c>
      <c r="G5" s="284"/>
      <c r="H5" s="309" t="s">
        <v>196</v>
      </c>
      <c r="I5" s="272" t="s">
        <v>197</v>
      </c>
      <c r="J5" s="238" t="s">
        <v>142</v>
      </c>
      <c r="K5" s="266"/>
      <c r="L5" s="266"/>
      <c r="N5" s="500" t="s">
        <v>217</v>
      </c>
      <c r="O5" s="501" t="str">
        <f>I5</f>
        <v>Total Actual CRM Program Year 2019-2020</v>
      </c>
    </row>
    <row r="6" spans="2:17" x14ac:dyDescent="0.25">
      <c r="B6" s="239" t="s">
        <v>128</v>
      </c>
      <c r="C6" s="240" t="s">
        <v>129</v>
      </c>
      <c r="D6" s="316">
        <v>3207980.4099998274</v>
      </c>
      <c r="E6" s="317">
        <v>79500</v>
      </c>
      <c r="F6" s="241">
        <f>+E6+D6</f>
        <v>3287480.4099998274</v>
      </c>
      <c r="G6" s="285"/>
      <c r="H6" s="321">
        <v>51406.62</v>
      </c>
      <c r="I6" s="322">
        <f>+H6+D6</f>
        <v>3259387.0299998275</v>
      </c>
      <c r="J6" s="241">
        <f>+I6-F6</f>
        <v>-28093.379999999888</v>
      </c>
      <c r="K6" s="499" t="s">
        <v>213</v>
      </c>
      <c r="L6" s="499" t="s">
        <v>215</v>
      </c>
      <c r="N6" s="362" t="s">
        <v>78</v>
      </c>
      <c r="O6" s="502">
        <f>(I6+I8)/$I$9</f>
        <v>0.99149246749419484</v>
      </c>
    </row>
    <row r="7" spans="2:17" x14ac:dyDescent="0.25">
      <c r="B7" s="239" t="s">
        <v>130</v>
      </c>
      <c r="C7" s="240" t="s">
        <v>131</v>
      </c>
      <c r="D7" s="316">
        <v>27107.89</v>
      </c>
      <c r="E7" s="317">
        <v>50000</v>
      </c>
      <c r="F7" s="241">
        <f>+E7+D7</f>
        <v>77107.89</v>
      </c>
      <c r="G7" s="285"/>
      <c r="H7" s="321">
        <v>155.78</v>
      </c>
      <c r="I7" s="322">
        <f t="shared" ref="I7:I8" si="0">+H7+D7</f>
        <v>27263.67</v>
      </c>
      <c r="J7" s="241">
        <f t="shared" ref="J7:J8" si="1">+I7-F7</f>
        <v>-49844.22</v>
      </c>
      <c r="K7" s="499" t="s">
        <v>214</v>
      </c>
      <c r="L7" s="499" t="s">
        <v>216</v>
      </c>
      <c r="N7" s="362" t="s">
        <v>79</v>
      </c>
      <c r="O7" s="505">
        <f>I7/$I$9</f>
        <v>8.507532505805224E-3</v>
      </c>
    </row>
    <row r="8" spans="2:17" ht="15.75" thickBot="1" x14ac:dyDescent="0.3">
      <c r="B8" s="288" t="s">
        <v>185</v>
      </c>
      <c r="C8" s="258"/>
      <c r="D8" s="318">
        <v>0</v>
      </c>
      <c r="E8" s="318">
        <v>-82000</v>
      </c>
      <c r="F8" s="243">
        <f>D8+E8</f>
        <v>-82000</v>
      </c>
      <c r="G8" s="286"/>
      <c r="H8" s="323">
        <v>-82000</v>
      </c>
      <c r="I8" s="324">
        <f t="shared" si="0"/>
        <v>-82000</v>
      </c>
      <c r="J8" s="243">
        <f t="shared" si="1"/>
        <v>0</v>
      </c>
      <c r="K8" s="499" t="s">
        <v>213</v>
      </c>
      <c r="L8" s="499" t="s">
        <v>215</v>
      </c>
      <c r="N8" s="503"/>
      <c r="O8" s="504">
        <f>SUM(O6:O7)</f>
        <v>1</v>
      </c>
    </row>
    <row r="9" spans="2:17" x14ac:dyDescent="0.25">
      <c r="B9" s="244" t="s">
        <v>178</v>
      </c>
      <c r="C9" s="245"/>
      <c r="D9" s="319">
        <f>SUM(D6:D8)</f>
        <v>3235088.2999998275</v>
      </c>
      <c r="E9" s="320">
        <f>SUM(E6:E8)</f>
        <v>47500</v>
      </c>
      <c r="F9" s="246">
        <f>SUM(F6:F8)</f>
        <v>3282588.2999998275</v>
      </c>
      <c r="G9" s="283"/>
      <c r="H9" s="325">
        <f>SUM(H6:H8)</f>
        <v>-30437.599999999999</v>
      </c>
      <c r="I9" s="326">
        <f>SUM(I6:I8)</f>
        <v>3204650.6999998274</v>
      </c>
      <c r="J9" s="246">
        <f>+I9-F9</f>
        <v>-77937.600000000093</v>
      </c>
      <c r="K9" s="266"/>
      <c r="L9" s="266"/>
      <c r="N9" s="266"/>
      <c r="O9" s="266"/>
    </row>
    <row r="10" spans="2:17" x14ac:dyDescent="0.25">
      <c r="B10" s="349" t="s">
        <v>211</v>
      </c>
      <c r="C10" s="356">
        <f>'2020 + true up CAP'!F16</f>
        <v>4.5447000000000001E-2</v>
      </c>
      <c r="D10" s="350"/>
      <c r="E10" s="351"/>
      <c r="F10" s="352"/>
      <c r="G10" s="353"/>
      <c r="H10" s="354"/>
      <c r="I10" s="355"/>
      <c r="J10" s="352"/>
      <c r="K10" s="266"/>
      <c r="L10" s="266"/>
      <c r="N10" s="266"/>
      <c r="O10" s="266"/>
    </row>
    <row r="11" spans="2:17" x14ac:dyDescent="0.25">
      <c r="B11" s="343" t="s">
        <v>212</v>
      </c>
      <c r="C11" s="344"/>
      <c r="D11" s="345"/>
      <c r="E11" s="346"/>
      <c r="F11" s="347"/>
      <c r="G11" s="345"/>
      <c r="H11" s="348"/>
      <c r="I11" s="345"/>
      <c r="J11" s="347">
        <f>+J9/(1-C10)</f>
        <v>-81648.268875588983</v>
      </c>
      <c r="K11" s="218"/>
      <c r="L11" s="218"/>
      <c r="M11"/>
      <c r="N11" s="218"/>
      <c r="O11" s="218"/>
      <c r="P11"/>
      <c r="Q11"/>
    </row>
    <row r="12" spans="2:17" ht="15.75" thickBot="1" x14ac:dyDescent="0.3">
      <c r="B12" s="247"/>
      <c r="C12" s="248"/>
      <c r="D12" s="248"/>
      <c r="E12" s="248"/>
      <c r="F12" s="249"/>
      <c r="G12" s="248"/>
      <c r="H12" s="247"/>
      <c r="I12" s="248"/>
      <c r="J12" s="249"/>
      <c r="N12" s="266"/>
      <c r="O12" s="266"/>
    </row>
    <row r="13" spans="2:17" ht="11.25" customHeight="1" thickBot="1" x14ac:dyDescent="0.3">
      <c r="B13" s="275" t="s">
        <v>132</v>
      </c>
      <c r="C13" s="276"/>
      <c r="D13" s="276"/>
      <c r="E13" s="276"/>
      <c r="F13" s="277"/>
      <c r="G13" s="274"/>
      <c r="H13" s="290"/>
      <c r="I13" s="278"/>
      <c r="J13" s="279"/>
      <c r="N13" s="218"/>
      <c r="O13" s="218"/>
      <c r="P13"/>
    </row>
    <row r="14" spans="2:17" ht="45" x14ac:dyDescent="0.25">
      <c r="B14" s="250" t="s">
        <v>138</v>
      </c>
      <c r="C14" s="251" t="s">
        <v>125</v>
      </c>
      <c r="D14" s="236" t="s">
        <v>175</v>
      </c>
      <c r="E14" s="237" t="s">
        <v>176</v>
      </c>
      <c r="F14" s="238" t="s">
        <v>177</v>
      </c>
      <c r="G14" s="284"/>
      <c r="H14" s="309" t="s">
        <v>196</v>
      </c>
      <c r="I14" s="272" t="s">
        <v>197</v>
      </c>
      <c r="J14" s="238"/>
      <c r="K14" s="266"/>
      <c r="N14" s="500" t="s">
        <v>217</v>
      </c>
      <c r="O14" s="501" t="str">
        <f>I14</f>
        <v>Total Actual CRM Program Year 2019-2020</v>
      </c>
    </row>
    <row r="15" spans="2:17" x14ac:dyDescent="0.25">
      <c r="B15" s="252" t="s">
        <v>179</v>
      </c>
      <c r="C15" s="253" t="s">
        <v>83</v>
      </c>
      <c r="D15" s="316">
        <v>46594045.240000039</v>
      </c>
      <c r="E15" s="327">
        <v>3721742</v>
      </c>
      <c r="F15" s="241">
        <f>SUM(D15:E15)</f>
        <v>50315787.240000039</v>
      </c>
      <c r="G15" s="285"/>
      <c r="H15" s="330">
        <v>3185181.6800000011</v>
      </c>
      <c r="I15" s="322">
        <f>+H15+D15</f>
        <v>49779226.920000039</v>
      </c>
      <c r="J15" s="241">
        <f t="shared" ref="J15:J19" si="2">+I15-F15</f>
        <v>-536560.3200000003</v>
      </c>
      <c r="K15" s="266" t="str">
        <f>H26</f>
        <v>Mains, FERC 376</v>
      </c>
      <c r="N15" s="362" t="str">
        <f>K15</f>
        <v>Mains, FERC 376</v>
      </c>
      <c r="O15" s="502">
        <f>(I15)/$I$17</f>
        <v>0.93092101355019308</v>
      </c>
    </row>
    <row r="16" spans="2:17" ht="15.75" thickBot="1" x14ac:dyDescent="0.3">
      <c r="B16" s="242" t="s">
        <v>180</v>
      </c>
      <c r="C16" s="254" t="s">
        <v>181</v>
      </c>
      <c r="D16" s="318">
        <v>3145687.3699999936</v>
      </c>
      <c r="E16" s="328">
        <v>276000</v>
      </c>
      <c r="F16" s="289">
        <f>SUM(D16:E16)</f>
        <v>3421687.3699999936</v>
      </c>
      <c r="G16" s="273"/>
      <c r="H16" s="323">
        <v>548179.7699999999</v>
      </c>
      <c r="I16" s="318">
        <f t="shared" ref="I16" si="3">+H16+D16</f>
        <v>3693867.1399999936</v>
      </c>
      <c r="J16" s="289">
        <f t="shared" si="2"/>
        <v>272179.77</v>
      </c>
      <c r="K16" s="266" t="str">
        <f>H27</f>
        <v>Services, FERC 380</v>
      </c>
      <c r="N16" s="362" t="str">
        <f>K16</f>
        <v>Services, FERC 380</v>
      </c>
      <c r="O16" s="505">
        <f>I16/$I$17</f>
        <v>6.9078986449806923E-2</v>
      </c>
    </row>
    <row r="17" spans="2:15" x14ac:dyDescent="0.25">
      <c r="B17" s="244" t="s">
        <v>182</v>
      </c>
      <c r="C17" s="255"/>
      <c r="D17" s="319">
        <f>SUM(D15:D16)</f>
        <v>49739732.610000029</v>
      </c>
      <c r="E17" s="326">
        <f>SUM(E15:E16)</f>
        <v>3997742</v>
      </c>
      <c r="F17" s="256">
        <f>SUM(F15:F16)</f>
        <v>53737474.610000029</v>
      </c>
      <c r="G17" s="283"/>
      <c r="H17" s="331">
        <f>SUM(H15:H16)</f>
        <v>3733361.4500000011</v>
      </c>
      <c r="I17" s="326">
        <f>SUM(I15:I16)</f>
        <v>53473094.060000032</v>
      </c>
      <c r="J17" s="246">
        <f t="shared" si="2"/>
        <v>-264380.54999999702</v>
      </c>
      <c r="K17" s="266"/>
      <c r="N17" s="503"/>
      <c r="O17" s="504">
        <f>SUM(O15:O16)</f>
        <v>1</v>
      </c>
    </row>
    <row r="18" spans="2:15" x14ac:dyDescent="0.25">
      <c r="B18" s="247"/>
      <c r="C18" s="257"/>
      <c r="D18" s="248"/>
      <c r="E18" s="248"/>
      <c r="F18" s="246"/>
      <c r="G18" s="248"/>
      <c r="H18" s="247"/>
      <c r="I18" s="248"/>
      <c r="J18" s="249"/>
      <c r="N18" s="266"/>
      <c r="O18" s="266"/>
    </row>
    <row r="19" spans="2:15" ht="15.75" thickBot="1" x14ac:dyDescent="0.3">
      <c r="B19" s="280" t="s">
        <v>183</v>
      </c>
      <c r="C19" s="281"/>
      <c r="D19" s="329">
        <f>D9+D17</f>
        <v>52974820.909999855</v>
      </c>
      <c r="E19" s="329">
        <f>E9+E17</f>
        <v>4045242</v>
      </c>
      <c r="F19" s="282">
        <f>F9+F17</f>
        <v>57020062.909999855</v>
      </c>
      <c r="G19" s="287"/>
      <c r="H19" s="332">
        <f>H9+H17</f>
        <v>3702923.850000001</v>
      </c>
      <c r="I19" s="333">
        <f>I9+I17</f>
        <v>56677744.759999856</v>
      </c>
      <c r="J19" s="282">
        <f t="shared" si="2"/>
        <v>-342318.14999999851</v>
      </c>
      <c r="N19" s="266"/>
      <c r="O19" s="266"/>
    </row>
    <row r="20" spans="2:15" x14ac:dyDescent="0.25">
      <c r="N20" s="266"/>
      <c r="O20" s="266"/>
    </row>
    <row r="21" spans="2:15" ht="30" x14ac:dyDescent="0.25">
      <c r="E21" s="210" t="s">
        <v>13</v>
      </c>
      <c r="F21" s="211" t="s">
        <v>137</v>
      </c>
      <c r="H21" s="210" t="s">
        <v>13</v>
      </c>
      <c r="I21" s="211" t="s">
        <v>137</v>
      </c>
    </row>
    <row r="22" spans="2:15" x14ac:dyDescent="0.25">
      <c r="D22" s="126" t="s">
        <v>81</v>
      </c>
      <c r="E22" s="334">
        <f>'2021 C&amp;OM'!E35</f>
        <v>2.443056207967733E-2</v>
      </c>
      <c r="F22" s="335">
        <f>+F15*E22</f>
        <v>1229242.9637546574</v>
      </c>
      <c r="H22" s="334">
        <f>+E22</f>
        <v>2.443056207967733E-2</v>
      </c>
      <c r="I22" s="335">
        <f>+I15*H22</f>
        <v>1216134.4935474058</v>
      </c>
    </row>
    <row r="23" spans="2:15" x14ac:dyDescent="0.25">
      <c r="D23" s="127" t="s">
        <v>79</v>
      </c>
      <c r="E23" s="334">
        <f>'2021 C&amp;OM'!E36</f>
        <v>3.1950138602539598E-2</v>
      </c>
      <c r="F23" s="336">
        <f>+F16*E23</f>
        <v>109323.38572605899</v>
      </c>
      <c r="H23" s="334">
        <f>+E23</f>
        <v>3.1950138602539598E-2</v>
      </c>
      <c r="I23" s="336">
        <f>+I16*H23</f>
        <v>118019.56710236633</v>
      </c>
    </row>
    <row r="24" spans="2:15" x14ac:dyDescent="0.25">
      <c r="E24" s="212"/>
      <c r="F24" s="338">
        <f>SUM(F22:F23)</f>
        <v>1338566.3494807165</v>
      </c>
      <c r="H24" s="339"/>
      <c r="I24" s="338">
        <f>SUM(I22:I23)</f>
        <v>1334154.0606497722</v>
      </c>
    </row>
    <row r="25" spans="2:15" x14ac:dyDescent="0.25">
      <c r="E25" s="337"/>
      <c r="F25" s="340">
        <f>+F24/F17</f>
        <v>2.4909364632323495E-2</v>
      </c>
      <c r="G25" s="341"/>
      <c r="H25" s="334"/>
      <c r="I25" s="340">
        <f>+I24/I17</f>
        <v>2.4950006804408419E-2</v>
      </c>
    </row>
    <row r="26" spans="2:15" x14ac:dyDescent="0.25">
      <c r="E26" s="266"/>
      <c r="G26" s="341"/>
      <c r="H26" s="341" t="s">
        <v>207</v>
      </c>
      <c r="I26" s="340">
        <f>+I22/I24</f>
        <v>0.91153977596493818</v>
      </c>
    </row>
    <row r="27" spans="2:15" x14ac:dyDescent="0.25">
      <c r="E27" s="266"/>
      <c r="G27" s="341"/>
      <c r="H27" s="341" t="s">
        <v>208</v>
      </c>
      <c r="I27" s="340">
        <f>+I23/I24</f>
        <v>8.8460224035061846E-2</v>
      </c>
    </row>
    <row r="28" spans="2:15" x14ac:dyDescent="0.25">
      <c r="I28" s="266"/>
    </row>
    <row r="34" spans="2:2" x14ac:dyDescent="0.25">
      <c r="B34" s="411"/>
    </row>
  </sheetData>
  <mergeCells count="1">
    <mergeCell ref="H3:J3"/>
  </mergeCells>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zoomScale="85" zoomScaleNormal="85" workbookViewId="0">
      <pane xSplit="4" ySplit="26" topLeftCell="E42" activePane="bottomRight" state="frozen"/>
      <selection activeCell="J17" sqref="J17"/>
      <selection pane="topRight" activeCell="J17" sqref="J17"/>
      <selection pane="bottomLeft" activeCell="J17" sqref="J17"/>
      <selection pane="bottomRight" activeCell="F16" sqref="F16"/>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34" width="12.7109375" style="56" bestFit="1" customWidth="1"/>
    <col min="35"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49" width="14.7109375" style="3" customWidth="1"/>
    <col min="50" max="16384" width="10.28515625" style="3"/>
  </cols>
  <sheetData>
    <row r="1" spans="1:41" ht="17.25" customHeight="1" x14ac:dyDescent="0.25">
      <c r="A1" s="1" t="s">
        <v>0</v>
      </c>
      <c r="B1" s="2"/>
      <c r="C1" s="2"/>
      <c r="E1" s="506"/>
      <c r="F1" s="506"/>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62" t="s">
        <v>141</v>
      </c>
      <c r="D3" s="115"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94" t="s">
        <v>170</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9" t="s">
        <v>121</v>
      </c>
      <c r="E6" s="109"/>
      <c r="F6" s="110"/>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95">
        <f>F10+F11+F12</f>
        <v>7.3899999999999993E-2</v>
      </c>
      <c r="G13" s="28"/>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8"/>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9" x14ac:dyDescent="0.2">
      <c r="A17" s="12" t="s">
        <v>13</v>
      </c>
      <c r="B17" s="13"/>
      <c r="C17" s="13"/>
      <c r="D17" s="14"/>
      <c r="E17" s="14"/>
      <c r="F17" s="24">
        <f>'Summary 2020'!I25</f>
        <v>2.4950006804408419E-2</v>
      </c>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9" x14ac:dyDescent="0.2">
      <c r="A18" s="12" t="s">
        <v>14</v>
      </c>
      <c r="B18" s="13"/>
      <c r="C18" s="13"/>
      <c r="D18" s="14"/>
      <c r="E18" s="14"/>
      <c r="F18" s="30">
        <v>2</v>
      </c>
      <c r="G18" s="5"/>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9" x14ac:dyDescent="0.2">
      <c r="A19" s="12"/>
      <c r="B19" s="13"/>
      <c r="C19" s="13"/>
      <c r="D19" s="14"/>
      <c r="E19" s="14"/>
      <c r="F19" s="15"/>
      <c r="G19" s="5"/>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9" x14ac:dyDescent="0.2">
      <c r="A20" s="12" t="s">
        <v>15</v>
      </c>
      <c r="B20" s="13"/>
      <c r="C20" s="13"/>
      <c r="D20" s="14"/>
      <c r="E20" s="14"/>
      <c r="F20" s="15"/>
      <c r="G20" s="5"/>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9" x14ac:dyDescent="0.2">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9" ht="15.75" thickBot="1" x14ac:dyDescent="0.25">
      <c r="A22" s="31" t="s">
        <v>17</v>
      </c>
      <c r="B22" s="32"/>
      <c r="C22" s="32"/>
      <c r="D22" s="32"/>
      <c r="E22" s="33"/>
      <c r="F22" s="57">
        <f>'Summary 2020'!I17</f>
        <v>53473094.060000032</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9"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9"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9" x14ac:dyDescent="0.2">
      <c r="A25" s="2"/>
      <c r="B25" s="2"/>
      <c r="C25" s="2"/>
      <c r="D25" s="115"/>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9" x14ac:dyDescent="0.2">
      <c r="A26" s="2"/>
      <c r="B26" s="2"/>
      <c r="C26" s="2"/>
      <c r="D26" s="115"/>
      <c r="E26" s="82">
        <v>2020</v>
      </c>
      <c r="F26" s="82">
        <v>2021</v>
      </c>
      <c r="G26" s="82">
        <v>2022</v>
      </c>
      <c r="H26" s="82">
        <v>2023</v>
      </c>
      <c r="I26" s="82">
        <v>2024</v>
      </c>
      <c r="J26" s="82">
        <v>2025</v>
      </c>
      <c r="K26" s="82">
        <v>2026</v>
      </c>
      <c r="L26" s="82">
        <v>2027</v>
      </c>
      <c r="M26" s="82">
        <v>2028</v>
      </c>
      <c r="N26" s="82">
        <v>2029</v>
      </c>
      <c r="O26" s="82">
        <v>2030</v>
      </c>
      <c r="P26" s="82">
        <v>2031</v>
      </c>
      <c r="Q26" s="82">
        <v>2032</v>
      </c>
      <c r="R26" s="82">
        <v>2033</v>
      </c>
      <c r="S26" s="82">
        <v>2034</v>
      </c>
      <c r="T26" s="82">
        <v>2035</v>
      </c>
      <c r="U26" s="82">
        <v>2036</v>
      </c>
      <c r="V26" s="82">
        <v>2037</v>
      </c>
      <c r="W26" s="82">
        <v>2038</v>
      </c>
      <c r="X26" s="82">
        <v>2039</v>
      </c>
      <c r="Y26" s="82">
        <v>2040</v>
      </c>
      <c r="Z26" s="82">
        <v>2041</v>
      </c>
      <c r="AA26" s="82">
        <v>2042</v>
      </c>
      <c r="AB26" s="82">
        <v>2043</v>
      </c>
      <c r="AC26" s="82">
        <v>2044</v>
      </c>
      <c r="AD26" s="82">
        <v>2045</v>
      </c>
      <c r="AE26" s="82">
        <v>2046</v>
      </c>
      <c r="AF26" s="82">
        <v>2047</v>
      </c>
      <c r="AG26" s="82">
        <v>2048</v>
      </c>
      <c r="AH26" s="82">
        <v>2049</v>
      </c>
      <c r="AI26" s="82">
        <v>2050</v>
      </c>
      <c r="AJ26" s="82">
        <v>2051</v>
      </c>
      <c r="AK26" s="82">
        <v>2052</v>
      </c>
      <c r="AL26" s="82">
        <v>2053</v>
      </c>
      <c r="AM26" s="82">
        <v>2054</v>
      </c>
      <c r="AN26" s="82">
        <v>2055</v>
      </c>
      <c r="AO26" s="82">
        <v>2056</v>
      </c>
      <c r="AP26" s="82">
        <v>2057</v>
      </c>
      <c r="AQ26" s="82">
        <v>2058</v>
      </c>
      <c r="AR26" s="82">
        <v>2059</v>
      </c>
      <c r="AS26" s="82">
        <v>2060</v>
      </c>
    </row>
    <row r="27" spans="1:49" x14ac:dyDescent="0.2">
      <c r="A27" s="262">
        <v>1</v>
      </c>
      <c r="B27" s="2" t="s">
        <v>123</v>
      </c>
      <c r="C27" s="2"/>
      <c r="D27" s="115"/>
      <c r="E27" s="38">
        <f>$F22*$F17</f>
        <v>1334154.0606497722</v>
      </c>
      <c r="F27" s="98">
        <f>$F22*$F17</f>
        <v>1334154.0606497722</v>
      </c>
      <c r="G27" s="98">
        <f>$F22*$F17</f>
        <v>1334154.0606497722</v>
      </c>
      <c r="H27" s="98">
        <f t="shared" ref="H27:AQ27" si="0">$F22*$F17</f>
        <v>1334154.0606497722</v>
      </c>
      <c r="I27" s="98">
        <f t="shared" si="0"/>
        <v>1334154.0606497722</v>
      </c>
      <c r="J27" s="98">
        <f t="shared" si="0"/>
        <v>1334154.0606497722</v>
      </c>
      <c r="K27" s="98">
        <f t="shared" si="0"/>
        <v>1334154.0606497722</v>
      </c>
      <c r="L27" s="98">
        <f t="shared" si="0"/>
        <v>1334154.0606497722</v>
      </c>
      <c r="M27" s="98">
        <f t="shared" si="0"/>
        <v>1334154.0606497722</v>
      </c>
      <c r="N27" s="98">
        <f t="shared" si="0"/>
        <v>1334154.0606497722</v>
      </c>
      <c r="O27" s="98">
        <f t="shared" si="0"/>
        <v>1334154.0606497722</v>
      </c>
      <c r="P27" s="98">
        <f t="shared" si="0"/>
        <v>1334154.0606497722</v>
      </c>
      <c r="Q27" s="98">
        <f t="shared" si="0"/>
        <v>1334154.0606497722</v>
      </c>
      <c r="R27" s="98">
        <f t="shared" si="0"/>
        <v>1334154.0606497722</v>
      </c>
      <c r="S27" s="98">
        <f t="shared" si="0"/>
        <v>1334154.0606497722</v>
      </c>
      <c r="T27" s="98">
        <f t="shared" si="0"/>
        <v>1334154.0606497722</v>
      </c>
      <c r="U27" s="98">
        <f t="shared" si="0"/>
        <v>1334154.0606497722</v>
      </c>
      <c r="V27" s="98">
        <f t="shared" si="0"/>
        <v>1334154.0606497722</v>
      </c>
      <c r="W27" s="98">
        <f t="shared" si="0"/>
        <v>1334154.0606497722</v>
      </c>
      <c r="X27" s="98">
        <f t="shared" si="0"/>
        <v>1334154.0606497722</v>
      </c>
      <c r="Y27" s="98">
        <f t="shared" si="0"/>
        <v>1334154.0606497722</v>
      </c>
      <c r="Z27" s="98">
        <f t="shared" si="0"/>
        <v>1334154.0606497722</v>
      </c>
      <c r="AA27" s="98">
        <f t="shared" si="0"/>
        <v>1334154.0606497722</v>
      </c>
      <c r="AB27" s="98">
        <f t="shared" si="0"/>
        <v>1334154.0606497722</v>
      </c>
      <c r="AC27" s="98">
        <f t="shared" si="0"/>
        <v>1334154.0606497722</v>
      </c>
      <c r="AD27" s="98">
        <f t="shared" si="0"/>
        <v>1334154.0606497722</v>
      </c>
      <c r="AE27" s="98">
        <f t="shared" si="0"/>
        <v>1334154.0606497722</v>
      </c>
      <c r="AF27" s="98">
        <f t="shared" si="0"/>
        <v>1334154.0606497722</v>
      </c>
      <c r="AG27" s="98">
        <f t="shared" si="0"/>
        <v>1334154.0606497722</v>
      </c>
      <c r="AH27" s="98">
        <f t="shared" si="0"/>
        <v>1334154.0606497722</v>
      </c>
      <c r="AI27" s="98">
        <f t="shared" si="0"/>
        <v>1334154.0606497722</v>
      </c>
      <c r="AJ27" s="98">
        <f t="shared" si="0"/>
        <v>1334154.0606497722</v>
      </c>
      <c r="AK27" s="98">
        <f t="shared" si="0"/>
        <v>1334154.0606497722</v>
      </c>
      <c r="AL27" s="98">
        <f t="shared" si="0"/>
        <v>1334154.0606497722</v>
      </c>
      <c r="AM27" s="98">
        <f t="shared" si="0"/>
        <v>1334154.0606497722</v>
      </c>
      <c r="AN27" s="98">
        <f t="shared" si="0"/>
        <v>1334154.0606497722</v>
      </c>
      <c r="AO27" s="98">
        <f t="shared" si="0"/>
        <v>1334154.0606497722</v>
      </c>
      <c r="AP27" s="98">
        <f t="shared" si="0"/>
        <v>1334154.0606497722</v>
      </c>
      <c r="AQ27" s="98">
        <f t="shared" si="0"/>
        <v>1334154.0606497722</v>
      </c>
      <c r="AR27" s="98">
        <f>$F22*$F17-86890</f>
        <v>1247264.0606497722</v>
      </c>
      <c r="AS27" s="98"/>
      <c r="AT27" s="98"/>
      <c r="AU27" s="100">
        <f>SUM(D27:AT27)</f>
        <v>53279272.425990909</v>
      </c>
      <c r="AV27" s="22">
        <f>F22</f>
        <v>53473094.060000032</v>
      </c>
      <c r="AW27" s="209">
        <f>+AU27-AV27</f>
        <v>-193821.63400912285</v>
      </c>
    </row>
    <row r="28" spans="1:49" x14ac:dyDescent="0.2">
      <c r="A28" s="2"/>
      <c r="B28" s="2"/>
      <c r="C28" s="2"/>
      <c r="D28" s="115"/>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6"/>
    </row>
    <row r="29" spans="1:49" x14ac:dyDescent="0.2">
      <c r="A29" s="262">
        <f>A27+1</f>
        <v>2</v>
      </c>
      <c r="B29" s="2" t="s">
        <v>54</v>
      </c>
      <c r="C29" s="2"/>
      <c r="D29" s="115"/>
      <c r="E29" s="38">
        <f>E53</f>
        <v>639235.00576328114</v>
      </c>
      <c r="F29" s="98">
        <f t="shared" ref="F29:AT29" si="1">F53</f>
        <v>618993.82188552583</v>
      </c>
      <c r="G29" s="98">
        <f t="shared" si="1"/>
        <v>596760.56898747431</v>
      </c>
      <c r="H29" s="98">
        <f t="shared" si="1"/>
        <v>575236.48449364165</v>
      </c>
      <c r="I29" s="98">
        <f t="shared" si="1"/>
        <v>554368.48286129383</v>
      </c>
      <c r="J29" s="98">
        <f t="shared" si="1"/>
        <v>534107.56205098378</v>
      </c>
      <c r="K29" s="98">
        <f t="shared" si="1"/>
        <v>514408.12294267042</v>
      </c>
      <c r="L29" s="98">
        <f t="shared" si="1"/>
        <v>495227.96933571895</v>
      </c>
      <c r="M29" s="98">
        <f t="shared" si="1"/>
        <v>476337.7444621622</v>
      </c>
      <c r="N29" s="98">
        <f t="shared" si="1"/>
        <v>457489.03520535899</v>
      </c>
      <c r="O29" s="98">
        <f t="shared" si="1"/>
        <v>438640.32594855595</v>
      </c>
      <c r="P29" s="98">
        <f t="shared" si="1"/>
        <v>419791.6166917528</v>
      </c>
      <c r="Q29" s="98">
        <f t="shared" si="1"/>
        <v>400942.90743494971</v>
      </c>
      <c r="R29" s="98">
        <f t="shared" si="1"/>
        <v>382094.19817814656</v>
      </c>
      <c r="S29" s="98">
        <f t="shared" si="1"/>
        <v>363245.48892134341</v>
      </c>
      <c r="T29" s="98">
        <f t="shared" si="1"/>
        <v>344396.77966454043</v>
      </c>
      <c r="U29" s="98">
        <f t="shared" si="1"/>
        <v>325548.07040773728</v>
      </c>
      <c r="V29" s="98">
        <f t="shared" si="1"/>
        <v>306699.36115093419</v>
      </c>
      <c r="W29" s="98">
        <f t="shared" si="1"/>
        <v>287850.65189413115</v>
      </c>
      <c r="X29" s="98">
        <f t="shared" si="1"/>
        <v>269001.94263732806</v>
      </c>
      <c r="Y29" s="98">
        <f t="shared" si="1"/>
        <v>251671.61601950051</v>
      </c>
      <c r="Z29" s="98">
        <f t="shared" si="1"/>
        <v>237377.37409574271</v>
      </c>
      <c r="AA29" s="98">
        <f t="shared" si="1"/>
        <v>224601.51481096051</v>
      </c>
      <c r="AB29" s="98">
        <f t="shared" si="1"/>
        <v>211825.65552617831</v>
      </c>
      <c r="AC29" s="98">
        <f t="shared" si="1"/>
        <v>199049.79624139611</v>
      </c>
      <c r="AD29" s="98">
        <f t="shared" si="1"/>
        <v>186273.93695661391</v>
      </c>
      <c r="AE29" s="98">
        <f t="shared" si="1"/>
        <v>173498.07767183174</v>
      </c>
      <c r="AF29" s="98">
        <f t="shared" si="1"/>
        <v>160722.21838704951</v>
      </c>
      <c r="AG29" s="98">
        <f t="shared" si="1"/>
        <v>147946.35910226725</v>
      </c>
      <c r="AH29" s="98">
        <f t="shared" si="1"/>
        <v>135170.49981748499</v>
      </c>
      <c r="AI29" s="98">
        <f t="shared" si="1"/>
        <v>122394.64053270275</v>
      </c>
      <c r="AJ29" s="98">
        <f t="shared" si="1"/>
        <v>109618.78124792049</v>
      </c>
      <c r="AK29" s="98">
        <f t="shared" si="1"/>
        <v>96842.921963138229</v>
      </c>
      <c r="AL29" s="98">
        <f t="shared" si="1"/>
        <v>84067.062678355971</v>
      </c>
      <c r="AM29" s="98">
        <f t="shared" si="1"/>
        <v>71291.203393573727</v>
      </c>
      <c r="AN29" s="98">
        <f t="shared" si="1"/>
        <v>58515.344108791483</v>
      </c>
      <c r="AO29" s="98">
        <f t="shared" si="1"/>
        <v>45739.484824009218</v>
      </c>
      <c r="AP29" s="98">
        <f t="shared" si="1"/>
        <v>32963.625539226974</v>
      </c>
      <c r="AQ29" s="98">
        <f t="shared" si="1"/>
        <v>20187.766254444719</v>
      </c>
      <c r="AR29" s="98">
        <f t="shared" si="1"/>
        <v>7827.936289662468</v>
      </c>
      <c r="AS29" s="98">
        <f t="shared" si="1"/>
        <v>1856.0359672712957</v>
      </c>
      <c r="AT29" s="98">
        <f t="shared" si="1"/>
        <v>1856.0359672712957</v>
      </c>
      <c r="AU29" s="100">
        <f>SUM(D29:AT29)</f>
        <v>11581674.028312925</v>
      </c>
    </row>
    <row r="30" spans="1:49" x14ac:dyDescent="0.2">
      <c r="A30" s="2"/>
      <c r="B30" s="2"/>
      <c r="C30" s="2"/>
      <c r="D30" s="115"/>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row>
    <row r="31" spans="1:49" x14ac:dyDescent="0.2">
      <c r="A31" s="2"/>
      <c r="B31" s="2" t="s">
        <v>55</v>
      </c>
      <c r="C31" s="2"/>
      <c r="D31" s="115"/>
      <c r="E31" s="38">
        <f>+E30/0.79</f>
        <v>0</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9" x14ac:dyDescent="0.2">
      <c r="A32" s="262">
        <f>A29+1</f>
        <v>3</v>
      </c>
      <c r="B32" s="2"/>
      <c r="C32" s="2"/>
      <c r="D32" s="115"/>
      <c r="E32" s="38">
        <f>E49*$F10</f>
        <v>0</v>
      </c>
      <c r="F32" s="98">
        <f t="shared" ref="F32:AT32" si="2">F49*$F10</f>
        <v>0</v>
      </c>
      <c r="G32" s="98">
        <f t="shared" si="2"/>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2"/>
        <v>0</v>
      </c>
      <c r="S32" s="98">
        <f t="shared" si="2"/>
        <v>0</v>
      </c>
      <c r="T32" s="98">
        <f t="shared" si="2"/>
        <v>0</v>
      </c>
      <c r="U32" s="98">
        <f t="shared" si="2"/>
        <v>0</v>
      </c>
      <c r="V32" s="98">
        <f t="shared" si="2"/>
        <v>0</v>
      </c>
      <c r="W32" s="98">
        <f t="shared" si="2"/>
        <v>0</v>
      </c>
      <c r="X32" s="98">
        <f t="shared" si="2"/>
        <v>0</v>
      </c>
      <c r="Y32" s="98">
        <f t="shared" si="2"/>
        <v>0</v>
      </c>
      <c r="Z32" s="98">
        <f t="shared" si="2"/>
        <v>0</v>
      </c>
      <c r="AA32" s="98">
        <f t="shared" si="2"/>
        <v>0</v>
      </c>
      <c r="AB32" s="98">
        <f t="shared" si="2"/>
        <v>0</v>
      </c>
      <c r="AC32" s="98">
        <f t="shared" si="2"/>
        <v>0</v>
      </c>
      <c r="AD32" s="98">
        <f t="shared" si="2"/>
        <v>0</v>
      </c>
      <c r="AE32" s="98">
        <f t="shared" si="2"/>
        <v>0</v>
      </c>
      <c r="AF32" s="98">
        <f t="shared" si="2"/>
        <v>0</v>
      </c>
      <c r="AG32" s="98">
        <f t="shared" si="2"/>
        <v>0</v>
      </c>
      <c r="AH32" s="98">
        <f t="shared" si="2"/>
        <v>0</v>
      </c>
      <c r="AI32" s="98">
        <f t="shared" si="2"/>
        <v>0</v>
      </c>
      <c r="AJ32" s="98">
        <f t="shared" si="2"/>
        <v>0</v>
      </c>
      <c r="AK32" s="98">
        <f t="shared" si="2"/>
        <v>0</v>
      </c>
      <c r="AL32" s="98">
        <f t="shared" si="2"/>
        <v>0</v>
      </c>
      <c r="AM32" s="98">
        <f t="shared" si="2"/>
        <v>0</v>
      </c>
      <c r="AN32" s="98">
        <f t="shared" si="2"/>
        <v>0</v>
      </c>
      <c r="AO32" s="98">
        <f t="shared" si="2"/>
        <v>0</v>
      </c>
      <c r="AP32" s="98">
        <f t="shared" si="2"/>
        <v>0</v>
      </c>
      <c r="AQ32" s="98">
        <f t="shared" si="2"/>
        <v>0</v>
      </c>
      <c r="AR32" s="98">
        <f t="shared" si="2"/>
        <v>0</v>
      </c>
      <c r="AS32" s="98">
        <f t="shared" si="2"/>
        <v>0</v>
      </c>
      <c r="AT32" s="98">
        <f t="shared" si="2"/>
        <v>0</v>
      </c>
      <c r="AU32" s="100">
        <f t="shared" ref="AU32:AU42" si="3">SUM(D32:AT32)</f>
        <v>0</v>
      </c>
    </row>
    <row r="33" spans="1:47" x14ac:dyDescent="0.2">
      <c r="A33" s="262">
        <f>A32+1</f>
        <v>4</v>
      </c>
      <c r="B33" s="13"/>
      <c r="C33" s="13" t="s">
        <v>102</v>
      </c>
      <c r="D33" s="115"/>
      <c r="E33" s="38">
        <f>E49*$F11</f>
        <v>1492416.1470185542</v>
      </c>
      <c r="F33" s="98">
        <f t="shared" ref="F33:AT33" si="4">F49*$F11</f>
        <v>1445159.2393373749</v>
      </c>
      <c r="G33" s="98">
        <f t="shared" si="4"/>
        <v>1393251.4662544865</v>
      </c>
      <c r="H33" s="98">
        <f t="shared" si="4"/>
        <v>1342999.3821871709</v>
      </c>
      <c r="I33" s="98">
        <f t="shared" si="4"/>
        <v>1294279.0488022084</v>
      </c>
      <c r="J33" s="98">
        <f t="shared" si="4"/>
        <v>1246976.0614843196</v>
      </c>
      <c r="K33" s="98">
        <f t="shared" si="4"/>
        <v>1200983.9603831747</v>
      </c>
      <c r="L33" s="98">
        <f t="shared" si="4"/>
        <v>1156204.2304133945</v>
      </c>
      <c r="M33" s="98">
        <f t="shared" si="4"/>
        <v>1112101.3944173516</v>
      </c>
      <c r="N33" s="98">
        <f t="shared" si="4"/>
        <v>1068095.4845536978</v>
      </c>
      <c r="O33" s="98">
        <f t="shared" si="4"/>
        <v>1024089.5746900444</v>
      </c>
      <c r="P33" s="98">
        <f t="shared" si="4"/>
        <v>980083.66482639068</v>
      </c>
      <c r="Q33" s="98">
        <f t="shared" si="4"/>
        <v>936077.75496273709</v>
      </c>
      <c r="R33" s="98">
        <f t="shared" si="4"/>
        <v>892071.84509908338</v>
      </c>
      <c r="S33" s="98">
        <f t="shared" si="4"/>
        <v>848065.93523542979</v>
      </c>
      <c r="T33" s="98">
        <f t="shared" si="4"/>
        <v>804060.02537177631</v>
      </c>
      <c r="U33" s="98">
        <f t="shared" si="4"/>
        <v>760054.11550812272</v>
      </c>
      <c r="V33" s="98">
        <f t="shared" si="4"/>
        <v>716048.20564446913</v>
      </c>
      <c r="W33" s="98">
        <f t="shared" si="4"/>
        <v>672042.29578081553</v>
      </c>
      <c r="X33" s="98">
        <f t="shared" si="4"/>
        <v>628036.38591716194</v>
      </c>
      <c r="Y33" s="98">
        <f t="shared" si="4"/>
        <v>587575.43017418252</v>
      </c>
      <c r="Z33" s="98">
        <f t="shared" si="4"/>
        <v>554202.79371956142</v>
      </c>
      <c r="AA33" s="98">
        <f t="shared" si="4"/>
        <v>524375.11138561449</v>
      </c>
      <c r="AB33" s="98">
        <f t="shared" si="4"/>
        <v>494547.42905166757</v>
      </c>
      <c r="AC33" s="98">
        <f t="shared" si="4"/>
        <v>464719.74671772058</v>
      </c>
      <c r="AD33" s="98">
        <f t="shared" si="4"/>
        <v>434892.06438377372</v>
      </c>
      <c r="AE33" s="98">
        <f t="shared" si="4"/>
        <v>405064.38204982691</v>
      </c>
      <c r="AF33" s="98">
        <f t="shared" si="4"/>
        <v>375236.69971587986</v>
      </c>
      <c r="AG33" s="98">
        <f t="shared" si="4"/>
        <v>345409.01738193282</v>
      </c>
      <c r="AH33" s="98">
        <f t="shared" si="4"/>
        <v>315581.33504798578</v>
      </c>
      <c r="AI33" s="98">
        <f t="shared" si="4"/>
        <v>285753.65271403873</v>
      </c>
      <c r="AJ33" s="98">
        <f t="shared" si="4"/>
        <v>255925.97038009172</v>
      </c>
      <c r="AK33" s="98">
        <f t="shared" si="4"/>
        <v>226098.28804614468</v>
      </c>
      <c r="AL33" s="98">
        <f t="shared" si="4"/>
        <v>196270.60571219763</v>
      </c>
      <c r="AM33" s="98">
        <f t="shared" si="4"/>
        <v>166442.92337825059</v>
      </c>
      <c r="AN33" s="98">
        <f t="shared" si="4"/>
        <v>136615.24104430358</v>
      </c>
      <c r="AO33" s="98">
        <f t="shared" si="4"/>
        <v>106787.55871035653</v>
      </c>
      <c r="AP33" s="98">
        <f t="shared" si="4"/>
        <v>76959.876376409506</v>
      </c>
      <c r="AQ33" s="98">
        <f t="shared" si="4"/>
        <v>47132.194042462463</v>
      </c>
      <c r="AR33" s="98">
        <f t="shared" si="4"/>
        <v>18275.811573515432</v>
      </c>
      <c r="AS33" s="98">
        <f t="shared" si="4"/>
        <v>4333.2702715418081</v>
      </c>
      <c r="AT33" s="98">
        <f t="shared" si="4"/>
        <v>4333.2702715418081</v>
      </c>
      <c r="AU33" s="100">
        <f t="shared" si="3"/>
        <v>27039628.890036769</v>
      </c>
    </row>
    <row r="34" spans="1:47" x14ac:dyDescent="0.2">
      <c r="A34" s="262">
        <f>A33+1</f>
        <v>5</v>
      </c>
      <c r="B34" s="2"/>
      <c r="C34" s="2" t="s">
        <v>9</v>
      </c>
      <c r="D34" s="115"/>
      <c r="E34" s="40">
        <f>E49*$F12</f>
        <v>2404741.2121571051</v>
      </c>
      <c r="F34" s="96">
        <f t="shared" ref="F34:AT34" si="5">F49*$F12</f>
        <v>2328595.8061407879</v>
      </c>
      <c r="G34" s="96">
        <f t="shared" si="5"/>
        <v>2244956.4261909751</v>
      </c>
      <c r="H34" s="96">
        <f t="shared" si="5"/>
        <v>2163984.8702379856</v>
      </c>
      <c r="I34" s="96">
        <f t="shared" si="5"/>
        <v>2085481.4355258199</v>
      </c>
      <c r="J34" s="96">
        <f t="shared" si="5"/>
        <v>2009261.7810489393</v>
      </c>
      <c r="K34" s="96">
        <f t="shared" si="5"/>
        <v>1935154.367260522</v>
      </c>
      <c r="L34" s="96">
        <f t="shared" si="5"/>
        <v>1863000.4560724664</v>
      </c>
      <c r="M34" s="96">
        <f t="shared" si="5"/>
        <v>1791937.2291671815</v>
      </c>
      <c r="N34" s="96">
        <f t="shared" si="5"/>
        <v>1721030.1800582553</v>
      </c>
      <c r="O34" s="96">
        <f t="shared" si="5"/>
        <v>1650123.1309493296</v>
      </c>
      <c r="P34" s="96">
        <f t="shared" si="5"/>
        <v>1579216.0818404036</v>
      </c>
      <c r="Q34" s="96">
        <f t="shared" si="5"/>
        <v>1508309.0327314776</v>
      </c>
      <c r="R34" s="96">
        <f t="shared" si="5"/>
        <v>1437401.9836225514</v>
      </c>
      <c r="S34" s="96">
        <f t="shared" si="5"/>
        <v>1366494.9345136255</v>
      </c>
      <c r="T34" s="96">
        <f t="shared" si="5"/>
        <v>1295587.8854046997</v>
      </c>
      <c r="U34" s="96">
        <f t="shared" si="5"/>
        <v>1224680.8362957737</v>
      </c>
      <c r="V34" s="96">
        <f t="shared" si="5"/>
        <v>1153773.7871868478</v>
      </c>
      <c r="W34" s="96">
        <f t="shared" si="5"/>
        <v>1082866.738077922</v>
      </c>
      <c r="X34" s="96">
        <f t="shared" si="5"/>
        <v>1011959.6889689961</v>
      </c>
      <c r="Y34" s="96">
        <f t="shared" si="5"/>
        <v>946764.65074002568</v>
      </c>
      <c r="Z34" s="96">
        <f t="shared" si="5"/>
        <v>892991.07397922268</v>
      </c>
      <c r="AA34" s="96">
        <f t="shared" si="5"/>
        <v>844929.50809837529</v>
      </c>
      <c r="AB34" s="96">
        <f t="shared" si="5"/>
        <v>796867.94221752801</v>
      </c>
      <c r="AC34" s="96">
        <f t="shared" si="5"/>
        <v>748806.37633668061</v>
      </c>
      <c r="AD34" s="96">
        <f t="shared" si="5"/>
        <v>700744.81045583333</v>
      </c>
      <c r="AE34" s="96">
        <f t="shared" si="5"/>
        <v>652683.24457498617</v>
      </c>
      <c r="AF34" s="96">
        <f t="shared" si="5"/>
        <v>604621.67869413865</v>
      </c>
      <c r="AG34" s="96">
        <f t="shared" si="5"/>
        <v>556560.11281329114</v>
      </c>
      <c r="AH34" s="96">
        <f t="shared" si="5"/>
        <v>508498.54693244351</v>
      </c>
      <c r="AI34" s="96">
        <f t="shared" si="5"/>
        <v>460436.98105159606</v>
      </c>
      <c r="AJ34" s="96">
        <f t="shared" si="5"/>
        <v>412375.41517074854</v>
      </c>
      <c r="AK34" s="96">
        <f t="shared" si="5"/>
        <v>364313.84928990097</v>
      </c>
      <c r="AL34" s="96">
        <f t="shared" si="5"/>
        <v>316252.28340905346</v>
      </c>
      <c r="AM34" s="96">
        <f t="shared" si="5"/>
        <v>268190.71752820595</v>
      </c>
      <c r="AN34" s="96">
        <f t="shared" si="5"/>
        <v>220129.15164735843</v>
      </c>
      <c r="AO34" s="96">
        <f t="shared" si="5"/>
        <v>172067.58576651089</v>
      </c>
      <c r="AP34" s="96">
        <f t="shared" si="5"/>
        <v>124006.01988566338</v>
      </c>
      <c r="AQ34" s="96">
        <f t="shared" si="5"/>
        <v>75944.454004815852</v>
      </c>
      <c r="AR34" s="96">
        <f t="shared" si="5"/>
        <v>29447.950803968331</v>
      </c>
      <c r="AS34" s="96">
        <f t="shared" si="5"/>
        <v>6982.2305435443986</v>
      </c>
      <c r="AT34" s="96">
        <f t="shared" si="5"/>
        <v>6982.2305435443986</v>
      </c>
      <c r="AU34" s="100">
        <f t="shared" si="3"/>
        <v>43569154.67793911</v>
      </c>
    </row>
    <row r="35" spans="1:47" x14ac:dyDescent="0.2">
      <c r="A35" s="262">
        <f>A34+1</f>
        <v>6</v>
      </c>
      <c r="B35" s="2"/>
      <c r="C35" s="2" t="s">
        <v>58</v>
      </c>
      <c r="D35" s="115"/>
      <c r="E35" s="38">
        <f>E32+E33+E34</f>
        <v>3897157.3591756593</v>
      </c>
      <c r="F35" s="98">
        <f>F32+F33+F34</f>
        <v>3773755.0454781628</v>
      </c>
      <c r="G35" s="98">
        <f>G32+G33+G34</f>
        <v>3638207.8924454618</v>
      </c>
      <c r="H35" s="98">
        <f t="shared" ref="H35:AT35" si="6">H32+H33+H34</f>
        <v>3506984.2524251565</v>
      </c>
      <c r="I35" s="98">
        <f t="shared" si="6"/>
        <v>3379760.4843280283</v>
      </c>
      <c r="J35" s="98">
        <f t="shared" si="6"/>
        <v>3256237.8425332587</v>
      </c>
      <c r="K35" s="98">
        <f t="shared" si="6"/>
        <v>3136138.3276436967</v>
      </c>
      <c r="L35" s="98">
        <f t="shared" si="6"/>
        <v>3019204.686485861</v>
      </c>
      <c r="M35" s="98">
        <f t="shared" si="6"/>
        <v>2904038.6235845331</v>
      </c>
      <c r="N35" s="98">
        <f t="shared" si="6"/>
        <v>2789125.6646119533</v>
      </c>
      <c r="O35" s="98">
        <f t="shared" si="6"/>
        <v>2674212.705639374</v>
      </c>
      <c r="P35" s="98">
        <f t="shared" si="6"/>
        <v>2559299.7466667942</v>
      </c>
      <c r="Q35" s="98">
        <f t="shared" si="6"/>
        <v>2444386.7876942148</v>
      </c>
      <c r="R35" s="98">
        <f t="shared" si="6"/>
        <v>2329473.828721635</v>
      </c>
      <c r="S35" s="98">
        <f t="shared" si="6"/>
        <v>2214560.8697490552</v>
      </c>
      <c r="T35" s="98">
        <f t="shared" si="6"/>
        <v>2099647.9107764759</v>
      </c>
      <c r="U35" s="98">
        <f t="shared" si="6"/>
        <v>1984734.9518038966</v>
      </c>
      <c r="V35" s="98">
        <f t="shared" si="6"/>
        <v>1869821.9928313168</v>
      </c>
      <c r="W35" s="98">
        <f t="shared" si="6"/>
        <v>1754909.0338587374</v>
      </c>
      <c r="X35" s="98">
        <f t="shared" si="6"/>
        <v>1639996.0748861581</v>
      </c>
      <c r="Y35" s="98">
        <f t="shared" si="6"/>
        <v>1534340.0809142082</v>
      </c>
      <c r="Z35" s="98">
        <f t="shared" si="6"/>
        <v>1447193.867698784</v>
      </c>
      <c r="AA35" s="98">
        <f t="shared" si="6"/>
        <v>1369304.6194839897</v>
      </c>
      <c r="AB35" s="98">
        <f t="shared" si="6"/>
        <v>1291415.3712691956</v>
      </c>
      <c r="AC35" s="98">
        <f t="shared" si="6"/>
        <v>1213526.1230544013</v>
      </c>
      <c r="AD35" s="98">
        <f t="shared" si="6"/>
        <v>1135636.8748396072</v>
      </c>
      <c r="AE35" s="98">
        <f t="shared" si="6"/>
        <v>1057747.6266248131</v>
      </c>
      <c r="AF35" s="98">
        <f t="shared" si="6"/>
        <v>979858.37841001851</v>
      </c>
      <c r="AG35" s="98">
        <f t="shared" si="6"/>
        <v>901969.13019522396</v>
      </c>
      <c r="AH35" s="98">
        <f t="shared" si="6"/>
        <v>824079.88198042929</v>
      </c>
      <c r="AI35" s="98">
        <f t="shared" si="6"/>
        <v>746190.63376563485</v>
      </c>
      <c r="AJ35" s="98">
        <f t="shared" si="6"/>
        <v>668301.38555084029</v>
      </c>
      <c r="AK35" s="98">
        <f t="shared" si="6"/>
        <v>590412.13733604562</v>
      </c>
      <c r="AL35" s="98">
        <f t="shared" si="6"/>
        <v>512522.88912125106</v>
      </c>
      <c r="AM35" s="98">
        <f t="shared" si="6"/>
        <v>434633.64090645651</v>
      </c>
      <c r="AN35" s="98">
        <f t="shared" si="6"/>
        <v>356744.39269166201</v>
      </c>
      <c r="AO35" s="98">
        <f t="shared" si="6"/>
        <v>278855.1444768674</v>
      </c>
      <c r="AP35" s="98">
        <f t="shared" si="6"/>
        <v>200965.8962620729</v>
      </c>
      <c r="AQ35" s="98">
        <f t="shared" si="6"/>
        <v>123076.64804727832</v>
      </c>
      <c r="AR35" s="98">
        <f t="shared" si="6"/>
        <v>47723.762377483763</v>
      </c>
      <c r="AS35" s="98">
        <f t="shared" si="6"/>
        <v>11315.500815086207</v>
      </c>
      <c r="AT35" s="98">
        <f t="shared" si="6"/>
        <v>11315.500815086207</v>
      </c>
      <c r="AU35" s="100">
        <f t="shared" si="3"/>
        <v>70608783.567975864</v>
      </c>
    </row>
    <row r="36" spans="1:47" x14ac:dyDescent="0.2">
      <c r="A36" s="2"/>
      <c r="B36" s="2"/>
      <c r="C36" s="2"/>
      <c r="D36" s="115"/>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100">
        <f t="shared" si="3"/>
        <v>0</v>
      </c>
    </row>
    <row r="37" spans="1:47" x14ac:dyDescent="0.2">
      <c r="A37" s="262">
        <f>A35+1</f>
        <v>7</v>
      </c>
      <c r="B37" s="2" t="s">
        <v>59</v>
      </c>
      <c r="C37" s="2"/>
      <c r="D37" s="115"/>
      <c r="E37" s="41">
        <f>E27+E29+E35</f>
        <v>5870546.4255887121</v>
      </c>
      <c r="F37" s="95">
        <f>F27+F29+F35</f>
        <v>5726902.9280134607</v>
      </c>
      <c r="G37" s="95">
        <f t="shared" ref="G37:AT37" si="7">G27+G29+G35</f>
        <v>5569122.5220827088</v>
      </c>
      <c r="H37" s="95">
        <f t="shared" si="7"/>
        <v>5416374.7975685708</v>
      </c>
      <c r="I37" s="95">
        <f t="shared" si="7"/>
        <v>5268283.0278390944</v>
      </c>
      <c r="J37" s="95">
        <f t="shared" si="7"/>
        <v>5124499.4652340151</v>
      </c>
      <c r="K37" s="95">
        <f t="shared" si="7"/>
        <v>4984700.5112361396</v>
      </c>
      <c r="L37" s="95">
        <f t="shared" si="7"/>
        <v>4848586.7164713517</v>
      </c>
      <c r="M37" s="95">
        <f t="shared" si="7"/>
        <v>4714530.4286964675</v>
      </c>
      <c r="N37" s="95">
        <f t="shared" si="7"/>
        <v>4580768.7604670841</v>
      </c>
      <c r="O37" s="95">
        <f t="shared" si="7"/>
        <v>4447007.0922377016</v>
      </c>
      <c r="P37" s="95">
        <f t="shared" si="7"/>
        <v>4313245.4240083192</v>
      </c>
      <c r="Q37" s="95">
        <f t="shared" si="7"/>
        <v>4179483.7557789367</v>
      </c>
      <c r="R37" s="95">
        <f t="shared" si="7"/>
        <v>4045722.0875495537</v>
      </c>
      <c r="S37" s="95">
        <f t="shared" si="7"/>
        <v>3911960.4193201708</v>
      </c>
      <c r="T37" s="95">
        <f t="shared" si="7"/>
        <v>3778198.7510907883</v>
      </c>
      <c r="U37" s="95">
        <f t="shared" si="7"/>
        <v>3644437.0828614058</v>
      </c>
      <c r="V37" s="95">
        <f t="shared" si="7"/>
        <v>3510675.4146320233</v>
      </c>
      <c r="W37" s="95">
        <f t="shared" si="7"/>
        <v>3376913.7464026408</v>
      </c>
      <c r="X37" s="95">
        <f t="shared" si="7"/>
        <v>3243152.0781732583</v>
      </c>
      <c r="Y37" s="95">
        <f t="shared" si="7"/>
        <v>3120165.7575834808</v>
      </c>
      <c r="Z37" s="95">
        <f t="shared" si="7"/>
        <v>3018725.3024442988</v>
      </c>
      <c r="AA37" s="95">
        <f t="shared" si="7"/>
        <v>2928060.1949447226</v>
      </c>
      <c r="AB37" s="95">
        <f t="shared" si="7"/>
        <v>2837395.0874451464</v>
      </c>
      <c r="AC37" s="95">
        <f t="shared" si="7"/>
        <v>2746729.9799455693</v>
      </c>
      <c r="AD37" s="95">
        <f t="shared" si="7"/>
        <v>2656064.8724459931</v>
      </c>
      <c r="AE37" s="95">
        <f t="shared" si="7"/>
        <v>2565399.764946417</v>
      </c>
      <c r="AF37" s="95">
        <f t="shared" si="7"/>
        <v>2474734.6574468403</v>
      </c>
      <c r="AG37" s="95">
        <f t="shared" si="7"/>
        <v>2384069.5499472637</v>
      </c>
      <c r="AH37" s="95">
        <f t="shared" si="7"/>
        <v>2293404.4424476866</v>
      </c>
      <c r="AI37" s="95">
        <f t="shared" si="7"/>
        <v>2202739.3349481095</v>
      </c>
      <c r="AJ37" s="95">
        <f t="shared" si="7"/>
        <v>2112074.2274485333</v>
      </c>
      <c r="AK37" s="95">
        <f t="shared" si="7"/>
        <v>2021409.1199489562</v>
      </c>
      <c r="AL37" s="95">
        <f t="shared" si="7"/>
        <v>1930744.0124493791</v>
      </c>
      <c r="AM37" s="95">
        <f t="shared" si="7"/>
        <v>1840078.9049498024</v>
      </c>
      <c r="AN37" s="95">
        <f t="shared" si="7"/>
        <v>1749413.7974502258</v>
      </c>
      <c r="AO37" s="95">
        <f t="shared" si="7"/>
        <v>1658748.6899506487</v>
      </c>
      <c r="AP37" s="95">
        <f t="shared" si="7"/>
        <v>1568083.5824510721</v>
      </c>
      <c r="AQ37" s="95">
        <f t="shared" si="7"/>
        <v>1477418.4749514952</v>
      </c>
      <c r="AR37" s="95">
        <f t="shared" si="7"/>
        <v>1302815.7593169184</v>
      </c>
      <c r="AS37" s="95">
        <f t="shared" si="7"/>
        <v>13171.536782357503</v>
      </c>
      <c r="AT37" s="95">
        <f t="shared" si="7"/>
        <v>13171.536782357503</v>
      </c>
      <c r="AU37" s="100">
        <f t="shared" si="3"/>
        <v>135469730.02227968</v>
      </c>
    </row>
    <row r="38" spans="1:47" x14ac:dyDescent="0.2">
      <c r="A38" s="262">
        <f>A37+1</f>
        <v>8</v>
      </c>
      <c r="B38" s="2" t="s">
        <v>60</v>
      </c>
      <c r="C38" s="2"/>
      <c r="D38" s="115"/>
      <c r="E38" s="40">
        <f>E37/(1-$F16)-E37</f>
        <v>279501.21512763575</v>
      </c>
      <c r="F38" s="96">
        <f t="shared" ref="F38:AT38" si="8">F37/(1-$F16)-F37</f>
        <v>272662.238104566</v>
      </c>
      <c r="G38" s="96">
        <f t="shared" si="8"/>
        <v>265150.19203867484</v>
      </c>
      <c r="H38" s="96">
        <f t="shared" si="8"/>
        <v>257877.75579260569</v>
      </c>
      <c r="I38" s="96">
        <f t="shared" si="8"/>
        <v>250826.99312264845</v>
      </c>
      <c r="J38" s="96">
        <f t="shared" si="8"/>
        <v>243981.3474961482</v>
      </c>
      <c r="K38" s="96">
        <f t="shared" si="8"/>
        <v>237325.41213965975</v>
      </c>
      <c r="L38" s="96">
        <f t="shared" si="8"/>
        <v>230844.93003895413</v>
      </c>
      <c r="M38" s="96">
        <f t="shared" si="8"/>
        <v>224462.40742312744</v>
      </c>
      <c r="N38" s="96">
        <f t="shared" si="8"/>
        <v>218093.91186968982</v>
      </c>
      <c r="O38" s="96">
        <f t="shared" si="8"/>
        <v>211725.41631625127</v>
      </c>
      <c r="P38" s="96">
        <f t="shared" si="8"/>
        <v>205356.92076281365</v>
      </c>
      <c r="Q38" s="96">
        <f t="shared" si="8"/>
        <v>198988.42520937603</v>
      </c>
      <c r="R38" s="96">
        <f t="shared" si="8"/>
        <v>192619.92965593794</v>
      </c>
      <c r="S38" s="96">
        <f t="shared" si="8"/>
        <v>186251.43410250032</v>
      </c>
      <c r="T38" s="96">
        <f t="shared" si="8"/>
        <v>179882.93854906224</v>
      </c>
      <c r="U38" s="96">
        <f t="shared" si="8"/>
        <v>173514.44299562462</v>
      </c>
      <c r="V38" s="96">
        <f t="shared" si="8"/>
        <v>167145.94744218653</v>
      </c>
      <c r="W38" s="96">
        <f t="shared" si="8"/>
        <v>160777.45188874891</v>
      </c>
      <c r="X38" s="96">
        <f t="shared" si="8"/>
        <v>154408.95633531082</v>
      </c>
      <c r="Y38" s="96">
        <f t="shared" si="8"/>
        <v>148553.48334235651</v>
      </c>
      <c r="Z38" s="96">
        <f t="shared" si="8"/>
        <v>143723.8255185266</v>
      </c>
      <c r="AA38" s="96">
        <f t="shared" si="8"/>
        <v>139407.19025518</v>
      </c>
      <c r="AB38" s="96">
        <f t="shared" si="8"/>
        <v>135090.5549918334</v>
      </c>
      <c r="AC38" s="96">
        <f t="shared" si="8"/>
        <v>130773.9197284868</v>
      </c>
      <c r="AD38" s="96">
        <f t="shared" si="8"/>
        <v>126457.2844651402</v>
      </c>
      <c r="AE38" s="96">
        <f t="shared" si="8"/>
        <v>122140.6492017936</v>
      </c>
      <c r="AF38" s="96">
        <f t="shared" si="8"/>
        <v>117824.01393844699</v>
      </c>
      <c r="AG38" s="96">
        <f t="shared" si="8"/>
        <v>113507.37867510086</v>
      </c>
      <c r="AH38" s="96">
        <f t="shared" si="8"/>
        <v>109190.74341175426</v>
      </c>
      <c r="AI38" s="96">
        <f t="shared" si="8"/>
        <v>104874.10814840766</v>
      </c>
      <c r="AJ38" s="96">
        <f t="shared" si="8"/>
        <v>100557.47288506106</v>
      </c>
      <c r="AK38" s="96">
        <f t="shared" si="8"/>
        <v>96240.837621714454</v>
      </c>
      <c r="AL38" s="96">
        <f t="shared" si="8"/>
        <v>91924.20235836762</v>
      </c>
      <c r="AM38" s="96">
        <f t="shared" si="8"/>
        <v>87607.567095021019</v>
      </c>
      <c r="AN38" s="96">
        <f t="shared" si="8"/>
        <v>83290.93183167465</v>
      </c>
      <c r="AO38" s="96">
        <f t="shared" si="8"/>
        <v>78974.296568328049</v>
      </c>
      <c r="AP38" s="96">
        <f t="shared" si="8"/>
        <v>74657.661304981448</v>
      </c>
      <c r="AQ38" s="96">
        <f t="shared" si="8"/>
        <v>70341.026041634846</v>
      </c>
      <c r="AR38" s="96">
        <f t="shared" si="8"/>
        <v>62028.056916353526</v>
      </c>
      <c r="AS38" s="96">
        <f t="shared" si="8"/>
        <v>627.10696226170876</v>
      </c>
      <c r="AT38" s="96">
        <f t="shared" si="8"/>
        <v>627.10696226170876</v>
      </c>
      <c r="AU38" s="100">
        <f t="shared" si="3"/>
        <v>6449817.684636212</v>
      </c>
    </row>
    <row r="39" spans="1:47" x14ac:dyDescent="0.2">
      <c r="A39" s="262">
        <f>A38+1</f>
        <v>9</v>
      </c>
      <c r="B39" s="2"/>
      <c r="C39" s="2" t="s">
        <v>61</v>
      </c>
      <c r="D39" s="115"/>
      <c r="E39" s="41">
        <f>SUM(E37:E38)</f>
        <v>6150047.6407163478</v>
      </c>
      <c r="F39" s="95">
        <f t="shared" ref="F39:AT39" si="9">SUM(F37:F38)</f>
        <v>5999565.1661180267</v>
      </c>
      <c r="G39" s="95">
        <f t="shared" si="9"/>
        <v>5834272.7141213836</v>
      </c>
      <c r="H39" s="95">
        <f t="shared" si="9"/>
        <v>5674252.5533611765</v>
      </c>
      <c r="I39" s="95">
        <f t="shared" si="9"/>
        <v>5519110.0209617428</v>
      </c>
      <c r="J39" s="95">
        <f t="shared" si="9"/>
        <v>5368480.8127301633</v>
      </c>
      <c r="K39" s="95">
        <f t="shared" si="9"/>
        <v>5222025.9233757993</v>
      </c>
      <c r="L39" s="95">
        <f t="shared" si="9"/>
        <v>5079431.6465103058</v>
      </c>
      <c r="M39" s="95">
        <f t="shared" si="9"/>
        <v>4938992.836119595</v>
      </c>
      <c r="N39" s="95">
        <f t="shared" si="9"/>
        <v>4798862.6723367739</v>
      </c>
      <c r="O39" s="95">
        <f t="shared" si="9"/>
        <v>4658732.5085539529</v>
      </c>
      <c r="P39" s="95">
        <f t="shared" si="9"/>
        <v>4518602.3447711328</v>
      </c>
      <c r="Q39" s="95">
        <f t="shared" si="9"/>
        <v>4378472.1809883127</v>
      </c>
      <c r="R39" s="95">
        <f t="shared" si="9"/>
        <v>4238342.0172054917</v>
      </c>
      <c r="S39" s="95">
        <f t="shared" si="9"/>
        <v>4098211.8534226711</v>
      </c>
      <c r="T39" s="95">
        <f t="shared" si="9"/>
        <v>3958081.6896398505</v>
      </c>
      <c r="U39" s="95">
        <f t="shared" si="9"/>
        <v>3817951.5258570304</v>
      </c>
      <c r="V39" s="95">
        <f t="shared" si="9"/>
        <v>3677821.3620742098</v>
      </c>
      <c r="W39" s="95">
        <f t="shared" si="9"/>
        <v>3537691.1982913897</v>
      </c>
      <c r="X39" s="95">
        <f t="shared" si="9"/>
        <v>3397561.0345085692</v>
      </c>
      <c r="Y39" s="95">
        <f t="shared" si="9"/>
        <v>3268719.2409258373</v>
      </c>
      <c r="Z39" s="95">
        <f t="shared" si="9"/>
        <v>3162449.1279628254</v>
      </c>
      <c r="AA39" s="95">
        <f t="shared" si="9"/>
        <v>3067467.3851999026</v>
      </c>
      <c r="AB39" s="95">
        <f t="shared" si="9"/>
        <v>2972485.6424369798</v>
      </c>
      <c r="AC39" s="95">
        <f t="shared" si="9"/>
        <v>2877503.8996740561</v>
      </c>
      <c r="AD39" s="95">
        <f t="shared" si="9"/>
        <v>2782522.1569111333</v>
      </c>
      <c r="AE39" s="95">
        <f t="shared" si="9"/>
        <v>2687540.4141482105</v>
      </c>
      <c r="AF39" s="95">
        <f t="shared" si="9"/>
        <v>2592558.6713852873</v>
      </c>
      <c r="AG39" s="95">
        <f t="shared" si="9"/>
        <v>2497576.9286223645</v>
      </c>
      <c r="AH39" s="95">
        <f t="shared" si="9"/>
        <v>2402595.1858594408</v>
      </c>
      <c r="AI39" s="95">
        <f t="shared" si="9"/>
        <v>2307613.4430965171</v>
      </c>
      <c r="AJ39" s="95">
        <f t="shared" si="9"/>
        <v>2212631.7003335943</v>
      </c>
      <c r="AK39" s="95">
        <f t="shared" si="9"/>
        <v>2117649.9575706706</v>
      </c>
      <c r="AL39" s="95">
        <f t="shared" si="9"/>
        <v>2022668.2148077467</v>
      </c>
      <c r="AM39" s="95">
        <f t="shared" si="9"/>
        <v>1927686.4720448235</v>
      </c>
      <c r="AN39" s="95">
        <f t="shared" si="9"/>
        <v>1832704.7292819005</v>
      </c>
      <c r="AO39" s="95">
        <f t="shared" si="9"/>
        <v>1737722.9865189767</v>
      </c>
      <c r="AP39" s="95">
        <f t="shared" si="9"/>
        <v>1642741.2437560535</v>
      </c>
      <c r="AQ39" s="95">
        <f t="shared" si="9"/>
        <v>1547759.50099313</v>
      </c>
      <c r="AR39" s="95">
        <f t="shared" si="9"/>
        <v>1364843.816233272</v>
      </c>
      <c r="AS39" s="95">
        <f t="shared" si="9"/>
        <v>13798.643744619212</v>
      </c>
      <c r="AT39" s="95">
        <f t="shared" si="9"/>
        <v>13798.643744619212</v>
      </c>
      <c r="AU39" s="100">
        <f t="shared" si="3"/>
        <v>141919547.70691592</v>
      </c>
    </row>
    <row r="40" spans="1:47" x14ac:dyDescent="0.2">
      <c r="A40" s="262">
        <f t="shared" ref="A40:A66" si="10">A39+1</f>
        <v>10</v>
      </c>
      <c r="B40" s="2"/>
      <c r="C40" s="2"/>
      <c r="D40" s="115"/>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100">
        <f t="shared" si="3"/>
        <v>0</v>
      </c>
    </row>
    <row r="41" spans="1:47" x14ac:dyDescent="0.2">
      <c r="A41" s="262">
        <f t="shared" si="10"/>
        <v>11</v>
      </c>
      <c r="B41" s="2"/>
      <c r="C41" s="2"/>
      <c r="D41" s="115"/>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100">
        <f t="shared" si="3"/>
        <v>0</v>
      </c>
    </row>
    <row r="42" spans="1:47" x14ac:dyDescent="0.2">
      <c r="A42" s="262">
        <f t="shared" si="10"/>
        <v>12</v>
      </c>
      <c r="B42" s="2" t="s">
        <v>140</v>
      </c>
      <c r="C42" s="2"/>
      <c r="D42" s="115"/>
      <c r="E42" s="40">
        <f>E39</f>
        <v>6150047.6407163478</v>
      </c>
      <c r="F42" s="96">
        <f>F39</f>
        <v>5999565.1661180267</v>
      </c>
      <c r="G42" s="96">
        <f t="shared" ref="G42:AT42" si="11">G39</f>
        <v>5834272.7141213836</v>
      </c>
      <c r="H42" s="96">
        <f t="shared" si="11"/>
        <v>5674252.5533611765</v>
      </c>
      <c r="I42" s="96">
        <f t="shared" si="11"/>
        <v>5519110.0209617428</v>
      </c>
      <c r="J42" s="96">
        <f t="shared" si="11"/>
        <v>5368480.8127301633</v>
      </c>
      <c r="K42" s="96">
        <f t="shared" si="11"/>
        <v>5222025.9233757993</v>
      </c>
      <c r="L42" s="96">
        <f t="shared" si="11"/>
        <v>5079431.6465103058</v>
      </c>
      <c r="M42" s="96">
        <f t="shared" si="11"/>
        <v>4938992.836119595</v>
      </c>
      <c r="N42" s="96">
        <f t="shared" si="11"/>
        <v>4798862.6723367739</v>
      </c>
      <c r="O42" s="96">
        <f t="shared" si="11"/>
        <v>4658732.5085539529</v>
      </c>
      <c r="P42" s="96">
        <f t="shared" si="11"/>
        <v>4518602.3447711328</v>
      </c>
      <c r="Q42" s="96">
        <f t="shared" si="11"/>
        <v>4378472.1809883127</v>
      </c>
      <c r="R42" s="96">
        <f t="shared" si="11"/>
        <v>4238342.0172054917</v>
      </c>
      <c r="S42" s="96">
        <f t="shared" si="11"/>
        <v>4098211.8534226711</v>
      </c>
      <c r="T42" s="96">
        <f t="shared" si="11"/>
        <v>3958081.6896398505</v>
      </c>
      <c r="U42" s="96">
        <f t="shared" si="11"/>
        <v>3817951.5258570304</v>
      </c>
      <c r="V42" s="96">
        <f t="shared" si="11"/>
        <v>3677821.3620742098</v>
      </c>
      <c r="W42" s="96">
        <f t="shared" si="11"/>
        <v>3537691.1982913897</v>
      </c>
      <c r="X42" s="96">
        <f t="shared" si="11"/>
        <v>3397561.0345085692</v>
      </c>
      <c r="Y42" s="96">
        <f t="shared" si="11"/>
        <v>3268719.2409258373</v>
      </c>
      <c r="Z42" s="96">
        <f t="shared" si="11"/>
        <v>3162449.1279628254</v>
      </c>
      <c r="AA42" s="96">
        <f t="shared" si="11"/>
        <v>3067467.3851999026</v>
      </c>
      <c r="AB42" s="96">
        <f t="shared" si="11"/>
        <v>2972485.6424369798</v>
      </c>
      <c r="AC42" s="96">
        <f t="shared" si="11"/>
        <v>2877503.8996740561</v>
      </c>
      <c r="AD42" s="96">
        <f t="shared" si="11"/>
        <v>2782522.1569111333</v>
      </c>
      <c r="AE42" s="96">
        <f t="shared" si="11"/>
        <v>2687540.4141482105</v>
      </c>
      <c r="AF42" s="96">
        <f t="shared" si="11"/>
        <v>2592558.6713852873</v>
      </c>
      <c r="AG42" s="96">
        <f t="shared" si="11"/>
        <v>2497576.9286223645</v>
      </c>
      <c r="AH42" s="96">
        <f t="shared" si="11"/>
        <v>2402595.1858594408</v>
      </c>
      <c r="AI42" s="96">
        <f t="shared" si="11"/>
        <v>2307613.4430965171</v>
      </c>
      <c r="AJ42" s="96">
        <f t="shared" si="11"/>
        <v>2212631.7003335943</v>
      </c>
      <c r="AK42" s="96">
        <f t="shared" si="11"/>
        <v>2117649.9575706706</v>
      </c>
      <c r="AL42" s="96">
        <f t="shared" si="11"/>
        <v>2022668.2148077467</v>
      </c>
      <c r="AM42" s="96">
        <f t="shared" si="11"/>
        <v>1927686.4720448235</v>
      </c>
      <c r="AN42" s="96">
        <f t="shared" si="11"/>
        <v>1832704.7292819005</v>
      </c>
      <c r="AO42" s="96">
        <f t="shared" si="11"/>
        <v>1737722.9865189767</v>
      </c>
      <c r="AP42" s="96">
        <f t="shared" si="11"/>
        <v>1642741.2437560535</v>
      </c>
      <c r="AQ42" s="96">
        <f t="shared" si="11"/>
        <v>1547759.50099313</v>
      </c>
      <c r="AR42" s="96">
        <f t="shared" si="11"/>
        <v>1364843.816233272</v>
      </c>
      <c r="AS42" s="96">
        <f t="shared" si="11"/>
        <v>13798.643744619212</v>
      </c>
      <c r="AT42" s="96">
        <f t="shared" si="11"/>
        <v>13798.643744619212</v>
      </c>
      <c r="AU42" s="100">
        <f t="shared" si="3"/>
        <v>141919547.70691592</v>
      </c>
    </row>
    <row r="43" spans="1:47" x14ac:dyDescent="0.2">
      <c r="A43" s="262">
        <f t="shared" si="10"/>
        <v>13</v>
      </c>
      <c r="B43" s="2"/>
      <c r="C43" s="2"/>
      <c r="D43" s="115"/>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262">
        <f t="shared" si="10"/>
        <v>14</v>
      </c>
      <c r="B44" s="2"/>
      <c r="C44" s="2"/>
      <c r="D44" s="115"/>
      <c r="E44" s="43"/>
      <c r="F44" s="11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262">
        <f t="shared" si="10"/>
        <v>15</v>
      </c>
      <c r="B45" s="2" t="s">
        <v>63</v>
      </c>
      <c r="C45" s="115"/>
      <c r="D45" s="115"/>
      <c r="E45" s="45">
        <f>+E42/$F$22</f>
        <v>0.11501200274320435</v>
      </c>
      <c r="F45" s="97">
        <f t="shared" ref="F45:AT45" si="12">+F42/$F$22</f>
        <v>0.11219783092009139</v>
      </c>
      <c r="G45" s="97">
        <f t="shared" si="12"/>
        <v>0.109106697801608</v>
      </c>
      <c r="H45" s="97">
        <f t="shared" si="12"/>
        <v>0.1061141617688014</v>
      </c>
      <c r="I45" s="97">
        <f t="shared" si="12"/>
        <v>0.10321284223368427</v>
      </c>
      <c r="J45" s="97">
        <f t="shared" si="12"/>
        <v>0.10039592634580682</v>
      </c>
      <c r="K45" s="97">
        <f t="shared" si="12"/>
        <v>9.7657074369333699E-2</v>
      </c>
      <c r="L45" s="97">
        <f t="shared" si="12"/>
        <v>9.4990419683044294E-2</v>
      </c>
      <c r="M45" s="97">
        <f t="shared" si="12"/>
        <v>9.2364074361916432E-2</v>
      </c>
      <c r="N45" s="97">
        <f t="shared" si="12"/>
        <v>8.9743501039086335E-2</v>
      </c>
      <c r="O45" s="97">
        <f t="shared" si="12"/>
        <v>8.7122927716256224E-2</v>
      </c>
      <c r="P45" s="97">
        <f t="shared" si="12"/>
        <v>8.4502354393426141E-2</v>
      </c>
      <c r="Q45" s="97">
        <f t="shared" si="12"/>
        <v>8.1881781070596044E-2</v>
      </c>
      <c r="R45" s="97">
        <f t="shared" si="12"/>
        <v>7.9261207747765947E-2</v>
      </c>
      <c r="S45" s="97">
        <f t="shared" si="12"/>
        <v>7.664063442493585E-2</v>
      </c>
      <c r="T45" s="97">
        <f t="shared" si="12"/>
        <v>7.4020061102105753E-2</v>
      </c>
      <c r="U45" s="97">
        <f t="shared" si="12"/>
        <v>7.1399487779275669E-2</v>
      </c>
      <c r="V45" s="97">
        <f t="shared" si="12"/>
        <v>6.8778914456445572E-2</v>
      </c>
      <c r="W45" s="97">
        <f t="shared" si="12"/>
        <v>6.6158341133615475E-2</v>
      </c>
      <c r="X45" s="97">
        <f t="shared" si="12"/>
        <v>6.3537767810785378E-2</v>
      </c>
      <c r="Y45" s="97">
        <f t="shared" si="12"/>
        <v>6.1128298228977314E-2</v>
      </c>
      <c r="Z45" s="97">
        <f t="shared" si="12"/>
        <v>5.914094150629038E-2</v>
      </c>
      <c r="AA45" s="97">
        <f t="shared" si="12"/>
        <v>5.7364688524625479E-2</v>
      </c>
      <c r="AB45" s="97">
        <f t="shared" si="12"/>
        <v>5.5588435542960578E-2</v>
      </c>
      <c r="AC45" s="97">
        <f t="shared" si="12"/>
        <v>5.3812182561295656E-2</v>
      </c>
      <c r="AD45" s="97">
        <f t="shared" si="12"/>
        <v>5.2035929579630755E-2</v>
      </c>
      <c r="AE45" s="97">
        <f t="shared" si="12"/>
        <v>5.0259676597965854E-2</v>
      </c>
      <c r="AF45" s="97">
        <f t="shared" si="12"/>
        <v>4.8483423616300945E-2</v>
      </c>
      <c r="AG45" s="97">
        <f t="shared" si="12"/>
        <v>4.6707170634636044E-2</v>
      </c>
      <c r="AH45" s="97">
        <f t="shared" si="12"/>
        <v>4.4930917652971122E-2</v>
      </c>
      <c r="AI45" s="97">
        <f t="shared" si="12"/>
        <v>4.3154664671306207E-2</v>
      </c>
      <c r="AJ45" s="97">
        <f t="shared" si="12"/>
        <v>4.1378411689641306E-2</v>
      </c>
      <c r="AK45" s="97">
        <f t="shared" si="12"/>
        <v>3.9602158707976384E-2</v>
      </c>
      <c r="AL45" s="97">
        <f t="shared" si="12"/>
        <v>3.7825905726311462E-2</v>
      </c>
      <c r="AM45" s="97">
        <f t="shared" si="12"/>
        <v>3.6049652744646554E-2</v>
      </c>
      <c r="AN45" s="97">
        <f t="shared" si="12"/>
        <v>3.4273399762981646E-2</v>
      </c>
      <c r="AO45" s="97">
        <f t="shared" si="12"/>
        <v>3.2497146781316731E-2</v>
      </c>
      <c r="AP45" s="97">
        <f t="shared" si="12"/>
        <v>3.072089379965182E-2</v>
      </c>
      <c r="AQ45" s="97">
        <f t="shared" si="12"/>
        <v>2.8944640817986905E-2</v>
      </c>
      <c r="AR45" s="97">
        <f t="shared" si="12"/>
        <v>2.5523935733021825E-2</v>
      </c>
      <c r="AS45" s="97">
        <f t="shared" si="12"/>
        <v>2.5804835099192696E-4</v>
      </c>
      <c r="AT45" s="97">
        <f t="shared" si="12"/>
        <v>2.5804835099192696E-4</v>
      </c>
    </row>
    <row r="46" spans="1:47" outlineLevel="1" x14ac:dyDescent="0.2">
      <c r="A46" s="262">
        <f t="shared" si="10"/>
        <v>16</v>
      </c>
      <c r="B46" s="2"/>
      <c r="C46" s="2"/>
      <c r="D46" s="115"/>
      <c r="E46" s="43"/>
      <c r="F46" s="11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262">
        <f t="shared" si="10"/>
        <v>17</v>
      </c>
      <c r="B47" s="2"/>
      <c r="C47" s="2"/>
      <c r="D47" s="115"/>
      <c r="E47" s="43">
        <f>+E27/2</f>
        <v>667077.03032488609</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262">
        <f t="shared" si="10"/>
        <v>18</v>
      </c>
      <c r="B48" s="2"/>
      <c r="C48" s="2"/>
      <c r="D48" s="115"/>
      <c r="E48" s="43">
        <f>+E60/2</f>
        <v>70464.131493024048</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262">
        <f t="shared" si="10"/>
        <v>19</v>
      </c>
      <c r="B49" s="46" t="s">
        <v>64</v>
      </c>
      <c r="C49" s="2"/>
      <c r="D49" s="115"/>
      <c r="E49" s="41">
        <f>F22-E27/2-E60/2</f>
        <v>52735552.898182124</v>
      </c>
      <c r="F49" s="113">
        <f>$F$22-(SUM($E$27:E27)+F27/2)-(SUM($E$60:E60)+F60/2)</f>
        <v>51065697.503087454</v>
      </c>
      <c r="G49" s="113">
        <f>$F$22-(SUM($E$27:F27)+G27/2)-(SUM($E$60:F60)+G60/2)</f>
        <v>49231500.574363485</v>
      </c>
      <c r="H49" s="113">
        <f>$F$22-(SUM($E$27:G27)+H27/2)-(SUM($E$60:G60)+H60/2)</f>
        <v>47455808.557850562</v>
      </c>
      <c r="I49" s="113">
        <f>$F$22-(SUM($E$27:H27)+I27/2)-(SUM($E$60:H60)+I60/2)</f>
        <v>45734242.007145174</v>
      </c>
      <c r="J49" s="113">
        <f>$F$22-(SUM($E$27:I27)+J27/2)-(SUM($E$60:I60)+J60/2)</f>
        <v>44062758.356336385</v>
      </c>
      <c r="K49" s="113">
        <f>$F$22-(SUM($E$27:J27)+K27/2)-(SUM($E$60:J60)+K60/2)</f>
        <v>42437595.773257062</v>
      </c>
      <c r="L49" s="113">
        <f>$F$22-(SUM($E$27:K27)+L27/2)-(SUM($E$60:K60)+L60/2)</f>
        <v>40855273.15948391</v>
      </c>
      <c r="M49" s="113">
        <f>$F$22-(SUM($E$27:L27)+M27/2)-(SUM($E$60:L60)+M60/2)</f>
        <v>39296869.060683802</v>
      </c>
      <c r="N49" s="113">
        <f>$F$22-(SUM($E$27:M27)+N27/2)-(SUM($E$60:M60)+N60/2)</f>
        <v>37741889.91355823</v>
      </c>
      <c r="O49" s="113">
        <f>$F$22-(SUM($E$27:N27)+O27/2)-(SUM($E$60:N60)+O60/2)</f>
        <v>36186910.766432665</v>
      </c>
      <c r="P49" s="113">
        <f>$F$22-(SUM($E$27:O27)+P27/2)-(SUM($E$60:O60)+P60/2)</f>
        <v>34631931.619307093</v>
      </c>
      <c r="Q49" s="113">
        <f>$F$22-(SUM($E$27:P27)+Q27/2)-(SUM($E$60:P60)+Q60/2)</f>
        <v>33076952.472181525</v>
      </c>
      <c r="R49" s="113">
        <f>$F$22-(SUM($E$27:Q27)+R27/2)-(SUM($E$60:Q60)+R60/2)</f>
        <v>31521973.325055953</v>
      </c>
      <c r="S49" s="113">
        <f>$F$22-(SUM($E$27:R27)+S27/2)-(SUM($E$60:R60)+S60/2)</f>
        <v>29966994.177930381</v>
      </c>
      <c r="T49" s="113">
        <f>$F$22-(SUM($E$27:S27)+T27/2)-(SUM($E$60:S60)+T60/2)</f>
        <v>28412015.030804817</v>
      </c>
      <c r="U49" s="113">
        <f>$F$22-(SUM($E$27:T27)+U27/2)-(SUM($E$60:T60)+U60/2)</f>
        <v>26857035.883679248</v>
      </c>
      <c r="V49" s="113">
        <f>$F$22-(SUM($E$27:U27)+V27/2)-(SUM($E$60:U60)+V60/2)</f>
        <v>25302056.73655368</v>
      </c>
      <c r="W49" s="113">
        <f>$F$22-(SUM($E$27:V27)+W27/2)-(SUM($E$60:V60)+W60/2)</f>
        <v>23747077.589428112</v>
      </c>
      <c r="X49" s="113">
        <f>$F$22-(SUM($E$27:W27)+X27/2)-(SUM($E$60:W60)+X60/2)</f>
        <v>22192098.442302544</v>
      </c>
      <c r="Y49" s="113">
        <f>$F$22-(SUM($E$27:X27)+Y27/2)-(SUM($E$60:X60)+Y60/2)</f>
        <v>20762382.691667229</v>
      </c>
      <c r="Z49" s="113">
        <f>$F$22-(SUM($E$27:Y27)+Z27/2)-(SUM($E$60:Y60)+Z60/2)</f>
        <v>19583137.587263655</v>
      </c>
      <c r="AA49" s="113">
        <f>$F$22-(SUM($E$27:Z27)+AA27/2)-(SUM($E$60:Z60)+AA60/2)</f>
        <v>18529155.879350334</v>
      </c>
      <c r="AB49" s="113">
        <f>$F$22-(SUM($E$27:AA27)+AB27/2)-(SUM($E$60:AA60)+AB60/2)</f>
        <v>17475174.171437018</v>
      </c>
      <c r="AC49" s="113">
        <f>$F$22-(SUM($E$27:AB27)+AC27/2)-(SUM($E$60:AB60)+AC60/2)</f>
        <v>16421192.463523697</v>
      </c>
      <c r="AD49" s="113">
        <f>$F$22-(SUM($E$27:AC27)+AD27/2)-(SUM($E$60:AC60)+AD60/2)</f>
        <v>15367210.75561038</v>
      </c>
      <c r="AE49" s="113">
        <f>$F$22-(SUM($E$27:AD27)+AE27/2)-(SUM($E$60:AD60)+AE60/2)</f>
        <v>14313229.047697064</v>
      </c>
      <c r="AF49" s="113">
        <f>$F$22-(SUM($E$27:AE27)+AF27/2)-(SUM($E$60:AE60)+AF60/2)</f>
        <v>13259247.339783741</v>
      </c>
      <c r="AG49" s="113">
        <f>$F$22-(SUM($E$27:AF27)+AG27/2)-(SUM($E$60:AF60)+AG60/2)</f>
        <v>12205265.631870419</v>
      </c>
      <c r="AH49" s="113">
        <f>$F$22-(SUM($E$27:AG27)+AH27/2)-(SUM($E$60:AG60)+AH60/2)</f>
        <v>11151283.923957095</v>
      </c>
      <c r="AI49" s="113">
        <f>$F$22-(SUM($E$27:AH27)+AI27/2)-(SUM($E$60:AH60)+AI60/2)</f>
        <v>10097302.216043772</v>
      </c>
      <c r="AJ49" s="113">
        <f>$F$22-(SUM($E$27:AI27)+AJ27/2)-(SUM($E$60:AI60)+AJ60/2)</f>
        <v>9043320.5081304498</v>
      </c>
      <c r="AK49" s="113">
        <f>$F$22-(SUM($E$27:AJ27)+AK27/2)-(SUM($E$60:AJ60)+AK60/2)</f>
        <v>7989338.8002171265</v>
      </c>
      <c r="AL49" s="113">
        <f>$F$22-(SUM($E$27:AK27)+AL27/2)-(SUM($E$60:AK60)+AL60/2)</f>
        <v>6935357.0923038041</v>
      </c>
      <c r="AM49" s="113">
        <f>$F$22-(SUM($E$27:AL27)+AM27/2)-(SUM($E$60:AL60)+AM60/2)</f>
        <v>5881375.3843904808</v>
      </c>
      <c r="AN49" s="113">
        <f>$F$22-(SUM($E$27:AM27)+AN27/2)-(SUM($E$60:AM60)+AN60/2)</f>
        <v>4827393.6764771584</v>
      </c>
      <c r="AO49" s="113">
        <f>$F$22-(SUM($E$27:AN27)+AO27/2)-(SUM($E$60:AN60)+AO60/2)</f>
        <v>3773411.9685638351</v>
      </c>
      <c r="AP49" s="113">
        <f>$F$22-(SUM($E$27:AO27)+AP27/2)-(SUM($E$60:AO60)+AP60/2)</f>
        <v>2719430.2606505128</v>
      </c>
      <c r="AQ49" s="113">
        <f>$F$22-(SUM($E$27:AP27)+AQ27/2)-(SUM($E$60:AP60)+AQ60/2)</f>
        <v>1665448.5527371897</v>
      </c>
      <c r="AR49" s="113">
        <f>$F$22-(SUM($E$27:AQ27)+AR27/2)-(SUM($E$60:AQ60)+AR60/2)</f>
        <v>645788.3948238669</v>
      </c>
      <c r="AS49" s="113">
        <f>$F$22-(SUM($E$27:AR27)+AS27/2)-(SUM($E$60:AR60)+AS60/2)</f>
        <v>153119.09086720171</v>
      </c>
      <c r="AT49" s="113">
        <f>$F$22-(SUM($E$27:AR27)+AT27/2)-(SUM($E$60:AR60)+AT60/2)</f>
        <v>153119.09086720171</v>
      </c>
      <c r="AU49" s="100"/>
    </row>
    <row r="50" spans="1:47" x14ac:dyDescent="0.2">
      <c r="A50" s="262">
        <f t="shared" si="10"/>
        <v>20</v>
      </c>
      <c r="B50" s="2"/>
      <c r="C50" s="2"/>
      <c r="D50" s="115"/>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100">
        <f t="shared" ref="AU50:AU60" si="13">SUM(D50:AT50)</f>
        <v>0</v>
      </c>
    </row>
    <row r="51" spans="1:47" x14ac:dyDescent="0.2">
      <c r="A51" s="262">
        <f t="shared" si="10"/>
        <v>21</v>
      </c>
      <c r="B51" s="2"/>
      <c r="C51" s="2"/>
      <c r="D51" s="115"/>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100">
        <f t="shared" si="13"/>
        <v>0</v>
      </c>
    </row>
    <row r="52" spans="1:47" x14ac:dyDescent="0.2">
      <c r="A52" s="262">
        <f t="shared" si="10"/>
        <v>22</v>
      </c>
      <c r="B52" s="2" t="s">
        <v>65</v>
      </c>
      <c r="C52" s="2"/>
      <c r="D52" s="115"/>
      <c r="E52" s="38">
        <f>(E34)/(1-$F$15)</f>
        <v>3043976.2179203862</v>
      </c>
      <c r="F52" s="98">
        <f t="shared" ref="F52:AT52" si="14">(F34)/(1-$F$15)</f>
        <v>2947589.6280263136</v>
      </c>
      <c r="G52" s="98">
        <f t="shared" si="14"/>
        <v>2841716.9951784494</v>
      </c>
      <c r="H52" s="98">
        <f t="shared" si="14"/>
        <v>2739221.3547316273</v>
      </c>
      <c r="I52" s="98">
        <f t="shared" si="14"/>
        <v>2639849.9183871136</v>
      </c>
      <c r="J52" s="98">
        <f t="shared" si="14"/>
        <v>2543369.3430999229</v>
      </c>
      <c r="K52" s="98">
        <f t="shared" si="14"/>
        <v>2449562.4902031925</v>
      </c>
      <c r="L52" s="98">
        <f t="shared" si="14"/>
        <v>2358228.4254081855</v>
      </c>
      <c r="M52" s="98">
        <f t="shared" si="14"/>
        <v>2268274.9736293438</v>
      </c>
      <c r="N52" s="98">
        <f t="shared" si="14"/>
        <v>2178519.2152636144</v>
      </c>
      <c r="O52" s="98">
        <f t="shared" si="14"/>
        <v>2088763.4568978855</v>
      </c>
      <c r="P52" s="98">
        <f t="shared" si="14"/>
        <v>1999007.6985321564</v>
      </c>
      <c r="Q52" s="98">
        <f t="shared" si="14"/>
        <v>1909251.9401664273</v>
      </c>
      <c r="R52" s="98">
        <f t="shared" si="14"/>
        <v>1819496.1818006979</v>
      </c>
      <c r="S52" s="98">
        <f t="shared" si="14"/>
        <v>1729740.4234349688</v>
      </c>
      <c r="T52" s="98">
        <f t="shared" si="14"/>
        <v>1639984.6650692401</v>
      </c>
      <c r="U52" s="98">
        <f t="shared" si="14"/>
        <v>1550228.906703511</v>
      </c>
      <c r="V52" s="98">
        <f t="shared" si="14"/>
        <v>1460473.1483377819</v>
      </c>
      <c r="W52" s="98">
        <f t="shared" si="14"/>
        <v>1370717.3899720532</v>
      </c>
      <c r="X52" s="98">
        <f t="shared" si="14"/>
        <v>1280961.6316063241</v>
      </c>
      <c r="Y52" s="98">
        <f t="shared" si="14"/>
        <v>1198436.2667595262</v>
      </c>
      <c r="Z52" s="98">
        <f t="shared" si="14"/>
        <v>1130368.4480749653</v>
      </c>
      <c r="AA52" s="98">
        <f t="shared" si="14"/>
        <v>1069531.0229093358</v>
      </c>
      <c r="AB52" s="98">
        <f t="shared" si="14"/>
        <v>1008693.5977437063</v>
      </c>
      <c r="AC52" s="98">
        <f t="shared" si="14"/>
        <v>947856.17257807672</v>
      </c>
      <c r="AD52" s="98">
        <f t="shared" si="14"/>
        <v>887018.74741244724</v>
      </c>
      <c r="AE52" s="98">
        <f t="shared" si="14"/>
        <v>826181.32224681787</v>
      </c>
      <c r="AF52" s="98">
        <f t="shared" si="14"/>
        <v>765343.89708118816</v>
      </c>
      <c r="AG52" s="98">
        <f t="shared" si="14"/>
        <v>704506.47191555833</v>
      </c>
      <c r="AH52" s="98">
        <f t="shared" si="14"/>
        <v>643669.0467499285</v>
      </c>
      <c r="AI52" s="98">
        <f t="shared" si="14"/>
        <v>582831.62158429879</v>
      </c>
      <c r="AJ52" s="98">
        <f t="shared" si="14"/>
        <v>521994.19641866902</v>
      </c>
      <c r="AK52" s="98">
        <f t="shared" si="14"/>
        <v>461156.77125303919</v>
      </c>
      <c r="AL52" s="98">
        <f t="shared" si="14"/>
        <v>400319.34608740942</v>
      </c>
      <c r="AM52" s="98">
        <f t="shared" si="14"/>
        <v>339481.92092177965</v>
      </c>
      <c r="AN52" s="98">
        <f t="shared" si="14"/>
        <v>278644.49575614993</v>
      </c>
      <c r="AO52" s="98">
        <f t="shared" si="14"/>
        <v>217807.0705905201</v>
      </c>
      <c r="AP52" s="98">
        <f t="shared" si="14"/>
        <v>156969.64542489036</v>
      </c>
      <c r="AQ52" s="98">
        <f t="shared" si="14"/>
        <v>96132.220259260575</v>
      </c>
      <c r="AR52" s="98">
        <f t="shared" si="14"/>
        <v>37275.887093630801</v>
      </c>
      <c r="AS52" s="98">
        <f t="shared" si="14"/>
        <v>8838.2665108156943</v>
      </c>
      <c r="AT52" s="98">
        <f t="shared" si="14"/>
        <v>8838.2665108156943</v>
      </c>
      <c r="AU52" s="100"/>
    </row>
    <row r="53" spans="1:47" x14ac:dyDescent="0.2">
      <c r="A53" s="262">
        <f t="shared" si="10"/>
        <v>23</v>
      </c>
      <c r="B53" s="2" t="s">
        <v>66</v>
      </c>
      <c r="C53" s="2"/>
      <c r="D53" s="115"/>
      <c r="E53" s="40">
        <f t="shared" ref="E53:AT53" si="15">E52*$F15</f>
        <v>639235.00576328114</v>
      </c>
      <c r="F53" s="96">
        <f t="shared" si="15"/>
        <v>618993.82188552583</v>
      </c>
      <c r="G53" s="96">
        <f t="shared" si="15"/>
        <v>596760.56898747431</v>
      </c>
      <c r="H53" s="96">
        <f t="shared" si="15"/>
        <v>575236.48449364165</v>
      </c>
      <c r="I53" s="96">
        <f t="shared" si="15"/>
        <v>554368.48286129383</v>
      </c>
      <c r="J53" s="96">
        <f t="shared" si="15"/>
        <v>534107.56205098378</v>
      </c>
      <c r="K53" s="96">
        <f t="shared" si="15"/>
        <v>514408.12294267042</v>
      </c>
      <c r="L53" s="96">
        <f t="shared" si="15"/>
        <v>495227.96933571895</v>
      </c>
      <c r="M53" s="96">
        <f t="shared" si="15"/>
        <v>476337.7444621622</v>
      </c>
      <c r="N53" s="96">
        <f t="shared" si="15"/>
        <v>457489.03520535899</v>
      </c>
      <c r="O53" s="96">
        <f t="shared" si="15"/>
        <v>438640.32594855595</v>
      </c>
      <c r="P53" s="96">
        <f t="shared" si="15"/>
        <v>419791.6166917528</v>
      </c>
      <c r="Q53" s="96">
        <f t="shared" si="15"/>
        <v>400942.90743494971</v>
      </c>
      <c r="R53" s="96">
        <f t="shared" si="15"/>
        <v>382094.19817814656</v>
      </c>
      <c r="S53" s="96">
        <f t="shared" si="15"/>
        <v>363245.48892134341</v>
      </c>
      <c r="T53" s="96">
        <f t="shared" si="15"/>
        <v>344396.77966454043</v>
      </c>
      <c r="U53" s="96">
        <f t="shared" si="15"/>
        <v>325548.07040773728</v>
      </c>
      <c r="V53" s="96">
        <f t="shared" si="15"/>
        <v>306699.36115093419</v>
      </c>
      <c r="W53" s="96">
        <f t="shared" si="15"/>
        <v>287850.65189413115</v>
      </c>
      <c r="X53" s="96">
        <f t="shared" si="15"/>
        <v>269001.94263732806</v>
      </c>
      <c r="Y53" s="96">
        <f t="shared" si="15"/>
        <v>251671.61601950051</v>
      </c>
      <c r="Z53" s="96">
        <f t="shared" si="15"/>
        <v>237377.37409574271</v>
      </c>
      <c r="AA53" s="96">
        <f t="shared" si="15"/>
        <v>224601.51481096051</v>
      </c>
      <c r="AB53" s="96">
        <f t="shared" si="15"/>
        <v>211825.65552617831</v>
      </c>
      <c r="AC53" s="96">
        <f t="shared" si="15"/>
        <v>199049.79624139611</v>
      </c>
      <c r="AD53" s="96">
        <f t="shared" si="15"/>
        <v>186273.93695661391</v>
      </c>
      <c r="AE53" s="96">
        <f t="shared" si="15"/>
        <v>173498.07767183174</v>
      </c>
      <c r="AF53" s="96">
        <f t="shared" si="15"/>
        <v>160722.21838704951</v>
      </c>
      <c r="AG53" s="96">
        <f t="shared" si="15"/>
        <v>147946.35910226725</v>
      </c>
      <c r="AH53" s="96">
        <f t="shared" si="15"/>
        <v>135170.49981748499</v>
      </c>
      <c r="AI53" s="96">
        <f t="shared" si="15"/>
        <v>122394.64053270275</v>
      </c>
      <c r="AJ53" s="96">
        <f t="shared" si="15"/>
        <v>109618.78124792049</v>
      </c>
      <c r="AK53" s="96">
        <f t="shared" si="15"/>
        <v>96842.921963138229</v>
      </c>
      <c r="AL53" s="96">
        <f t="shared" si="15"/>
        <v>84067.062678355971</v>
      </c>
      <c r="AM53" s="96">
        <f t="shared" si="15"/>
        <v>71291.203393573727</v>
      </c>
      <c r="AN53" s="96">
        <f t="shared" si="15"/>
        <v>58515.344108791483</v>
      </c>
      <c r="AO53" s="96">
        <f t="shared" si="15"/>
        <v>45739.484824009218</v>
      </c>
      <c r="AP53" s="96">
        <f t="shared" si="15"/>
        <v>32963.625539226974</v>
      </c>
      <c r="AQ53" s="96">
        <f t="shared" si="15"/>
        <v>20187.766254444719</v>
      </c>
      <c r="AR53" s="96">
        <f t="shared" si="15"/>
        <v>7827.936289662468</v>
      </c>
      <c r="AS53" s="96">
        <f t="shared" si="15"/>
        <v>1856.0359672712957</v>
      </c>
      <c r="AT53" s="96">
        <f t="shared" si="15"/>
        <v>1856.0359672712957</v>
      </c>
      <c r="AU53" s="100"/>
    </row>
    <row r="54" spans="1:47" x14ac:dyDescent="0.2">
      <c r="A54" s="262">
        <f t="shared" si="10"/>
        <v>24</v>
      </c>
      <c r="B54" s="2" t="s">
        <v>67</v>
      </c>
      <c r="C54" s="2"/>
      <c r="D54" s="115"/>
      <c r="E54" s="38">
        <f>E52-E53</f>
        <v>2404741.2121571051</v>
      </c>
      <c r="F54" s="98">
        <f t="shared" ref="F54:AT54" si="16">F52-F53</f>
        <v>2328595.8061407879</v>
      </c>
      <c r="G54" s="98">
        <f t="shared" si="16"/>
        <v>2244956.4261909751</v>
      </c>
      <c r="H54" s="98">
        <f t="shared" si="16"/>
        <v>2163984.8702379856</v>
      </c>
      <c r="I54" s="98">
        <f t="shared" si="16"/>
        <v>2085481.4355258197</v>
      </c>
      <c r="J54" s="98">
        <f t="shared" si="16"/>
        <v>2009261.7810489391</v>
      </c>
      <c r="K54" s="98">
        <f t="shared" si="16"/>
        <v>1935154.367260522</v>
      </c>
      <c r="L54" s="98">
        <f t="shared" si="16"/>
        <v>1863000.4560724664</v>
      </c>
      <c r="M54" s="98">
        <f t="shared" si="16"/>
        <v>1791937.2291671815</v>
      </c>
      <c r="N54" s="98">
        <f t="shared" si="16"/>
        <v>1721030.1800582553</v>
      </c>
      <c r="O54" s="98">
        <f t="shared" si="16"/>
        <v>1650123.1309493296</v>
      </c>
      <c r="P54" s="98">
        <f t="shared" si="16"/>
        <v>1579216.0818404036</v>
      </c>
      <c r="Q54" s="98">
        <f t="shared" si="16"/>
        <v>1508309.0327314776</v>
      </c>
      <c r="R54" s="98">
        <f t="shared" si="16"/>
        <v>1437401.9836225514</v>
      </c>
      <c r="S54" s="98">
        <f t="shared" si="16"/>
        <v>1366494.9345136255</v>
      </c>
      <c r="T54" s="98">
        <f t="shared" si="16"/>
        <v>1295587.8854046997</v>
      </c>
      <c r="U54" s="98">
        <f t="shared" si="16"/>
        <v>1224680.8362957737</v>
      </c>
      <c r="V54" s="98">
        <f t="shared" si="16"/>
        <v>1153773.7871868478</v>
      </c>
      <c r="W54" s="98">
        <f t="shared" si="16"/>
        <v>1082866.738077922</v>
      </c>
      <c r="X54" s="98">
        <f t="shared" si="16"/>
        <v>1011959.6889689961</v>
      </c>
      <c r="Y54" s="98">
        <f t="shared" si="16"/>
        <v>946764.65074002568</v>
      </c>
      <c r="Z54" s="98">
        <f t="shared" si="16"/>
        <v>892991.07397922256</v>
      </c>
      <c r="AA54" s="98">
        <f t="shared" si="16"/>
        <v>844929.50809837529</v>
      </c>
      <c r="AB54" s="98">
        <f t="shared" si="16"/>
        <v>796867.94221752801</v>
      </c>
      <c r="AC54" s="98">
        <f t="shared" si="16"/>
        <v>748806.37633668061</v>
      </c>
      <c r="AD54" s="98">
        <f t="shared" si="16"/>
        <v>700744.81045583333</v>
      </c>
      <c r="AE54" s="98">
        <f t="shared" si="16"/>
        <v>652683.24457498617</v>
      </c>
      <c r="AF54" s="98">
        <f t="shared" si="16"/>
        <v>604621.67869413865</v>
      </c>
      <c r="AG54" s="98">
        <f t="shared" si="16"/>
        <v>556560.11281329114</v>
      </c>
      <c r="AH54" s="98">
        <f t="shared" si="16"/>
        <v>508498.54693244351</v>
      </c>
      <c r="AI54" s="98">
        <f t="shared" si="16"/>
        <v>460436.98105159606</v>
      </c>
      <c r="AJ54" s="98">
        <f t="shared" si="16"/>
        <v>412375.41517074854</v>
      </c>
      <c r="AK54" s="98">
        <f t="shared" si="16"/>
        <v>364313.84928990097</v>
      </c>
      <c r="AL54" s="98">
        <f t="shared" si="16"/>
        <v>316252.28340905346</v>
      </c>
      <c r="AM54" s="98">
        <f t="shared" si="16"/>
        <v>268190.71752820595</v>
      </c>
      <c r="AN54" s="98">
        <f t="shared" si="16"/>
        <v>220129.15164735843</v>
      </c>
      <c r="AO54" s="98">
        <f t="shared" si="16"/>
        <v>172067.58576651089</v>
      </c>
      <c r="AP54" s="98">
        <f t="shared" si="16"/>
        <v>124006.01988566338</v>
      </c>
      <c r="AQ54" s="98">
        <f t="shared" si="16"/>
        <v>75944.454004815852</v>
      </c>
      <c r="AR54" s="98">
        <f t="shared" si="16"/>
        <v>29447.950803968335</v>
      </c>
      <c r="AS54" s="98">
        <f t="shared" si="16"/>
        <v>6982.2305435443986</v>
      </c>
      <c r="AT54" s="98">
        <f t="shared" si="16"/>
        <v>6982.2305435443986</v>
      </c>
      <c r="AU54" s="100"/>
    </row>
    <row r="55" spans="1:47" x14ac:dyDescent="0.2">
      <c r="A55" s="262">
        <f t="shared" si="10"/>
        <v>25</v>
      </c>
      <c r="B55" s="2"/>
      <c r="C55" s="2"/>
      <c r="D55" s="115"/>
      <c r="E55" s="117"/>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00">
        <f t="shared" si="13"/>
        <v>0</v>
      </c>
    </row>
    <row r="56" spans="1:47" x14ac:dyDescent="0.2">
      <c r="A56" s="262">
        <f t="shared" si="10"/>
        <v>26</v>
      </c>
      <c r="B56" s="2"/>
      <c r="C56" s="2"/>
      <c r="D56" s="115"/>
      <c r="E56" s="84"/>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00">
        <f t="shared" si="13"/>
        <v>0</v>
      </c>
    </row>
    <row r="57" spans="1:47" x14ac:dyDescent="0.2">
      <c r="A57" s="262">
        <f t="shared" si="10"/>
        <v>27</v>
      </c>
      <c r="B57" s="2" t="s">
        <v>68</v>
      </c>
      <c r="C57" s="2"/>
      <c r="D57" s="115"/>
      <c r="E57" s="38">
        <f>E27+E28</f>
        <v>1334154.0606497722</v>
      </c>
      <c r="F57" s="98">
        <f>F27</f>
        <v>1334154.0606497722</v>
      </c>
      <c r="G57" s="98">
        <f>G27</f>
        <v>1334154.0606497722</v>
      </c>
      <c r="H57" s="98">
        <f t="shared" ref="H57:AT57" si="17">H27</f>
        <v>1334154.0606497722</v>
      </c>
      <c r="I57" s="98">
        <f t="shared" si="17"/>
        <v>1334154.0606497722</v>
      </c>
      <c r="J57" s="98">
        <f t="shared" si="17"/>
        <v>1334154.0606497722</v>
      </c>
      <c r="K57" s="98">
        <f t="shared" si="17"/>
        <v>1334154.0606497722</v>
      </c>
      <c r="L57" s="98">
        <f t="shared" si="17"/>
        <v>1334154.0606497722</v>
      </c>
      <c r="M57" s="98">
        <f t="shared" si="17"/>
        <v>1334154.0606497722</v>
      </c>
      <c r="N57" s="98">
        <f t="shared" si="17"/>
        <v>1334154.0606497722</v>
      </c>
      <c r="O57" s="98">
        <f t="shared" si="17"/>
        <v>1334154.0606497722</v>
      </c>
      <c r="P57" s="98">
        <f t="shared" si="17"/>
        <v>1334154.0606497722</v>
      </c>
      <c r="Q57" s="98">
        <f t="shared" si="17"/>
        <v>1334154.0606497722</v>
      </c>
      <c r="R57" s="98">
        <f t="shared" si="17"/>
        <v>1334154.0606497722</v>
      </c>
      <c r="S57" s="98">
        <f t="shared" si="17"/>
        <v>1334154.0606497722</v>
      </c>
      <c r="T57" s="98">
        <f t="shared" si="17"/>
        <v>1334154.0606497722</v>
      </c>
      <c r="U57" s="98">
        <f t="shared" si="17"/>
        <v>1334154.0606497722</v>
      </c>
      <c r="V57" s="98">
        <f t="shared" si="17"/>
        <v>1334154.0606497722</v>
      </c>
      <c r="W57" s="98">
        <f t="shared" si="17"/>
        <v>1334154.0606497722</v>
      </c>
      <c r="X57" s="98">
        <f t="shared" si="17"/>
        <v>1334154.0606497722</v>
      </c>
      <c r="Y57" s="98">
        <f t="shared" si="17"/>
        <v>1334154.0606497722</v>
      </c>
      <c r="Z57" s="98">
        <f t="shared" si="17"/>
        <v>1334154.0606497722</v>
      </c>
      <c r="AA57" s="98">
        <f t="shared" si="17"/>
        <v>1334154.0606497722</v>
      </c>
      <c r="AB57" s="98">
        <f t="shared" si="17"/>
        <v>1334154.0606497722</v>
      </c>
      <c r="AC57" s="98">
        <f t="shared" si="17"/>
        <v>1334154.0606497722</v>
      </c>
      <c r="AD57" s="98">
        <f t="shared" si="17"/>
        <v>1334154.0606497722</v>
      </c>
      <c r="AE57" s="98">
        <f t="shared" si="17"/>
        <v>1334154.0606497722</v>
      </c>
      <c r="AF57" s="98">
        <f t="shared" si="17"/>
        <v>1334154.0606497722</v>
      </c>
      <c r="AG57" s="98">
        <f t="shared" si="17"/>
        <v>1334154.0606497722</v>
      </c>
      <c r="AH57" s="98">
        <f t="shared" si="17"/>
        <v>1334154.0606497722</v>
      </c>
      <c r="AI57" s="98">
        <f t="shared" si="17"/>
        <v>1334154.0606497722</v>
      </c>
      <c r="AJ57" s="98">
        <f t="shared" si="17"/>
        <v>1334154.0606497722</v>
      </c>
      <c r="AK57" s="98">
        <f t="shared" si="17"/>
        <v>1334154.0606497722</v>
      </c>
      <c r="AL57" s="98">
        <f t="shared" si="17"/>
        <v>1334154.0606497722</v>
      </c>
      <c r="AM57" s="98">
        <f t="shared" si="17"/>
        <v>1334154.0606497722</v>
      </c>
      <c r="AN57" s="98">
        <f t="shared" si="17"/>
        <v>1334154.0606497722</v>
      </c>
      <c r="AO57" s="98">
        <f t="shared" si="17"/>
        <v>1334154.0606497722</v>
      </c>
      <c r="AP57" s="98">
        <f t="shared" si="17"/>
        <v>1334154.0606497722</v>
      </c>
      <c r="AQ57" s="98">
        <f t="shared" si="17"/>
        <v>1334154.0606497722</v>
      </c>
      <c r="AR57" s="98">
        <f t="shared" si="17"/>
        <v>1247264.0606497722</v>
      </c>
      <c r="AS57" s="98">
        <f t="shared" si="17"/>
        <v>0</v>
      </c>
      <c r="AT57" s="98">
        <f t="shared" si="17"/>
        <v>0</v>
      </c>
      <c r="AU57" s="100">
        <f t="shared" si="13"/>
        <v>53279272.425990909</v>
      </c>
    </row>
    <row r="58" spans="1:47" x14ac:dyDescent="0.2">
      <c r="A58" s="262">
        <f t="shared" si="10"/>
        <v>28</v>
      </c>
      <c r="B58" s="2" t="s">
        <v>69</v>
      </c>
      <c r="C58" s="2"/>
      <c r="D58" s="115"/>
      <c r="E58" s="38">
        <f>$F22*E62</f>
        <v>2005241.0272500012</v>
      </c>
      <c r="F58" s="98">
        <f t="shared" ref="F58:AT58" si="18">$F22*F62</f>
        <v>3860222.6601914028</v>
      </c>
      <c r="G58" s="98">
        <f t="shared" si="18"/>
        <v>3570398.490386202</v>
      </c>
      <c r="H58" s="98">
        <f t="shared" si="18"/>
        <v>3303033.0200862018</v>
      </c>
      <c r="I58" s="98">
        <f t="shared" si="18"/>
        <v>3054917.8636478018</v>
      </c>
      <c r="J58" s="98">
        <f t="shared" si="18"/>
        <v>2826053.0210710019</v>
      </c>
      <c r="K58" s="98">
        <f t="shared" si="18"/>
        <v>2613764.8376528015</v>
      </c>
      <c r="L58" s="98">
        <f t="shared" si="18"/>
        <v>2418053.3133932017</v>
      </c>
      <c r="M58" s="98">
        <f t="shared" si="18"/>
        <v>2385969.4569572015</v>
      </c>
      <c r="N58" s="98">
        <f t="shared" si="18"/>
        <v>2385434.7260166015</v>
      </c>
      <c r="O58" s="98">
        <f t="shared" si="18"/>
        <v>2385969.4569572015</v>
      </c>
      <c r="P58" s="98">
        <f t="shared" si="18"/>
        <v>2385434.7260166015</v>
      </c>
      <c r="Q58" s="98">
        <f t="shared" si="18"/>
        <v>2385969.4569572015</v>
      </c>
      <c r="R58" s="98">
        <f t="shared" si="18"/>
        <v>2385434.7260166015</v>
      </c>
      <c r="S58" s="98">
        <f t="shared" si="18"/>
        <v>2385969.4569572015</v>
      </c>
      <c r="T58" s="98">
        <f t="shared" si="18"/>
        <v>2385434.7260166015</v>
      </c>
      <c r="U58" s="98">
        <f t="shared" si="18"/>
        <v>2385969.4569572015</v>
      </c>
      <c r="V58" s="98">
        <f t="shared" si="18"/>
        <v>2385434.7260166015</v>
      </c>
      <c r="W58" s="98">
        <f t="shared" si="18"/>
        <v>2385969.4569572015</v>
      </c>
      <c r="X58" s="98">
        <f t="shared" si="18"/>
        <v>2385434.7260166015</v>
      </c>
      <c r="Y58" s="98">
        <f t="shared" si="18"/>
        <v>1192984.7284786007</v>
      </c>
      <c r="Z58" s="98">
        <f t="shared" si="18"/>
        <v>0</v>
      </c>
      <c r="AA58" s="98">
        <f t="shared" si="18"/>
        <v>0</v>
      </c>
      <c r="AB58" s="98">
        <f t="shared" si="18"/>
        <v>0</v>
      </c>
      <c r="AC58" s="98">
        <f t="shared" si="18"/>
        <v>0</v>
      </c>
      <c r="AD58" s="98">
        <f t="shared" si="18"/>
        <v>0</v>
      </c>
      <c r="AE58" s="98">
        <f t="shared" si="18"/>
        <v>0</v>
      </c>
      <c r="AF58" s="98">
        <f t="shared" si="18"/>
        <v>0</v>
      </c>
      <c r="AG58" s="98">
        <f t="shared" si="18"/>
        <v>0</v>
      </c>
      <c r="AH58" s="98">
        <f t="shared" si="18"/>
        <v>0</v>
      </c>
      <c r="AI58" s="98">
        <f t="shared" si="18"/>
        <v>0</v>
      </c>
      <c r="AJ58" s="98">
        <f t="shared" si="18"/>
        <v>0</v>
      </c>
      <c r="AK58" s="98">
        <f t="shared" si="18"/>
        <v>0</v>
      </c>
      <c r="AL58" s="98">
        <f t="shared" si="18"/>
        <v>0</v>
      </c>
      <c r="AM58" s="98">
        <f t="shared" si="18"/>
        <v>0</v>
      </c>
      <c r="AN58" s="98">
        <f t="shared" si="18"/>
        <v>0</v>
      </c>
      <c r="AO58" s="98">
        <f t="shared" si="18"/>
        <v>0</v>
      </c>
      <c r="AP58" s="98">
        <f t="shared" si="18"/>
        <v>0</v>
      </c>
      <c r="AQ58" s="98">
        <f t="shared" si="18"/>
        <v>0</v>
      </c>
      <c r="AR58" s="98">
        <f t="shared" si="18"/>
        <v>0</v>
      </c>
      <c r="AS58" s="98">
        <f t="shared" si="18"/>
        <v>0</v>
      </c>
      <c r="AT58" s="98">
        <f t="shared" si="18"/>
        <v>0</v>
      </c>
      <c r="AU58" s="100">
        <f t="shared" si="13"/>
        <v>53473094.060000032</v>
      </c>
    </row>
    <row r="59" spans="1:47" x14ac:dyDescent="0.2">
      <c r="A59" s="262">
        <f t="shared" si="10"/>
        <v>29</v>
      </c>
      <c r="B59" s="2" t="s">
        <v>70</v>
      </c>
      <c r="C59" s="2"/>
      <c r="D59" s="115"/>
      <c r="E59" s="38">
        <f>E58-E57</f>
        <v>671086.96660022903</v>
      </c>
      <c r="F59" s="98">
        <f>F58-F57</f>
        <v>2526068.5995416306</v>
      </c>
      <c r="G59" s="98">
        <f>G58-G57</f>
        <v>2236244.4297364298</v>
      </c>
      <c r="H59" s="98">
        <f t="shared" ref="H59:AT59" si="19">H58-H57</f>
        <v>1968878.9594364297</v>
      </c>
      <c r="I59" s="98">
        <f t="shared" si="19"/>
        <v>1720763.8029980296</v>
      </c>
      <c r="J59" s="98">
        <f t="shared" si="19"/>
        <v>1491898.9604212297</v>
      </c>
      <c r="K59" s="98">
        <f t="shared" si="19"/>
        <v>1279610.7770030294</v>
      </c>
      <c r="L59" s="98">
        <f t="shared" si="19"/>
        <v>1083899.2527434295</v>
      </c>
      <c r="M59" s="98">
        <f t="shared" si="19"/>
        <v>1051815.3963074293</v>
      </c>
      <c r="N59" s="98">
        <f t="shared" si="19"/>
        <v>1051280.6653668294</v>
      </c>
      <c r="O59" s="98">
        <f t="shared" si="19"/>
        <v>1051815.3963074293</v>
      </c>
      <c r="P59" s="98">
        <f t="shared" si="19"/>
        <v>1051280.6653668294</v>
      </c>
      <c r="Q59" s="98">
        <f t="shared" si="19"/>
        <v>1051815.3963074293</v>
      </c>
      <c r="R59" s="98">
        <f t="shared" si="19"/>
        <v>1051280.6653668294</v>
      </c>
      <c r="S59" s="98">
        <f t="shared" si="19"/>
        <v>1051815.3963074293</v>
      </c>
      <c r="T59" s="98">
        <f t="shared" si="19"/>
        <v>1051280.6653668294</v>
      </c>
      <c r="U59" s="98">
        <f t="shared" si="19"/>
        <v>1051815.3963074293</v>
      </c>
      <c r="V59" s="98">
        <f t="shared" si="19"/>
        <v>1051280.6653668294</v>
      </c>
      <c r="W59" s="98">
        <f t="shared" si="19"/>
        <v>1051815.3963074293</v>
      </c>
      <c r="X59" s="98">
        <f t="shared" si="19"/>
        <v>1051280.6653668294</v>
      </c>
      <c r="Y59" s="98">
        <f t="shared" si="19"/>
        <v>-141169.33217117144</v>
      </c>
      <c r="Z59" s="98">
        <f t="shared" si="19"/>
        <v>-1334154.0606497722</v>
      </c>
      <c r="AA59" s="98">
        <f t="shared" si="19"/>
        <v>-1334154.0606497722</v>
      </c>
      <c r="AB59" s="98">
        <f t="shared" si="19"/>
        <v>-1334154.0606497722</v>
      </c>
      <c r="AC59" s="98">
        <f t="shared" si="19"/>
        <v>-1334154.0606497722</v>
      </c>
      <c r="AD59" s="98">
        <f t="shared" si="19"/>
        <v>-1334154.0606497722</v>
      </c>
      <c r="AE59" s="98">
        <f t="shared" si="19"/>
        <v>-1334154.0606497722</v>
      </c>
      <c r="AF59" s="98">
        <f t="shared" si="19"/>
        <v>-1334154.0606497722</v>
      </c>
      <c r="AG59" s="98">
        <f t="shared" si="19"/>
        <v>-1334154.0606497722</v>
      </c>
      <c r="AH59" s="98">
        <f t="shared" si="19"/>
        <v>-1334154.0606497722</v>
      </c>
      <c r="AI59" s="98">
        <f t="shared" si="19"/>
        <v>-1334154.0606497722</v>
      </c>
      <c r="AJ59" s="98">
        <f t="shared" si="19"/>
        <v>-1334154.0606497722</v>
      </c>
      <c r="AK59" s="98">
        <f t="shared" si="19"/>
        <v>-1334154.0606497722</v>
      </c>
      <c r="AL59" s="98">
        <f t="shared" si="19"/>
        <v>-1334154.0606497722</v>
      </c>
      <c r="AM59" s="98">
        <f t="shared" si="19"/>
        <v>-1334154.0606497722</v>
      </c>
      <c r="AN59" s="98">
        <f t="shared" si="19"/>
        <v>-1334154.0606497722</v>
      </c>
      <c r="AO59" s="98">
        <f t="shared" si="19"/>
        <v>-1334154.0606497722</v>
      </c>
      <c r="AP59" s="98">
        <f t="shared" si="19"/>
        <v>-1334154.0606497722</v>
      </c>
      <c r="AQ59" s="98">
        <f t="shared" si="19"/>
        <v>-1334154.0606497722</v>
      </c>
      <c r="AR59" s="98">
        <f t="shared" si="19"/>
        <v>-1247264.0606497722</v>
      </c>
      <c r="AS59" s="98">
        <f t="shared" si="19"/>
        <v>0</v>
      </c>
      <c r="AT59" s="98">
        <f t="shared" si="19"/>
        <v>0</v>
      </c>
      <c r="AU59" s="100">
        <f t="shared" si="13"/>
        <v>193821.63400915731</v>
      </c>
    </row>
    <row r="60" spans="1:47" x14ac:dyDescent="0.2">
      <c r="A60" s="262">
        <f t="shared" si="10"/>
        <v>30</v>
      </c>
      <c r="B60" s="2" t="s">
        <v>71</v>
      </c>
      <c r="C60" s="2"/>
      <c r="D60" s="115"/>
      <c r="E60" s="38">
        <f>E59*F15</f>
        <v>140928.2629860481</v>
      </c>
      <c r="F60" s="98">
        <f t="shared" ref="F60:AT60" si="20">F59*$F$15</f>
        <v>530474.40590374242</v>
      </c>
      <c r="G60" s="98">
        <f t="shared" si="20"/>
        <v>469611.33024465025</v>
      </c>
      <c r="H60" s="98">
        <f t="shared" si="20"/>
        <v>413464.58148165024</v>
      </c>
      <c r="I60" s="98">
        <f t="shared" si="20"/>
        <v>361360.39862958621</v>
      </c>
      <c r="J60" s="98">
        <f t="shared" si="20"/>
        <v>313298.78168845823</v>
      </c>
      <c r="K60" s="98">
        <f t="shared" si="20"/>
        <v>268718.26317063614</v>
      </c>
      <c r="L60" s="98">
        <f t="shared" si="20"/>
        <v>227618.84307612019</v>
      </c>
      <c r="M60" s="98">
        <f t="shared" si="20"/>
        <v>220881.23322456016</v>
      </c>
      <c r="N60" s="98">
        <f t="shared" si="20"/>
        <v>220768.93972703416</v>
      </c>
      <c r="O60" s="98">
        <f t="shared" si="20"/>
        <v>220881.23322456016</v>
      </c>
      <c r="P60" s="98">
        <f t="shared" si="20"/>
        <v>220768.93972703416</v>
      </c>
      <c r="Q60" s="98">
        <f t="shared" si="20"/>
        <v>220881.23322456016</v>
      </c>
      <c r="R60" s="98">
        <f t="shared" si="20"/>
        <v>220768.93972703416</v>
      </c>
      <c r="S60" s="98">
        <f t="shared" si="20"/>
        <v>220881.23322456016</v>
      </c>
      <c r="T60" s="98">
        <f t="shared" si="20"/>
        <v>220768.93972703416</v>
      </c>
      <c r="U60" s="98">
        <f t="shared" si="20"/>
        <v>220881.23322456016</v>
      </c>
      <c r="V60" s="98">
        <f t="shared" si="20"/>
        <v>220768.93972703416</v>
      </c>
      <c r="W60" s="98">
        <f t="shared" si="20"/>
        <v>220881.23322456016</v>
      </c>
      <c r="X60" s="98">
        <f t="shared" si="20"/>
        <v>220768.93972703416</v>
      </c>
      <c r="Y60" s="98">
        <f t="shared" si="20"/>
        <v>-29645.559755946</v>
      </c>
      <c r="Z60" s="98">
        <f t="shared" si="20"/>
        <v>-280172.35273645213</v>
      </c>
      <c r="AA60" s="98">
        <f t="shared" si="20"/>
        <v>-280172.35273645213</v>
      </c>
      <c r="AB60" s="98">
        <f t="shared" si="20"/>
        <v>-280172.35273645213</v>
      </c>
      <c r="AC60" s="98">
        <f t="shared" si="20"/>
        <v>-280172.35273645213</v>
      </c>
      <c r="AD60" s="98">
        <f t="shared" si="20"/>
        <v>-280172.35273645213</v>
      </c>
      <c r="AE60" s="98">
        <f t="shared" si="20"/>
        <v>-280172.35273645213</v>
      </c>
      <c r="AF60" s="98">
        <f t="shared" si="20"/>
        <v>-280172.35273645213</v>
      </c>
      <c r="AG60" s="98">
        <f t="shared" si="20"/>
        <v>-280172.35273645213</v>
      </c>
      <c r="AH60" s="98">
        <f t="shared" si="20"/>
        <v>-280172.35273645213</v>
      </c>
      <c r="AI60" s="98">
        <f t="shared" si="20"/>
        <v>-280172.35273645213</v>
      </c>
      <c r="AJ60" s="98">
        <f t="shared" si="20"/>
        <v>-280172.35273645213</v>
      </c>
      <c r="AK60" s="98">
        <f t="shared" si="20"/>
        <v>-280172.35273645213</v>
      </c>
      <c r="AL60" s="98">
        <f t="shared" si="20"/>
        <v>-280172.35273645213</v>
      </c>
      <c r="AM60" s="98">
        <f t="shared" si="20"/>
        <v>-280172.35273645213</v>
      </c>
      <c r="AN60" s="98">
        <f t="shared" si="20"/>
        <v>-280172.35273645213</v>
      </c>
      <c r="AO60" s="98">
        <f t="shared" si="20"/>
        <v>-280172.35273645213</v>
      </c>
      <c r="AP60" s="98">
        <f t="shared" si="20"/>
        <v>-280172.35273645213</v>
      </c>
      <c r="AQ60" s="98">
        <f t="shared" si="20"/>
        <v>-280172.35273645213</v>
      </c>
      <c r="AR60" s="98">
        <f t="shared" si="20"/>
        <v>-261925.45273645213</v>
      </c>
      <c r="AS60" s="98">
        <f t="shared" si="20"/>
        <v>0</v>
      </c>
      <c r="AT60" s="98">
        <f t="shared" si="20"/>
        <v>0</v>
      </c>
      <c r="AU60" s="100">
        <f t="shared" si="13"/>
        <v>40702.543141921138</v>
      </c>
    </row>
    <row r="61" spans="1:47" x14ac:dyDescent="0.2">
      <c r="A61" s="262">
        <f t="shared" si="10"/>
        <v>31</v>
      </c>
      <c r="B61" s="2"/>
      <c r="C61" s="2"/>
      <c r="D61" s="115"/>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5"/>
    </row>
    <row r="62" spans="1:47" s="50" customFormat="1" x14ac:dyDescent="0.2">
      <c r="A62" s="262">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7" outlineLevel="1" x14ac:dyDescent="0.25">
      <c r="A63" s="262">
        <f t="shared" si="10"/>
        <v>33</v>
      </c>
      <c r="B63" s="2"/>
      <c r="C63" s="118"/>
      <c r="E63" s="119"/>
      <c r="F63" s="120"/>
      <c r="G63" s="120"/>
      <c r="H63" s="120"/>
      <c r="I63" s="120"/>
      <c r="J63" s="120"/>
      <c r="K63" s="120"/>
      <c r="L63" s="120"/>
      <c r="M63" s="121"/>
      <c r="N63" s="121"/>
      <c r="O63" s="121"/>
      <c r="P63" s="121"/>
      <c r="Q63" s="121"/>
      <c r="R63" s="121"/>
      <c r="S63" s="121"/>
      <c r="T63" s="121"/>
      <c r="U63" s="121"/>
      <c r="V63" s="121"/>
      <c r="W63" s="121"/>
      <c r="X63" s="121"/>
      <c r="Y63" s="121"/>
      <c r="Z63" s="115"/>
      <c r="AA63" s="115"/>
      <c r="AB63" s="115"/>
      <c r="AC63" s="115"/>
      <c r="AD63" s="115"/>
      <c r="AE63" s="115"/>
      <c r="AF63" s="115"/>
      <c r="AG63" s="115"/>
      <c r="AH63" s="115"/>
      <c r="AI63" s="115"/>
      <c r="AJ63" s="115"/>
      <c r="AK63" s="115"/>
      <c r="AL63" s="115"/>
      <c r="AM63" s="115"/>
      <c r="AN63" s="115"/>
      <c r="AO63" s="3"/>
    </row>
    <row r="64" spans="1:47" outlineLevel="1" x14ac:dyDescent="0.25">
      <c r="A64" s="262">
        <f t="shared" si="10"/>
        <v>34</v>
      </c>
      <c r="B64" s="2"/>
      <c r="C64" s="118"/>
      <c r="E64" s="119"/>
      <c r="F64" s="120"/>
      <c r="G64" s="120"/>
      <c r="H64" s="120"/>
      <c r="I64" s="120"/>
      <c r="J64" s="120"/>
      <c r="K64" s="120"/>
      <c r="L64" s="120"/>
      <c r="M64" s="121"/>
      <c r="N64" s="121"/>
      <c r="O64" s="121"/>
      <c r="P64" s="121"/>
      <c r="Q64" s="121"/>
      <c r="R64" s="121"/>
      <c r="S64" s="121"/>
      <c r="T64" s="121"/>
      <c r="U64" s="121"/>
      <c r="V64" s="121"/>
      <c r="W64" s="121"/>
      <c r="X64" s="121"/>
      <c r="Y64" s="121"/>
      <c r="Z64" s="115"/>
      <c r="AA64" s="115"/>
      <c r="AB64" s="115"/>
      <c r="AC64" s="115"/>
      <c r="AD64" s="115"/>
      <c r="AE64" s="115"/>
      <c r="AF64" s="115"/>
      <c r="AG64" s="115"/>
      <c r="AH64" s="115"/>
      <c r="AI64" s="115"/>
      <c r="AJ64" s="115"/>
      <c r="AK64" s="115"/>
      <c r="AL64" s="115"/>
      <c r="AM64" s="115"/>
      <c r="AN64" s="115"/>
      <c r="AO64" s="3"/>
    </row>
    <row r="65" spans="1:42" s="50" customFormat="1" x14ac:dyDescent="0.25">
      <c r="A65" s="262">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62">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5"/>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8"/>
  <sheetViews>
    <sheetView zoomScale="85" zoomScaleNormal="85" workbookViewId="0">
      <selection activeCell="N33" sqref="N33"/>
    </sheetView>
  </sheetViews>
  <sheetFormatPr defaultColWidth="9.28515625" defaultRowHeight="15" x14ac:dyDescent="0.25"/>
  <cols>
    <col min="1" max="1" width="3" style="122" bestFit="1" customWidth="1"/>
    <col min="2" max="2" width="24.28515625" style="118" customWidth="1"/>
    <col min="3" max="3" width="19.5703125" style="118" bestFit="1" customWidth="1"/>
    <col min="4" max="4" width="22.28515625" style="118" customWidth="1"/>
    <col min="5" max="5" width="19.7109375" style="118" bestFit="1" customWidth="1"/>
    <col min="6" max="6" width="32.28515625" style="118" customWidth="1"/>
    <col min="7" max="8" width="9.28515625" style="122"/>
    <col min="9" max="10" width="12.5703125" style="122" bestFit="1" customWidth="1"/>
    <col min="11" max="11" width="12.42578125" style="122" bestFit="1" customWidth="1"/>
    <col min="12" max="16384" width="9.28515625" style="122"/>
  </cols>
  <sheetData>
    <row r="2" spans="1:12" ht="15.75" x14ac:dyDescent="0.25">
      <c r="B2" s="90" t="s">
        <v>190</v>
      </c>
      <c r="C2" s="90"/>
      <c r="D2" s="90"/>
      <c r="E2" s="90"/>
      <c r="F2" s="90"/>
    </row>
    <row r="3" spans="1:12" ht="15.75" x14ac:dyDescent="0.25">
      <c r="B3" s="90"/>
      <c r="C3" s="90"/>
      <c r="D3" s="296" t="s">
        <v>191</v>
      </c>
      <c r="E3" s="296" t="s">
        <v>191</v>
      </c>
      <c r="F3" s="90"/>
    </row>
    <row r="4" spans="1:12" ht="15.75" x14ac:dyDescent="0.25">
      <c r="B4" s="90"/>
      <c r="C4" s="90"/>
      <c r="D4" s="297" t="s">
        <v>193</v>
      </c>
      <c r="E4" s="91" t="s">
        <v>209</v>
      </c>
      <c r="F4" s="90"/>
    </row>
    <row r="5" spans="1:12" s="118" customFormat="1" ht="16.5" thickBot="1" x14ac:dyDescent="0.3">
      <c r="B5" s="342" t="s">
        <v>124</v>
      </c>
      <c r="C5" s="357"/>
      <c r="D5" s="358">
        <f>'Summary 2020'!F9</f>
        <v>3282588.2999998275</v>
      </c>
      <c r="E5" s="358">
        <f>'Summary 2020'!I9</f>
        <v>3204650.6999998274</v>
      </c>
      <c r="F5" s="358">
        <f>'Summary 2020'!J11</f>
        <v>-81648.268875588983</v>
      </c>
      <c r="G5" s="55"/>
    </row>
    <row r="6" spans="1:12" ht="16.5" thickBot="1" x14ac:dyDescent="0.3">
      <c r="A6" s="118"/>
      <c r="B6" s="2" t="s">
        <v>202</v>
      </c>
      <c r="C6" s="90"/>
      <c r="D6" s="295">
        <f>D27</f>
        <v>6178244.3297547093</v>
      </c>
      <c r="E6" s="295">
        <f>E27</f>
        <v>6150047.6407163478</v>
      </c>
      <c r="F6" s="295">
        <f>E6-D6</f>
        <v>-28196.689038361423</v>
      </c>
      <c r="J6" s="264"/>
    </row>
    <row r="7" spans="1:12" ht="16.5" thickBot="1" x14ac:dyDescent="0.3">
      <c r="B7" s="310" t="s">
        <v>210</v>
      </c>
      <c r="C7" s="311"/>
      <c r="D7" s="312"/>
      <c r="E7" s="312"/>
      <c r="F7" s="312">
        <f>SUM(F5:F6)</f>
        <v>-109844.95791395041</v>
      </c>
      <c r="J7" s="264"/>
    </row>
    <row r="8" spans="1:12" ht="15.75" x14ac:dyDescent="0.25">
      <c r="B8" s="90"/>
      <c r="C8" s="90"/>
      <c r="D8" s="122"/>
      <c r="E8" s="122"/>
      <c r="F8" s="90"/>
    </row>
    <row r="9" spans="1:12" ht="15.75" thickBot="1" x14ac:dyDescent="0.3">
      <c r="A9" s="259"/>
      <c r="B9" s="13"/>
      <c r="C9" s="13"/>
      <c r="D9" s="260"/>
      <c r="E9" s="260"/>
      <c r="F9" s="260"/>
      <c r="I9"/>
      <c r="J9"/>
      <c r="K9"/>
      <c r="L9"/>
    </row>
    <row r="10" spans="1:12" ht="15.75" thickBot="1" x14ac:dyDescent="0.3">
      <c r="A10" s="259"/>
      <c r="B10" s="261" t="s">
        <v>17</v>
      </c>
      <c r="C10" s="298"/>
      <c r="D10" s="299">
        <f>'2020 Filed Oct 16,20'!F22</f>
        <v>53737474.610000029</v>
      </c>
      <c r="E10" s="299">
        <f>'2020 + true up CAP'!F22</f>
        <v>53473094.060000032</v>
      </c>
      <c r="F10" s="299">
        <f>E10-D10</f>
        <v>-264380.54999999702</v>
      </c>
      <c r="I10"/>
      <c r="J10"/>
      <c r="K10"/>
      <c r="L10"/>
    </row>
    <row r="11" spans="1:12" x14ac:dyDescent="0.25">
      <c r="A11" s="92"/>
      <c r="B11" s="2"/>
      <c r="C11" s="2"/>
      <c r="D11" s="93"/>
      <c r="I11"/>
      <c r="J11"/>
      <c r="K11"/>
      <c r="L11"/>
    </row>
    <row r="12" spans="1:12" x14ac:dyDescent="0.25">
      <c r="A12" s="94">
        <v>1</v>
      </c>
      <c r="B12" s="2" t="s">
        <v>53</v>
      </c>
      <c r="C12" s="2"/>
      <c r="D12" s="98">
        <f>'2020 Filed Oct 16,20'!E27</f>
        <v>1338566.3494807165</v>
      </c>
      <c r="E12" s="123">
        <f>'2020 + true up CAP'!E27</f>
        <v>1334154.0606497722</v>
      </c>
      <c r="F12" s="123">
        <f>E12-D12</f>
        <v>-4412.288830944337</v>
      </c>
      <c r="G12" s="196">
        <f>D12/D34</f>
        <v>2.5257327227837776E-2</v>
      </c>
      <c r="H12" s="196">
        <f>E12/E34</f>
        <v>2.5298948950543052E-2</v>
      </c>
      <c r="I12"/>
      <c r="J12"/>
      <c r="K12"/>
      <c r="L12"/>
    </row>
    <row r="13" spans="1:12" x14ac:dyDescent="0.25">
      <c r="A13" s="92"/>
      <c r="B13" s="2"/>
      <c r="C13" s="2"/>
      <c r="D13" s="300"/>
      <c r="I13"/>
      <c r="J13"/>
      <c r="K13"/>
      <c r="L13"/>
    </row>
    <row r="14" spans="1:12" x14ac:dyDescent="0.25">
      <c r="A14" s="94">
        <f>A12+1</f>
        <v>2</v>
      </c>
      <c r="B14" s="2" t="s">
        <v>54</v>
      </c>
      <c r="C14" s="2"/>
      <c r="D14" s="98">
        <f>'2020 Filed Oct 16,20'!E29</f>
        <v>642405.95509900642</v>
      </c>
      <c r="E14" s="123">
        <f>'2020 + true up CAP'!E29</f>
        <v>639235.00576328114</v>
      </c>
      <c r="F14" s="123">
        <f>E14-D14</f>
        <v>-3170.9493357252795</v>
      </c>
      <c r="I14"/>
      <c r="J14"/>
      <c r="K14"/>
      <c r="L14"/>
    </row>
    <row r="15" spans="1:12" x14ac:dyDescent="0.25">
      <c r="A15" s="92"/>
      <c r="B15" s="2"/>
      <c r="C15" s="2"/>
      <c r="D15" s="300"/>
      <c r="I15"/>
      <c r="J15"/>
      <c r="K15"/>
      <c r="L15"/>
    </row>
    <row r="16" spans="1:12" x14ac:dyDescent="0.25">
      <c r="A16" s="92"/>
      <c r="B16" s="2" t="s">
        <v>55</v>
      </c>
      <c r="C16" s="2"/>
      <c r="D16" s="300"/>
      <c r="I16"/>
      <c r="J16"/>
      <c r="K16"/>
      <c r="L16"/>
    </row>
    <row r="17" spans="1:12" x14ac:dyDescent="0.25">
      <c r="A17" s="94">
        <f>A14+1</f>
        <v>3</v>
      </c>
      <c r="B17" s="2"/>
      <c r="C17" s="2" t="s">
        <v>56</v>
      </c>
      <c r="D17" s="95">
        <v>0</v>
      </c>
      <c r="E17" s="123">
        <v>0</v>
      </c>
      <c r="F17" s="301">
        <f t="shared" ref="F17:F20" si="0">E17-D17</f>
        <v>0</v>
      </c>
      <c r="I17"/>
      <c r="J17"/>
      <c r="K17"/>
      <c r="L17"/>
    </row>
    <row r="18" spans="1:12" x14ac:dyDescent="0.25">
      <c r="A18" s="94">
        <f>A17+1</f>
        <v>4</v>
      </c>
      <c r="B18" s="2"/>
      <c r="C18" s="2" t="s">
        <v>57</v>
      </c>
      <c r="D18" s="95">
        <f>'2020 Filed Oct 16,20'!E33</f>
        <v>1499819.3335576949</v>
      </c>
      <c r="E18" s="123">
        <f>'2020 + true up CAP'!E33</f>
        <v>1492416.1470185542</v>
      </c>
      <c r="F18" s="301">
        <f t="shared" si="0"/>
        <v>-7403.1865391407628</v>
      </c>
      <c r="I18"/>
      <c r="J18"/>
      <c r="K18"/>
      <c r="L18"/>
    </row>
    <row r="19" spans="1:12" x14ac:dyDescent="0.25">
      <c r="A19" s="94">
        <f>A18+1</f>
        <v>5</v>
      </c>
      <c r="B19" s="2"/>
      <c r="C19" s="2" t="s">
        <v>9</v>
      </c>
      <c r="D19" s="96">
        <f>'2020 Filed Oct 16,20'!E34</f>
        <v>2416670.0215629293</v>
      </c>
      <c r="E19" s="302">
        <f>'2020 + true up CAP'!E34</f>
        <v>2404741.2121571051</v>
      </c>
      <c r="F19" s="302">
        <f t="shared" si="0"/>
        <v>-11928.80940582417</v>
      </c>
      <c r="I19"/>
      <c r="J19"/>
      <c r="K19"/>
      <c r="L19"/>
    </row>
    <row r="20" spans="1:12" x14ac:dyDescent="0.25">
      <c r="A20" s="94">
        <f>A19+1</f>
        <v>6</v>
      </c>
      <c r="B20" s="2"/>
      <c r="C20" s="2" t="s">
        <v>58</v>
      </c>
      <c r="D20" s="98">
        <f>SUM(D17:D19)</f>
        <v>3916489.3551206244</v>
      </c>
      <c r="E20" s="123">
        <f>SUM(E17:E19)</f>
        <v>3897157.3591756593</v>
      </c>
      <c r="F20" s="123">
        <f t="shared" si="0"/>
        <v>-19331.995944965165</v>
      </c>
      <c r="I20"/>
      <c r="J20"/>
      <c r="K20"/>
      <c r="L20"/>
    </row>
    <row r="21" spans="1:12" x14ac:dyDescent="0.25">
      <c r="A21" s="92"/>
      <c r="B21" s="2"/>
      <c r="C21" s="2"/>
      <c r="D21" s="300"/>
      <c r="I21"/>
      <c r="J21"/>
      <c r="K21"/>
      <c r="L21"/>
    </row>
    <row r="22" spans="1:12" x14ac:dyDescent="0.25">
      <c r="A22" s="94">
        <f>A20+1</f>
        <v>7</v>
      </c>
      <c r="B22" s="2" t="s">
        <v>59</v>
      </c>
      <c r="C22" s="2"/>
      <c r="D22" s="95">
        <f>'2020 Filed Oct 16,20'!E37</f>
        <v>5897461.6597003471</v>
      </c>
      <c r="E22" s="123">
        <f>'2020 + true up CAP'!E37</f>
        <v>5870546.4255887121</v>
      </c>
      <c r="F22" s="123">
        <f t="shared" ref="F22:F24" si="1">E22-D22</f>
        <v>-26915.234111635014</v>
      </c>
      <c r="I22"/>
      <c r="J22"/>
      <c r="K22"/>
      <c r="L22"/>
    </row>
    <row r="23" spans="1:12" x14ac:dyDescent="0.25">
      <c r="A23" s="94">
        <f>A22+1</f>
        <v>8</v>
      </c>
      <c r="B23" s="2" t="s">
        <v>60</v>
      </c>
      <c r="C23" s="2"/>
      <c r="D23" s="96">
        <f>'2020 Filed Oct 16,20'!E38</f>
        <v>280782.67005436216</v>
      </c>
      <c r="E23" s="302">
        <f>'2020 + true up CAP'!E38</f>
        <v>279501.21512763575</v>
      </c>
      <c r="F23" s="302">
        <f>E23-D23</f>
        <v>-1281.4549267264083</v>
      </c>
      <c r="I23"/>
      <c r="J23"/>
      <c r="K23"/>
      <c r="L23"/>
    </row>
    <row r="24" spans="1:12" x14ac:dyDescent="0.25">
      <c r="A24" s="94">
        <f>A23+1</f>
        <v>9</v>
      </c>
      <c r="B24" s="2"/>
      <c r="C24" s="2" t="s">
        <v>61</v>
      </c>
      <c r="D24" s="95">
        <f>SUM(D22:D23)</f>
        <v>6178244.3297547093</v>
      </c>
      <c r="E24" s="123">
        <f>SUM(E22:E23)</f>
        <v>6150047.6407163478</v>
      </c>
      <c r="F24" s="123">
        <f t="shared" si="1"/>
        <v>-28196.689038361423</v>
      </c>
      <c r="I24"/>
      <c r="J24"/>
      <c r="K24"/>
      <c r="L24"/>
    </row>
    <row r="25" spans="1:12" x14ac:dyDescent="0.25">
      <c r="A25" s="94">
        <f t="shared" ref="A25:A47" si="2">A24+1</f>
        <v>10</v>
      </c>
      <c r="B25" s="2"/>
      <c r="C25" s="2"/>
      <c r="D25" s="303"/>
      <c r="I25"/>
      <c r="J25"/>
      <c r="K25"/>
      <c r="L25"/>
    </row>
    <row r="26" spans="1:12" x14ac:dyDescent="0.25">
      <c r="A26" s="94">
        <f t="shared" si="2"/>
        <v>11</v>
      </c>
      <c r="B26" s="2"/>
      <c r="C26" s="2"/>
      <c r="D26" s="300"/>
      <c r="I26"/>
      <c r="J26"/>
      <c r="K26"/>
      <c r="L26"/>
    </row>
    <row r="27" spans="1:12" s="118" customFormat="1" x14ac:dyDescent="0.25">
      <c r="A27" s="410">
        <f t="shared" si="2"/>
        <v>12</v>
      </c>
      <c r="B27" s="2" t="s">
        <v>140</v>
      </c>
      <c r="C27" s="2"/>
      <c r="D27" s="96">
        <f>D24</f>
        <v>6178244.3297547093</v>
      </c>
      <c r="E27" s="302">
        <f>+E24</f>
        <v>6150047.6407163478</v>
      </c>
      <c r="F27" s="302">
        <f>E27-D27</f>
        <v>-28196.689038361423</v>
      </c>
      <c r="G27" s="55"/>
      <c r="I27" s="218"/>
      <c r="J27" s="218"/>
      <c r="K27" s="218"/>
      <c r="L27" s="218"/>
    </row>
    <row r="28" spans="1:12" ht="15.75" thickBot="1" x14ac:dyDescent="0.3">
      <c r="A28" s="94">
        <f t="shared" si="2"/>
        <v>13</v>
      </c>
      <c r="B28" s="133" t="s">
        <v>85</v>
      </c>
      <c r="C28" s="133"/>
      <c r="D28" s="304"/>
      <c r="E28" s="305">
        <f>+E27-D27</f>
        <v>-28196.689038361423</v>
      </c>
      <c r="F28" s="305"/>
      <c r="I28"/>
      <c r="J28"/>
      <c r="K28"/>
      <c r="L28"/>
    </row>
    <row r="29" spans="1:12" ht="15.75" thickTop="1" x14ac:dyDescent="0.25">
      <c r="A29" s="94">
        <f t="shared" si="2"/>
        <v>14</v>
      </c>
      <c r="B29" s="2"/>
      <c r="C29" s="2"/>
      <c r="D29" s="115"/>
      <c r="I29"/>
      <c r="J29"/>
      <c r="K29"/>
      <c r="L29"/>
    </row>
    <row r="30" spans="1:12" x14ac:dyDescent="0.25">
      <c r="A30" s="94">
        <f t="shared" si="2"/>
        <v>15</v>
      </c>
      <c r="B30" s="2" t="s">
        <v>63</v>
      </c>
      <c r="C30" s="115"/>
      <c r="D30" s="97">
        <f>'2020 Filed Oct 16,20'!E45</f>
        <v>0.11497087227476442</v>
      </c>
      <c r="E30" s="124">
        <f>'2020 + true up CAP'!E45</f>
        <v>0.11501200274320435</v>
      </c>
      <c r="F30" s="124">
        <f>E30-D30</f>
        <v>4.1130468439926071E-5</v>
      </c>
      <c r="I30"/>
      <c r="J30"/>
      <c r="K30"/>
      <c r="L30"/>
    </row>
    <row r="31" spans="1:12" x14ac:dyDescent="0.25">
      <c r="A31" s="94">
        <f t="shared" si="2"/>
        <v>16</v>
      </c>
      <c r="B31" s="2"/>
      <c r="C31" s="2"/>
      <c r="D31" s="115"/>
      <c r="I31"/>
      <c r="J31"/>
      <c r="K31"/>
      <c r="L31"/>
    </row>
    <row r="32" spans="1:12" x14ac:dyDescent="0.25">
      <c r="A32" s="94">
        <f t="shared" si="2"/>
        <v>17</v>
      </c>
      <c r="B32" s="2" t="s">
        <v>120</v>
      </c>
      <c r="C32" s="2"/>
      <c r="D32" s="97">
        <f>'2020 Filed Oct 16,20'!F16</f>
        <v>4.5447000000000001E-2</v>
      </c>
      <c r="E32" s="97">
        <f>D32</f>
        <v>4.5447000000000001E-2</v>
      </c>
      <c r="F32" s="123"/>
      <c r="I32"/>
      <c r="J32"/>
      <c r="K32"/>
      <c r="L32"/>
    </row>
    <row r="33" spans="1:12" x14ac:dyDescent="0.25">
      <c r="A33" s="94">
        <f t="shared" si="2"/>
        <v>18</v>
      </c>
      <c r="B33" s="2"/>
      <c r="C33" s="2"/>
      <c r="D33" s="306"/>
      <c r="E33" s="302"/>
      <c r="F33" s="302"/>
      <c r="I33"/>
      <c r="J33"/>
      <c r="K33"/>
      <c r="L33"/>
    </row>
    <row r="34" spans="1:12" x14ac:dyDescent="0.25">
      <c r="A34" s="94">
        <f t="shared" si="2"/>
        <v>19</v>
      </c>
      <c r="B34" s="46" t="s">
        <v>64</v>
      </c>
      <c r="C34" s="2"/>
      <c r="D34" s="95">
        <f>'2020 Filed Oct 16,20'!E49</f>
        <v>52997149.59567827</v>
      </c>
      <c r="E34" s="123">
        <f>'2020 + true up CAP'!E49</f>
        <v>52735552.898182124</v>
      </c>
      <c r="F34" s="123">
        <f t="shared" ref="F34" si="3">E34-D34</f>
        <v>-261596.69749614596</v>
      </c>
      <c r="I34"/>
      <c r="J34"/>
      <c r="K34"/>
      <c r="L34"/>
    </row>
    <row r="35" spans="1:12" x14ac:dyDescent="0.25">
      <c r="A35" s="94">
        <f t="shared" si="2"/>
        <v>20</v>
      </c>
      <c r="B35" s="2"/>
      <c r="C35" s="2"/>
      <c r="D35" s="98"/>
      <c r="I35"/>
      <c r="J35"/>
      <c r="K35"/>
      <c r="L35"/>
    </row>
    <row r="36" spans="1:12" x14ac:dyDescent="0.25">
      <c r="A36" s="94">
        <f t="shared" si="2"/>
        <v>21</v>
      </c>
      <c r="B36" s="2"/>
      <c r="C36" s="2"/>
      <c r="D36" s="98"/>
      <c r="I36"/>
      <c r="J36"/>
      <c r="K36"/>
      <c r="L36"/>
    </row>
    <row r="37" spans="1:12" x14ac:dyDescent="0.25">
      <c r="A37" s="94">
        <f t="shared" si="2"/>
        <v>22</v>
      </c>
      <c r="B37" s="2" t="s">
        <v>65</v>
      </c>
      <c r="C37" s="2"/>
      <c r="D37" s="98">
        <f>'2020 Filed Oct 16,20'!E52</f>
        <v>3059075.9766619354</v>
      </c>
      <c r="E37" s="123">
        <f>'2020 + true up CAP'!E52</f>
        <v>3043976.2179203862</v>
      </c>
      <c r="F37" s="123">
        <f>E37-D37</f>
        <v>-15099.758741549216</v>
      </c>
      <c r="I37"/>
      <c r="J37"/>
      <c r="K37"/>
      <c r="L37"/>
    </row>
    <row r="38" spans="1:12" x14ac:dyDescent="0.25">
      <c r="A38" s="94">
        <f t="shared" si="2"/>
        <v>23</v>
      </c>
      <c r="B38" s="2" t="s">
        <v>66</v>
      </c>
      <c r="C38" s="2"/>
      <c r="D38" s="96">
        <f>'2020 Filed Oct 16,20'!E53</f>
        <v>642405.95509900642</v>
      </c>
      <c r="E38" s="302">
        <f>'2020 + true up CAP'!E53</f>
        <v>639235.00576328114</v>
      </c>
      <c r="F38" s="302">
        <f>E38-D38</f>
        <v>-3170.9493357252795</v>
      </c>
      <c r="I38"/>
      <c r="J38"/>
      <c r="K38"/>
      <c r="L38"/>
    </row>
    <row r="39" spans="1:12" x14ac:dyDescent="0.25">
      <c r="A39" s="94">
        <f t="shared" si="2"/>
        <v>24</v>
      </c>
      <c r="B39" s="2" t="s">
        <v>67</v>
      </c>
      <c r="C39" s="2"/>
      <c r="D39" s="123">
        <f>D37-D38</f>
        <v>2416670.0215629293</v>
      </c>
      <c r="E39" s="123">
        <f>E37-E38</f>
        <v>2404741.2121571051</v>
      </c>
      <c r="F39" s="123">
        <f>E39-D39</f>
        <v>-11928.80940582417</v>
      </c>
      <c r="I39"/>
      <c r="J39"/>
      <c r="K39"/>
      <c r="L39"/>
    </row>
    <row r="40" spans="1:12" x14ac:dyDescent="0.25">
      <c r="A40" s="94">
        <f t="shared" si="2"/>
        <v>25</v>
      </c>
      <c r="B40" s="2"/>
      <c r="C40" s="2"/>
      <c r="D40" s="116"/>
      <c r="I40"/>
      <c r="J40"/>
      <c r="K40"/>
      <c r="L40"/>
    </row>
    <row r="41" spans="1:12" x14ac:dyDescent="0.25">
      <c r="A41" s="94">
        <f t="shared" si="2"/>
        <v>26</v>
      </c>
      <c r="B41" s="2"/>
      <c r="C41" s="2"/>
      <c r="D41" s="116"/>
      <c r="I41"/>
      <c r="J41"/>
      <c r="K41"/>
      <c r="L41"/>
    </row>
    <row r="42" spans="1:12" x14ac:dyDescent="0.25">
      <c r="A42" s="94">
        <f t="shared" si="2"/>
        <v>27</v>
      </c>
      <c r="B42" s="2" t="s">
        <v>68</v>
      </c>
      <c r="C42" s="2"/>
      <c r="D42" s="98">
        <f>'2020 Filed Oct 16,20'!E57</f>
        <v>1338566.3494807165</v>
      </c>
      <c r="E42" s="123">
        <f>'2020 + true up CAP'!E57</f>
        <v>1334154.0606497722</v>
      </c>
      <c r="F42" s="123">
        <f t="shared" ref="F42:F45" si="4">E42-D42</f>
        <v>-4412.288830944337</v>
      </c>
      <c r="I42"/>
      <c r="J42"/>
      <c r="K42"/>
      <c r="L42"/>
    </row>
    <row r="43" spans="1:12" x14ac:dyDescent="0.25">
      <c r="A43" s="94">
        <f t="shared" si="2"/>
        <v>28</v>
      </c>
      <c r="B43" s="2" t="s">
        <v>69</v>
      </c>
      <c r="C43" s="2"/>
      <c r="D43" s="98">
        <f>'2020 Filed Oct 16,20'!E58</f>
        <v>2015155.2978750011</v>
      </c>
      <c r="E43" s="123">
        <f>'2020 + true up CAP'!E58</f>
        <v>2005241.0272500012</v>
      </c>
      <c r="F43" s="123">
        <f t="shared" si="4"/>
        <v>-9914.2706249998882</v>
      </c>
      <c r="I43"/>
      <c r="J43"/>
      <c r="K43"/>
      <c r="L43"/>
    </row>
    <row r="44" spans="1:12" x14ac:dyDescent="0.25">
      <c r="A44" s="94">
        <f t="shared" si="2"/>
        <v>29</v>
      </c>
      <c r="B44" s="2" t="s">
        <v>70</v>
      </c>
      <c r="C44" s="2"/>
      <c r="D44" s="98">
        <f>'2020 Filed Oct 16,20'!E59</f>
        <v>676588.94839428458</v>
      </c>
      <c r="E44" s="123">
        <f>'2020 + true up CAP'!E59</f>
        <v>671086.96660022903</v>
      </c>
      <c r="F44" s="123">
        <f t="shared" si="4"/>
        <v>-5501.9817940555513</v>
      </c>
      <c r="I44"/>
      <c r="J44"/>
      <c r="K44"/>
      <c r="L44"/>
    </row>
    <row r="45" spans="1:12" x14ac:dyDescent="0.25">
      <c r="A45" s="94">
        <f t="shared" si="2"/>
        <v>30</v>
      </c>
      <c r="B45" s="2" t="s">
        <v>71</v>
      </c>
      <c r="C45" s="2"/>
      <c r="D45" s="98">
        <f>'2020 Filed Oct 16,20'!E60</f>
        <v>142083.67916279976</v>
      </c>
      <c r="E45" s="123">
        <f>'2020 + true up CAP'!E60</f>
        <v>140928.2629860481</v>
      </c>
      <c r="F45" s="123">
        <f t="shared" si="4"/>
        <v>-1155.4161767516634</v>
      </c>
      <c r="I45"/>
      <c r="J45"/>
      <c r="K45"/>
      <c r="L45"/>
    </row>
    <row r="46" spans="1:12" x14ac:dyDescent="0.25">
      <c r="A46" s="94">
        <f t="shared" si="2"/>
        <v>31</v>
      </c>
      <c r="B46" s="2"/>
      <c r="C46" s="2"/>
      <c r="D46" s="99"/>
      <c r="I46"/>
      <c r="J46"/>
      <c r="K46"/>
      <c r="L46"/>
    </row>
    <row r="47" spans="1:12" x14ac:dyDescent="0.25">
      <c r="A47" s="94">
        <f t="shared" si="2"/>
        <v>32</v>
      </c>
      <c r="B47" s="2" t="s">
        <v>72</v>
      </c>
      <c r="C47" s="2"/>
      <c r="D47" s="307">
        <f>'2020 Filed Oct 16,20'!E66</f>
        <v>0.51875000000000004</v>
      </c>
      <c r="E47" s="308">
        <f>'2020 + true up CAP'!E66</f>
        <v>0.51875000000000004</v>
      </c>
      <c r="F47" s="308">
        <f>E47-D47</f>
        <v>0</v>
      </c>
      <c r="I47"/>
      <c r="J47"/>
      <c r="K47"/>
      <c r="L47"/>
    </row>
    <row r="48" spans="1:12" x14ac:dyDescent="0.25">
      <c r="I48"/>
      <c r="J48"/>
      <c r="K48"/>
      <c r="L48"/>
    </row>
  </sheetData>
  <pageMargins left="0.45" right="0.45"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48" activePane="bottomRight" state="frozen"/>
      <selection activeCell="J17" sqref="J17"/>
      <selection pane="topRight" activeCell="J17" sqref="J17"/>
      <selection pane="bottomLeft" activeCell="J17" sqref="J17"/>
      <selection pane="bottomRight" activeCell="L39" sqref="L39"/>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7.25" customHeight="1" x14ac:dyDescent="0.25">
      <c r="A1" s="1" t="s">
        <v>0</v>
      </c>
      <c r="B1" s="2"/>
      <c r="C1" s="2"/>
      <c r="E1" s="506"/>
      <c r="F1" s="506"/>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129" t="s">
        <v>141</v>
      </c>
      <c r="D3" s="115" t="s">
        <v>3</v>
      </c>
      <c r="E3" s="3"/>
      <c r="F3" s="5"/>
      <c r="G3" s="5"/>
      <c r="H3" s="265" t="s">
        <v>192</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94" t="s">
        <v>170</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9" t="s">
        <v>121</v>
      </c>
      <c r="E6" s="109"/>
      <c r="F6" s="110"/>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95">
        <f>F10+F11+F12</f>
        <v>7.3899999999999993E-2</v>
      </c>
      <c r="G13" s="28"/>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8"/>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'Summary 2020'!F25</f>
        <v>2.4909364632323495E-2</v>
      </c>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x14ac:dyDescent="0.2">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57">
        <f>'Summary 2020'!F17</f>
        <v>53737474.610000029</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5"/>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5"/>
      <c r="E26" s="82">
        <v>2020</v>
      </c>
      <c r="F26" s="82">
        <v>2021</v>
      </c>
      <c r="G26" s="82">
        <v>2022</v>
      </c>
      <c r="H26" s="82">
        <v>2023</v>
      </c>
      <c r="I26" s="82">
        <v>2024</v>
      </c>
      <c r="J26" s="82">
        <v>2025</v>
      </c>
      <c r="K26" s="82">
        <v>2026</v>
      </c>
      <c r="L26" s="82">
        <v>2027</v>
      </c>
      <c r="M26" s="82">
        <v>2028</v>
      </c>
      <c r="N26" s="82">
        <v>2029</v>
      </c>
      <c r="O26" s="82">
        <v>2030</v>
      </c>
      <c r="P26" s="82">
        <v>2031</v>
      </c>
      <c r="Q26" s="82">
        <v>2032</v>
      </c>
      <c r="R26" s="82">
        <v>2033</v>
      </c>
      <c r="S26" s="82">
        <v>2034</v>
      </c>
      <c r="T26" s="82">
        <v>2035</v>
      </c>
      <c r="U26" s="82">
        <v>2036</v>
      </c>
      <c r="V26" s="82">
        <v>2037</v>
      </c>
      <c r="W26" s="82">
        <v>2038</v>
      </c>
      <c r="X26" s="82">
        <v>2039</v>
      </c>
      <c r="Y26" s="82">
        <v>2040</v>
      </c>
      <c r="Z26" s="82">
        <v>2041</v>
      </c>
      <c r="AA26" s="82">
        <v>2042</v>
      </c>
      <c r="AB26" s="82">
        <v>2043</v>
      </c>
      <c r="AC26" s="82">
        <v>2044</v>
      </c>
      <c r="AD26" s="82">
        <v>2045</v>
      </c>
      <c r="AE26" s="82">
        <v>2046</v>
      </c>
      <c r="AF26" s="82">
        <v>2047</v>
      </c>
      <c r="AG26" s="82">
        <v>2048</v>
      </c>
      <c r="AH26" s="82">
        <v>2049</v>
      </c>
      <c r="AI26" s="82">
        <v>2050</v>
      </c>
      <c r="AJ26" s="82">
        <v>2051</v>
      </c>
      <c r="AK26" s="82">
        <v>2052</v>
      </c>
      <c r="AL26" s="82">
        <v>2053</v>
      </c>
      <c r="AM26" s="82">
        <v>2054</v>
      </c>
      <c r="AN26" s="82">
        <v>2055</v>
      </c>
      <c r="AO26" s="82">
        <v>2056</v>
      </c>
      <c r="AP26" s="82">
        <v>2057</v>
      </c>
      <c r="AQ26" s="82">
        <v>2058</v>
      </c>
      <c r="AR26" s="82">
        <v>2059</v>
      </c>
      <c r="AS26" s="82">
        <v>2060</v>
      </c>
    </row>
    <row r="27" spans="1:48" x14ac:dyDescent="0.2">
      <c r="A27" s="129">
        <v>1</v>
      </c>
      <c r="B27" s="2" t="s">
        <v>123</v>
      </c>
      <c r="C27" s="2"/>
      <c r="D27" s="115"/>
      <c r="E27" s="38">
        <f>$F22*$F17</f>
        <v>1338566.3494807165</v>
      </c>
      <c r="F27" s="98">
        <f>$F22*$F17</f>
        <v>1338566.3494807165</v>
      </c>
      <c r="G27" s="98">
        <f t="shared" ref="G27:AR27" si="0">$F22*$F17</f>
        <v>1338566.3494807165</v>
      </c>
      <c r="H27" s="98">
        <f t="shared" si="0"/>
        <v>1338566.3494807165</v>
      </c>
      <c r="I27" s="98">
        <f t="shared" si="0"/>
        <v>1338566.3494807165</v>
      </c>
      <c r="J27" s="98">
        <f t="shared" si="0"/>
        <v>1338566.3494807165</v>
      </c>
      <c r="K27" s="98">
        <f t="shared" si="0"/>
        <v>1338566.3494807165</v>
      </c>
      <c r="L27" s="98">
        <f t="shared" si="0"/>
        <v>1338566.3494807165</v>
      </c>
      <c r="M27" s="98">
        <f t="shared" si="0"/>
        <v>1338566.3494807165</v>
      </c>
      <c r="N27" s="98">
        <f t="shared" si="0"/>
        <v>1338566.3494807165</v>
      </c>
      <c r="O27" s="98">
        <f t="shared" si="0"/>
        <v>1338566.3494807165</v>
      </c>
      <c r="P27" s="98">
        <f t="shared" si="0"/>
        <v>1338566.3494807165</v>
      </c>
      <c r="Q27" s="98">
        <f t="shared" si="0"/>
        <v>1338566.3494807165</v>
      </c>
      <c r="R27" s="98">
        <f t="shared" si="0"/>
        <v>1338566.3494807165</v>
      </c>
      <c r="S27" s="98">
        <f t="shared" si="0"/>
        <v>1338566.3494807165</v>
      </c>
      <c r="T27" s="98">
        <f t="shared" si="0"/>
        <v>1338566.3494807165</v>
      </c>
      <c r="U27" s="98">
        <f t="shared" si="0"/>
        <v>1338566.3494807165</v>
      </c>
      <c r="V27" s="98">
        <f t="shared" si="0"/>
        <v>1338566.3494807165</v>
      </c>
      <c r="W27" s="98">
        <f t="shared" si="0"/>
        <v>1338566.3494807165</v>
      </c>
      <c r="X27" s="98">
        <f t="shared" si="0"/>
        <v>1338566.3494807165</v>
      </c>
      <c r="Y27" s="98">
        <f t="shared" si="0"/>
        <v>1338566.3494807165</v>
      </c>
      <c r="Z27" s="98">
        <f t="shared" si="0"/>
        <v>1338566.3494807165</v>
      </c>
      <c r="AA27" s="98">
        <f t="shared" si="0"/>
        <v>1338566.3494807165</v>
      </c>
      <c r="AB27" s="98">
        <f t="shared" si="0"/>
        <v>1338566.3494807165</v>
      </c>
      <c r="AC27" s="98">
        <f t="shared" si="0"/>
        <v>1338566.3494807165</v>
      </c>
      <c r="AD27" s="98">
        <f t="shared" si="0"/>
        <v>1338566.3494807165</v>
      </c>
      <c r="AE27" s="98">
        <f t="shared" si="0"/>
        <v>1338566.3494807165</v>
      </c>
      <c r="AF27" s="98">
        <f t="shared" si="0"/>
        <v>1338566.3494807165</v>
      </c>
      <c r="AG27" s="98">
        <f t="shared" si="0"/>
        <v>1338566.3494807165</v>
      </c>
      <c r="AH27" s="98">
        <f t="shared" si="0"/>
        <v>1338566.3494807165</v>
      </c>
      <c r="AI27" s="98">
        <f t="shared" si="0"/>
        <v>1338566.3494807165</v>
      </c>
      <c r="AJ27" s="98">
        <f t="shared" si="0"/>
        <v>1338566.3494807165</v>
      </c>
      <c r="AK27" s="98">
        <f t="shared" si="0"/>
        <v>1338566.3494807165</v>
      </c>
      <c r="AL27" s="98">
        <f t="shared" si="0"/>
        <v>1338566.3494807165</v>
      </c>
      <c r="AM27" s="98">
        <f t="shared" si="0"/>
        <v>1338566.3494807165</v>
      </c>
      <c r="AN27" s="98">
        <f t="shared" si="0"/>
        <v>1338566.3494807165</v>
      </c>
      <c r="AO27" s="98">
        <f t="shared" si="0"/>
        <v>1338566.3494807165</v>
      </c>
      <c r="AP27" s="98">
        <f t="shared" si="0"/>
        <v>1338566.3494807165</v>
      </c>
      <c r="AQ27" s="98">
        <f t="shared" si="0"/>
        <v>1338566.3494807165</v>
      </c>
      <c r="AR27" s="98">
        <f t="shared" si="0"/>
        <v>1338566.3494807165</v>
      </c>
      <c r="AS27" s="98">
        <v>0</v>
      </c>
      <c r="AT27" s="98"/>
      <c r="AU27" s="100">
        <f>SUM(D27:AT27)</f>
        <v>53542653.979228713</v>
      </c>
      <c r="AV27" s="22">
        <f>F22</f>
        <v>53737474.610000029</v>
      </c>
    </row>
    <row r="28" spans="1:48" x14ac:dyDescent="0.2">
      <c r="A28" s="2"/>
      <c r="B28" s="2"/>
      <c r="C28" s="2"/>
      <c r="D28" s="115"/>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6"/>
    </row>
    <row r="29" spans="1:48" x14ac:dyDescent="0.2">
      <c r="A29" s="129">
        <f>A27+1</f>
        <v>2</v>
      </c>
      <c r="B29" s="2" t="s">
        <v>54</v>
      </c>
      <c r="C29" s="2"/>
      <c r="D29" s="115"/>
      <c r="E29" s="38">
        <f>E53</f>
        <v>642405.95509900642</v>
      </c>
      <c r="F29" s="98">
        <f t="shared" ref="F29:AT29" si="1">F53</f>
        <v>622085.60924214637</v>
      </c>
      <c r="G29" s="98">
        <f t="shared" si="1"/>
        <v>599763.34521912516</v>
      </c>
      <c r="H29" s="98">
        <f t="shared" si="1"/>
        <v>578153.7558558716</v>
      </c>
      <c r="I29" s="98">
        <f t="shared" si="1"/>
        <v>557203.49314522441</v>
      </c>
      <c r="J29" s="98">
        <f t="shared" si="1"/>
        <v>536863.31277288124</v>
      </c>
      <c r="K29" s="98">
        <f t="shared" si="1"/>
        <v>517087.39016858838</v>
      </c>
      <c r="L29" s="98">
        <f t="shared" si="1"/>
        <v>497833.32050614053</v>
      </c>
      <c r="M29" s="98">
        <f t="shared" si="1"/>
        <v>478870.61303664948</v>
      </c>
      <c r="N29" s="98">
        <f t="shared" si="1"/>
        <v>459949.62644455367</v>
      </c>
      <c r="O29" s="98">
        <f t="shared" si="1"/>
        <v>441028.6398524578</v>
      </c>
      <c r="P29" s="98">
        <f t="shared" si="1"/>
        <v>422107.6532603621</v>
      </c>
      <c r="Q29" s="98">
        <f t="shared" si="1"/>
        <v>403186.66666826617</v>
      </c>
      <c r="R29" s="98">
        <f t="shared" si="1"/>
        <v>384265.68007617048</v>
      </c>
      <c r="S29" s="98">
        <f t="shared" si="1"/>
        <v>365344.69348407455</v>
      </c>
      <c r="T29" s="98">
        <f t="shared" si="1"/>
        <v>346423.70689197874</v>
      </c>
      <c r="U29" s="98">
        <f t="shared" si="1"/>
        <v>327502.72029988293</v>
      </c>
      <c r="V29" s="98">
        <f t="shared" si="1"/>
        <v>308581.73370778706</v>
      </c>
      <c r="W29" s="98">
        <f t="shared" si="1"/>
        <v>289660.74711569125</v>
      </c>
      <c r="X29" s="98">
        <f t="shared" si="1"/>
        <v>270739.76052359538</v>
      </c>
      <c r="Y29" s="98">
        <f t="shared" si="1"/>
        <v>253344.66372606915</v>
      </c>
      <c r="Z29" s="98">
        <f t="shared" si="1"/>
        <v>239000.66256887221</v>
      </c>
      <c r="AA29" s="98">
        <f t="shared" si="1"/>
        <v>226182.55120624483</v>
      </c>
      <c r="AB29" s="98">
        <f t="shared" si="1"/>
        <v>213364.43984361753</v>
      </c>
      <c r="AC29" s="98">
        <f t="shared" si="1"/>
        <v>200546.32848099014</v>
      </c>
      <c r="AD29" s="98">
        <f t="shared" si="1"/>
        <v>187728.21711836278</v>
      </c>
      <c r="AE29" s="98">
        <f t="shared" si="1"/>
        <v>174910.10575573542</v>
      </c>
      <c r="AF29" s="98">
        <f t="shared" si="1"/>
        <v>162091.99439310806</v>
      </c>
      <c r="AG29" s="98">
        <f t="shared" si="1"/>
        <v>149273.88303048071</v>
      </c>
      <c r="AH29" s="98">
        <f t="shared" si="1"/>
        <v>136455.77166785332</v>
      </c>
      <c r="AI29" s="98">
        <f t="shared" si="1"/>
        <v>123637.66030522595</v>
      </c>
      <c r="AJ29" s="98">
        <f t="shared" si="1"/>
        <v>110819.5489425986</v>
      </c>
      <c r="AK29" s="98">
        <f t="shared" si="1"/>
        <v>98001.437579971229</v>
      </c>
      <c r="AL29" s="98">
        <f t="shared" si="1"/>
        <v>85183.326217343871</v>
      </c>
      <c r="AM29" s="98">
        <f t="shared" si="1"/>
        <v>72365.214854716498</v>
      </c>
      <c r="AN29" s="98">
        <f t="shared" si="1"/>
        <v>59547.103492089132</v>
      </c>
      <c r="AO29" s="98">
        <f t="shared" si="1"/>
        <v>46728.992129461767</v>
      </c>
      <c r="AP29" s="98">
        <f t="shared" si="1"/>
        <v>33910.880766834402</v>
      </c>
      <c r="AQ29" s="98">
        <f t="shared" si="1"/>
        <v>21092.769404207036</v>
      </c>
      <c r="AR29" s="98">
        <f t="shared" si="1"/>
        <v>8274.6580415796743</v>
      </c>
      <c r="AS29" s="98">
        <f t="shared" si="1"/>
        <v>1865.6023602659927</v>
      </c>
      <c r="AT29" s="98">
        <f t="shared" si="1"/>
        <v>1865.6023602659927</v>
      </c>
      <c r="AU29" s="100">
        <f>SUM(D29:AT29)</f>
        <v>11655249.837616347</v>
      </c>
    </row>
    <row r="30" spans="1:48" x14ac:dyDescent="0.2">
      <c r="A30" s="2"/>
      <c r="B30" s="2"/>
      <c r="C30" s="2"/>
      <c r="D30" s="115"/>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row>
    <row r="31" spans="1:48" x14ac:dyDescent="0.2">
      <c r="A31" s="2"/>
      <c r="B31" s="2" t="s">
        <v>55</v>
      </c>
      <c r="C31" s="2"/>
      <c r="D31" s="115"/>
      <c r="E31" s="38">
        <f>+E30/0.79</f>
        <v>0</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8" x14ac:dyDescent="0.2">
      <c r="A32" s="129">
        <f>A29+1</f>
        <v>3</v>
      </c>
      <c r="B32" s="2"/>
      <c r="C32" s="2"/>
      <c r="D32" s="115"/>
      <c r="E32" s="38">
        <f>E49*$F10</f>
        <v>0</v>
      </c>
      <c r="F32" s="98">
        <f t="shared" ref="F32:AT32" si="2">F49*$F10</f>
        <v>0</v>
      </c>
      <c r="G32" s="98">
        <f t="shared" si="2"/>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2"/>
        <v>0</v>
      </c>
      <c r="S32" s="98">
        <f t="shared" si="2"/>
        <v>0</v>
      </c>
      <c r="T32" s="98">
        <f t="shared" si="2"/>
        <v>0</v>
      </c>
      <c r="U32" s="98">
        <f t="shared" si="2"/>
        <v>0</v>
      </c>
      <c r="V32" s="98">
        <f t="shared" si="2"/>
        <v>0</v>
      </c>
      <c r="W32" s="98">
        <f t="shared" si="2"/>
        <v>0</v>
      </c>
      <c r="X32" s="98">
        <f t="shared" si="2"/>
        <v>0</v>
      </c>
      <c r="Y32" s="98">
        <f t="shared" si="2"/>
        <v>0</v>
      </c>
      <c r="Z32" s="98">
        <f t="shared" si="2"/>
        <v>0</v>
      </c>
      <c r="AA32" s="98">
        <f t="shared" si="2"/>
        <v>0</v>
      </c>
      <c r="AB32" s="98">
        <f t="shared" si="2"/>
        <v>0</v>
      </c>
      <c r="AC32" s="98">
        <f t="shared" si="2"/>
        <v>0</v>
      </c>
      <c r="AD32" s="98">
        <f t="shared" si="2"/>
        <v>0</v>
      </c>
      <c r="AE32" s="98">
        <f t="shared" si="2"/>
        <v>0</v>
      </c>
      <c r="AF32" s="98">
        <f t="shared" si="2"/>
        <v>0</v>
      </c>
      <c r="AG32" s="98">
        <f t="shared" si="2"/>
        <v>0</v>
      </c>
      <c r="AH32" s="98">
        <f t="shared" si="2"/>
        <v>0</v>
      </c>
      <c r="AI32" s="98">
        <f t="shared" si="2"/>
        <v>0</v>
      </c>
      <c r="AJ32" s="98">
        <f t="shared" si="2"/>
        <v>0</v>
      </c>
      <c r="AK32" s="98">
        <f t="shared" si="2"/>
        <v>0</v>
      </c>
      <c r="AL32" s="98">
        <f t="shared" si="2"/>
        <v>0</v>
      </c>
      <c r="AM32" s="98">
        <f t="shared" si="2"/>
        <v>0</v>
      </c>
      <c r="AN32" s="98">
        <f t="shared" si="2"/>
        <v>0</v>
      </c>
      <c r="AO32" s="98">
        <f t="shared" si="2"/>
        <v>0</v>
      </c>
      <c r="AP32" s="98">
        <f t="shared" si="2"/>
        <v>0</v>
      </c>
      <c r="AQ32" s="98">
        <f t="shared" si="2"/>
        <v>0</v>
      </c>
      <c r="AR32" s="98">
        <f t="shared" si="2"/>
        <v>0</v>
      </c>
      <c r="AS32" s="98">
        <f t="shared" si="2"/>
        <v>0</v>
      </c>
      <c r="AT32" s="98">
        <f t="shared" si="2"/>
        <v>0</v>
      </c>
      <c r="AU32" s="100">
        <f t="shared" ref="AU32:AU42" si="3">SUM(D32:AT32)</f>
        <v>0</v>
      </c>
    </row>
    <row r="33" spans="1:47" x14ac:dyDescent="0.2">
      <c r="A33" s="129">
        <f>A32+1</f>
        <v>4</v>
      </c>
      <c r="B33" s="13"/>
      <c r="C33" s="13" t="s">
        <v>102</v>
      </c>
      <c r="D33" s="115"/>
      <c r="E33" s="38">
        <f>E49*$F11</f>
        <v>1499819.3335576949</v>
      </c>
      <c r="F33" s="98">
        <f t="shared" ref="F33:AT33" si="4">F49*$F11</f>
        <v>1452377.6071247561</v>
      </c>
      <c r="G33" s="98">
        <f t="shared" si="4"/>
        <v>1400262.0205789455</v>
      </c>
      <c r="H33" s="98">
        <f t="shared" si="4"/>
        <v>1349810.3090716084</v>
      </c>
      <c r="I33" s="98">
        <f t="shared" si="4"/>
        <v>1300897.9214962181</v>
      </c>
      <c r="J33" s="98">
        <f t="shared" si="4"/>
        <v>1253409.8876005961</v>
      </c>
      <c r="K33" s="98">
        <f t="shared" si="4"/>
        <v>1207239.2211778541</v>
      </c>
      <c r="L33" s="98">
        <f t="shared" si="4"/>
        <v>1162286.9200663934</v>
      </c>
      <c r="M33" s="98">
        <f t="shared" si="4"/>
        <v>1118014.8596136563</v>
      </c>
      <c r="N33" s="98">
        <f t="shared" si="4"/>
        <v>1073840.2045134592</v>
      </c>
      <c r="O33" s="98">
        <f t="shared" si="4"/>
        <v>1029665.5494132622</v>
      </c>
      <c r="P33" s="98">
        <f t="shared" si="4"/>
        <v>985490.89431306545</v>
      </c>
      <c r="Q33" s="98">
        <f t="shared" si="4"/>
        <v>941316.23921286839</v>
      </c>
      <c r="R33" s="98">
        <f t="shared" si="4"/>
        <v>897141.58411267144</v>
      </c>
      <c r="S33" s="98">
        <f t="shared" si="4"/>
        <v>852966.92901247437</v>
      </c>
      <c r="T33" s="98">
        <f t="shared" si="4"/>
        <v>808792.27391227742</v>
      </c>
      <c r="U33" s="98">
        <f t="shared" si="4"/>
        <v>764617.61881208047</v>
      </c>
      <c r="V33" s="98">
        <f t="shared" si="4"/>
        <v>720442.96371188341</v>
      </c>
      <c r="W33" s="98">
        <f t="shared" si="4"/>
        <v>676268.30861168646</v>
      </c>
      <c r="X33" s="98">
        <f t="shared" si="4"/>
        <v>632093.65351148939</v>
      </c>
      <c r="Y33" s="98">
        <f t="shared" si="4"/>
        <v>591481.47941977112</v>
      </c>
      <c r="Z33" s="98">
        <f t="shared" si="4"/>
        <v>557992.67053595197</v>
      </c>
      <c r="AA33" s="98">
        <f t="shared" si="4"/>
        <v>528066.3426606115</v>
      </c>
      <c r="AB33" s="98">
        <f t="shared" si="4"/>
        <v>498140.0147852712</v>
      </c>
      <c r="AC33" s="98">
        <f t="shared" si="4"/>
        <v>468213.68690993072</v>
      </c>
      <c r="AD33" s="98">
        <f t="shared" si="4"/>
        <v>438287.35903459031</v>
      </c>
      <c r="AE33" s="98">
        <f t="shared" si="4"/>
        <v>408361.03115924983</v>
      </c>
      <c r="AF33" s="98">
        <f t="shared" si="4"/>
        <v>378434.70328390942</v>
      </c>
      <c r="AG33" s="98">
        <f t="shared" si="4"/>
        <v>348508.375408569</v>
      </c>
      <c r="AH33" s="98">
        <f t="shared" si="4"/>
        <v>318582.04753322853</v>
      </c>
      <c r="AI33" s="98">
        <f t="shared" si="4"/>
        <v>288655.71965788811</v>
      </c>
      <c r="AJ33" s="98">
        <f t="shared" si="4"/>
        <v>258729.3917825477</v>
      </c>
      <c r="AK33" s="98">
        <f t="shared" si="4"/>
        <v>228803.06390720728</v>
      </c>
      <c r="AL33" s="98">
        <f t="shared" si="4"/>
        <v>198876.73603186684</v>
      </c>
      <c r="AM33" s="98">
        <f t="shared" si="4"/>
        <v>168950.40815652639</v>
      </c>
      <c r="AN33" s="98">
        <f t="shared" si="4"/>
        <v>139024.08028118595</v>
      </c>
      <c r="AO33" s="98">
        <f t="shared" si="4"/>
        <v>109097.75240584552</v>
      </c>
      <c r="AP33" s="98">
        <f t="shared" si="4"/>
        <v>79171.424530505086</v>
      </c>
      <c r="AQ33" s="98">
        <f t="shared" si="4"/>
        <v>49245.096655164656</v>
      </c>
      <c r="AR33" s="98">
        <f t="shared" si="4"/>
        <v>19318.768779824226</v>
      </c>
      <c r="AS33" s="98">
        <f t="shared" si="4"/>
        <v>4355.6048421540099</v>
      </c>
      <c r="AT33" s="98">
        <f t="shared" si="4"/>
        <v>4355.6048421540099</v>
      </c>
      <c r="AU33" s="100">
        <f t="shared" si="3"/>
        <v>27211405.66202889</v>
      </c>
    </row>
    <row r="34" spans="1:47" x14ac:dyDescent="0.2">
      <c r="A34" s="129">
        <f>A33+1</f>
        <v>5</v>
      </c>
      <c r="B34" s="2"/>
      <c r="C34" s="2" t="s">
        <v>9</v>
      </c>
      <c r="D34" s="115"/>
      <c r="E34" s="40">
        <f>E49*$F12</f>
        <v>2416670.0215629293</v>
      </c>
      <c r="F34" s="96">
        <f t="shared" ref="F34:AT34" si="5">F49*$F12</f>
        <v>2340226.8157204553</v>
      </c>
      <c r="G34" s="96">
        <f t="shared" si="5"/>
        <v>2256252.5843957569</v>
      </c>
      <c r="H34" s="96">
        <f t="shared" si="5"/>
        <v>2174959.3672673269</v>
      </c>
      <c r="I34" s="96">
        <f t="shared" si="5"/>
        <v>2096146.4742129873</v>
      </c>
      <c r="J34" s="96">
        <f t="shared" si="5"/>
        <v>2019628.6528122679</v>
      </c>
      <c r="K34" s="96">
        <f t="shared" si="5"/>
        <v>1945233.5153961184</v>
      </c>
      <c r="L34" s="96">
        <f t="shared" si="5"/>
        <v>1872801.5390469097</v>
      </c>
      <c r="M34" s="96">
        <f t="shared" si="5"/>
        <v>1801465.6395188244</v>
      </c>
      <c r="N34" s="96">
        <f t="shared" si="5"/>
        <v>1730286.6899580827</v>
      </c>
      <c r="O34" s="96">
        <f t="shared" si="5"/>
        <v>1659107.7403973413</v>
      </c>
      <c r="P34" s="96">
        <f t="shared" si="5"/>
        <v>1587928.7908366004</v>
      </c>
      <c r="Q34" s="96">
        <f t="shared" si="5"/>
        <v>1516749.8412758587</v>
      </c>
      <c r="R34" s="96">
        <f t="shared" si="5"/>
        <v>1445570.8917151175</v>
      </c>
      <c r="S34" s="96">
        <f t="shared" si="5"/>
        <v>1374391.9421543758</v>
      </c>
      <c r="T34" s="96">
        <f t="shared" si="5"/>
        <v>1303212.9925936344</v>
      </c>
      <c r="U34" s="96">
        <f t="shared" si="5"/>
        <v>1232034.043032893</v>
      </c>
      <c r="V34" s="96">
        <f t="shared" si="5"/>
        <v>1160855.0934721513</v>
      </c>
      <c r="W34" s="96">
        <f t="shared" si="5"/>
        <v>1089676.1439114101</v>
      </c>
      <c r="X34" s="96">
        <f t="shared" si="5"/>
        <v>1018497.1943506685</v>
      </c>
      <c r="Y34" s="96">
        <f t="shared" si="5"/>
        <v>953058.49687426013</v>
      </c>
      <c r="Z34" s="96">
        <f t="shared" si="5"/>
        <v>899097.73061623366</v>
      </c>
      <c r="AA34" s="96">
        <f t="shared" si="5"/>
        <v>850877.21644254017</v>
      </c>
      <c r="AB34" s="96">
        <f t="shared" si="5"/>
        <v>802656.70226884692</v>
      </c>
      <c r="AC34" s="96">
        <f t="shared" si="5"/>
        <v>754436.18809515343</v>
      </c>
      <c r="AD34" s="96">
        <f t="shared" si="5"/>
        <v>706215.67392146005</v>
      </c>
      <c r="AE34" s="96">
        <f t="shared" si="5"/>
        <v>657995.15974776656</v>
      </c>
      <c r="AF34" s="96">
        <f t="shared" si="5"/>
        <v>609774.64557407319</v>
      </c>
      <c r="AG34" s="96">
        <f t="shared" si="5"/>
        <v>561554.13140037982</v>
      </c>
      <c r="AH34" s="96">
        <f t="shared" si="5"/>
        <v>513333.61722668633</v>
      </c>
      <c r="AI34" s="96">
        <f t="shared" si="5"/>
        <v>465113.1030529929</v>
      </c>
      <c r="AJ34" s="96">
        <f t="shared" si="5"/>
        <v>416892.58887929952</v>
      </c>
      <c r="AK34" s="96">
        <f t="shared" si="5"/>
        <v>368672.07470560609</v>
      </c>
      <c r="AL34" s="96">
        <f t="shared" si="5"/>
        <v>320451.56053191266</v>
      </c>
      <c r="AM34" s="96">
        <f t="shared" si="5"/>
        <v>272231.04635821923</v>
      </c>
      <c r="AN34" s="96">
        <f t="shared" si="5"/>
        <v>224010.5321845258</v>
      </c>
      <c r="AO34" s="96">
        <f t="shared" si="5"/>
        <v>175790.01801083237</v>
      </c>
      <c r="AP34" s="96">
        <f t="shared" si="5"/>
        <v>127569.50383713895</v>
      </c>
      <c r="AQ34" s="96">
        <f t="shared" si="5"/>
        <v>79348.989663445522</v>
      </c>
      <c r="AR34" s="96">
        <f t="shared" si="5"/>
        <v>31128.475489752112</v>
      </c>
      <c r="AS34" s="96">
        <f t="shared" si="5"/>
        <v>7018.2184029054015</v>
      </c>
      <c r="AT34" s="96">
        <f t="shared" si="5"/>
        <v>7018.2184029054015</v>
      </c>
      <c r="AU34" s="100">
        <f t="shared" si="3"/>
        <v>43845939.865318649</v>
      </c>
    </row>
    <row r="35" spans="1:47" x14ac:dyDescent="0.2">
      <c r="A35" s="129">
        <f>A34+1</f>
        <v>6</v>
      </c>
      <c r="B35" s="2"/>
      <c r="C35" s="2" t="s">
        <v>58</v>
      </c>
      <c r="D35" s="115"/>
      <c r="E35" s="38">
        <f>E32+E33+E34</f>
        <v>3916489.3551206244</v>
      </c>
      <c r="F35" s="98">
        <f>F32+F33+F34</f>
        <v>3792604.4228452113</v>
      </c>
      <c r="G35" s="98">
        <f>G32+G33+G34</f>
        <v>3656514.6049747025</v>
      </c>
      <c r="H35" s="98">
        <f t="shared" ref="H35:AT35" si="6">H32+H33+H34</f>
        <v>3524769.6763389353</v>
      </c>
      <c r="I35" s="98">
        <f t="shared" si="6"/>
        <v>3397044.3957092054</v>
      </c>
      <c r="J35" s="98">
        <f t="shared" si="6"/>
        <v>3273038.5404128637</v>
      </c>
      <c r="K35" s="98">
        <f t="shared" si="6"/>
        <v>3152472.7365739727</v>
      </c>
      <c r="L35" s="98">
        <f t="shared" si="6"/>
        <v>3035088.4591133031</v>
      </c>
      <c r="M35" s="98">
        <f t="shared" si="6"/>
        <v>2919480.4991324805</v>
      </c>
      <c r="N35" s="98">
        <f t="shared" si="6"/>
        <v>2804126.894471542</v>
      </c>
      <c r="O35" s="98">
        <f t="shared" si="6"/>
        <v>2688773.2898106035</v>
      </c>
      <c r="P35" s="98">
        <f t="shared" si="6"/>
        <v>2573419.6851496659</v>
      </c>
      <c r="Q35" s="98">
        <f t="shared" si="6"/>
        <v>2458066.080488727</v>
      </c>
      <c r="R35" s="98">
        <f t="shared" si="6"/>
        <v>2342712.4758277889</v>
      </c>
      <c r="S35" s="98">
        <f t="shared" si="6"/>
        <v>2227358.8711668504</v>
      </c>
      <c r="T35" s="98">
        <f t="shared" si="6"/>
        <v>2112005.2665059119</v>
      </c>
      <c r="U35" s="98">
        <f t="shared" si="6"/>
        <v>1996651.6618449735</v>
      </c>
      <c r="V35" s="98">
        <f t="shared" si="6"/>
        <v>1881298.0571840347</v>
      </c>
      <c r="W35" s="98">
        <f t="shared" si="6"/>
        <v>1765944.4525230965</v>
      </c>
      <c r="X35" s="98">
        <f t="shared" si="6"/>
        <v>1650590.847862158</v>
      </c>
      <c r="Y35" s="98">
        <f t="shared" si="6"/>
        <v>1544539.9762940314</v>
      </c>
      <c r="Z35" s="98">
        <f t="shared" si="6"/>
        <v>1457090.4011521856</v>
      </c>
      <c r="AA35" s="98">
        <f t="shared" si="6"/>
        <v>1378943.5591031518</v>
      </c>
      <c r="AB35" s="98">
        <f t="shared" si="6"/>
        <v>1300796.7170541182</v>
      </c>
      <c r="AC35" s="98">
        <f t="shared" si="6"/>
        <v>1222649.8750050841</v>
      </c>
      <c r="AD35" s="98">
        <f t="shared" si="6"/>
        <v>1144503.0329560502</v>
      </c>
      <c r="AE35" s="98">
        <f t="shared" si="6"/>
        <v>1066356.1909070164</v>
      </c>
      <c r="AF35" s="98">
        <f t="shared" si="6"/>
        <v>988209.34885798255</v>
      </c>
      <c r="AG35" s="98">
        <f t="shared" si="6"/>
        <v>910062.50680894882</v>
      </c>
      <c r="AH35" s="98">
        <f t="shared" si="6"/>
        <v>831915.66475991486</v>
      </c>
      <c r="AI35" s="98">
        <f t="shared" si="6"/>
        <v>753768.82271088101</v>
      </c>
      <c r="AJ35" s="98">
        <f t="shared" si="6"/>
        <v>675621.98066184716</v>
      </c>
      <c r="AK35" s="98">
        <f t="shared" si="6"/>
        <v>597475.13861281332</v>
      </c>
      <c r="AL35" s="98">
        <f t="shared" si="6"/>
        <v>519328.29656377947</v>
      </c>
      <c r="AM35" s="98">
        <f t="shared" si="6"/>
        <v>441181.45451474562</v>
      </c>
      <c r="AN35" s="98">
        <f t="shared" si="6"/>
        <v>363034.61246571178</v>
      </c>
      <c r="AO35" s="98">
        <f t="shared" si="6"/>
        <v>284887.77041667787</v>
      </c>
      <c r="AP35" s="98">
        <f t="shared" si="6"/>
        <v>206740.92836764402</v>
      </c>
      <c r="AQ35" s="98">
        <f t="shared" si="6"/>
        <v>128594.08631861018</v>
      </c>
      <c r="AR35" s="98">
        <f t="shared" si="6"/>
        <v>50447.244269576338</v>
      </c>
      <c r="AS35" s="98">
        <f t="shared" si="6"/>
        <v>11373.823245059411</v>
      </c>
      <c r="AT35" s="98">
        <f t="shared" si="6"/>
        <v>11373.823245059411</v>
      </c>
      <c r="AU35" s="100">
        <f t="shared" si="3"/>
        <v>71057345.52734755</v>
      </c>
    </row>
    <row r="36" spans="1:47" x14ac:dyDescent="0.2">
      <c r="A36" s="2"/>
      <c r="B36" s="2"/>
      <c r="C36" s="2"/>
      <c r="D36" s="115"/>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100">
        <f t="shared" si="3"/>
        <v>0</v>
      </c>
    </row>
    <row r="37" spans="1:47" x14ac:dyDescent="0.2">
      <c r="A37" s="129">
        <f>A35+1</f>
        <v>7</v>
      </c>
      <c r="B37" s="2" t="s">
        <v>59</v>
      </c>
      <c r="C37" s="2"/>
      <c r="D37" s="115"/>
      <c r="E37" s="41">
        <f>E27+E29+E35</f>
        <v>5897461.6597003471</v>
      </c>
      <c r="F37" s="95">
        <f>F27+F29+F35</f>
        <v>5753256.3815680742</v>
      </c>
      <c r="G37" s="95">
        <f t="shared" ref="G37:AT37" si="7">G27+G29+G35</f>
        <v>5594844.2996745445</v>
      </c>
      <c r="H37" s="95">
        <f t="shared" si="7"/>
        <v>5441489.7816755231</v>
      </c>
      <c r="I37" s="95">
        <f t="shared" si="7"/>
        <v>5292814.2383351466</v>
      </c>
      <c r="J37" s="95">
        <f t="shared" si="7"/>
        <v>5148468.2026664615</v>
      </c>
      <c r="K37" s="95">
        <f t="shared" si="7"/>
        <v>5008126.4762232779</v>
      </c>
      <c r="L37" s="95">
        <f t="shared" si="7"/>
        <v>4871488.1291001607</v>
      </c>
      <c r="M37" s="95">
        <f t="shared" si="7"/>
        <v>4736917.4616498463</v>
      </c>
      <c r="N37" s="95">
        <f t="shared" si="7"/>
        <v>4602642.8703968124</v>
      </c>
      <c r="O37" s="95">
        <f t="shared" si="7"/>
        <v>4468368.2791437777</v>
      </c>
      <c r="P37" s="95">
        <f t="shared" si="7"/>
        <v>4334093.6878907448</v>
      </c>
      <c r="Q37" s="95">
        <f t="shared" si="7"/>
        <v>4199819.0966377091</v>
      </c>
      <c r="R37" s="95">
        <f t="shared" si="7"/>
        <v>4065544.5053846762</v>
      </c>
      <c r="S37" s="95">
        <f t="shared" si="7"/>
        <v>3931269.9141316414</v>
      </c>
      <c r="T37" s="95">
        <f t="shared" si="7"/>
        <v>3796995.3228786071</v>
      </c>
      <c r="U37" s="95">
        <f t="shared" si="7"/>
        <v>3662720.7316255728</v>
      </c>
      <c r="V37" s="95">
        <f t="shared" si="7"/>
        <v>3528446.140372538</v>
      </c>
      <c r="W37" s="95">
        <f t="shared" si="7"/>
        <v>3394171.5491195042</v>
      </c>
      <c r="X37" s="95">
        <f t="shared" si="7"/>
        <v>3259896.9578664699</v>
      </c>
      <c r="Y37" s="95">
        <f t="shared" si="7"/>
        <v>3136450.9895008169</v>
      </c>
      <c r="Z37" s="95">
        <f t="shared" si="7"/>
        <v>3034657.4132017745</v>
      </c>
      <c r="AA37" s="95">
        <f t="shared" si="7"/>
        <v>2943692.4597901134</v>
      </c>
      <c r="AB37" s="95">
        <f t="shared" si="7"/>
        <v>2852727.5063784523</v>
      </c>
      <c r="AC37" s="95">
        <f t="shared" si="7"/>
        <v>2761762.5529667907</v>
      </c>
      <c r="AD37" s="95">
        <f t="shared" si="7"/>
        <v>2670797.5995551297</v>
      </c>
      <c r="AE37" s="95">
        <f t="shared" si="7"/>
        <v>2579832.6461434681</v>
      </c>
      <c r="AF37" s="95">
        <f t="shared" si="7"/>
        <v>2488867.692731807</v>
      </c>
      <c r="AG37" s="95">
        <f t="shared" si="7"/>
        <v>2397902.7393201459</v>
      </c>
      <c r="AH37" s="95">
        <f t="shared" si="7"/>
        <v>2306937.7859084848</v>
      </c>
      <c r="AI37" s="95">
        <f t="shared" si="7"/>
        <v>2215972.8324968237</v>
      </c>
      <c r="AJ37" s="95">
        <f t="shared" si="7"/>
        <v>2125007.8790851622</v>
      </c>
      <c r="AK37" s="95">
        <f t="shared" si="7"/>
        <v>2034042.9256735011</v>
      </c>
      <c r="AL37" s="95">
        <f t="shared" si="7"/>
        <v>1943077.9722618398</v>
      </c>
      <c r="AM37" s="95">
        <f t="shared" si="7"/>
        <v>1852113.0188501787</v>
      </c>
      <c r="AN37" s="95">
        <f t="shared" si="7"/>
        <v>1761148.0654385174</v>
      </c>
      <c r="AO37" s="95">
        <f t="shared" si="7"/>
        <v>1670183.1120268563</v>
      </c>
      <c r="AP37" s="95">
        <f t="shared" si="7"/>
        <v>1579218.158615195</v>
      </c>
      <c r="AQ37" s="95">
        <f t="shared" si="7"/>
        <v>1488253.2052035339</v>
      </c>
      <c r="AR37" s="95">
        <f t="shared" si="7"/>
        <v>1397288.2517918725</v>
      </c>
      <c r="AS37" s="95">
        <f t="shared" si="7"/>
        <v>13239.425605325405</v>
      </c>
      <c r="AT37" s="95">
        <f t="shared" si="7"/>
        <v>13239.425605325405</v>
      </c>
      <c r="AU37" s="100">
        <f t="shared" si="3"/>
        <v>136255249.34419262</v>
      </c>
    </row>
    <row r="38" spans="1:47" x14ac:dyDescent="0.2">
      <c r="A38" s="129">
        <f>A37+1</f>
        <v>8</v>
      </c>
      <c r="B38" s="2" t="s">
        <v>60</v>
      </c>
      <c r="C38" s="2"/>
      <c r="D38" s="115"/>
      <c r="E38" s="40">
        <f>E37/(1-$F16)-E37</f>
        <v>280782.67005436216</v>
      </c>
      <c r="F38" s="96">
        <f t="shared" ref="F38:AT38" si="8">F37/(1-$F16)-F37</f>
        <v>273916.94622836448</v>
      </c>
      <c r="G38" s="96">
        <f t="shared" si="8"/>
        <v>266374.82558570243</v>
      </c>
      <c r="H38" s="96">
        <f t="shared" si="8"/>
        <v>259073.49943670724</v>
      </c>
      <c r="I38" s="96">
        <f t="shared" si="8"/>
        <v>251994.94285766967</v>
      </c>
      <c r="J38" s="96">
        <f t="shared" si="8"/>
        <v>245122.51745747216</v>
      </c>
      <c r="K38" s="96">
        <f t="shared" si="8"/>
        <v>238440.74028882571</v>
      </c>
      <c r="L38" s="96">
        <f t="shared" si="8"/>
        <v>231935.28384826705</v>
      </c>
      <c r="M38" s="96">
        <f t="shared" si="8"/>
        <v>225528.2712218184</v>
      </c>
      <c r="N38" s="96">
        <f t="shared" si="8"/>
        <v>219135.35501006618</v>
      </c>
      <c r="O38" s="96">
        <f t="shared" si="8"/>
        <v>212742.43879831396</v>
      </c>
      <c r="P38" s="96">
        <f t="shared" si="8"/>
        <v>206349.52258656267</v>
      </c>
      <c r="Q38" s="96">
        <f t="shared" si="8"/>
        <v>199956.60637481045</v>
      </c>
      <c r="R38" s="96">
        <f t="shared" si="8"/>
        <v>193563.69016305823</v>
      </c>
      <c r="S38" s="96">
        <f t="shared" si="8"/>
        <v>187170.77395130554</v>
      </c>
      <c r="T38" s="96">
        <f t="shared" si="8"/>
        <v>180777.85773955379</v>
      </c>
      <c r="U38" s="96">
        <f t="shared" si="8"/>
        <v>174384.94152780157</v>
      </c>
      <c r="V38" s="96">
        <f t="shared" si="8"/>
        <v>167992.02531604934</v>
      </c>
      <c r="W38" s="96">
        <f t="shared" si="8"/>
        <v>161599.10910429712</v>
      </c>
      <c r="X38" s="96">
        <f t="shared" si="8"/>
        <v>155206.1928925449</v>
      </c>
      <c r="Y38" s="96">
        <f t="shared" si="8"/>
        <v>149328.83571665874</v>
      </c>
      <c r="Z38" s="96">
        <f t="shared" si="8"/>
        <v>144482.36552373832</v>
      </c>
      <c r="AA38" s="96">
        <f t="shared" si="8"/>
        <v>140151.45436668396</v>
      </c>
      <c r="AB38" s="96">
        <f t="shared" si="8"/>
        <v>135820.5432096296</v>
      </c>
      <c r="AC38" s="96">
        <f t="shared" si="8"/>
        <v>131489.63205257524</v>
      </c>
      <c r="AD38" s="96">
        <f t="shared" si="8"/>
        <v>127158.72089552088</v>
      </c>
      <c r="AE38" s="96">
        <f t="shared" si="8"/>
        <v>122827.80973846652</v>
      </c>
      <c r="AF38" s="96">
        <f t="shared" si="8"/>
        <v>118496.89858141169</v>
      </c>
      <c r="AG38" s="96">
        <f t="shared" si="8"/>
        <v>114165.98742435733</v>
      </c>
      <c r="AH38" s="96">
        <f t="shared" si="8"/>
        <v>109835.07626730297</v>
      </c>
      <c r="AI38" s="96">
        <f t="shared" si="8"/>
        <v>105504.16511024861</v>
      </c>
      <c r="AJ38" s="96">
        <f t="shared" si="8"/>
        <v>101173.25395319425</v>
      </c>
      <c r="AK38" s="96">
        <f t="shared" si="8"/>
        <v>96842.342796139885</v>
      </c>
      <c r="AL38" s="96">
        <f t="shared" si="8"/>
        <v>92511.431639085291</v>
      </c>
      <c r="AM38" s="96">
        <f t="shared" si="8"/>
        <v>88180.52048203093</v>
      </c>
      <c r="AN38" s="96">
        <f t="shared" si="8"/>
        <v>83849.609324976569</v>
      </c>
      <c r="AO38" s="96">
        <f t="shared" si="8"/>
        <v>79518.698167922208</v>
      </c>
      <c r="AP38" s="96">
        <f t="shared" si="8"/>
        <v>75187.787010867614</v>
      </c>
      <c r="AQ38" s="96">
        <f t="shared" si="8"/>
        <v>70856.875853813253</v>
      </c>
      <c r="AR38" s="96">
        <f t="shared" si="8"/>
        <v>66525.964696758892</v>
      </c>
      <c r="AS38" s="96">
        <f t="shared" si="8"/>
        <v>630.33920116035915</v>
      </c>
      <c r="AT38" s="96">
        <f t="shared" si="8"/>
        <v>630.33920116035915</v>
      </c>
      <c r="AU38" s="100">
        <f t="shared" si="3"/>
        <v>6487216.8616572544</v>
      </c>
    </row>
    <row r="39" spans="1:47" x14ac:dyDescent="0.2">
      <c r="A39" s="129">
        <f>A38+1</f>
        <v>9</v>
      </c>
      <c r="B39" s="2"/>
      <c r="C39" s="2" t="s">
        <v>61</v>
      </c>
      <c r="D39" s="115"/>
      <c r="E39" s="41">
        <f>SUM(E37:E38)</f>
        <v>6178244.3297547093</v>
      </c>
      <c r="F39" s="95">
        <f t="shared" ref="F39:AT39" si="9">SUM(F37:F38)</f>
        <v>6027173.3277964387</v>
      </c>
      <c r="G39" s="95">
        <f t="shared" si="9"/>
        <v>5861219.1252602469</v>
      </c>
      <c r="H39" s="95">
        <f t="shared" si="9"/>
        <v>5700563.2811122304</v>
      </c>
      <c r="I39" s="95">
        <f t="shared" si="9"/>
        <v>5544809.1811928162</v>
      </c>
      <c r="J39" s="95">
        <f t="shared" si="9"/>
        <v>5393590.7201239336</v>
      </c>
      <c r="K39" s="95">
        <f t="shared" si="9"/>
        <v>5246567.2165121036</v>
      </c>
      <c r="L39" s="95">
        <f t="shared" si="9"/>
        <v>5103423.4129484277</v>
      </c>
      <c r="M39" s="95">
        <f t="shared" si="9"/>
        <v>4962445.7328716647</v>
      </c>
      <c r="N39" s="95">
        <f t="shared" si="9"/>
        <v>4821778.2254068786</v>
      </c>
      <c r="O39" s="95">
        <f t="shared" si="9"/>
        <v>4681110.7179420916</v>
      </c>
      <c r="P39" s="95">
        <f t="shared" si="9"/>
        <v>4540443.2104773074</v>
      </c>
      <c r="Q39" s="95">
        <f t="shared" si="9"/>
        <v>4399775.7030125195</v>
      </c>
      <c r="R39" s="95">
        <f t="shared" si="9"/>
        <v>4259108.1955477344</v>
      </c>
      <c r="S39" s="95">
        <f t="shared" si="9"/>
        <v>4118440.6880829469</v>
      </c>
      <c r="T39" s="95">
        <f t="shared" si="9"/>
        <v>3977773.1806181609</v>
      </c>
      <c r="U39" s="95">
        <f t="shared" si="9"/>
        <v>3837105.6731533743</v>
      </c>
      <c r="V39" s="95">
        <f t="shared" si="9"/>
        <v>3696438.1656885874</v>
      </c>
      <c r="W39" s="95">
        <f t="shared" si="9"/>
        <v>3555770.6582238013</v>
      </c>
      <c r="X39" s="95">
        <f t="shared" si="9"/>
        <v>3415103.1507590148</v>
      </c>
      <c r="Y39" s="95">
        <f t="shared" si="9"/>
        <v>3285779.8252174756</v>
      </c>
      <c r="Z39" s="95">
        <f t="shared" si="9"/>
        <v>3179139.7787255128</v>
      </c>
      <c r="AA39" s="95">
        <f t="shared" si="9"/>
        <v>3083843.9141567973</v>
      </c>
      <c r="AB39" s="95">
        <f t="shared" si="9"/>
        <v>2988548.0495880819</v>
      </c>
      <c r="AC39" s="95">
        <f t="shared" si="9"/>
        <v>2893252.185019366</v>
      </c>
      <c r="AD39" s="95">
        <f t="shared" si="9"/>
        <v>2797956.3204506505</v>
      </c>
      <c r="AE39" s="95">
        <f t="shared" si="9"/>
        <v>2702660.4558819346</v>
      </c>
      <c r="AF39" s="95">
        <f t="shared" si="9"/>
        <v>2607364.5913132187</v>
      </c>
      <c r="AG39" s="95">
        <f t="shared" si="9"/>
        <v>2512068.7267445032</v>
      </c>
      <c r="AH39" s="95">
        <f t="shared" si="9"/>
        <v>2416772.8621757878</v>
      </c>
      <c r="AI39" s="95">
        <f t="shared" si="9"/>
        <v>2321476.9976070723</v>
      </c>
      <c r="AJ39" s="95">
        <f t="shared" si="9"/>
        <v>2226181.1330383564</v>
      </c>
      <c r="AK39" s="95">
        <f t="shared" si="9"/>
        <v>2130885.268469641</v>
      </c>
      <c r="AL39" s="95">
        <f t="shared" si="9"/>
        <v>2035589.4039009251</v>
      </c>
      <c r="AM39" s="95">
        <f t="shared" si="9"/>
        <v>1940293.5393322096</v>
      </c>
      <c r="AN39" s="95">
        <f t="shared" si="9"/>
        <v>1844997.6747634939</v>
      </c>
      <c r="AO39" s="95">
        <f t="shared" si="9"/>
        <v>1749701.8101947785</v>
      </c>
      <c r="AP39" s="95">
        <f t="shared" si="9"/>
        <v>1654405.9456260626</v>
      </c>
      <c r="AQ39" s="95">
        <f t="shared" si="9"/>
        <v>1559110.0810573471</v>
      </c>
      <c r="AR39" s="95">
        <f t="shared" si="9"/>
        <v>1463814.2164886314</v>
      </c>
      <c r="AS39" s="95">
        <f t="shared" si="9"/>
        <v>13869.764806485764</v>
      </c>
      <c r="AT39" s="95">
        <f t="shared" si="9"/>
        <v>13869.764806485764</v>
      </c>
      <c r="AU39" s="100">
        <f t="shared" si="3"/>
        <v>142742466.2058498</v>
      </c>
    </row>
    <row r="40" spans="1:47" x14ac:dyDescent="0.2">
      <c r="A40" s="129">
        <f t="shared" ref="A40:A66" si="10">A39+1</f>
        <v>10</v>
      </c>
      <c r="B40" s="2"/>
      <c r="C40" s="2"/>
      <c r="D40" s="115"/>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100">
        <f t="shared" si="3"/>
        <v>0</v>
      </c>
    </row>
    <row r="41" spans="1:47" x14ac:dyDescent="0.2">
      <c r="A41" s="129">
        <f t="shared" si="10"/>
        <v>11</v>
      </c>
      <c r="B41" s="2"/>
      <c r="C41" s="2"/>
      <c r="D41" s="115"/>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100">
        <f t="shared" si="3"/>
        <v>0</v>
      </c>
    </row>
    <row r="42" spans="1:47" x14ac:dyDescent="0.2">
      <c r="A42" s="129">
        <f t="shared" si="10"/>
        <v>12</v>
      </c>
      <c r="B42" s="2" t="s">
        <v>140</v>
      </c>
      <c r="C42" s="2"/>
      <c r="D42" s="115"/>
      <c r="E42" s="40">
        <f>E39</f>
        <v>6178244.3297547093</v>
      </c>
      <c r="F42" s="96">
        <f>F39</f>
        <v>6027173.3277964387</v>
      </c>
      <c r="G42" s="96">
        <f t="shared" ref="G42:AT42" si="11">G39</f>
        <v>5861219.1252602469</v>
      </c>
      <c r="H42" s="96">
        <f t="shared" si="11"/>
        <v>5700563.2811122304</v>
      </c>
      <c r="I42" s="96">
        <f t="shared" si="11"/>
        <v>5544809.1811928162</v>
      </c>
      <c r="J42" s="96">
        <f t="shared" si="11"/>
        <v>5393590.7201239336</v>
      </c>
      <c r="K42" s="96">
        <f t="shared" si="11"/>
        <v>5246567.2165121036</v>
      </c>
      <c r="L42" s="96">
        <f t="shared" si="11"/>
        <v>5103423.4129484277</v>
      </c>
      <c r="M42" s="96">
        <f t="shared" si="11"/>
        <v>4962445.7328716647</v>
      </c>
      <c r="N42" s="96">
        <f t="shared" si="11"/>
        <v>4821778.2254068786</v>
      </c>
      <c r="O42" s="96">
        <f t="shared" si="11"/>
        <v>4681110.7179420916</v>
      </c>
      <c r="P42" s="96">
        <f t="shared" si="11"/>
        <v>4540443.2104773074</v>
      </c>
      <c r="Q42" s="96">
        <f t="shared" si="11"/>
        <v>4399775.7030125195</v>
      </c>
      <c r="R42" s="96">
        <f t="shared" si="11"/>
        <v>4259108.1955477344</v>
      </c>
      <c r="S42" s="96">
        <f t="shared" si="11"/>
        <v>4118440.6880829469</v>
      </c>
      <c r="T42" s="96">
        <f t="shared" si="11"/>
        <v>3977773.1806181609</v>
      </c>
      <c r="U42" s="96">
        <f t="shared" si="11"/>
        <v>3837105.6731533743</v>
      </c>
      <c r="V42" s="96">
        <f t="shared" si="11"/>
        <v>3696438.1656885874</v>
      </c>
      <c r="W42" s="96">
        <f t="shared" si="11"/>
        <v>3555770.6582238013</v>
      </c>
      <c r="X42" s="96">
        <f t="shared" si="11"/>
        <v>3415103.1507590148</v>
      </c>
      <c r="Y42" s="96">
        <f t="shared" si="11"/>
        <v>3285779.8252174756</v>
      </c>
      <c r="Z42" s="96">
        <f t="shared" si="11"/>
        <v>3179139.7787255128</v>
      </c>
      <c r="AA42" s="96">
        <f t="shared" si="11"/>
        <v>3083843.9141567973</v>
      </c>
      <c r="AB42" s="96">
        <f t="shared" si="11"/>
        <v>2988548.0495880819</v>
      </c>
      <c r="AC42" s="96">
        <f t="shared" si="11"/>
        <v>2893252.185019366</v>
      </c>
      <c r="AD42" s="96">
        <f t="shared" si="11"/>
        <v>2797956.3204506505</v>
      </c>
      <c r="AE42" s="96">
        <f t="shared" si="11"/>
        <v>2702660.4558819346</v>
      </c>
      <c r="AF42" s="96">
        <f t="shared" si="11"/>
        <v>2607364.5913132187</v>
      </c>
      <c r="AG42" s="96">
        <f t="shared" si="11"/>
        <v>2512068.7267445032</v>
      </c>
      <c r="AH42" s="96">
        <f t="shared" si="11"/>
        <v>2416772.8621757878</v>
      </c>
      <c r="AI42" s="96">
        <f t="shared" si="11"/>
        <v>2321476.9976070723</v>
      </c>
      <c r="AJ42" s="96">
        <f t="shared" si="11"/>
        <v>2226181.1330383564</v>
      </c>
      <c r="AK42" s="96">
        <f t="shared" si="11"/>
        <v>2130885.268469641</v>
      </c>
      <c r="AL42" s="96">
        <f t="shared" si="11"/>
        <v>2035589.4039009251</v>
      </c>
      <c r="AM42" s="96">
        <f t="shared" si="11"/>
        <v>1940293.5393322096</v>
      </c>
      <c r="AN42" s="96">
        <f t="shared" si="11"/>
        <v>1844997.6747634939</v>
      </c>
      <c r="AO42" s="96">
        <f t="shared" si="11"/>
        <v>1749701.8101947785</v>
      </c>
      <c r="AP42" s="96">
        <f t="shared" si="11"/>
        <v>1654405.9456260626</v>
      </c>
      <c r="AQ42" s="96">
        <f t="shared" si="11"/>
        <v>1559110.0810573471</v>
      </c>
      <c r="AR42" s="96">
        <f t="shared" si="11"/>
        <v>1463814.2164886314</v>
      </c>
      <c r="AS42" s="96">
        <f t="shared" si="11"/>
        <v>13869.764806485764</v>
      </c>
      <c r="AT42" s="96">
        <f t="shared" si="11"/>
        <v>13869.764806485764</v>
      </c>
      <c r="AU42" s="100">
        <f t="shared" si="3"/>
        <v>142742466.2058498</v>
      </c>
    </row>
    <row r="43" spans="1:47" x14ac:dyDescent="0.2">
      <c r="A43" s="129">
        <f t="shared" si="10"/>
        <v>13</v>
      </c>
      <c r="B43" s="2"/>
      <c r="C43" s="2"/>
      <c r="D43" s="115"/>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9">
        <f t="shared" si="10"/>
        <v>14</v>
      </c>
      <c r="B44" s="2"/>
      <c r="C44" s="2"/>
      <c r="D44" s="115"/>
      <c r="E44" s="43"/>
      <c r="F44" s="11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9">
        <f t="shared" si="10"/>
        <v>15</v>
      </c>
      <c r="B45" s="2" t="s">
        <v>63</v>
      </c>
      <c r="C45" s="115"/>
      <c r="D45" s="115"/>
      <c r="E45" s="45">
        <f>+E42/$F$22</f>
        <v>0.11497087227476442</v>
      </c>
      <c r="F45" s="97">
        <f t="shared" ref="F45:AT45" si="12">+F42/$F$22</f>
        <v>0.11215959386887227</v>
      </c>
      <c r="G45" s="97">
        <f t="shared" si="12"/>
        <v>0.1090713541676097</v>
      </c>
      <c r="H45" s="97">
        <f t="shared" si="12"/>
        <v>0.10608171155202388</v>
      </c>
      <c r="I45" s="97">
        <f t="shared" si="12"/>
        <v>0.10318328543412757</v>
      </c>
      <c r="J45" s="97">
        <f t="shared" si="12"/>
        <v>0.1003692629634709</v>
      </c>
      <c r="K45" s="97">
        <f t="shared" si="12"/>
        <v>9.7633304404218649E-2</v>
      </c>
      <c r="L45" s="97">
        <f t="shared" si="12"/>
        <v>9.4969543135150034E-2</v>
      </c>
      <c r="M45" s="97">
        <f t="shared" si="12"/>
        <v>9.234609123124296E-2</v>
      </c>
      <c r="N45" s="97">
        <f t="shared" si="12"/>
        <v>8.9728411325633681E-2</v>
      </c>
      <c r="O45" s="97">
        <f t="shared" si="12"/>
        <v>8.7110731420024373E-2</v>
      </c>
      <c r="P45" s="97">
        <f t="shared" si="12"/>
        <v>8.4493051514415121E-2</v>
      </c>
      <c r="Q45" s="97">
        <f t="shared" si="12"/>
        <v>8.1875371608805814E-2</v>
      </c>
      <c r="R45" s="97">
        <f t="shared" si="12"/>
        <v>7.9257691703196548E-2</v>
      </c>
      <c r="S45" s="97">
        <f t="shared" si="12"/>
        <v>7.664001179758724E-2</v>
      </c>
      <c r="T45" s="97">
        <f t="shared" si="12"/>
        <v>7.402233189197796E-2</v>
      </c>
      <c r="U45" s="97">
        <f t="shared" si="12"/>
        <v>7.1404651986368667E-2</v>
      </c>
      <c r="V45" s="97">
        <f t="shared" si="12"/>
        <v>6.8786972080759373E-2</v>
      </c>
      <c r="W45" s="97">
        <f t="shared" si="12"/>
        <v>6.616929217515008E-2</v>
      </c>
      <c r="X45" s="97">
        <f t="shared" si="12"/>
        <v>6.35516122695408E-2</v>
      </c>
      <c r="Y45" s="97">
        <f t="shared" si="12"/>
        <v>6.1145036104953532E-2</v>
      </c>
      <c r="Z45" s="97">
        <f t="shared" si="12"/>
        <v>5.9160572799487408E-2</v>
      </c>
      <c r="AA45" s="97">
        <f t="shared" si="12"/>
        <v>5.7387213235043304E-2</v>
      </c>
      <c r="AB45" s="97">
        <f t="shared" si="12"/>
        <v>5.5613853670599206E-2</v>
      </c>
      <c r="AC45" s="97">
        <f t="shared" si="12"/>
        <v>5.3840494106155101E-2</v>
      </c>
      <c r="AD45" s="97">
        <f t="shared" si="12"/>
        <v>5.2067134541711003E-2</v>
      </c>
      <c r="AE45" s="97">
        <f t="shared" si="12"/>
        <v>5.0293774977266899E-2</v>
      </c>
      <c r="AF45" s="97">
        <f t="shared" si="12"/>
        <v>4.8520415412822787E-2</v>
      </c>
      <c r="AG45" s="97">
        <f t="shared" si="12"/>
        <v>4.6747055848378689E-2</v>
      </c>
      <c r="AH45" s="97">
        <f t="shared" si="12"/>
        <v>4.4973696283934592E-2</v>
      </c>
      <c r="AI45" s="97">
        <f t="shared" si="12"/>
        <v>4.3200336719490494E-2</v>
      </c>
      <c r="AJ45" s="97">
        <f t="shared" si="12"/>
        <v>4.1426977155046389E-2</v>
      </c>
      <c r="AK45" s="97">
        <f t="shared" si="12"/>
        <v>3.9653617590602291E-2</v>
      </c>
      <c r="AL45" s="97">
        <f t="shared" si="12"/>
        <v>3.788025802615818E-2</v>
      </c>
      <c r="AM45" s="97">
        <f t="shared" si="12"/>
        <v>3.6106898461714082E-2</v>
      </c>
      <c r="AN45" s="97">
        <f t="shared" si="12"/>
        <v>3.4333538897269977E-2</v>
      </c>
      <c r="AO45" s="97">
        <f t="shared" si="12"/>
        <v>3.256017933282588E-2</v>
      </c>
      <c r="AP45" s="97">
        <f t="shared" si="12"/>
        <v>3.0786819768381775E-2</v>
      </c>
      <c r="AQ45" s="97">
        <f t="shared" si="12"/>
        <v>2.9013460203937677E-2</v>
      </c>
      <c r="AR45" s="97">
        <f t="shared" si="12"/>
        <v>2.7240100639493572E-2</v>
      </c>
      <c r="AS45" s="97">
        <f t="shared" si="12"/>
        <v>2.5810228164136194E-4</v>
      </c>
      <c r="AT45" s="97">
        <f t="shared" si="12"/>
        <v>2.5810228164136194E-4</v>
      </c>
    </row>
    <row r="46" spans="1:47" outlineLevel="1" x14ac:dyDescent="0.2">
      <c r="A46" s="129">
        <f t="shared" si="10"/>
        <v>16</v>
      </c>
      <c r="B46" s="2"/>
      <c r="C46" s="2"/>
      <c r="D46" s="115"/>
      <c r="E46" s="43"/>
      <c r="F46" s="11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9">
        <f t="shared" si="10"/>
        <v>17</v>
      </c>
      <c r="B47" s="2"/>
      <c r="C47" s="2"/>
      <c r="D47" s="115"/>
      <c r="E47" s="43">
        <f>+E27/2</f>
        <v>669283.17474035826</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9">
        <f t="shared" si="10"/>
        <v>18</v>
      </c>
      <c r="B48" s="2"/>
      <c r="C48" s="2"/>
      <c r="D48" s="115"/>
      <c r="E48" s="43">
        <f>+E60/2</f>
        <v>71041.83958139988</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9">
        <f t="shared" si="10"/>
        <v>19</v>
      </c>
      <c r="B49" s="46" t="s">
        <v>64</v>
      </c>
      <c r="C49" s="2"/>
      <c r="D49" s="115"/>
      <c r="E49" s="41">
        <f>F22-E27/2-E60/2</f>
        <v>52997149.59567827</v>
      </c>
      <c r="F49" s="113">
        <f>$F$22-(SUM($E$27:E27)+F27/2)-(SUM($E$60:E60)+F60/2)</f>
        <v>51320763.502641559</v>
      </c>
      <c r="G49" s="113">
        <f>$F$22-(SUM($E$27:F27)+G27/2)-(SUM($E$60:F60)+G60/2)</f>
        <v>49479223.342012212</v>
      </c>
      <c r="H49" s="113">
        <f>$F$22-(SUM($E$27:G27)+H27/2)-(SUM($E$60:G60)+H60/2)</f>
        <v>47696477.352353655</v>
      </c>
      <c r="I49" s="113">
        <f>$F$22-(SUM($E$27:H27)+I27/2)-(SUM($E$60:H60)+I60/2)</f>
        <v>45968124.434495337</v>
      </c>
      <c r="J49" s="113">
        <f>$F$22-(SUM($E$27:I27)+J27/2)-(SUM($E$60:I60)+J60/2)</f>
        <v>44290102.035356753</v>
      </c>
      <c r="K49" s="113">
        <f>$F$22-(SUM($E$27:J27)+K27/2)-(SUM($E$60:J60)+K60/2)</f>
        <v>42658629.723599084</v>
      </c>
      <c r="L49" s="113">
        <f>$F$22-(SUM($E$27:K27)+L27/2)-(SUM($E$60:K60)+L60/2)</f>
        <v>41070209.189625211</v>
      </c>
      <c r="M49" s="113">
        <f>$F$22-(SUM($E$27:L27)+M27/2)-(SUM($E$60:L60)+M60/2)</f>
        <v>39505825.428044394</v>
      </c>
      <c r="N49" s="113">
        <f>$F$22-(SUM($E$27:M27)+N27/2)-(SUM($E$60:M60)+N60/2)</f>
        <v>37944883.551712342</v>
      </c>
      <c r="O49" s="113">
        <f>$F$22-(SUM($E$27:N27)+O27/2)-(SUM($E$60:N60)+O60/2)</f>
        <v>36383941.67538029</v>
      </c>
      <c r="P49" s="113">
        <f>$F$22-(SUM($E$27:O27)+P27/2)-(SUM($E$60:O60)+P60/2)</f>
        <v>34822999.799048252</v>
      </c>
      <c r="Q49" s="113">
        <f>$F$22-(SUM($E$27:P27)+Q27/2)-(SUM($E$60:P60)+Q60/2)</f>
        <v>33262057.9227162</v>
      </c>
      <c r="R49" s="113">
        <f>$F$22-(SUM($E$27:Q27)+R27/2)-(SUM($E$60:Q60)+R60/2)</f>
        <v>31701116.046384152</v>
      </c>
      <c r="S49" s="113">
        <f>$F$22-(SUM($E$27:R27)+S27/2)-(SUM($E$60:R60)+S60/2)</f>
        <v>30140174.1700521</v>
      </c>
      <c r="T49" s="113">
        <f>$F$22-(SUM($E$27:S27)+T27/2)-(SUM($E$60:S60)+T60/2)</f>
        <v>28579232.293720052</v>
      </c>
      <c r="U49" s="113">
        <f>$F$22-(SUM($E$27:T27)+U27/2)-(SUM($E$60:T60)+U60/2)</f>
        <v>27018290.417388003</v>
      </c>
      <c r="V49" s="113">
        <f>$F$22-(SUM($E$27:U27)+V27/2)-(SUM($E$60:U60)+V60/2)</f>
        <v>25457348.541055951</v>
      </c>
      <c r="W49" s="113">
        <f>$F$22-(SUM($E$27:V27)+W27/2)-(SUM($E$60:V60)+W60/2)</f>
        <v>23896406.664723903</v>
      </c>
      <c r="X49" s="113">
        <f>$F$22-(SUM($E$27:W27)+X27/2)-(SUM($E$60:W60)+X60/2)</f>
        <v>22335464.788391851</v>
      </c>
      <c r="Y49" s="113">
        <f>$F$22-(SUM($E$27:X27)+Y27/2)-(SUM($E$60:X60)+Y60/2)</f>
        <v>20900405.633207459</v>
      </c>
      <c r="Z49" s="113">
        <f>$F$22-(SUM($E$27:Y27)+Z27/2)-(SUM($E$60:Y60)+Z60/2)</f>
        <v>19717055.495970037</v>
      </c>
      <c r="AA49" s="113">
        <f>$F$22-(SUM($E$27:Z27)+AA27/2)-(SUM($E$60:Z60)+AA60/2)</f>
        <v>18659588.079880267</v>
      </c>
      <c r="AB49" s="113">
        <f>$F$22-(SUM($E$27:AA27)+AB27/2)-(SUM($E$60:AA60)+AB60/2)</f>
        <v>17602120.663790502</v>
      </c>
      <c r="AC49" s="113">
        <f>$F$22-(SUM($E$27:AB27)+AC27/2)-(SUM($E$60:AB60)+AC60/2)</f>
        <v>16544653.247700732</v>
      </c>
      <c r="AD49" s="113">
        <f>$F$22-(SUM($E$27:AC27)+AD27/2)-(SUM($E$60:AC60)+AD60/2)</f>
        <v>15487185.831610966</v>
      </c>
      <c r="AE49" s="113">
        <f>$F$22-(SUM($E$27:AD27)+AE27/2)-(SUM($E$60:AD60)+AE60/2)</f>
        <v>14429718.415521197</v>
      </c>
      <c r="AF49" s="113">
        <f>$F$22-(SUM($E$27:AE27)+AF27/2)-(SUM($E$60:AE60)+AF60/2)</f>
        <v>13372250.999431429</v>
      </c>
      <c r="AG49" s="113">
        <f>$F$22-(SUM($E$27:AF27)+AG27/2)-(SUM($E$60:AF60)+AG60/2)</f>
        <v>12314783.583341662</v>
      </c>
      <c r="AH49" s="113">
        <f>$F$22-(SUM($E$27:AG27)+AH27/2)-(SUM($E$60:AG60)+AH60/2)</f>
        <v>11257316.167251892</v>
      </c>
      <c r="AI49" s="113">
        <f>$F$22-(SUM($E$27:AH27)+AI27/2)-(SUM($E$60:AH60)+AI60/2)</f>
        <v>10199848.751162125</v>
      </c>
      <c r="AJ49" s="113">
        <f>$F$22-(SUM($E$27:AI27)+AJ27/2)-(SUM($E$60:AI60)+AJ60/2)</f>
        <v>9142381.3350723572</v>
      </c>
      <c r="AK49" s="113">
        <f>$F$22-(SUM($E$27:AJ27)+AK27/2)-(SUM($E$60:AJ60)+AK60/2)</f>
        <v>8084913.9189825896</v>
      </c>
      <c r="AL49" s="113">
        <f>$F$22-(SUM($E$27:AK27)+AL27/2)-(SUM($E$60:AK60)+AL60/2)</f>
        <v>7027446.5028928211</v>
      </c>
      <c r="AM49" s="113">
        <f>$F$22-(SUM($E$27:AL27)+AM27/2)-(SUM($E$60:AL60)+AM60/2)</f>
        <v>5969979.0868030526</v>
      </c>
      <c r="AN49" s="113">
        <f>$F$22-(SUM($E$27:AM27)+AN27/2)-(SUM($E$60:AM60)+AN60/2)</f>
        <v>4912511.670713285</v>
      </c>
      <c r="AO49" s="113">
        <f>$F$22-(SUM($E$27:AN27)+AO27/2)-(SUM($E$60:AN60)+AO60/2)</f>
        <v>3855044.2546235165</v>
      </c>
      <c r="AP49" s="113">
        <f>$F$22-(SUM($E$27:AO27)+AP27/2)-(SUM($E$60:AO60)+AP60/2)</f>
        <v>2797576.8385337489</v>
      </c>
      <c r="AQ49" s="113">
        <f>$F$22-(SUM($E$27:AP27)+AQ27/2)-(SUM($E$60:AP60)+AQ60/2)</f>
        <v>1740109.4224439808</v>
      </c>
      <c r="AR49" s="113">
        <f>$F$22-(SUM($E$27:AQ27)+AR27/2)-(SUM($E$60:AQ60)+AR60/2)</f>
        <v>682642.00635421299</v>
      </c>
      <c r="AS49" s="113">
        <f>$F$22-(SUM($E$27:AR27)+AS27/2)-(SUM($E$60:AR60)+AS60/2)</f>
        <v>153908.29830932897</v>
      </c>
      <c r="AT49" s="113">
        <f>$F$22-(SUM($E$27:AR27)+AT27/2)-(SUM($E$60:AR60)+AT60/2)</f>
        <v>153908.29830932897</v>
      </c>
      <c r="AU49" s="100">
        <f t="shared" ref="AU49:AU60" si="13">SUM(D49:AT49)</f>
        <v>961533768.97628582</v>
      </c>
    </row>
    <row r="50" spans="1:47" x14ac:dyDescent="0.2">
      <c r="A50" s="129">
        <f t="shared" si="10"/>
        <v>20</v>
      </c>
      <c r="B50" s="2"/>
      <c r="C50" s="2"/>
      <c r="D50" s="115"/>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100">
        <f t="shared" si="13"/>
        <v>0</v>
      </c>
    </row>
    <row r="51" spans="1:47" x14ac:dyDescent="0.2">
      <c r="A51" s="129">
        <f t="shared" si="10"/>
        <v>21</v>
      </c>
      <c r="B51" s="2"/>
      <c r="C51" s="2"/>
      <c r="D51" s="115"/>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100">
        <f t="shared" si="13"/>
        <v>0</v>
      </c>
    </row>
    <row r="52" spans="1:47" x14ac:dyDescent="0.2">
      <c r="A52" s="129">
        <f t="shared" si="10"/>
        <v>22</v>
      </c>
      <c r="B52" s="2" t="s">
        <v>65</v>
      </c>
      <c r="C52" s="2"/>
      <c r="D52" s="115"/>
      <c r="E52" s="38">
        <f>(E34)/(1-$F$15)</f>
        <v>3059075.9766619354</v>
      </c>
      <c r="F52" s="98">
        <f t="shared" ref="F52:AT52" si="14">(F34)/(1-$F$15)</f>
        <v>2962312.4249626016</v>
      </c>
      <c r="G52" s="98">
        <f t="shared" si="14"/>
        <v>2856015.929614882</v>
      </c>
      <c r="H52" s="98">
        <f t="shared" si="14"/>
        <v>2753113.1231231983</v>
      </c>
      <c r="I52" s="98">
        <f t="shared" si="14"/>
        <v>2653349.9673582115</v>
      </c>
      <c r="J52" s="98">
        <f t="shared" si="14"/>
        <v>2556491.9655851489</v>
      </c>
      <c r="K52" s="98">
        <f t="shared" si="14"/>
        <v>2462320.9055647068</v>
      </c>
      <c r="L52" s="98">
        <f t="shared" si="14"/>
        <v>2370634.8595530502</v>
      </c>
      <c r="M52" s="98">
        <f t="shared" si="14"/>
        <v>2280336.2525554737</v>
      </c>
      <c r="N52" s="98">
        <f t="shared" si="14"/>
        <v>2190236.3164026365</v>
      </c>
      <c r="O52" s="98">
        <f t="shared" si="14"/>
        <v>2100136.3802497992</v>
      </c>
      <c r="P52" s="98">
        <f t="shared" si="14"/>
        <v>2010036.4440969625</v>
      </c>
      <c r="Q52" s="98">
        <f t="shared" si="14"/>
        <v>1919936.5079441248</v>
      </c>
      <c r="R52" s="98">
        <f t="shared" si="14"/>
        <v>1829836.571791288</v>
      </c>
      <c r="S52" s="98">
        <f t="shared" si="14"/>
        <v>1739736.6356384503</v>
      </c>
      <c r="T52" s="98">
        <f t="shared" si="14"/>
        <v>1649636.699485613</v>
      </c>
      <c r="U52" s="98">
        <f t="shared" si="14"/>
        <v>1559536.7633327758</v>
      </c>
      <c r="V52" s="98">
        <f t="shared" si="14"/>
        <v>1469436.8271799383</v>
      </c>
      <c r="W52" s="98">
        <f t="shared" si="14"/>
        <v>1379336.8910271013</v>
      </c>
      <c r="X52" s="98">
        <f t="shared" si="14"/>
        <v>1289236.9548742638</v>
      </c>
      <c r="Y52" s="98">
        <f t="shared" si="14"/>
        <v>1206403.1606003293</v>
      </c>
      <c r="Z52" s="98">
        <f t="shared" si="14"/>
        <v>1138098.3931851059</v>
      </c>
      <c r="AA52" s="98">
        <f t="shared" si="14"/>
        <v>1077059.7676487849</v>
      </c>
      <c r="AB52" s="98">
        <f t="shared" si="14"/>
        <v>1016021.1421124644</v>
      </c>
      <c r="AC52" s="98">
        <f t="shared" si="14"/>
        <v>954982.51657614356</v>
      </c>
      <c r="AD52" s="98">
        <f t="shared" si="14"/>
        <v>893943.89103982283</v>
      </c>
      <c r="AE52" s="98">
        <f t="shared" si="14"/>
        <v>832905.26550350199</v>
      </c>
      <c r="AF52" s="98">
        <f t="shared" si="14"/>
        <v>771866.63996718125</v>
      </c>
      <c r="AG52" s="98">
        <f t="shared" si="14"/>
        <v>710828.01443086052</v>
      </c>
      <c r="AH52" s="98">
        <f t="shared" si="14"/>
        <v>649789.38889453968</v>
      </c>
      <c r="AI52" s="98">
        <f t="shared" si="14"/>
        <v>588750.76335821883</v>
      </c>
      <c r="AJ52" s="98">
        <f t="shared" si="14"/>
        <v>527712.1378218981</v>
      </c>
      <c r="AK52" s="98">
        <f t="shared" si="14"/>
        <v>466673.51228557731</v>
      </c>
      <c r="AL52" s="98">
        <f t="shared" si="14"/>
        <v>405634.88674925652</v>
      </c>
      <c r="AM52" s="98">
        <f t="shared" si="14"/>
        <v>344596.26121293573</v>
      </c>
      <c r="AN52" s="98">
        <f t="shared" si="14"/>
        <v>283557.63567661494</v>
      </c>
      <c r="AO52" s="98">
        <f t="shared" si="14"/>
        <v>222519.01014029412</v>
      </c>
      <c r="AP52" s="98">
        <f t="shared" si="14"/>
        <v>161480.38460397336</v>
      </c>
      <c r="AQ52" s="98">
        <f t="shared" si="14"/>
        <v>100441.75906765256</v>
      </c>
      <c r="AR52" s="98">
        <f t="shared" si="14"/>
        <v>39403.133531331783</v>
      </c>
      <c r="AS52" s="98">
        <f t="shared" si="14"/>
        <v>8883.820763171394</v>
      </c>
      <c r="AT52" s="98">
        <f t="shared" si="14"/>
        <v>8883.820763171394</v>
      </c>
      <c r="AU52" s="100">
        <f t="shared" si="13"/>
        <v>55501189.702935003</v>
      </c>
    </row>
    <row r="53" spans="1:47" x14ac:dyDescent="0.2">
      <c r="A53" s="129">
        <f t="shared" si="10"/>
        <v>23</v>
      </c>
      <c r="B53" s="2" t="s">
        <v>66</v>
      </c>
      <c r="C53" s="2"/>
      <c r="D53" s="115"/>
      <c r="E53" s="40">
        <f t="shared" ref="E53:AT53" si="15">E52*$F15</f>
        <v>642405.95509900642</v>
      </c>
      <c r="F53" s="96">
        <f t="shared" si="15"/>
        <v>622085.60924214637</v>
      </c>
      <c r="G53" s="96">
        <f t="shared" si="15"/>
        <v>599763.34521912516</v>
      </c>
      <c r="H53" s="96">
        <f t="shared" si="15"/>
        <v>578153.7558558716</v>
      </c>
      <c r="I53" s="96">
        <f t="shared" si="15"/>
        <v>557203.49314522441</v>
      </c>
      <c r="J53" s="96">
        <f t="shared" si="15"/>
        <v>536863.31277288124</v>
      </c>
      <c r="K53" s="96">
        <f t="shared" si="15"/>
        <v>517087.39016858838</v>
      </c>
      <c r="L53" s="96">
        <f t="shared" si="15"/>
        <v>497833.32050614053</v>
      </c>
      <c r="M53" s="96">
        <f t="shared" si="15"/>
        <v>478870.61303664948</v>
      </c>
      <c r="N53" s="96">
        <f t="shared" si="15"/>
        <v>459949.62644455367</v>
      </c>
      <c r="O53" s="96">
        <f t="shared" si="15"/>
        <v>441028.6398524578</v>
      </c>
      <c r="P53" s="96">
        <f t="shared" si="15"/>
        <v>422107.6532603621</v>
      </c>
      <c r="Q53" s="96">
        <f t="shared" si="15"/>
        <v>403186.66666826617</v>
      </c>
      <c r="R53" s="96">
        <f t="shared" si="15"/>
        <v>384265.68007617048</v>
      </c>
      <c r="S53" s="96">
        <f t="shared" si="15"/>
        <v>365344.69348407455</v>
      </c>
      <c r="T53" s="96">
        <f t="shared" si="15"/>
        <v>346423.70689197874</v>
      </c>
      <c r="U53" s="96">
        <f t="shared" si="15"/>
        <v>327502.72029988293</v>
      </c>
      <c r="V53" s="96">
        <f t="shared" si="15"/>
        <v>308581.73370778706</v>
      </c>
      <c r="W53" s="96">
        <f t="shared" si="15"/>
        <v>289660.74711569125</v>
      </c>
      <c r="X53" s="96">
        <f t="shared" si="15"/>
        <v>270739.76052359538</v>
      </c>
      <c r="Y53" s="96">
        <f t="shared" si="15"/>
        <v>253344.66372606915</v>
      </c>
      <c r="Z53" s="96">
        <f t="shared" si="15"/>
        <v>239000.66256887221</v>
      </c>
      <c r="AA53" s="96">
        <f t="shared" si="15"/>
        <v>226182.55120624483</v>
      </c>
      <c r="AB53" s="96">
        <f t="shared" si="15"/>
        <v>213364.43984361753</v>
      </c>
      <c r="AC53" s="96">
        <f t="shared" si="15"/>
        <v>200546.32848099014</v>
      </c>
      <c r="AD53" s="96">
        <f t="shared" si="15"/>
        <v>187728.21711836278</v>
      </c>
      <c r="AE53" s="96">
        <f t="shared" si="15"/>
        <v>174910.10575573542</v>
      </c>
      <c r="AF53" s="96">
        <f t="shared" si="15"/>
        <v>162091.99439310806</v>
      </c>
      <c r="AG53" s="96">
        <f t="shared" si="15"/>
        <v>149273.88303048071</v>
      </c>
      <c r="AH53" s="96">
        <f t="shared" si="15"/>
        <v>136455.77166785332</v>
      </c>
      <c r="AI53" s="96">
        <f t="shared" si="15"/>
        <v>123637.66030522595</v>
      </c>
      <c r="AJ53" s="96">
        <f t="shared" si="15"/>
        <v>110819.5489425986</v>
      </c>
      <c r="AK53" s="96">
        <f t="shared" si="15"/>
        <v>98001.437579971229</v>
      </c>
      <c r="AL53" s="96">
        <f t="shared" si="15"/>
        <v>85183.326217343871</v>
      </c>
      <c r="AM53" s="96">
        <f t="shared" si="15"/>
        <v>72365.214854716498</v>
      </c>
      <c r="AN53" s="96">
        <f t="shared" si="15"/>
        <v>59547.103492089132</v>
      </c>
      <c r="AO53" s="96">
        <f t="shared" si="15"/>
        <v>46728.992129461767</v>
      </c>
      <c r="AP53" s="96">
        <f t="shared" si="15"/>
        <v>33910.880766834402</v>
      </c>
      <c r="AQ53" s="96">
        <f t="shared" si="15"/>
        <v>21092.769404207036</v>
      </c>
      <c r="AR53" s="96">
        <f t="shared" si="15"/>
        <v>8274.6580415796743</v>
      </c>
      <c r="AS53" s="96">
        <f t="shared" si="15"/>
        <v>1865.6023602659927</v>
      </c>
      <c r="AT53" s="96">
        <f t="shared" si="15"/>
        <v>1865.6023602659927</v>
      </c>
      <c r="AU53" s="100">
        <f t="shared" si="13"/>
        <v>11655249.837616347</v>
      </c>
    </row>
    <row r="54" spans="1:47" x14ac:dyDescent="0.2">
      <c r="A54" s="129">
        <f t="shared" si="10"/>
        <v>24</v>
      </c>
      <c r="B54" s="2" t="s">
        <v>67</v>
      </c>
      <c r="C54" s="2"/>
      <c r="D54" s="115"/>
      <c r="E54" s="38">
        <f>E52-E53</f>
        <v>2416670.0215629293</v>
      </c>
      <c r="F54" s="98">
        <f t="shared" ref="F54:AT54" si="16">F52-F53</f>
        <v>2340226.8157204553</v>
      </c>
      <c r="G54" s="98">
        <f t="shared" si="16"/>
        <v>2256252.5843957569</v>
      </c>
      <c r="H54" s="98">
        <f t="shared" si="16"/>
        <v>2174959.3672673265</v>
      </c>
      <c r="I54" s="98">
        <f t="shared" si="16"/>
        <v>2096146.4742129871</v>
      </c>
      <c r="J54" s="98">
        <f t="shared" si="16"/>
        <v>2019628.6528122677</v>
      </c>
      <c r="K54" s="98">
        <f t="shared" si="16"/>
        <v>1945233.5153961184</v>
      </c>
      <c r="L54" s="98">
        <f t="shared" si="16"/>
        <v>1872801.5390469097</v>
      </c>
      <c r="M54" s="98">
        <f t="shared" si="16"/>
        <v>1801465.6395188242</v>
      </c>
      <c r="N54" s="98">
        <f t="shared" si="16"/>
        <v>1730286.6899580827</v>
      </c>
      <c r="O54" s="98">
        <f t="shared" si="16"/>
        <v>1659107.7403973415</v>
      </c>
      <c r="P54" s="98">
        <f t="shared" si="16"/>
        <v>1587928.7908366004</v>
      </c>
      <c r="Q54" s="98">
        <f t="shared" si="16"/>
        <v>1516749.8412758587</v>
      </c>
      <c r="R54" s="98">
        <f t="shared" si="16"/>
        <v>1445570.8917151175</v>
      </c>
      <c r="S54" s="98">
        <f t="shared" si="16"/>
        <v>1374391.9421543758</v>
      </c>
      <c r="T54" s="98">
        <f t="shared" si="16"/>
        <v>1303212.9925936344</v>
      </c>
      <c r="U54" s="98">
        <f t="shared" si="16"/>
        <v>1232034.043032893</v>
      </c>
      <c r="V54" s="98">
        <f t="shared" si="16"/>
        <v>1160855.0934721513</v>
      </c>
      <c r="W54" s="98">
        <f t="shared" si="16"/>
        <v>1089676.1439114101</v>
      </c>
      <c r="X54" s="98">
        <f t="shared" si="16"/>
        <v>1018497.1943506685</v>
      </c>
      <c r="Y54" s="98">
        <f t="shared" si="16"/>
        <v>953058.49687426013</v>
      </c>
      <c r="Z54" s="98">
        <f t="shared" si="16"/>
        <v>899097.73061623366</v>
      </c>
      <c r="AA54" s="98">
        <f t="shared" si="16"/>
        <v>850877.21644254006</v>
      </c>
      <c r="AB54" s="98">
        <f t="shared" si="16"/>
        <v>802656.70226884692</v>
      </c>
      <c r="AC54" s="98">
        <f t="shared" si="16"/>
        <v>754436.18809515343</v>
      </c>
      <c r="AD54" s="98">
        <f t="shared" si="16"/>
        <v>706215.67392146005</v>
      </c>
      <c r="AE54" s="98">
        <f t="shared" si="16"/>
        <v>657995.15974776656</v>
      </c>
      <c r="AF54" s="98">
        <f t="shared" si="16"/>
        <v>609774.64557407319</v>
      </c>
      <c r="AG54" s="98">
        <f t="shared" si="16"/>
        <v>561554.13140037982</v>
      </c>
      <c r="AH54" s="98">
        <f t="shared" si="16"/>
        <v>513333.61722668633</v>
      </c>
      <c r="AI54" s="98">
        <f t="shared" si="16"/>
        <v>465113.1030529929</v>
      </c>
      <c r="AJ54" s="98">
        <f t="shared" si="16"/>
        <v>416892.58887929947</v>
      </c>
      <c r="AK54" s="98">
        <f t="shared" si="16"/>
        <v>368672.07470560609</v>
      </c>
      <c r="AL54" s="98">
        <f t="shared" si="16"/>
        <v>320451.56053191266</v>
      </c>
      <c r="AM54" s="98">
        <f t="shared" si="16"/>
        <v>272231.04635821923</v>
      </c>
      <c r="AN54" s="98">
        <f t="shared" si="16"/>
        <v>224010.5321845258</v>
      </c>
      <c r="AO54" s="98">
        <f t="shared" si="16"/>
        <v>175790.01801083237</v>
      </c>
      <c r="AP54" s="98">
        <f t="shared" si="16"/>
        <v>127569.50383713897</v>
      </c>
      <c r="AQ54" s="98">
        <f t="shared" si="16"/>
        <v>79348.989663445522</v>
      </c>
      <c r="AR54" s="98">
        <f t="shared" si="16"/>
        <v>31128.475489752109</v>
      </c>
      <c r="AS54" s="98">
        <f t="shared" si="16"/>
        <v>7018.2184029054015</v>
      </c>
      <c r="AT54" s="98">
        <f t="shared" si="16"/>
        <v>7018.2184029054015</v>
      </c>
      <c r="AU54" s="100">
        <f t="shared" si="13"/>
        <v>43845939.865318649</v>
      </c>
    </row>
    <row r="55" spans="1:47" x14ac:dyDescent="0.2">
      <c r="A55" s="129">
        <f t="shared" si="10"/>
        <v>25</v>
      </c>
      <c r="B55" s="2"/>
      <c r="C55" s="2"/>
      <c r="D55" s="115"/>
      <c r="E55" s="117"/>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00">
        <f t="shared" si="13"/>
        <v>0</v>
      </c>
    </row>
    <row r="56" spans="1:47" x14ac:dyDescent="0.2">
      <c r="A56" s="129">
        <f t="shared" si="10"/>
        <v>26</v>
      </c>
      <c r="B56" s="2"/>
      <c r="C56" s="2"/>
      <c r="D56" s="115"/>
      <c r="E56" s="84"/>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00">
        <f t="shared" si="13"/>
        <v>0</v>
      </c>
    </row>
    <row r="57" spans="1:47" x14ac:dyDescent="0.2">
      <c r="A57" s="129">
        <f t="shared" si="10"/>
        <v>27</v>
      </c>
      <c r="B57" s="2" t="s">
        <v>68</v>
      </c>
      <c r="C57" s="2"/>
      <c r="D57" s="115"/>
      <c r="E57" s="38">
        <f>E27+E28</f>
        <v>1338566.3494807165</v>
      </c>
      <c r="F57" s="98">
        <f>F27</f>
        <v>1338566.3494807165</v>
      </c>
      <c r="G57" s="98">
        <f>G27</f>
        <v>1338566.3494807165</v>
      </c>
      <c r="H57" s="98">
        <f t="shared" ref="H57:AT57" si="17">H27</f>
        <v>1338566.3494807165</v>
      </c>
      <c r="I57" s="98">
        <f t="shared" si="17"/>
        <v>1338566.3494807165</v>
      </c>
      <c r="J57" s="98">
        <f t="shared" si="17"/>
        <v>1338566.3494807165</v>
      </c>
      <c r="K57" s="98">
        <f t="shared" si="17"/>
        <v>1338566.3494807165</v>
      </c>
      <c r="L57" s="98">
        <f t="shared" si="17"/>
        <v>1338566.3494807165</v>
      </c>
      <c r="M57" s="98">
        <f t="shared" si="17"/>
        <v>1338566.3494807165</v>
      </c>
      <c r="N57" s="98">
        <f t="shared" si="17"/>
        <v>1338566.3494807165</v>
      </c>
      <c r="O57" s="98">
        <f t="shared" si="17"/>
        <v>1338566.3494807165</v>
      </c>
      <c r="P57" s="98">
        <f t="shared" si="17"/>
        <v>1338566.3494807165</v>
      </c>
      <c r="Q57" s="98">
        <f t="shared" si="17"/>
        <v>1338566.3494807165</v>
      </c>
      <c r="R57" s="98">
        <f t="shared" si="17"/>
        <v>1338566.3494807165</v>
      </c>
      <c r="S57" s="98">
        <f t="shared" si="17"/>
        <v>1338566.3494807165</v>
      </c>
      <c r="T57" s="98">
        <f t="shared" si="17"/>
        <v>1338566.3494807165</v>
      </c>
      <c r="U57" s="98">
        <f t="shared" si="17"/>
        <v>1338566.3494807165</v>
      </c>
      <c r="V57" s="98">
        <f t="shared" si="17"/>
        <v>1338566.3494807165</v>
      </c>
      <c r="W57" s="98">
        <f t="shared" si="17"/>
        <v>1338566.3494807165</v>
      </c>
      <c r="X57" s="98">
        <f t="shared" si="17"/>
        <v>1338566.3494807165</v>
      </c>
      <c r="Y57" s="98">
        <f t="shared" si="17"/>
        <v>1338566.3494807165</v>
      </c>
      <c r="Z57" s="98">
        <f t="shared" si="17"/>
        <v>1338566.3494807165</v>
      </c>
      <c r="AA57" s="98">
        <f t="shared" si="17"/>
        <v>1338566.3494807165</v>
      </c>
      <c r="AB57" s="98">
        <f t="shared" si="17"/>
        <v>1338566.3494807165</v>
      </c>
      <c r="AC57" s="98">
        <f t="shared" si="17"/>
        <v>1338566.3494807165</v>
      </c>
      <c r="AD57" s="98">
        <f t="shared" si="17"/>
        <v>1338566.3494807165</v>
      </c>
      <c r="AE57" s="98">
        <f t="shared" si="17"/>
        <v>1338566.3494807165</v>
      </c>
      <c r="AF57" s="98">
        <f t="shared" si="17"/>
        <v>1338566.3494807165</v>
      </c>
      <c r="AG57" s="98">
        <f t="shared" si="17"/>
        <v>1338566.3494807165</v>
      </c>
      <c r="AH57" s="98">
        <f t="shared" si="17"/>
        <v>1338566.3494807165</v>
      </c>
      <c r="AI57" s="98">
        <f t="shared" si="17"/>
        <v>1338566.3494807165</v>
      </c>
      <c r="AJ57" s="98">
        <f t="shared" si="17"/>
        <v>1338566.3494807165</v>
      </c>
      <c r="AK57" s="98">
        <f t="shared" si="17"/>
        <v>1338566.3494807165</v>
      </c>
      <c r="AL57" s="98">
        <f t="shared" si="17"/>
        <v>1338566.3494807165</v>
      </c>
      <c r="AM57" s="98">
        <f t="shared" si="17"/>
        <v>1338566.3494807165</v>
      </c>
      <c r="AN57" s="98">
        <f t="shared" si="17"/>
        <v>1338566.3494807165</v>
      </c>
      <c r="AO57" s="98">
        <f t="shared" si="17"/>
        <v>1338566.3494807165</v>
      </c>
      <c r="AP57" s="98">
        <f t="shared" si="17"/>
        <v>1338566.3494807165</v>
      </c>
      <c r="AQ57" s="98">
        <f t="shared" si="17"/>
        <v>1338566.3494807165</v>
      </c>
      <c r="AR57" s="98">
        <f t="shared" si="17"/>
        <v>1338566.3494807165</v>
      </c>
      <c r="AS57" s="98">
        <f t="shared" si="17"/>
        <v>0</v>
      </c>
      <c r="AT57" s="98">
        <f t="shared" si="17"/>
        <v>0</v>
      </c>
      <c r="AU57" s="100">
        <f t="shared" si="13"/>
        <v>53542653.979228713</v>
      </c>
    </row>
    <row r="58" spans="1:47" x14ac:dyDescent="0.2">
      <c r="A58" s="129">
        <f t="shared" si="10"/>
        <v>28</v>
      </c>
      <c r="B58" s="2" t="s">
        <v>69</v>
      </c>
      <c r="C58" s="2"/>
      <c r="D58" s="115"/>
      <c r="E58" s="38">
        <f>$F22*E62</f>
        <v>2015155.2978750011</v>
      </c>
      <c r="F58" s="98">
        <f t="shared" ref="F58:AT58" si="18">$F22*F62</f>
        <v>3879308.2920959024</v>
      </c>
      <c r="G58" s="98">
        <f t="shared" si="18"/>
        <v>3588051.1797097018</v>
      </c>
      <c r="H58" s="98">
        <f t="shared" si="18"/>
        <v>3319363.8066597017</v>
      </c>
      <c r="I58" s="98">
        <f t="shared" si="18"/>
        <v>3070021.9244693015</v>
      </c>
      <c r="J58" s="98">
        <f t="shared" si="18"/>
        <v>2840025.5331385015</v>
      </c>
      <c r="K58" s="98">
        <f t="shared" si="18"/>
        <v>2626687.7589368015</v>
      </c>
      <c r="L58" s="98">
        <f t="shared" si="18"/>
        <v>2430008.6018642015</v>
      </c>
      <c r="M58" s="98">
        <f t="shared" si="18"/>
        <v>2397766.1170982015</v>
      </c>
      <c r="N58" s="98">
        <f t="shared" si="18"/>
        <v>2397228.7423521015</v>
      </c>
      <c r="O58" s="98">
        <f t="shared" si="18"/>
        <v>2397766.1170982015</v>
      </c>
      <c r="P58" s="98">
        <f t="shared" si="18"/>
        <v>2397228.7423521015</v>
      </c>
      <c r="Q58" s="98">
        <f t="shared" si="18"/>
        <v>2397766.1170982015</v>
      </c>
      <c r="R58" s="98">
        <f t="shared" si="18"/>
        <v>2397228.7423521015</v>
      </c>
      <c r="S58" s="98">
        <f t="shared" si="18"/>
        <v>2397766.1170982015</v>
      </c>
      <c r="T58" s="98">
        <f t="shared" si="18"/>
        <v>2397228.7423521015</v>
      </c>
      <c r="U58" s="98">
        <f t="shared" si="18"/>
        <v>2397766.1170982015</v>
      </c>
      <c r="V58" s="98">
        <f t="shared" si="18"/>
        <v>2397228.7423521015</v>
      </c>
      <c r="W58" s="98">
        <f t="shared" si="18"/>
        <v>2397766.1170982015</v>
      </c>
      <c r="X58" s="98">
        <f t="shared" si="18"/>
        <v>2397228.7423521015</v>
      </c>
      <c r="Y58" s="98">
        <f t="shared" si="18"/>
        <v>1198883.0585491008</v>
      </c>
      <c r="Z58" s="98">
        <f t="shared" si="18"/>
        <v>0</v>
      </c>
      <c r="AA58" s="98">
        <f t="shared" si="18"/>
        <v>0</v>
      </c>
      <c r="AB58" s="98">
        <f t="shared" si="18"/>
        <v>0</v>
      </c>
      <c r="AC58" s="98">
        <f t="shared" si="18"/>
        <v>0</v>
      </c>
      <c r="AD58" s="98">
        <f t="shared" si="18"/>
        <v>0</v>
      </c>
      <c r="AE58" s="98">
        <f t="shared" si="18"/>
        <v>0</v>
      </c>
      <c r="AF58" s="98">
        <f t="shared" si="18"/>
        <v>0</v>
      </c>
      <c r="AG58" s="98">
        <f t="shared" si="18"/>
        <v>0</v>
      </c>
      <c r="AH58" s="98">
        <f t="shared" si="18"/>
        <v>0</v>
      </c>
      <c r="AI58" s="98">
        <f t="shared" si="18"/>
        <v>0</v>
      </c>
      <c r="AJ58" s="98">
        <f t="shared" si="18"/>
        <v>0</v>
      </c>
      <c r="AK58" s="98">
        <f t="shared" si="18"/>
        <v>0</v>
      </c>
      <c r="AL58" s="98">
        <f t="shared" si="18"/>
        <v>0</v>
      </c>
      <c r="AM58" s="98">
        <f t="shared" si="18"/>
        <v>0</v>
      </c>
      <c r="AN58" s="98">
        <f t="shared" si="18"/>
        <v>0</v>
      </c>
      <c r="AO58" s="98">
        <f t="shared" si="18"/>
        <v>0</v>
      </c>
      <c r="AP58" s="98">
        <f t="shared" si="18"/>
        <v>0</v>
      </c>
      <c r="AQ58" s="98">
        <f t="shared" si="18"/>
        <v>0</v>
      </c>
      <c r="AR58" s="98">
        <f t="shared" si="18"/>
        <v>0</v>
      </c>
      <c r="AS58" s="98">
        <f t="shared" si="18"/>
        <v>0</v>
      </c>
      <c r="AT58" s="98">
        <f t="shared" si="18"/>
        <v>0</v>
      </c>
      <c r="AU58" s="100">
        <f t="shared" si="13"/>
        <v>53737474.610000022</v>
      </c>
    </row>
    <row r="59" spans="1:47" x14ac:dyDescent="0.2">
      <c r="A59" s="129">
        <f t="shared" si="10"/>
        <v>29</v>
      </c>
      <c r="B59" s="2" t="s">
        <v>70</v>
      </c>
      <c r="C59" s="2"/>
      <c r="D59" s="115"/>
      <c r="E59" s="38">
        <f>E58-E57</f>
        <v>676588.94839428458</v>
      </c>
      <c r="F59" s="98">
        <f>F58-F57</f>
        <v>2540741.9426151859</v>
      </c>
      <c r="G59" s="98">
        <f>G58-G57</f>
        <v>2249484.8302289853</v>
      </c>
      <c r="H59" s="98">
        <f t="shared" ref="H59:AT59" si="19">H58-H57</f>
        <v>1980797.4571789852</v>
      </c>
      <c r="I59" s="98">
        <f t="shared" si="19"/>
        <v>1731455.574988585</v>
      </c>
      <c r="J59" s="98">
        <f t="shared" si="19"/>
        <v>1501459.1836577849</v>
      </c>
      <c r="K59" s="98">
        <f t="shared" si="19"/>
        <v>1288121.4094560849</v>
      </c>
      <c r="L59" s="98">
        <f t="shared" si="19"/>
        <v>1091442.252383485</v>
      </c>
      <c r="M59" s="98">
        <f t="shared" si="19"/>
        <v>1059199.767617485</v>
      </c>
      <c r="N59" s="98">
        <f t="shared" si="19"/>
        <v>1058662.392871385</v>
      </c>
      <c r="O59" s="98">
        <f t="shared" si="19"/>
        <v>1059199.767617485</v>
      </c>
      <c r="P59" s="98">
        <f t="shared" si="19"/>
        <v>1058662.392871385</v>
      </c>
      <c r="Q59" s="98">
        <f t="shared" si="19"/>
        <v>1059199.767617485</v>
      </c>
      <c r="R59" s="98">
        <f t="shared" si="19"/>
        <v>1058662.392871385</v>
      </c>
      <c r="S59" s="98">
        <f t="shared" si="19"/>
        <v>1059199.767617485</v>
      </c>
      <c r="T59" s="98">
        <f t="shared" si="19"/>
        <v>1058662.392871385</v>
      </c>
      <c r="U59" s="98">
        <f t="shared" si="19"/>
        <v>1059199.767617485</v>
      </c>
      <c r="V59" s="98">
        <f t="shared" si="19"/>
        <v>1058662.392871385</v>
      </c>
      <c r="W59" s="98">
        <f t="shared" si="19"/>
        <v>1059199.767617485</v>
      </c>
      <c r="X59" s="98">
        <f t="shared" si="19"/>
        <v>1058662.392871385</v>
      </c>
      <c r="Y59" s="98">
        <f t="shared" si="19"/>
        <v>-139683.29093161575</v>
      </c>
      <c r="Z59" s="98">
        <f t="shared" si="19"/>
        <v>-1338566.3494807165</v>
      </c>
      <c r="AA59" s="98">
        <f t="shared" si="19"/>
        <v>-1338566.3494807165</v>
      </c>
      <c r="AB59" s="98">
        <f t="shared" si="19"/>
        <v>-1338566.3494807165</v>
      </c>
      <c r="AC59" s="98">
        <f t="shared" si="19"/>
        <v>-1338566.3494807165</v>
      </c>
      <c r="AD59" s="98">
        <f t="shared" si="19"/>
        <v>-1338566.3494807165</v>
      </c>
      <c r="AE59" s="98">
        <f t="shared" si="19"/>
        <v>-1338566.3494807165</v>
      </c>
      <c r="AF59" s="98">
        <f t="shared" si="19"/>
        <v>-1338566.3494807165</v>
      </c>
      <c r="AG59" s="98">
        <f t="shared" si="19"/>
        <v>-1338566.3494807165</v>
      </c>
      <c r="AH59" s="98">
        <f t="shared" si="19"/>
        <v>-1338566.3494807165</v>
      </c>
      <c r="AI59" s="98">
        <f t="shared" si="19"/>
        <v>-1338566.3494807165</v>
      </c>
      <c r="AJ59" s="98">
        <f t="shared" si="19"/>
        <v>-1338566.3494807165</v>
      </c>
      <c r="AK59" s="98">
        <f t="shared" si="19"/>
        <v>-1338566.3494807165</v>
      </c>
      <c r="AL59" s="98">
        <f t="shared" si="19"/>
        <v>-1338566.3494807165</v>
      </c>
      <c r="AM59" s="98">
        <f t="shared" si="19"/>
        <v>-1338566.3494807165</v>
      </c>
      <c r="AN59" s="98">
        <f t="shared" si="19"/>
        <v>-1338566.3494807165</v>
      </c>
      <c r="AO59" s="98">
        <f t="shared" si="19"/>
        <v>-1338566.3494807165</v>
      </c>
      <c r="AP59" s="98">
        <f t="shared" si="19"/>
        <v>-1338566.3494807165</v>
      </c>
      <c r="AQ59" s="98">
        <f t="shared" si="19"/>
        <v>-1338566.3494807165</v>
      </c>
      <c r="AR59" s="98">
        <f t="shared" si="19"/>
        <v>-1338566.3494807165</v>
      </c>
      <c r="AS59" s="98">
        <f t="shared" si="19"/>
        <v>0</v>
      </c>
      <c r="AT59" s="98">
        <f t="shared" si="19"/>
        <v>0</v>
      </c>
      <c r="AU59" s="100">
        <f t="shared" si="13"/>
        <v>194820.63077136315</v>
      </c>
    </row>
    <row r="60" spans="1:47" x14ac:dyDescent="0.2">
      <c r="A60" s="129">
        <f t="shared" si="10"/>
        <v>30</v>
      </c>
      <c r="B60" s="2" t="s">
        <v>71</v>
      </c>
      <c r="C60" s="2"/>
      <c r="D60" s="115"/>
      <c r="E60" s="38">
        <f>E59*F15</f>
        <v>142083.67916279976</v>
      </c>
      <c r="F60" s="98">
        <f t="shared" ref="F60:AT60" si="20">F59*$F$15</f>
        <v>533555.80794918898</v>
      </c>
      <c r="G60" s="98">
        <f t="shared" si="20"/>
        <v>472391.81434808689</v>
      </c>
      <c r="H60" s="98">
        <f t="shared" si="20"/>
        <v>415967.46600758686</v>
      </c>
      <c r="I60" s="98">
        <f t="shared" si="20"/>
        <v>363605.67074760282</v>
      </c>
      <c r="J60" s="98">
        <f t="shared" si="20"/>
        <v>315306.42856813484</v>
      </c>
      <c r="K60" s="98">
        <f t="shared" si="20"/>
        <v>270505.49598577782</v>
      </c>
      <c r="L60" s="98">
        <f t="shared" si="20"/>
        <v>229202.87300053184</v>
      </c>
      <c r="M60" s="98">
        <f t="shared" si="20"/>
        <v>222431.95119967184</v>
      </c>
      <c r="N60" s="98">
        <f t="shared" si="20"/>
        <v>222319.10250299083</v>
      </c>
      <c r="O60" s="98">
        <f t="shared" si="20"/>
        <v>222431.95119967184</v>
      </c>
      <c r="P60" s="98">
        <f t="shared" si="20"/>
        <v>222319.10250299083</v>
      </c>
      <c r="Q60" s="98">
        <f t="shared" si="20"/>
        <v>222431.95119967184</v>
      </c>
      <c r="R60" s="98">
        <f t="shared" si="20"/>
        <v>222319.10250299083</v>
      </c>
      <c r="S60" s="98">
        <f t="shared" si="20"/>
        <v>222431.95119967184</v>
      </c>
      <c r="T60" s="98">
        <f t="shared" si="20"/>
        <v>222319.10250299083</v>
      </c>
      <c r="U60" s="98">
        <f t="shared" si="20"/>
        <v>222431.95119967184</v>
      </c>
      <c r="V60" s="98">
        <f t="shared" si="20"/>
        <v>222319.10250299083</v>
      </c>
      <c r="W60" s="98">
        <f t="shared" si="20"/>
        <v>222431.95119967184</v>
      </c>
      <c r="X60" s="98">
        <f t="shared" si="20"/>
        <v>222319.10250299083</v>
      </c>
      <c r="Y60" s="98">
        <f t="shared" si="20"/>
        <v>-29333.491095639307</v>
      </c>
      <c r="Z60" s="98">
        <f t="shared" si="20"/>
        <v>-281098.93339095043</v>
      </c>
      <c r="AA60" s="98">
        <f t="shared" si="20"/>
        <v>-281098.93339095043</v>
      </c>
      <c r="AB60" s="98">
        <f t="shared" si="20"/>
        <v>-281098.93339095043</v>
      </c>
      <c r="AC60" s="98">
        <f t="shared" si="20"/>
        <v>-281098.93339095043</v>
      </c>
      <c r="AD60" s="98">
        <f t="shared" si="20"/>
        <v>-281098.93339095043</v>
      </c>
      <c r="AE60" s="98">
        <f t="shared" si="20"/>
        <v>-281098.93339095043</v>
      </c>
      <c r="AF60" s="98">
        <f t="shared" si="20"/>
        <v>-281098.93339095043</v>
      </c>
      <c r="AG60" s="98">
        <f t="shared" si="20"/>
        <v>-281098.93339095043</v>
      </c>
      <c r="AH60" s="98">
        <f t="shared" si="20"/>
        <v>-281098.93339095043</v>
      </c>
      <c r="AI60" s="98">
        <f t="shared" si="20"/>
        <v>-281098.93339095043</v>
      </c>
      <c r="AJ60" s="98">
        <f t="shared" si="20"/>
        <v>-281098.93339095043</v>
      </c>
      <c r="AK60" s="98">
        <f t="shared" si="20"/>
        <v>-281098.93339095043</v>
      </c>
      <c r="AL60" s="98">
        <f t="shared" si="20"/>
        <v>-281098.93339095043</v>
      </c>
      <c r="AM60" s="98">
        <f t="shared" si="20"/>
        <v>-281098.93339095043</v>
      </c>
      <c r="AN60" s="98">
        <f t="shared" si="20"/>
        <v>-281098.93339095043</v>
      </c>
      <c r="AO60" s="98">
        <f t="shared" si="20"/>
        <v>-281098.93339095043</v>
      </c>
      <c r="AP60" s="98">
        <f t="shared" si="20"/>
        <v>-281098.93339095043</v>
      </c>
      <c r="AQ60" s="98">
        <f t="shared" si="20"/>
        <v>-281098.93339095043</v>
      </c>
      <c r="AR60" s="98">
        <f t="shared" si="20"/>
        <v>-281098.93339095043</v>
      </c>
      <c r="AS60" s="98">
        <f t="shared" si="20"/>
        <v>0</v>
      </c>
      <c r="AT60" s="98">
        <f t="shared" si="20"/>
        <v>0</v>
      </c>
      <c r="AU60" s="100">
        <f t="shared" si="13"/>
        <v>40912.332461987622</v>
      </c>
    </row>
    <row r="61" spans="1:47" x14ac:dyDescent="0.2">
      <c r="A61" s="129">
        <f t="shared" si="10"/>
        <v>31</v>
      </c>
      <c r="B61" s="2"/>
      <c r="C61" s="2"/>
      <c r="D61" s="115"/>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5"/>
    </row>
    <row r="62" spans="1:47" s="50" customFormat="1" x14ac:dyDescent="0.2">
      <c r="A62" s="129">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7" outlineLevel="1" x14ac:dyDescent="0.25">
      <c r="A63" s="129">
        <f t="shared" si="10"/>
        <v>33</v>
      </c>
      <c r="B63" s="2"/>
      <c r="C63" s="118"/>
      <c r="E63" s="119"/>
      <c r="F63" s="120"/>
      <c r="G63" s="120"/>
      <c r="H63" s="120"/>
      <c r="I63" s="120"/>
      <c r="J63" s="120"/>
      <c r="K63" s="120"/>
      <c r="L63" s="120"/>
      <c r="M63" s="121"/>
      <c r="N63" s="121"/>
      <c r="O63" s="121"/>
      <c r="P63" s="121"/>
      <c r="Q63" s="121"/>
      <c r="R63" s="121"/>
      <c r="S63" s="121"/>
      <c r="T63" s="121"/>
      <c r="U63" s="121"/>
      <c r="V63" s="121"/>
      <c r="W63" s="121"/>
      <c r="X63" s="121"/>
      <c r="Y63" s="121"/>
      <c r="Z63" s="115"/>
      <c r="AA63" s="115"/>
      <c r="AB63" s="115"/>
      <c r="AC63" s="115"/>
      <c r="AD63" s="115"/>
      <c r="AE63" s="115"/>
      <c r="AF63" s="115"/>
      <c r="AG63" s="115"/>
      <c r="AH63" s="115"/>
      <c r="AI63" s="115"/>
      <c r="AJ63" s="115"/>
      <c r="AK63" s="115"/>
      <c r="AL63" s="115"/>
      <c r="AM63" s="115"/>
      <c r="AN63" s="115"/>
      <c r="AO63" s="3"/>
    </row>
    <row r="64" spans="1:47" outlineLevel="1" x14ac:dyDescent="0.25">
      <c r="A64" s="129">
        <f t="shared" si="10"/>
        <v>34</v>
      </c>
      <c r="B64" s="2"/>
      <c r="C64" s="118"/>
      <c r="E64" s="119"/>
      <c r="F64" s="120"/>
      <c r="G64" s="120"/>
      <c r="H64" s="120"/>
      <c r="I64" s="120"/>
      <c r="J64" s="120"/>
      <c r="K64" s="120"/>
      <c r="L64" s="120"/>
      <c r="M64" s="121"/>
      <c r="N64" s="121"/>
      <c r="O64" s="121"/>
      <c r="P64" s="121"/>
      <c r="Q64" s="121"/>
      <c r="R64" s="121"/>
      <c r="S64" s="121"/>
      <c r="T64" s="121"/>
      <c r="U64" s="121"/>
      <c r="V64" s="121"/>
      <c r="W64" s="121"/>
      <c r="X64" s="121"/>
      <c r="Y64" s="121"/>
      <c r="Z64" s="115"/>
      <c r="AA64" s="115"/>
      <c r="AB64" s="115"/>
      <c r="AC64" s="115"/>
      <c r="AD64" s="115"/>
      <c r="AE64" s="115"/>
      <c r="AF64" s="115"/>
      <c r="AG64" s="115"/>
      <c r="AH64" s="115"/>
      <c r="AI64" s="115"/>
      <c r="AJ64" s="115"/>
      <c r="AK64" s="115"/>
      <c r="AL64" s="115"/>
      <c r="AM64" s="115"/>
      <c r="AN64" s="115"/>
      <c r="AO64" s="3"/>
    </row>
    <row r="65" spans="1:42" s="50" customFormat="1" x14ac:dyDescent="0.25">
      <c r="A65" s="129">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9">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5"/>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topLeftCell="A13" zoomScaleNormal="100" workbookViewId="0">
      <selection activeCell="G42" sqref="G42"/>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6.7109375" style="56" customWidth="1"/>
    <col min="6" max="6" width="13.42578125" style="56" customWidth="1"/>
    <col min="7" max="7" width="14.5703125" style="56" bestFit="1" customWidth="1"/>
    <col min="8" max="8" width="12.5703125" style="56" customWidth="1"/>
    <col min="9" max="9" width="14.28515625" style="56" bestFit="1" customWidth="1"/>
    <col min="10"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1.65" customHeight="1" x14ac:dyDescent="0.25">
      <c r="A1" s="1" t="s">
        <v>0</v>
      </c>
      <c r="B1" s="2"/>
      <c r="C1" s="2"/>
      <c r="E1" s="506"/>
      <c r="F1" s="506"/>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1.6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75" customHeight="1" x14ac:dyDescent="0.25">
      <c r="A3" s="6" t="s">
        <v>2</v>
      </c>
      <c r="B3" s="2"/>
      <c r="C3" s="125" t="s">
        <v>122</v>
      </c>
      <c r="D3" s="115"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1.6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9"/>
      <c r="E5" s="9"/>
      <c r="F5" s="10"/>
      <c r="G5" s="200"/>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97" t="s">
        <v>121</v>
      </c>
      <c r="E6" s="109"/>
      <c r="F6" s="110" t="s">
        <v>171</v>
      </c>
      <c r="G6" s="201" t="s">
        <v>172</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202" t="s">
        <v>5</v>
      </c>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8.75" customHeight="1" x14ac:dyDescent="0.2">
      <c r="A8" s="12" t="s">
        <v>6</v>
      </c>
      <c r="B8" s="13"/>
      <c r="C8" s="13"/>
      <c r="D8" s="19" t="s">
        <v>7</v>
      </c>
      <c r="E8" s="19" t="s">
        <v>8</v>
      </c>
      <c r="F8" s="20" t="s">
        <v>8</v>
      </c>
      <c r="G8" s="203" t="s">
        <v>8</v>
      </c>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1.65" customHeight="1" x14ac:dyDescent="0.2">
      <c r="A9" s="12"/>
      <c r="B9" s="13"/>
      <c r="C9" s="13"/>
      <c r="D9" s="14"/>
      <c r="E9" s="14"/>
      <c r="F9" s="21"/>
      <c r="G9" s="204"/>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1.65" customHeight="1" x14ac:dyDescent="0.2">
      <c r="A10" s="12"/>
      <c r="B10" s="13"/>
      <c r="C10" s="13"/>
      <c r="D10" s="23"/>
      <c r="E10" s="23"/>
      <c r="F10" s="24"/>
      <c r="G10" s="205"/>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v>0.51500000000000001</v>
      </c>
      <c r="E11" s="23">
        <v>5.8058252427184473E-2</v>
      </c>
      <c r="F11" s="24">
        <v>2.9899999999999999E-2</v>
      </c>
      <c r="G11" s="205">
        <f>'2019 GRC'!E12</f>
        <v>2.8299999999999999E-2</v>
      </c>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v>0.48499999999999999</v>
      </c>
      <c r="E12" s="23">
        <v>9.5000000000000001E-2</v>
      </c>
      <c r="F12" s="26">
        <v>4.6100000000000002E-2</v>
      </c>
      <c r="G12" s="206">
        <f>'2019 GRC'!E13</f>
        <v>4.5600000000000002E-2</v>
      </c>
      <c r="H12" s="3"/>
      <c r="I12" s="209"/>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29">
        <f>F10+F11+F12</f>
        <v>7.5999999999999998E-2</v>
      </c>
      <c r="G13" s="207">
        <f>G10+G11+G12</f>
        <v>7.3899999999999993E-2</v>
      </c>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1.65" customHeight="1" thickTop="1" x14ac:dyDescent="0.2">
      <c r="A14" s="12"/>
      <c r="B14" s="13"/>
      <c r="C14" s="13"/>
      <c r="D14" s="14"/>
      <c r="E14" s="14"/>
      <c r="F14" s="21"/>
      <c r="G14" s="204"/>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v>0.21</v>
      </c>
      <c r="G15" s="205">
        <f>'2019 GRC'!I19</f>
        <v>0.21</v>
      </c>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thickBot="1" x14ac:dyDescent="0.25">
      <c r="A16" s="12" t="s">
        <v>12</v>
      </c>
      <c r="B16" s="13"/>
      <c r="C16" s="13"/>
      <c r="D16" s="14"/>
      <c r="E16" s="14"/>
      <c r="F16" s="24">
        <f>'2017 4.01 G'!F17</f>
        <v>4.5462000000000002E-2</v>
      </c>
      <c r="G16" s="208">
        <f>'2019 GRC'!J16</f>
        <v>4.5447000000000001E-2</v>
      </c>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v>2.4443933509191149E-2</v>
      </c>
      <c r="G17" s="23"/>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ht="13.5" customHeight="1" x14ac:dyDescent="0.2">
      <c r="A18" s="12" t="s">
        <v>14</v>
      </c>
      <c r="B18" s="13"/>
      <c r="C18" s="13"/>
      <c r="D18" s="14"/>
      <c r="E18" s="14"/>
      <c r="F18" s="30">
        <v>2</v>
      </c>
      <c r="G18" s="198"/>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ht="11.65" customHeight="1" x14ac:dyDescent="0.2">
      <c r="A19" s="12"/>
      <c r="B19" s="13"/>
      <c r="C19" s="13"/>
      <c r="D19" s="14"/>
      <c r="E19" s="14"/>
      <c r="F19" s="15"/>
      <c r="G19" s="11"/>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ht="11.65" customHeight="1" x14ac:dyDescent="0.2">
      <c r="A20" s="12" t="s">
        <v>15</v>
      </c>
      <c r="B20" s="13"/>
      <c r="C20" s="13"/>
      <c r="D20" s="14"/>
      <c r="E20" s="14"/>
      <c r="F20" s="15"/>
      <c r="G20" s="11"/>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1.65" customHeight="1" x14ac:dyDescent="0.2">
      <c r="A21" s="12" t="s">
        <v>16</v>
      </c>
      <c r="B21" s="13"/>
      <c r="C21" s="13"/>
      <c r="D21" s="14"/>
      <c r="E21" s="14"/>
      <c r="F21" s="15"/>
      <c r="G21" s="11"/>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3.15" customHeight="1" thickBot="1" x14ac:dyDescent="0.25">
      <c r="A22" s="31" t="s">
        <v>17</v>
      </c>
      <c r="B22" s="32"/>
      <c r="C22" s="32"/>
      <c r="D22" s="32"/>
      <c r="E22" s="33"/>
      <c r="F22" s="57">
        <v>60639592.879999995</v>
      </c>
      <c r="G22" s="199"/>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9.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5"/>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5"/>
      <c r="E26" s="82">
        <v>2019</v>
      </c>
      <c r="F26" s="82">
        <v>2020</v>
      </c>
      <c r="G26" s="82">
        <v>2021</v>
      </c>
      <c r="H26" s="82">
        <v>2022</v>
      </c>
      <c r="I26" s="82">
        <v>2023</v>
      </c>
      <c r="J26" s="82">
        <v>2024</v>
      </c>
      <c r="K26" s="82">
        <v>2025</v>
      </c>
      <c r="L26" s="82">
        <v>2026</v>
      </c>
      <c r="M26" s="82">
        <v>2027</v>
      </c>
      <c r="N26" s="82">
        <v>2028</v>
      </c>
      <c r="O26" s="82">
        <v>2029</v>
      </c>
      <c r="P26" s="82">
        <v>2030</v>
      </c>
      <c r="Q26" s="82">
        <v>2031</v>
      </c>
      <c r="R26" s="82">
        <v>2032</v>
      </c>
      <c r="S26" s="82">
        <v>2033</v>
      </c>
      <c r="T26" s="82">
        <v>2034</v>
      </c>
      <c r="U26" s="82">
        <v>2035</v>
      </c>
      <c r="V26" s="82">
        <v>2036</v>
      </c>
      <c r="W26" s="82">
        <v>2037</v>
      </c>
      <c r="X26" s="82">
        <v>2038</v>
      </c>
      <c r="Y26" s="82">
        <v>2039</v>
      </c>
      <c r="Z26" s="82">
        <v>2040</v>
      </c>
      <c r="AA26" s="82">
        <v>2041</v>
      </c>
      <c r="AB26" s="82">
        <v>2042</v>
      </c>
      <c r="AC26" s="82">
        <v>2043</v>
      </c>
      <c r="AD26" s="82">
        <v>2044</v>
      </c>
      <c r="AE26" s="82">
        <v>2045</v>
      </c>
      <c r="AF26" s="82">
        <v>2046</v>
      </c>
      <c r="AG26" s="82">
        <v>2047</v>
      </c>
      <c r="AH26" s="82">
        <v>2048</v>
      </c>
      <c r="AI26" s="82">
        <v>2049</v>
      </c>
      <c r="AJ26" s="82">
        <v>2050</v>
      </c>
      <c r="AK26" s="82">
        <v>2051</v>
      </c>
      <c r="AL26" s="82">
        <v>2052</v>
      </c>
      <c r="AM26" s="82">
        <v>2053</v>
      </c>
      <c r="AN26" s="82">
        <v>2054</v>
      </c>
      <c r="AO26" s="82">
        <v>2055</v>
      </c>
      <c r="AP26" s="82">
        <v>2056</v>
      </c>
      <c r="AQ26" s="82">
        <v>2057</v>
      </c>
      <c r="AR26" s="82">
        <v>2058</v>
      </c>
      <c r="AS26" s="82">
        <v>2059</v>
      </c>
    </row>
    <row r="27" spans="1:48" x14ac:dyDescent="0.2">
      <c r="A27" s="125">
        <v>1</v>
      </c>
      <c r="B27" s="2" t="s">
        <v>53</v>
      </c>
      <c r="C27" s="2"/>
      <c r="D27" s="115"/>
      <c r="E27" s="38">
        <f>$F22*$F17</f>
        <v>1482270.176383141</v>
      </c>
      <c r="F27" s="98">
        <f>$F22*$F17</f>
        <v>1482270.176383141</v>
      </c>
      <c r="G27" s="98">
        <f>$F22*$F17</f>
        <v>1482270.176383141</v>
      </c>
      <c r="H27" s="98">
        <f t="shared" ref="H27:AR27" si="0">$F22*$F17</f>
        <v>1482270.176383141</v>
      </c>
      <c r="I27" s="98">
        <f t="shared" si="0"/>
        <v>1482270.176383141</v>
      </c>
      <c r="J27" s="98">
        <f t="shared" si="0"/>
        <v>1482270.176383141</v>
      </c>
      <c r="K27" s="98">
        <f t="shared" si="0"/>
        <v>1482270.176383141</v>
      </c>
      <c r="L27" s="98">
        <f t="shared" si="0"/>
        <v>1482270.176383141</v>
      </c>
      <c r="M27" s="98">
        <f t="shared" si="0"/>
        <v>1482270.176383141</v>
      </c>
      <c r="N27" s="98">
        <f t="shared" si="0"/>
        <v>1482270.176383141</v>
      </c>
      <c r="O27" s="98">
        <f t="shared" si="0"/>
        <v>1482270.176383141</v>
      </c>
      <c r="P27" s="98">
        <f t="shared" si="0"/>
        <v>1482270.176383141</v>
      </c>
      <c r="Q27" s="98">
        <f t="shared" si="0"/>
        <v>1482270.176383141</v>
      </c>
      <c r="R27" s="98">
        <f t="shared" si="0"/>
        <v>1482270.176383141</v>
      </c>
      <c r="S27" s="98">
        <f t="shared" si="0"/>
        <v>1482270.176383141</v>
      </c>
      <c r="T27" s="98">
        <f t="shared" si="0"/>
        <v>1482270.176383141</v>
      </c>
      <c r="U27" s="98">
        <f t="shared" si="0"/>
        <v>1482270.176383141</v>
      </c>
      <c r="V27" s="98">
        <f t="shared" si="0"/>
        <v>1482270.176383141</v>
      </c>
      <c r="W27" s="98">
        <f t="shared" si="0"/>
        <v>1482270.176383141</v>
      </c>
      <c r="X27" s="98">
        <f t="shared" si="0"/>
        <v>1482270.176383141</v>
      </c>
      <c r="Y27" s="98">
        <f t="shared" si="0"/>
        <v>1482270.176383141</v>
      </c>
      <c r="Z27" s="98">
        <f t="shared" si="0"/>
        <v>1482270.176383141</v>
      </c>
      <c r="AA27" s="98">
        <f t="shared" si="0"/>
        <v>1482270.176383141</v>
      </c>
      <c r="AB27" s="98">
        <f t="shared" si="0"/>
        <v>1482270.176383141</v>
      </c>
      <c r="AC27" s="98">
        <f t="shared" si="0"/>
        <v>1482270.176383141</v>
      </c>
      <c r="AD27" s="98">
        <f t="shared" si="0"/>
        <v>1482270.176383141</v>
      </c>
      <c r="AE27" s="98">
        <f t="shared" si="0"/>
        <v>1482270.176383141</v>
      </c>
      <c r="AF27" s="98">
        <f t="shared" si="0"/>
        <v>1482270.176383141</v>
      </c>
      <c r="AG27" s="98">
        <f t="shared" si="0"/>
        <v>1482270.176383141</v>
      </c>
      <c r="AH27" s="98">
        <f t="shared" si="0"/>
        <v>1482270.176383141</v>
      </c>
      <c r="AI27" s="98">
        <f t="shared" si="0"/>
        <v>1482270.176383141</v>
      </c>
      <c r="AJ27" s="98">
        <f t="shared" si="0"/>
        <v>1482270.176383141</v>
      </c>
      <c r="AK27" s="98">
        <f t="shared" si="0"/>
        <v>1482270.176383141</v>
      </c>
      <c r="AL27" s="98">
        <f t="shared" si="0"/>
        <v>1482270.176383141</v>
      </c>
      <c r="AM27" s="98">
        <f t="shared" si="0"/>
        <v>1482270.176383141</v>
      </c>
      <c r="AN27" s="98">
        <f t="shared" si="0"/>
        <v>1482270.176383141</v>
      </c>
      <c r="AO27" s="98">
        <f t="shared" si="0"/>
        <v>1482270.176383141</v>
      </c>
      <c r="AP27" s="98">
        <f t="shared" si="0"/>
        <v>1482270.176383141</v>
      </c>
      <c r="AQ27" s="98">
        <f t="shared" si="0"/>
        <v>1482270.176383141</v>
      </c>
      <c r="AR27" s="98">
        <f t="shared" si="0"/>
        <v>1482270.176383141</v>
      </c>
      <c r="AS27" s="98">
        <v>0</v>
      </c>
      <c r="AT27" s="98"/>
      <c r="AU27" s="100">
        <f>SUM(D27:AT27)</f>
        <v>59290807.05532559</v>
      </c>
      <c r="AV27" s="22">
        <f>F22</f>
        <v>60639592.879999995</v>
      </c>
    </row>
    <row r="28" spans="1:48" x14ac:dyDescent="0.2">
      <c r="A28" s="2"/>
      <c r="B28" s="2"/>
      <c r="C28" s="2"/>
      <c r="D28" s="115"/>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6"/>
    </row>
    <row r="29" spans="1:48" x14ac:dyDescent="0.2">
      <c r="A29" s="125">
        <f>A27+1</f>
        <v>2</v>
      </c>
      <c r="B29" s="2" t="s">
        <v>54</v>
      </c>
      <c r="C29" s="2"/>
      <c r="D29" s="115"/>
      <c r="E29" s="38">
        <f>E53</f>
        <v>733002.76971787796</v>
      </c>
      <c r="F29" s="98">
        <f t="shared" ref="F29:AT29" si="1">F53</f>
        <v>702392.57976173412</v>
      </c>
      <c r="G29" s="98">
        <f t="shared" si="1"/>
        <v>677473.48090067063</v>
      </c>
      <c r="H29" s="98">
        <f t="shared" si="1"/>
        <v>653358.59365427354</v>
      </c>
      <c r="I29" s="98">
        <f t="shared" si="1"/>
        <v>629987.71792086912</v>
      </c>
      <c r="J29" s="98">
        <f t="shared" si="1"/>
        <v>607305.28437583544</v>
      </c>
      <c r="K29" s="98">
        <f t="shared" si="1"/>
        <v>585259.5826754272</v>
      </c>
      <c r="L29" s="98">
        <f t="shared" si="1"/>
        <v>563802.7614567756</v>
      </c>
      <c r="M29" s="98">
        <f t="shared" si="1"/>
        <v>542674.72540880332</v>
      </c>
      <c r="N29" s="98">
        <f t="shared" si="1"/>
        <v>521593.76892752462</v>
      </c>
      <c r="O29" s="98">
        <f t="shared" si="1"/>
        <v>500512.81244624581</v>
      </c>
      <c r="P29" s="98">
        <f t="shared" si="1"/>
        <v>479431.85596496699</v>
      </c>
      <c r="Q29" s="98">
        <f t="shared" si="1"/>
        <v>458350.89948368829</v>
      </c>
      <c r="R29" s="98">
        <f t="shared" si="1"/>
        <v>437269.94300240959</v>
      </c>
      <c r="S29" s="98">
        <f t="shared" si="1"/>
        <v>416188.98652113089</v>
      </c>
      <c r="T29" s="98">
        <f t="shared" si="1"/>
        <v>395108.03003985208</v>
      </c>
      <c r="U29" s="98">
        <f t="shared" si="1"/>
        <v>374027.07355857326</v>
      </c>
      <c r="V29" s="98">
        <f t="shared" si="1"/>
        <v>352946.11707729456</v>
      </c>
      <c r="W29" s="98">
        <f t="shared" si="1"/>
        <v>331865.16059601575</v>
      </c>
      <c r="X29" s="98">
        <f t="shared" si="1"/>
        <v>310784.20411473705</v>
      </c>
      <c r="Y29" s="98">
        <f t="shared" si="1"/>
        <v>291425.12490056054</v>
      </c>
      <c r="Z29" s="98">
        <f t="shared" si="1"/>
        <v>275509.02842441335</v>
      </c>
      <c r="AA29" s="98">
        <f t="shared" si="1"/>
        <v>261314.80921536835</v>
      </c>
      <c r="AB29" s="98">
        <f t="shared" si="1"/>
        <v>247120.59000632336</v>
      </c>
      <c r="AC29" s="98">
        <f t="shared" si="1"/>
        <v>232926.37079727848</v>
      </c>
      <c r="AD29" s="98">
        <f t="shared" si="1"/>
        <v>218732.15158823351</v>
      </c>
      <c r="AE29" s="98">
        <f t="shared" si="1"/>
        <v>204537.9323791886</v>
      </c>
      <c r="AF29" s="98">
        <f t="shared" si="1"/>
        <v>190343.71317014366</v>
      </c>
      <c r="AG29" s="98">
        <f t="shared" si="1"/>
        <v>176149.49396109875</v>
      </c>
      <c r="AH29" s="98">
        <f t="shared" si="1"/>
        <v>161955.27475205384</v>
      </c>
      <c r="AI29" s="98">
        <f t="shared" si="1"/>
        <v>147761.05554300893</v>
      </c>
      <c r="AJ29" s="98">
        <f t="shared" si="1"/>
        <v>133566.83633396399</v>
      </c>
      <c r="AK29" s="98">
        <f t="shared" si="1"/>
        <v>119372.61712491907</v>
      </c>
      <c r="AL29" s="98">
        <f t="shared" si="1"/>
        <v>105178.39791587417</v>
      </c>
      <c r="AM29" s="98">
        <f t="shared" si="1"/>
        <v>90984.178706829262</v>
      </c>
      <c r="AN29" s="98">
        <f t="shared" si="1"/>
        <v>76789.959497784337</v>
      </c>
      <c r="AO29" s="98">
        <f t="shared" si="1"/>
        <v>62595.74028873942</v>
      </c>
      <c r="AP29" s="98">
        <f t="shared" si="1"/>
        <v>48401.52107969451</v>
      </c>
      <c r="AQ29" s="98">
        <f t="shared" si="1"/>
        <v>34207.301870649593</v>
      </c>
      <c r="AR29" s="98">
        <f t="shared" si="1"/>
        <v>20013.082661604672</v>
      </c>
      <c r="AS29" s="98">
        <f t="shared" ref="AS29" si="2">AS53</f>
        <v>12915.973057082216</v>
      </c>
      <c r="AT29" s="98">
        <f t="shared" si="1"/>
        <v>12915.973057082216</v>
      </c>
      <c r="AU29" s="100">
        <f>SUM(D29:AT29)</f>
        <v>13398053.473936601</v>
      </c>
    </row>
    <row r="30" spans="1:48" x14ac:dyDescent="0.2">
      <c r="A30" s="2"/>
      <c r="B30" s="2"/>
      <c r="C30" s="2"/>
      <c r="D30" s="115"/>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row>
    <row r="31" spans="1:48" x14ac:dyDescent="0.2">
      <c r="A31" s="2"/>
      <c r="B31" s="2" t="s">
        <v>55</v>
      </c>
      <c r="C31" s="2"/>
      <c r="D31" s="115"/>
      <c r="E31" s="3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8" x14ac:dyDescent="0.2">
      <c r="A32" s="125">
        <f>A29+1</f>
        <v>3</v>
      </c>
      <c r="B32" s="2"/>
      <c r="C32" s="2"/>
      <c r="D32" s="115"/>
      <c r="E32" s="38">
        <f>E49*$F10</f>
        <v>0</v>
      </c>
      <c r="F32" s="98">
        <f>F49*$G10</f>
        <v>0</v>
      </c>
      <c r="G32" s="98">
        <f t="shared" ref="G32:AT32" si="3">G49*$F10</f>
        <v>0</v>
      </c>
      <c r="H32" s="98">
        <f t="shared" si="3"/>
        <v>0</v>
      </c>
      <c r="I32" s="98">
        <f t="shared" si="3"/>
        <v>0</v>
      </c>
      <c r="J32" s="98">
        <f t="shared" si="3"/>
        <v>0</v>
      </c>
      <c r="K32" s="98">
        <f t="shared" si="3"/>
        <v>0</v>
      </c>
      <c r="L32" s="98">
        <f t="shared" si="3"/>
        <v>0</v>
      </c>
      <c r="M32" s="98">
        <f t="shared" si="3"/>
        <v>0</v>
      </c>
      <c r="N32" s="98">
        <f t="shared" si="3"/>
        <v>0</v>
      </c>
      <c r="O32" s="98">
        <f t="shared" si="3"/>
        <v>0</v>
      </c>
      <c r="P32" s="98">
        <f t="shared" si="3"/>
        <v>0</v>
      </c>
      <c r="Q32" s="98">
        <f t="shared" si="3"/>
        <v>0</v>
      </c>
      <c r="R32" s="98">
        <f t="shared" si="3"/>
        <v>0</v>
      </c>
      <c r="S32" s="98">
        <f t="shared" si="3"/>
        <v>0</v>
      </c>
      <c r="T32" s="98">
        <f t="shared" si="3"/>
        <v>0</v>
      </c>
      <c r="U32" s="98">
        <f t="shared" si="3"/>
        <v>0</v>
      </c>
      <c r="V32" s="98">
        <f t="shared" si="3"/>
        <v>0</v>
      </c>
      <c r="W32" s="98">
        <f t="shared" si="3"/>
        <v>0</v>
      </c>
      <c r="X32" s="98">
        <f t="shared" si="3"/>
        <v>0</v>
      </c>
      <c r="Y32" s="98">
        <f t="shared" si="3"/>
        <v>0</v>
      </c>
      <c r="Z32" s="98">
        <f t="shared" si="3"/>
        <v>0</v>
      </c>
      <c r="AA32" s="98">
        <f t="shared" si="3"/>
        <v>0</v>
      </c>
      <c r="AB32" s="98">
        <f t="shared" si="3"/>
        <v>0</v>
      </c>
      <c r="AC32" s="98">
        <f t="shared" si="3"/>
        <v>0</v>
      </c>
      <c r="AD32" s="98">
        <f t="shared" si="3"/>
        <v>0</v>
      </c>
      <c r="AE32" s="98">
        <f t="shared" si="3"/>
        <v>0</v>
      </c>
      <c r="AF32" s="98">
        <f t="shared" si="3"/>
        <v>0</v>
      </c>
      <c r="AG32" s="98">
        <f t="shared" si="3"/>
        <v>0</v>
      </c>
      <c r="AH32" s="98">
        <f t="shared" si="3"/>
        <v>0</v>
      </c>
      <c r="AI32" s="98">
        <f t="shared" si="3"/>
        <v>0</v>
      </c>
      <c r="AJ32" s="98">
        <f t="shared" si="3"/>
        <v>0</v>
      </c>
      <c r="AK32" s="98">
        <f t="shared" si="3"/>
        <v>0</v>
      </c>
      <c r="AL32" s="98">
        <f t="shared" si="3"/>
        <v>0</v>
      </c>
      <c r="AM32" s="98">
        <f t="shared" si="3"/>
        <v>0</v>
      </c>
      <c r="AN32" s="98">
        <f t="shared" si="3"/>
        <v>0</v>
      </c>
      <c r="AO32" s="98">
        <f t="shared" si="3"/>
        <v>0</v>
      </c>
      <c r="AP32" s="98">
        <f t="shared" si="3"/>
        <v>0</v>
      </c>
      <c r="AQ32" s="98">
        <f t="shared" si="3"/>
        <v>0</v>
      </c>
      <c r="AR32" s="98">
        <f t="shared" si="3"/>
        <v>0</v>
      </c>
      <c r="AS32" s="98">
        <f t="shared" ref="AS32" si="4">AS49*$F10</f>
        <v>0</v>
      </c>
      <c r="AT32" s="98">
        <f t="shared" si="3"/>
        <v>0</v>
      </c>
      <c r="AU32" s="100">
        <f t="shared" ref="AU32:AU42" si="5">SUM(D32:AT32)</f>
        <v>0</v>
      </c>
    </row>
    <row r="33" spans="1:47" x14ac:dyDescent="0.2">
      <c r="A33" s="125">
        <f>A32+1</f>
        <v>4</v>
      </c>
      <c r="B33" s="13"/>
      <c r="C33" s="13" t="s">
        <v>102</v>
      </c>
      <c r="D33" s="115"/>
      <c r="E33" s="38">
        <f>E49*$F11</f>
        <v>1788478.3001245733</v>
      </c>
      <c r="F33" s="98">
        <f>F49*$G11</f>
        <v>1639869.5599136476</v>
      </c>
      <c r="G33" s="98">
        <f>G49*$G11</f>
        <v>1581691.1667184934</v>
      </c>
      <c r="H33" s="98">
        <f t="shared" ref="H33:AT33" si="6">H49*$G11</f>
        <v>1525390.3590568707</v>
      </c>
      <c r="I33" s="98">
        <f t="shared" si="6"/>
        <v>1470826.5882995897</v>
      </c>
      <c r="J33" s="98">
        <f t="shared" si="6"/>
        <v>1417870.1172504753</v>
      </c>
      <c r="K33" s="98">
        <f t="shared" si="6"/>
        <v>1366400.2182408653</v>
      </c>
      <c r="L33" s="98">
        <f t="shared" si="6"/>
        <v>1316305.1731296086</v>
      </c>
      <c r="M33" s="98">
        <f t="shared" si="6"/>
        <v>1266977.7397623868</v>
      </c>
      <c r="N33" s="98">
        <f t="shared" si="6"/>
        <v>1217760.2226308133</v>
      </c>
      <c r="O33" s="98">
        <f t="shared" si="6"/>
        <v>1168542.7054992395</v>
      </c>
      <c r="P33" s="98">
        <f t="shared" si="6"/>
        <v>1119325.1883676657</v>
      </c>
      <c r="Q33" s="98">
        <f t="shared" si="6"/>
        <v>1070107.6712360922</v>
      </c>
      <c r="R33" s="98">
        <f t="shared" si="6"/>
        <v>1020890.1541045187</v>
      </c>
      <c r="S33" s="98">
        <f t="shared" si="6"/>
        <v>971672.63697294518</v>
      </c>
      <c r="T33" s="98">
        <f t="shared" si="6"/>
        <v>922455.11984137143</v>
      </c>
      <c r="U33" s="98">
        <f t="shared" si="6"/>
        <v>873237.60270979768</v>
      </c>
      <c r="V33" s="98">
        <f t="shared" si="6"/>
        <v>824020.08557822416</v>
      </c>
      <c r="W33" s="98">
        <f t="shared" si="6"/>
        <v>774802.56844665052</v>
      </c>
      <c r="X33" s="98">
        <f t="shared" si="6"/>
        <v>725585.05131507688</v>
      </c>
      <c r="Y33" s="98">
        <f t="shared" si="6"/>
        <v>680387.58535942272</v>
      </c>
      <c r="Z33" s="98">
        <f t="shared" si="6"/>
        <v>643228.4198501053</v>
      </c>
      <c r="AA33" s="98">
        <f t="shared" si="6"/>
        <v>610089.30551670736</v>
      </c>
      <c r="AB33" s="98">
        <f t="shared" si="6"/>
        <v>576950.19118330954</v>
      </c>
      <c r="AC33" s="98">
        <f t="shared" si="6"/>
        <v>543811.07684991171</v>
      </c>
      <c r="AD33" s="98">
        <f t="shared" si="6"/>
        <v>510671.96251651383</v>
      </c>
      <c r="AE33" s="98">
        <f t="shared" si="6"/>
        <v>477532.84818311606</v>
      </c>
      <c r="AF33" s="98">
        <f t="shared" si="6"/>
        <v>444393.73384971829</v>
      </c>
      <c r="AG33" s="98">
        <f t="shared" si="6"/>
        <v>411254.61951632053</v>
      </c>
      <c r="AH33" s="98">
        <f t="shared" si="6"/>
        <v>378115.5051829227</v>
      </c>
      <c r="AI33" s="98">
        <f t="shared" si="6"/>
        <v>344976.39084952493</v>
      </c>
      <c r="AJ33" s="98">
        <f t="shared" si="6"/>
        <v>311837.27651612711</v>
      </c>
      <c r="AK33" s="98">
        <f t="shared" si="6"/>
        <v>278698.16218272928</v>
      </c>
      <c r="AL33" s="98">
        <f t="shared" si="6"/>
        <v>245559.04784933155</v>
      </c>
      <c r="AM33" s="98">
        <f t="shared" si="6"/>
        <v>212419.93351593375</v>
      </c>
      <c r="AN33" s="98">
        <f t="shared" si="6"/>
        <v>179280.81918253598</v>
      </c>
      <c r="AO33" s="98">
        <f t="shared" si="6"/>
        <v>146141.70484913819</v>
      </c>
      <c r="AP33" s="98">
        <f t="shared" si="6"/>
        <v>113002.5905157404</v>
      </c>
      <c r="AQ33" s="98">
        <f t="shared" si="6"/>
        <v>79863.476182342609</v>
      </c>
      <c r="AR33" s="98">
        <f t="shared" si="6"/>
        <v>46724.361848944827</v>
      </c>
      <c r="AS33" s="98">
        <f t="shared" si="6"/>
        <v>30154.804682245936</v>
      </c>
      <c r="AT33" s="98">
        <f t="shared" si="6"/>
        <v>30154.804682245936</v>
      </c>
      <c r="AU33" s="100">
        <f t="shared" si="5"/>
        <v>31357456.850063797</v>
      </c>
    </row>
    <row r="34" spans="1:47" x14ac:dyDescent="0.2">
      <c r="A34" s="125">
        <f>A33+1</f>
        <v>5</v>
      </c>
      <c r="B34" s="2"/>
      <c r="C34" s="2" t="s">
        <v>9</v>
      </c>
      <c r="D34" s="115"/>
      <c r="E34" s="40">
        <f>E49*$F12</f>
        <v>2757486.6098910649</v>
      </c>
      <c r="F34" s="96">
        <f>F49*$G12</f>
        <v>2642333.990532238</v>
      </c>
      <c r="G34" s="96">
        <f t="shared" ref="G34:AT34" si="7">G49*$G12</f>
        <v>2548590.713864428</v>
      </c>
      <c r="H34" s="96">
        <f t="shared" si="7"/>
        <v>2457872.8046994102</v>
      </c>
      <c r="I34" s="96">
        <f t="shared" si="7"/>
        <v>2369953.7959880317</v>
      </c>
      <c r="J34" s="96">
        <f t="shared" si="7"/>
        <v>2284624.6412233813</v>
      </c>
      <c r="K34" s="96">
        <f t="shared" si="7"/>
        <v>2201690.8110170835</v>
      </c>
      <c r="L34" s="96">
        <f t="shared" si="7"/>
        <v>2120972.2930992986</v>
      </c>
      <c r="M34" s="96">
        <f t="shared" si="7"/>
        <v>2041490.6336807366</v>
      </c>
      <c r="N34" s="96">
        <f t="shared" si="7"/>
        <v>1962186.0831083071</v>
      </c>
      <c r="O34" s="96">
        <f t="shared" si="7"/>
        <v>1882881.5325358773</v>
      </c>
      <c r="P34" s="96">
        <f t="shared" si="7"/>
        <v>1803576.9819634475</v>
      </c>
      <c r="Q34" s="96">
        <f t="shared" si="7"/>
        <v>1724272.431391018</v>
      </c>
      <c r="R34" s="96">
        <f t="shared" si="7"/>
        <v>1644967.8808185887</v>
      </c>
      <c r="S34" s="96">
        <f t="shared" si="7"/>
        <v>1565663.3302461591</v>
      </c>
      <c r="T34" s="96">
        <f t="shared" si="7"/>
        <v>1486358.7796737293</v>
      </c>
      <c r="U34" s="96">
        <f t="shared" si="7"/>
        <v>1407054.2291012995</v>
      </c>
      <c r="V34" s="96">
        <f t="shared" si="7"/>
        <v>1327749.6785288702</v>
      </c>
      <c r="W34" s="96">
        <f t="shared" si="7"/>
        <v>1248445.1279564404</v>
      </c>
      <c r="X34" s="96">
        <f t="shared" si="7"/>
        <v>1169140.5773840109</v>
      </c>
      <c r="Y34" s="96">
        <f t="shared" si="7"/>
        <v>1096313.5651021088</v>
      </c>
      <c r="Z34" s="96">
        <f t="shared" si="7"/>
        <v>1036438.725977555</v>
      </c>
      <c r="AA34" s="96">
        <f t="shared" si="7"/>
        <v>983041.42514352861</v>
      </c>
      <c r="AB34" s="96">
        <f t="shared" si="7"/>
        <v>929644.12430950231</v>
      </c>
      <c r="AC34" s="96">
        <f t="shared" si="7"/>
        <v>876246.82347547624</v>
      </c>
      <c r="AD34" s="96">
        <f t="shared" si="7"/>
        <v>822849.52264144993</v>
      </c>
      <c r="AE34" s="96">
        <f t="shared" si="7"/>
        <v>769452.22180742386</v>
      </c>
      <c r="AF34" s="96">
        <f t="shared" si="7"/>
        <v>716054.92097339767</v>
      </c>
      <c r="AG34" s="96">
        <f t="shared" si="7"/>
        <v>662657.6201393716</v>
      </c>
      <c r="AH34" s="96">
        <f t="shared" si="7"/>
        <v>609260.31930534542</v>
      </c>
      <c r="AI34" s="96">
        <f t="shared" si="7"/>
        <v>555863.01847131934</v>
      </c>
      <c r="AJ34" s="96">
        <f t="shared" si="7"/>
        <v>502465.71763729322</v>
      </c>
      <c r="AK34" s="96">
        <f t="shared" si="7"/>
        <v>449068.41680326703</v>
      </c>
      <c r="AL34" s="96">
        <f t="shared" si="7"/>
        <v>395671.11596924096</v>
      </c>
      <c r="AM34" s="96">
        <f t="shared" si="7"/>
        <v>342273.81513521483</v>
      </c>
      <c r="AN34" s="96">
        <f t="shared" si="7"/>
        <v>288876.51430118876</v>
      </c>
      <c r="AO34" s="96">
        <f t="shared" si="7"/>
        <v>235479.2134671626</v>
      </c>
      <c r="AP34" s="96">
        <f t="shared" si="7"/>
        <v>182081.9126331365</v>
      </c>
      <c r="AQ34" s="96">
        <f t="shared" si="7"/>
        <v>128684.61179911037</v>
      </c>
      <c r="AR34" s="96">
        <f t="shared" si="7"/>
        <v>75287.310965084253</v>
      </c>
      <c r="AS34" s="96">
        <f t="shared" si="7"/>
        <v>48588.660548071195</v>
      </c>
      <c r="AT34" s="96">
        <f t="shared" si="7"/>
        <v>48588.660548071195</v>
      </c>
      <c r="AU34" s="100">
        <f t="shared" si="5"/>
        <v>50402201.163856745</v>
      </c>
    </row>
    <row r="35" spans="1:47" x14ac:dyDescent="0.2">
      <c r="A35" s="125">
        <f>A34+1</f>
        <v>6</v>
      </c>
      <c r="B35" s="2"/>
      <c r="C35" s="2" t="s">
        <v>58</v>
      </c>
      <c r="D35" s="115"/>
      <c r="E35" s="38">
        <f>E32+E33+E34</f>
        <v>4545964.910015638</v>
      </c>
      <c r="F35" s="98">
        <f>F32+F33+F34</f>
        <v>4282203.5504458854</v>
      </c>
      <c r="G35" s="98">
        <f>G32+G33+G34</f>
        <v>4130281.8805829212</v>
      </c>
      <c r="H35" s="98">
        <f t="shared" ref="H35:AT35" si="8">H32+H33+H34</f>
        <v>3983263.1637562811</v>
      </c>
      <c r="I35" s="98">
        <f t="shared" si="8"/>
        <v>3840780.3842876214</v>
      </c>
      <c r="J35" s="98">
        <f t="shared" si="8"/>
        <v>3702494.7584738564</v>
      </c>
      <c r="K35" s="98">
        <f t="shared" si="8"/>
        <v>3568091.0292579485</v>
      </c>
      <c r="L35" s="98">
        <f t="shared" si="8"/>
        <v>3437277.466228907</v>
      </c>
      <c r="M35" s="98">
        <f t="shared" si="8"/>
        <v>3308468.3734431234</v>
      </c>
      <c r="N35" s="98">
        <f t="shared" si="8"/>
        <v>3179946.3057391206</v>
      </c>
      <c r="O35" s="98">
        <f t="shared" si="8"/>
        <v>3051424.2380351168</v>
      </c>
      <c r="P35" s="98">
        <f t="shared" si="8"/>
        <v>2922902.170331113</v>
      </c>
      <c r="Q35" s="98">
        <f t="shared" si="8"/>
        <v>2794380.1026271102</v>
      </c>
      <c r="R35" s="98">
        <f t="shared" si="8"/>
        <v>2665858.0349231074</v>
      </c>
      <c r="S35" s="98">
        <f t="shared" si="8"/>
        <v>2537335.9672191041</v>
      </c>
      <c r="T35" s="98">
        <f t="shared" si="8"/>
        <v>2408813.8995151008</v>
      </c>
      <c r="U35" s="98">
        <f t="shared" si="8"/>
        <v>2280291.8318110975</v>
      </c>
      <c r="V35" s="98">
        <f t="shared" si="8"/>
        <v>2151769.7641070941</v>
      </c>
      <c r="W35" s="98">
        <f t="shared" si="8"/>
        <v>2023247.6964030908</v>
      </c>
      <c r="X35" s="98">
        <f t="shared" si="8"/>
        <v>1894725.6286990878</v>
      </c>
      <c r="Y35" s="98">
        <f t="shared" si="8"/>
        <v>1776701.1504615315</v>
      </c>
      <c r="Z35" s="98">
        <f t="shared" si="8"/>
        <v>1679667.1458276603</v>
      </c>
      <c r="AA35" s="98">
        <f t="shared" si="8"/>
        <v>1593130.730660236</v>
      </c>
      <c r="AB35" s="98">
        <f t="shared" si="8"/>
        <v>1506594.3154928118</v>
      </c>
      <c r="AC35" s="98">
        <f t="shared" si="8"/>
        <v>1420057.9003253879</v>
      </c>
      <c r="AD35" s="98">
        <f t="shared" si="8"/>
        <v>1333521.4851579638</v>
      </c>
      <c r="AE35" s="98">
        <f t="shared" si="8"/>
        <v>1246985.0699905399</v>
      </c>
      <c r="AF35" s="98">
        <f t="shared" si="8"/>
        <v>1160448.654823116</v>
      </c>
      <c r="AG35" s="98">
        <f t="shared" si="8"/>
        <v>1073912.2396556921</v>
      </c>
      <c r="AH35" s="98">
        <f t="shared" si="8"/>
        <v>987375.82448826812</v>
      </c>
      <c r="AI35" s="98">
        <f t="shared" si="8"/>
        <v>900839.40932084434</v>
      </c>
      <c r="AJ35" s="98">
        <f t="shared" si="8"/>
        <v>814302.99415342032</v>
      </c>
      <c r="AK35" s="98">
        <f t="shared" si="8"/>
        <v>727766.57898599631</v>
      </c>
      <c r="AL35" s="98">
        <f t="shared" si="8"/>
        <v>641230.16381857253</v>
      </c>
      <c r="AM35" s="98">
        <f t="shared" si="8"/>
        <v>554693.74865114852</v>
      </c>
      <c r="AN35" s="98">
        <f t="shared" si="8"/>
        <v>468157.33348372474</v>
      </c>
      <c r="AO35" s="98">
        <f t="shared" si="8"/>
        <v>381620.91831630078</v>
      </c>
      <c r="AP35" s="98">
        <f t="shared" si="8"/>
        <v>295084.50314887689</v>
      </c>
      <c r="AQ35" s="98">
        <f t="shared" si="8"/>
        <v>208548.08798145299</v>
      </c>
      <c r="AR35" s="98">
        <f t="shared" si="8"/>
        <v>122011.67281402908</v>
      </c>
      <c r="AS35" s="98">
        <f t="shared" ref="AS35" si="9">AS32+AS33+AS34</f>
        <v>78743.465230317131</v>
      </c>
      <c r="AT35" s="98">
        <f t="shared" si="8"/>
        <v>78743.465230317131</v>
      </c>
      <c r="AU35" s="100">
        <f t="shared" si="5"/>
        <v>81759658.013920531</v>
      </c>
    </row>
    <row r="36" spans="1:47" x14ac:dyDescent="0.2">
      <c r="A36" s="2"/>
      <c r="B36" s="2"/>
      <c r="C36" s="2"/>
      <c r="D36" s="115"/>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100">
        <f t="shared" si="5"/>
        <v>0</v>
      </c>
    </row>
    <row r="37" spans="1:47" x14ac:dyDescent="0.2">
      <c r="A37" s="125">
        <f>A35+1</f>
        <v>7</v>
      </c>
      <c r="B37" s="2" t="s">
        <v>59</v>
      </c>
      <c r="C37" s="2"/>
      <c r="D37" s="115"/>
      <c r="E37" s="41">
        <f>E27+E29+E35</f>
        <v>6761237.8561166571</v>
      </c>
      <c r="F37" s="95">
        <f>F27+F29+F35</f>
        <v>6466866.3065907601</v>
      </c>
      <c r="G37" s="95">
        <f t="shared" ref="G37:AT37" si="10">G27+G29+G35</f>
        <v>6290025.537866733</v>
      </c>
      <c r="H37" s="95">
        <f t="shared" si="10"/>
        <v>6118891.9337936956</v>
      </c>
      <c r="I37" s="95">
        <f t="shared" si="10"/>
        <v>5953038.278591631</v>
      </c>
      <c r="J37" s="95">
        <f t="shared" si="10"/>
        <v>5792070.219232833</v>
      </c>
      <c r="K37" s="95">
        <f t="shared" si="10"/>
        <v>5635620.7883165162</v>
      </c>
      <c r="L37" s="95">
        <f t="shared" si="10"/>
        <v>5483350.4040688239</v>
      </c>
      <c r="M37" s="95">
        <f t="shared" si="10"/>
        <v>5333413.2752350681</v>
      </c>
      <c r="N37" s="95">
        <f t="shared" si="10"/>
        <v>5183810.2510497859</v>
      </c>
      <c r="O37" s="95">
        <f t="shared" si="10"/>
        <v>5034207.2268645037</v>
      </c>
      <c r="P37" s="95">
        <f t="shared" si="10"/>
        <v>4884604.2026792206</v>
      </c>
      <c r="Q37" s="95">
        <f t="shared" si="10"/>
        <v>4735001.1784939393</v>
      </c>
      <c r="R37" s="95">
        <f t="shared" si="10"/>
        <v>4585398.1543086581</v>
      </c>
      <c r="S37" s="95">
        <f t="shared" si="10"/>
        <v>4435795.1301233759</v>
      </c>
      <c r="T37" s="95">
        <f t="shared" si="10"/>
        <v>4286192.1059380937</v>
      </c>
      <c r="U37" s="95">
        <f t="shared" si="10"/>
        <v>4136589.0817528116</v>
      </c>
      <c r="V37" s="95">
        <f t="shared" si="10"/>
        <v>3986986.0575675294</v>
      </c>
      <c r="W37" s="95">
        <f t="shared" si="10"/>
        <v>3837383.0333822477</v>
      </c>
      <c r="X37" s="95">
        <f t="shared" si="10"/>
        <v>3687780.009196966</v>
      </c>
      <c r="Y37" s="95">
        <f t="shared" si="10"/>
        <v>3550396.451745233</v>
      </c>
      <c r="Z37" s="95">
        <f t="shared" si="10"/>
        <v>3437446.3506352147</v>
      </c>
      <c r="AA37" s="95">
        <f t="shared" si="10"/>
        <v>3336715.7162587452</v>
      </c>
      <c r="AB37" s="95">
        <f t="shared" si="10"/>
        <v>3235985.0818822761</v>
      </c>
      <c r="AC37" s="95">
        <f t="shared" si="10"/>
        <v>3135254.4475058075</v>
      </c>
      <c r="AD37" s="95">
        <f t="shared" si="10"/>
        <v>3034523.8131293384</v>
      </c>
      <c r="AE37" s="95">
        <f t="shared" si="10"/>
        <v>2933793.1787528694</v>
      </c>
      <c r="AF37" s="95">
        <f t="shared" si="10"/>
        <v>2833062.5443764008</v>
      </c>
      <c r="AG37" s="95">
        <f t="shared" si="10"/>
        <v>2732331.9099999322</v>
      </c>
      <c r="AH37" s="95">
        <f t="shared" si="10"/>
        <v>2631601.2756234631</v>
      </c>
      <c r="AI37" s="95">
        <f t="shared" si="10"/>
        <v>2530870.641246994</v>
      </c>
      <c r="AJ37" s="95">
        <f t="shared" si="10"/>
        <v>2430140.0068705254</v>
      </c>
      <c r="AK37" s="95">
        <f t="shared" si="10"/>
        <v>2329409.3724940564</v>
      </c>
      <c r="AL37" s="95">
        <f t="shared" si="10"/>
        <v>2228678.7381175878</v>
      </c>
      <c r="AM37" s="95">
        <f t="shared" si="10"/>
        <v>2127948.1037411187</v>
      </c>
      <c r="AN37" s="95">
        <f t="shared" si="10"/>
        <v>2027217.4693646501</v>
      </c>
      <c r="AO37" s="95">
        <f t="shared" si="10"/>
        <v>1926486.834988181</v>
      </c>
      <c r="AP37" s="95">
        <f t="shared" si="10"/>
        <v>1825756.2006117124</v>
      </c>
      <c r="AQ37" s="95">
        <f t="shared" si="10"/>
        <v>1725025.5662352436</v>
      </c>
      <c r="AR37" s="95">
        <f t="shared" si="10"/>
        <v>1624294.9318587747</v>
      </c>
      <c r="AS37" s="95">
        <f t="shared" ref="AS37" si="11">AS27+AS29+AS35</f>
        <v>91659.438287399345</v>
      </c>
      <c r="AT37" s="95">
        <f t="shared" si="10"/>
        <v>91659.438287399345</v>
      </c>
      <c r="AU37" s="100">
        <f t="shared" si="5"/>
        <v>154448518.54318279</v>
      </c>
    </row>
    <row r="38" spans="1:47" x14ac:dyDescent="0.2">
      <c r="A38" s="125">
        <f>A37+1</f>
        <v>8</v>
      </c>
      <c r="B38" s="2" t="s">
        <v>60</v>
      </c>
      <c r="C38" s="2"/>
      <c r="D38" s="115"/>
      <c r="E38" s="40">
        <f t="shared" ref="E38" si="12">E37/(1-$F16)-E37</f>
        <v>322019.02429738268</v>
      </c>
      <c r="F38" s="96">
        <f>F37/(1-$G16)-F37</f>
        <v>307892.46174453385</v>
      </c>
      <c r="G38" s="96">
        <f>G37/(1-$G16)-G37</f>
        <v>299472.93719618488</v>
      </c>
      <c r="H38" s="96">
        <f t="shared" ref="H38:AT38" si="13">H37/(1-$G16)-H37</f>
        <v>291325.13513144106</v>
      </c>
      <c r="I38" s="96">
        <f t="shared" si="13"/>
        <v>283428.71547955275</v>
      </c>
      <c r="J38" s="96">
        <f t="shared" si="13"/>
        <v>275764.90279059857</v>
      </c>
      <c r="K38" s="96">
        <f t="shared" si="13"/>
        <v>268316.22546534427</v>
      </c>
      <c r="L38" s="96">
        <f t="shared" si="13"/>
        <v>261066.51575524453</v>
      </c>
      <c r="M38" s="96">
        <f t="shared" si="13"/>
        <v>253927.89412385505</v>
      </c>
      <c r="N38" s="96">
        <f t="shared" si="13"/>
        <v>246805.17947087251</v>
      </c>
      <c r="O38" s="96">
        <f t="shared" si="13"/>
        <v>239682.46481788997</v>
      </c>
      <c r="P38" s="96">
        <f t="shared" si="13"/>
        <v>232559.75016490743</v>
      </c>
      <c r="Q38" s="96">
        <f t="shared" si="13"/>
        <v>225437.03551192489</v>
      </c>
      <c r="R38" s="96">
        <f t="shared" si="13"/>
        <v>218314.32085894234</v>
      </c>
      <c r="S38" s="96">
        <f t="shared" si="13"/>
        <v>211191.6062059598</v>
      </c>
      <c r="T38" s="96">
        <f t="shared" si="13"/>
        <v>204068.89155297633</v>
      </c>
      <c r="U38" s="96">
        <f t="shared" si="13"/>
        <v>196946.17689999379</v>
      </c>
      <c r="V38" s="96">
        <f t="shared" si="13"/>
        <v>189823.46224701172</v>
      </c>
      <c r="W38" s="96">
        <f t="shared" si="13"/>
        <v>182700.74759402871</v>
      </c>
      <c r="X38" s="96">
        <f t="shared" si="13"/>
        <v>175578.03294104617</v>
      </c>
      <c r="Y38" s="96">
        <f t="shared" si="13"/>
        <v>169037.096465535</v>
      </c>
      <c r="Z38" s="96">
        <f t="shared" si="13"/>
        <v>163659.45557482773</v>
      </c>
      <c r="AA38" s="96">
        <f t="shared" si="13"/>
        <v>158863.59286159184</v>
      </c>
      <c r="AB38" s="96">
        <f t="shared" si="13"/>
        <v>154067.73014835641</v>
      </c>
      <c r="AC38" s="96">
        <f t="shared" si="13"/>
        <v>149271.86743512051</v>
      </c>
      <c r="AD38" s="96">
        <f t="shared" si="13"/>
        <v>144476.00472188462</v>
      </c>
      <c r="AE38" s="96">
        <f t="shared" si="13"/>
        <v>139680.14200864872</v>
      </c>
      <c r="AF38" s="96">
        <f t="shared" si="13"/>
        <v>134884.27929541282</v>
      </c>
      <c r="AG38" s="96">
        <f t="shared" si="13"/>
        <v>130088.41658217739</v>
      </c>
      <c r="AH38" s="96">
        <f t="shared" si="13"/>
        <v>125292.5538689415</v>
      </c>
      <c r="AI38" s="96">
        <f t="shared" si="13"/>
        <v>120496.6911557056</v>
      </c>
      <c r="AJ38" s="96">
        <f t="shared" si="13"/>
        <v>115700.8284424697</v>
      </c>
      <c r="AK38" s="96">
        <f t="shared" si="13"/>
        <v>110904.96572923381</v>
      </c>
      <c r="AL38" s="96">
        <f t="shared" si="13"/>
        <v>106109.10301599791</v>
      </c>
      <c r="AM38" s="96">
        <f t="shared" si="13"/>
        <v>101313.24030276248</v>
      </c>
      <c r="AN38" s="96">
        <f t="shared" si="13"/>
        <v>96517.377589526586</v>
      </c>
      <c r="AO38" s="96">
        <f t="shared" si="13"/>
        <v>91721.51487629069</v>
      </c>
      <c r="AP38" s="96">
        <f t="shared" si="13"/>
        <v>86925.652163054794</v>
      </c>
      <c r="AQ38" s="96">
        <f t="shared" si="13"/>
        <v>82129.789449819131</v>
      </c>
      <c r="AR38" s="96">
        <f t="shared" si="13"/>
        <v>77333.926736583235</v>
      </c>
      <c r="AS38" s="96">
        <f t="shared" si="13"/>
        <v>4363.9761143147043</v>
      </c>
      <c r="AT38" s="96">
        <f t="shared" si="13"/>
        <v>4363.9761143147043</v>
      </c>
      <c r="AU38" s="100">
        <f t="shared" si="5"/>
        <v>7353523.660902258</v>
      </c>
    </row>
    <row r="39" spans="1:47" x14ac:dyDescent="0.2">
      <c r="A39" s="125">
        <f>A38+1</f>
        <v>9</v>
      </c>
      <c r="B39" s="2"/>
      <c r="C39" s="2" t="s">
        <v>61</v>
      </c>
      <c r="D39" s="115"/>
      <c r="E39" s="41">
        <f>SUM(E37:E38)</f>
        <v>7083256.8804140398</v>
      </c>
      <c r="F39" s="95">
        <f>SUM(F37:F38)</f>
        <v>6774758.768335294</v>
      </c>
      <c r="G39" s="95">
        <f t="shared" ref="G39:AT39" si="14">SUM(G37:G38)</f>
        <v>6589498.4750629179</v>
      </c>
      <c r="H39" s="95">
        <f t="shared" si="14"/>
        <v>6410217.0689251367</v>
      </c>
      <c r="I39" s="95">
        <f t="shared" si="14"/>
        <v>6236466.9940711837</v>
      </c>
      <c r="J39" s="95">
        <f t="shared" si="14"/>
        <v>6067835.1220234316</v>
      </c>
      <c r="K39" s="95">
        <f t="shared" si="14"/>
        <v>5903937.0137818605</v>
      </c>
      <c r="L39" s="95">
        <f t="shared" si="14"/>
        <v>5744416.9198240684</v>
      </c>
      <c r="M39" s="95">
        <f t="shared" si="14"/>
        <v>5587341.1693589231</v>
      </c>
      <c r="N39" s="95">
        <f t="shared" si="14"/>
        <v>5430615.4305206584</v>
      </c>
      <c r="O39" s="95">
        <f t="shared" si="14"/>
        <v>5273889.6916823937</v>
      </c>
      <c r="P39" s="95">
        <f t="shared" si="14"/>
        <v>5117163.952844128</v>
      </c>
      <c r="Q39" s="95">
        <f t="shared" si="14"/>
        <v>4960438.2140058642</v>
      </c>
      <c r="R39" s="95">
        <f t="shared" si="14"/>
        <v>4803712.4751676004</v>
      </c>
      <c r="S39" s="95">
        <f t="shared" si="14"/>
        <v>4646986.7363293357</v>
      </c>
      <c r="T39" s="95">
        <f t="shared" si="14"/>
        <v>4490260.9974910701</v>
      </c>
      <c r="U39" s="95">
        <f t="shared" si="14"/>
        <v>4333535.2586528054</v>
      </c>
      <c r="V39" s="95">
        <f t="shared" si="14"/>
        <v>4176809.5198145411</v>
      </c>
      <c r="W39" s="95">
        <f t="shared" si="14"/>
        <v>4020083.7809762764</v>
      </c>
      <c r="X39" s="95">
        <f t="shared" si="14"/>
        <v>3863358.0421380121</v>
      </c>
      <c r="Y39" s="95">
        <f t="shared" si="14"/>
        <v>3719433.548210768</v>
      </c>
      <c r="Z39" s="95">
        <f t="shared" si="14"/>
        <v>3601105.8062100424</v>
      </c>
      <c r="AA39" s="95">
        <f t="shared" si="14"/>
        <v>3495579.309120337</v>
      </c>
      <c r="AB39" s="95">
        <f t="shared" si="14"/>
        <v>3390052.8120306325</v>
      </c>
      <c r="AC39" s="95">
        <f t="shared" si="14"/>
        <v>3284526.314940928</v>
      </c>
      <c r="AD39" s="95">
        <f t="shared" si="14"/>
        <v>3178999.8178512231</v>
      </c>
      <c r="AE39" s="95">
        <f t="shared" si="14"/>
        <v>3073473.3207615181</v>
      </c>
      <c r="AF39" s="95">
        <f t="shared" si="14"/>
        <v>2967946.8236718136</v>
      </c>
      <c r="AG39" s="95">
        <f t="shared" si="14"/>
        <v>2862420.3265821096</v>
      </c>
      <c r="AH39" s="95">
        <f t="shared" si="14"/>
        <v>2756893.8294924046</v>
      </c>
      <c r="AI39" s="95">
        <f t="shared" si="14"/>
        <v>2651367.3324026996</v>
      </c>
      <c r="AJ39" s="95">
        <f t="shared" si="14"/>
        <v>2545840.8353129951</v>
      </c>
      <c r="AK39" s="95">
        <f t="shared" si="14"/>
        <v>2440314.3382232902</v>
      </c>
      <c r="AL39" s="95">
        <f t="shared" si="14"/>
        <v>2334787.8411335857</v>
      </c>
      <c r="AM39" s="95">
        <f t="shared" si="14"/>
        <v>2229261.3440438812</v>
      </c>
      <c r="AN39" s="95">
        <f t="shared" si="14"/>
        <v>2123734.8469541767</v>
      </c>
      <c r="AO39" s="95">
        <f t="shared" si="14"/>
        <v>2018208.3498644717</v>
      </c>
      <c r="AP39" s="95">
        <f t="shared" si="14"/>
        <v>1912681.8527747672</v>
      </c>
      <c r="AQ39" s="95">
        <f t="shared" si="14"/>
        <v>1807155.3556850627</v>
      </c>
      <c r="AR39" s="95">
        <f t="shared" si="14"/>
        <v>1701628.858595358</v>
      </c>
      <c r="AS39" s="95">
        <f t="shared" ref="AS39" si="15">SUM(AS37:AS38)</f>
        <v>96023.41440171405</v>
      </c>
      <c r="AT39" s="95">
        <f t="shared" si="14"/>
        <v>96023.41440171405</v>
      </c>
      <c r="AU39" s="100">
        <f t="shared" si="5"/>
        <v>161802042.20408499</v>
      </c>
    </row>
    <row r="40" spans="1:47" x14ac:dyDescent="0.2">
      <c r="A40" s="125">
        <f t="shared" ref="A40:A66" si="16">A39+1</f>
        <v>10</v>
      </c>
      <c r="B40" s="2"/>
      <c r="C40" s="2"/>
      <c r="D40" s="115"/>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100">
        <f t="shared" si="5"/>
        <v>0</v>
      </c>
    </row>
    <row r="41" spans="1:47" x14ac:dyDescent="0.2">
      <c r="A41" s="125">
        <f t="shared" si="16"/>
        <v>11</v>
      </c>
      <c r="B41" s="2"/>
      <c r="C41" s="2"/>
      <c r="D41" s="115"/>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100">
        <f t="shared" si="5"/>
        <v>0</v>
      </c>
    </row>
    <row r="42" spans="1:47" x14ac:dyDescent="0.2">
      <c r="A42" s="125">
        <f t="shared" si="16"/>
        <v>12</v>
      </c>
      <c r="B42" s="2" t="s">
        <v>62</v>
      </c>
      <c r="C42" s="2"/>
      <c r="D42" s="115"/>
      <c r="E42" s="40">
        <f>E39</f>
        <v>7083256.8804140398</v>
      </c>
      <c r="F42" s="96">
        <f>F39</f>
        <v>6774758.768335294</v>
      </c>
      <c r="G42" s="96">
        <f t="shared" ref="G42:AT42" si="17">G39</f>
        <v>6589498.4750629179</v>
      </c>
      <c r="H42" s="96">
        <f t="shared" si="17"/>
        <v>6410217.0689251367</v>
      </c>
      <c r="I42" s="96">
        <f t="shared" si="17"/>
        <v>6236466.9940711837</v>
      </c>
      <c r="J42" s="96">
        <f t="shared" si="17"/>
        <v>6067835.1220234316</v>
      </c>
      <c r="K42" s="96">
        <f t="shared" si="17"/>
        <v>5903937.0137818605</v>
      </c>
      <c r="L42" s="96">
        <f t="shared" si="17"/>
        <v>5744416.9198240684</v>
      </c>
      <c r="M42" s="96">
        <f t="shared" si="17"/>
        <v>5587341.1693589231</v>
      </c>
      <c r="N42" s="96">
        <f t="shared" si="17"/>
        <v>5430615.4305206584</v>
      </c>
      <c r="O42" s="96">
        <f t="shared" si="17"/>
        <v>5273889.6916823937</v>
      </c>
      <c r="P42" s="96">
        <f t="shared" si="17"/>
        <v>5117163.952844128</v>
      </c>
      <c r="Q42" s="96">
        <f t="shared" si="17"/>
        <v>4960438.2140058642</v>
      </c>
      <c r="R42" s="96">
        <f t="shared" si="17"/>
        <v>4803712.4751676004</v>
      </c>
      <c r="S42" s="96">
        <f t="shared" si="17"/>
        <v>4646986.7363293357</v>
      </c>
      <c r="T42" s="96">
        <f t="shared" si="17"/>
        <v>4490260.9974910701</v>
      </c>
      <c r="U42" s="96">
        <f t="shared" si="17"/>
        <v>4333535.2586528054</v>
      </c>
      <c r="V42" s="96">
        <f t="shared" si="17"/>
        <v>4176809.5198145411</v>
      </c>
      <c r="W42" s="96">
        <f t="shared" si="17"/>
        <v>4020083.7809762764</v>
      </c>
      <c r="X42" s="96">
        <f t="shared" si="17"/>
        <v>3863358.0421380121</v>
      </c>
      <c r="Y42" s="96">
        <f t="shared" si="17"/>
        <v>3719433.548210768</v>
      </c>
      <c r="Z42" s="96">
        <f t="shared" si="17"/>
        <v>3601105.8062100424</v>
      </c>
      <c r="AA42" s="96">
        <f t="shared" si="17"/>
        <v>3495579.309120337</v>
      </c>
      <c r="AB42" s="96">
        <f t="shared" si="17"/>
        <v>3390052.8120306325</v>
      </c>
      <c r="AC42" s="96">
        <f t="shared" si="17"/>
        <v>3284526.314940928</v>
      </c>
      <c r="AD42" s="96">
        <f t="shared" si="17"/>
        <v>3178999.8178512231</v>
      </c>
      <c r="AE42" s="96">
        <f t="shared" si="17"/>
        <v>3073473.3207615181</v>
      </c>
      <c r="AF42" s="96">
        <f t="shared" si="17"/>
        <v>2967946.8236718136</v>
      </c>
      <c r="AG42" s="96">
        <f t="shared" si="17"/>
        <v>2862420.3265821096</v>
      </c>
      <c r="AH42" s="96">
        <f t="shared" si="17"/>
        <v>2756893.8294924046</v>
      </c>
      <c r="AI42" s="96">
        <f t="shared" si="17"/>
        <v>2651367.3324026996</v>
      </c>
      <c r="AJ42" s="96">
        <f t="shared" si="17"/>
        <v>2545840.8353129951</v>
      </c>
      <c r="AK42" s="96">
        <f t="shared" si="17"/>
        <v>2440314.3382232902</v>
      </c>
      <c r="AL42" s="96">
        <f t="shared" si="17"/>
        <v>2334787.8411335857</v>
      </c>
      <c r="AM42" s="96">
        <f t="shared" si="17"/>
        <v>2229261.3440438812</v>
      </c>
      <c r="AN42" s="96">
        <f t="shared" si="17"/>
        <v>2123734.8469541767</v>
      </c>
      <c r="AO42" s="96">
        <f t="shared" si="17"/>
        <v>2018208.3498644717</v>
      </c>
      <c r="AP42" s="96">
        <f t="shared" si="17"/>
        <v>1912681.8527747672</v>
      </c>
      <c r="AQ42" s="96">
        <f t="shared" si="17"/>
        <v>1807155.3556850627</v>
      </c>
      <c r="AR42" s="96">
        <f t="shared" si="17"/>
        <v>1701628.858595358</v>
      </c>
      <c r="AS42" s="96">
        <f t="shared" ref="AS42" si="18">AS39</f>
        <v>96023.41440171405</v>
      </c>
      <c r="AT42" s="96">
        <f t="shared" si="17"/>
        <v>96023.41440171405</v>
      </c>
      <c r="AU42" s="100">
        <f t="shared" si="5"/>
        <v>161802042.20408499</v>
      </c>
    </row>
    <row r="43" spans="1:47" x14ac:dyDescent="0.2">
      <c r="A43" s="125">
        <f t="shared" si="16"/>
        <v>13</v>
      </c>
      <c r="B43" s="2"/>
      <c r="C43" s="2"/>
      <c r="D43" s="115"/>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5">
        <f t="shared" si="16"/>
        <v>14</v>
      </c>
      <c r="B44" s="2"/>
      <c r="C44" s="2"/>
      <c r="D44" s="115"/>
      <c r="E44" s="43"/>
      <c r="F44" s="11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5">
        <f t="shared" si="16"/>
        <v>15</v>
      </c>
      <c r="B45" s="2" t="s">
        <v>63</v>
      </c>
      <c r="C45" s="115"/>
      <c r="D45" s="115"/>
      <c r="E45" s="45">
        <f>+E42/$F$22</f>
        <v>0.11680911008804319</v>
      </c>
      <c r="F45" s="97">
        <f t="shared" ref="F45:AT45" si="19">+F42/$F$22</f>
        <v>0.11172170601049218</v>
      </c>
      <c r="G45" s="97">
        <f>+G42/$F$22</f>
        <v>0.10866660150741629</v>
      </c>
      <c r="H45" s="97">
        <f t="shared" si="19"/>
        <v>0.10571009409001721</v>
      </c>
      <c r="I45" s="97">
        <f t="shared" si="19"/>
        <v>0.10284480317030757</v>
      </c>
      <c r="J45" s="97">
        <f t="shared" si="19"/>
        <v>0.1000639158978376</v>
      </c>
      <c r="K45" s="97">
        <f t="shared" si="19"/>
        <v>9.7361092536772012E-2</v>
      </c>
      <c r="L45" s="97">
        <f t="shared" si="19"/>
        <v>9.4730466465890117E-2</v>
      </c>
      <c r="M45" s="97">
        <f t="shared" si="19"/>
        <v>9.2140149760169751E-2</v>
      </c>
      <c r="N45" s="97">
        <f t="shared" si="19"/>
        <v>8.9555605052747164E-2</v>
      </c>
      <c r="O45" s="97">
        <f t="shared" si="19"/>
        <v>8.6971060345324563E-2</v>
      </c>
      <c r="P45" s="97">
        <f t="shared" si="19"/>
        <v>8.4386515637901963E-2</v>
      </c>
      <c r="Q45" s="97">
        <f t="shared" si="19"/>
        <v>8.180197093047939E-2</v>
      </c>
      <c r="R45" s="97">
        <f t="shared" si="19"/>
        <v>7.9217426223056803E-2</v>
      </c>
      <c r="S45" s="97">
        <f t="shared" si="19"/>
        <v>7.6632881515634216E-2</v>
      </c>
      <c r="T45" s="97">
        <f t="shared" si="19"/>
        <v>7.4048336808211601E-2</v>
      </c>
      <c r="U45" s="97">
        <f t="shared" si="19"/>
        <v>7.1463792100789014E-2</v>
      </c>
      <c r="V45" s="97">
        <f t="shared" si="19"/>
        <v>6.8879247393366427E-2</v>
      </c>
      <c r="W45" s="97">
        <f t="shared" si="19"/>
        <v>6.629470268594384E-2</v>
      </c>
      <c r="X45" s="97">
        <f t="shared" si="19"/>
        <v>6.3710157978521254E-2</v>
      </c>
      <c r="Y45" s="97">
        <f t="shared" si="19"/>
        <v>6.1336717012120685E-2</v>
      </c>
      <c r="Z45" s="97">
        <f t="shared" si="19"/>
        <v>5.9385388904841255E-2</v>
      </c>
      <c r="AA45" s="97">
        <f t="shared" si="19"/>
        <v>5.7645164538583843E-2</v>
      </c>
      <c r="AB45" s="97">
        <f t="shared" si="19"/>
        <v>5.5904940172326445E-2</v>
      </c>
      <c r="AC45" s="97">
        <f t="shared" si="19"/>
        <v>5.4164715806069054E-2</v>
      </c>
      <c r="AD45" s="97">
        <f t="shared" si="19"/>
        <v>5.2424491439811649E-2</v>
      </c>
      <c r="AE45" s="97">
        <f t="shared" si="19"/>
        <v>5.0684267073554244E-2</v>
      </c>
      <c r="AF45" s="97">
        <f t="shared" si="19"/>
        <v>4.8944042707296846E-2</v>
      </c>
      <c r="AG45" s="97">
        <f t="shared" si="19"/>
        <v>4.7203818341039462E-2</v>
      </c>
      <c r="AH45" s="97">
        <f t="shared" si="19"/>
        <v>4.5463593974782057E-2</v>
      </c>
      <c r="AI45" s="97">
        <f t="shared" si="19"/>
        <v>4.3723369608524652E-2</v>
      </c>
      <c r="AJ45" s="97">
        <f t="shared" si="19"/>
        <v>4.1983145242267254E-2</v>
      </c>
      <c r="AK45" s="97">
        <f t="shared" si="19"/>
        <v>4.0242920876009849E-2</v>
      </c>
      <c r="AL45" s="97">
        <f t="shared" si="19"/>
        <v>3.8502696509752458E-2</v>
      </c>
      <c r="AM45" s="97">
        <f t="shared" si="19"/>
        <v>3.676247214349506E-2</v>
      </c>
      <c r="AN45" s="97">
        <f t="shared" si="19"/>
        <v>3.5022247777237663E-2</v>
      </c>
      <c r="AO45" s="97">
        <f t="shared" si="19"/>
        <v>3.3282023410980258E-2</v>
      </c>
      <c r="AP45" s="97">
        <f t="shared" si="19"/>
        <v>3.1541799044722867E-2</v>
      </c>
      <c r="AQ45" s="97">
        <f t="shared" si="19"/>
        <v>2.9801574678465469E-2</v>
      </c>
      <c r="AR45" s="97">
        <f t="shared" si="19"/>
        <v>2.8061350312208067E-2</v>
      </c>
      <c r="AS45" s="97">
        <f t="shared" ref="AS45" si="20">+AS42/$F$22</f>
        <v>1.5835102091093403E-3</v>
      </c>
      <c r="AT45" s="97">
        <f t="shared" si="19"/>
        <v>1.5835102091093403E-3</v>
      </c>
    </row>
    <row r="46" spans="1:47" outlineLevel="1" x14ac:dyDescent="0.2">
      <c r="A46" s="125">
        <f t="shared" si="16"/>
        <v>16</v>
      </c>
      <c r="B46" s="2"/>
      <c r="C46" s="2"/>
      <c r="D46" s="115"/>
      <c r="E46" s="43"/>
      <c r="F46" s="11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5">
        <f t="shared" si="16"/>
        <v>17</v>
      </c>
      <c r="B47" s="2"/>
      <c r="C47" s="2"/>
      <c r="D47" s="115"/>
      <c r="E47" s="43">
        <f>+E27/2</f>
        <v>741135.08819157048</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5">
        <f t="shared" si="16"/>
        <v>18</v>
      </c>
      <c r="B48" s="2"/>
      <c r="C48" s="2"/>
      <c r="D48" s="115"/>
      <c r="E48" s="43">
        <f>+E60/2</f>
        <v>83130.028444770142</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5">
        <f t="shared" si="16"/>
        <v>19</v>
      </c>
      <c r="B49" s="46" t="s">
        <v>64</v>
      </c>
      <c r="C49" s="2"/>
      <c r="D49" s="115"/>
      <c r="E49" s="41">
        <f>F22-E27/2-E60/2</f>
        <v>59815327.763363659</v>
      </c>
      <c r="F49" s="113">
        <f>$F$22-(SUM($E$27:E27)+F27/2)-(SUM($E$60:E60)+F60/2)</f>
        <v>57945920.845005214</v>
      </c>
      <c r="G49" s="113">
        <f>$F$22-(SUM($E$27:F27)+G27/2)-(SUM($E$60:F60)+G60/2)</f>
        <v>55890147.233869031</v>
      </c>
      <c r="H49" s="113">
        <f>$F$22-(SUM($E$27:G27)+H27/2)-(SUM($E$60:G60)+H60/2)</f>
        <v>53900719.401302852</v>
      </c>
      <c r="I49" s="113">
        <f>$F$22-(SUM($E$27:H27)+I27/2)-(SUM($E$60:H60)+I60/2)</f>
        <v>51972670.964649811</v>
      </c>
      <c r="J49" s="113">
        <f>$F$22-(SUM($E$27:I27)+J27/2)-(SUM($E$60:I60)+J60/2)</f>
        <v>50101417.570688181</v>
      </c>
      <c r="K49" s="113">
        <f>$F$22-(SUM($E$27:J27)+K27/2)-(SUM($E$60:J60)+K60/2)</f>
        <v>48282693.224058844</v>
      </c>
      <c r="L49" s="113">
        <f>$F$22-(SUM($E$27:K27)+L27/2)-(SUM($E$60:K60)+L60/2)</f>
        <v>46512550.287265323</v>
      </c>
      <c r="M49" s="113">
        <f>$F$22-(SUM($E$27:L27)+M27/2)-(SUM($E$60:L60)+M60/2)</f>
        <v>44769531.440367028</v>
      </c>
      <c r="N49" s="113">
        <f>$F$22-(SUM($E$27:M27)+N27/2)-(SUM($E$60:M60)+N60/2)</f>
        <v>43030396.559392698</v>
      </c>
      <c r="O49" s="113">
        <f>$F$22-(SUM($E$27:N27)+O27/2)-(SUM($E$60:N60)+O60/2)</f>
        <v>41291261.678418361</v>
      </c>
      <c r="P49" s="113">
        <f>$F$22-(SUM($E$27:O27)+P27/2)-(SUM($E$60:O60)+P60/2)</f>
        <v>39552126.797444023</v>
      </c>
      <c r="Q49" s="113">
        <f>$F$22-(SUM($E$27:P27)+Q27/2)-(SUM($E$60:P60)+Q60/2)</f>
        <v>37812991.916469693</v>
      </c>
      <c r="R49" s="113">
        <f>$F$22-(SUM($E$27:Q27)+R27/2)-(SUM($E$60:Q60)+R60/2)</f>
        <v>36073857.035495363</v>
      </c>
      <c r="S49" s="113">
        <f>$F$22-(SUM($E$27:R27)+S27/2)-(SUM($E$60:R60)+S60/2)</f>
        <v>34334722.154521033</v>
      </c>
      <c r="T49" s="113">
        <f>$F$22-(SUM($E$27:S27)+T27/2)-(SUM($E$60:S60)+T60/2)</f>
        <v>32595587.273546696</v>
      </c>
      <c r="U49" s="113">
        <f>$F$22-(SUM($E$27:T27)+U27/2)-(SUM($E$60:T60)+U60/2)</f>
        <v>30856452.392572358</v>
      </c>
      <c r="V49" s="113">
        <f>$F$22-(SUM($E$27:U27)+V27/2)-(SUM($E$60:U60)+V60/2)</f>
        <v>29117317.511598028</v>
      </c>
      <c r="W49" s="113">
        <f>$F$22-(SUM($E$27:V27)+W27/2)-(SUM($E$60:V60)+W60/2)</f>
        <v>27378182.630623695</v>
      </c>
      <c r="X49" s="113">
        <f>$F$22-(SUM($E$27:W27)+X27/2)-(SUM($E$60:W60)+X60/2)</f>
        <v>25639047.749649361</v>
      </c>
      <c r="Y49" s="113">
        <f>$F$22-(SUM($E$27:X27)+Y27/2)-(SUM($E$60:X60)+Y60/2)</f>
        <v>24041964.146976069</v>
      </c>
      <c r="Z49" s="113">
        <f>$F$22-(SUM($E$27:Y27)+Z27/2)-(SUM($E$60:Y60)+Z60/2)</f>
        <v>22728919.429332346</v>
      </c>
      <c r="AA49" s="113">
        <f>$F$22-(SUM($E$27:Z27)+AA27/2)-(SUM($E$60:Z60)+AA60/2)</f>
        <v>21557925.989989661</v>
      </c>
      <c r="AB49" s="113">
        <f>$F$22-(SUM($E$27:AA27)+AB27/2)-(SUM($E$60:AA60)+AB60/2)</f>
        <v>20386932.550646979</v>
      </c>
      <c r="AC49" s="113">
        <f>$F$22-(SUM($E$27:AB27)+AC27/2)-(SUM($E$60:AB60)+AC60/2)</f>
        <v>19215939.111304302</v>
      </c>
      <c r="AD49" s="113">
        <f>$F$22-(SUM($E$27:AC27)+AD27/2)-(SUM($E$60:AC60)+AD60/2)</f>
        <v>18044945.67196162</v>
      </c>
      <c r="AE49" s="113">
        <f>$F$22-(SUM($E$27:AD27)+AE27/2)-(SUM($E$60:AD60)+AE60/2)</f>
        <v>16873952.232618943</v>
      </c>
      <c r="AF49" s="113">
        <f>$F$22-(SUM($E$27:AE27)+AF27/2)-(SUM($E$60:AE60)+AF60/2)</f>
        <v>15702958.793276265</v>
      </c>
      <c r="AG49" s="113">
        <f>$F$22-(SUM($E$27:AF27)+AG27/2)-(SUM($E$60:AF60)+AG60/2)</f>
        <v>14531965.353933588</v>
      </c>
      <c r="AH49" s="113">
        <f>$F$22-(SUM($E$27:AG27)+AH27/2)-(SUM($E$60:AG60)+AH60/2)</f>
        <v>13360971.914590908</v>
      </c>
      <c r="AI49" s="113">
        <f>$F$22-(SUM($E$27:AH27)+AI27/2)-(SUM($E$60:AH60)+AI60/2)</f>
        <v>12189978.475248231</v>
      </c>
      <c r="AJ49" s="113">
        <f>$F$22-(SUM($E$27:AI27)+AJ27/2)-(SUM($E$60:AI60)+AJ60/2)</f>
        <v>11018985.035905553</v>
      </c>
      <c r="AK49" s="113">
        <f>$F$22-(SUM($E$27:AJ27)+AK27/2)-(SUM($E$60:AJ60)+AK60/2)</f>
        <v>9847991.5965628736</v>
      </c>
      <c r="AL49" s="113">
        <f>$F$22-(SUM($E$27:AK27)+AL27/2)-(SUM($E$60:AK60)+AL60/2)</f>
        <v>8676998.157220196</v>
      </c>
      <c r="AM49" s="113">
        <f>$F$22-(SUM($E$27:AL27)+AM27/2)-(SUM($E$60:AL60)+AM60/2)</f>
        <v>7506004.7178775184</v>
      </c>
      <c r="AN49" s="113">
        <f>$F$22-(SUM($E$27:AM27)+AN27/2)-(SUM($E$60:AM60)+AN60/2)</f>
        <v>6335011.2785348408</v>
      </c>
      <c r="AO49" s="113">
        <f>$F$22-(SUM($E$27:AN27)+AO27/2)-(SUM($E$60:AN60)+AO60/2)</f>
        <v>5164017.8391921623</v>
      </c>
      <c r="AP49" s="113">
        <f>$F$22-(SUM($E$27:AO27)+AP27/2)-(SUM($E$60:AO60)+AP60/2)</f>
        <v>3993024.3998494847</v>
      </c>
      <c r="AQ49" s="113">
        <f>$F$22-(SUM($E$27:AP27)+AQ27/2)-(SUM($E$60:AP60)+AQ60/2)</f>
        <v>2822030.9605068062</v>
      </c>
      <c r="AR49" s="113">
        <f>$F$22-(SUM($E$27:AQ27)+AR27/2)-(SUM($E$60:AQ60)+AR60/2)</f>
        <v>1651037.5211641283</v>
      </c>
      <c r="AS49" s="113">
        <f>$F$22-(SUM($E$27:AR27)+AS27/2)-(SUM($E$60:AR60)+AS60/2)</f>
        <v>1065540.8014927893</v>
      </c>
      <c r="AT49" s="113">
        <f>$F$22-(SUM($E$27:AR27)+AT27/2)-(SUM($E$60:AR60)+AT60/2)</f>
        <v>1065540.8014927893</v>
      </c>
      <c r="AU49" s="100">
        <f t="shared" ref="AU49:AU60" si="21">SUM(D49:AT49)</f>
        <v>1104655559.2099795</v>
      </c>
    </row>
    <row r="50" spans="1:47" x14ac:dyDescent="0.2">
      <c r="A50" s="125">
        <f t="shared" si="16"/>
        <v>20</v>
      </c>
      <c r="B50" s="2"/>
      <c r="C50" s="2"/>
      <c r="D50" s="115"/>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100">
        <f t="shared" si="21"/>
        <v>0</v>
      </c>
    </row>
    <row r="51" spans="1:47" x14ac:dyDescent="0.2">
      <c r="A51" s="125">
        <f t="shared" si="16"/>
        <v>21</v>
      </c>
      <c r="B51" s="2"/>
      <c r="C51" s="2"/>
      <c r="D51" s="115"/>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100">
        <f t="shared" si="21"/>
        <v>0</v>
      </c>
    </row>
    <row r="52" spans="1:47" x14ac:dyDescent="0.2">
      <c r="A52" s="125">
        <f t="shared" si="16"/>
        <v>22</v>
      </c>
      <c r="B52" s="2" t="s">
        <v>65</v>
      </c>
      <c r="C52" s="2"/>
      <c r="D52" s="115"/>
      <c r="E52" s="38">
        <f>(E34)/(1-$F$15)</f>
        <v>3490489.3796089427</v>
      </c>
      <c r="F52" s="98">
        <f>(F34)/(1-$G$15)</f>
        <v>3344726.5702939723</v>
      </c>
      <c r="G52" s="98">
        <f t="shared" ref="G52:AT52" si="22">(G34)/(1-$G$15)</f>
        <v>3226064.1947650984</v>
      </c>
      <c r="H52" s="98">
        <f t="shared" si="22"/>
        <v>3111231.3983536838</v>
      </c>
      <c r="I52" s="98">
        <f t="shared" si="22"/>
        <v>2999941.5139089008</v>
      </c>
      <c r="J52" s="98">
        <f t="shared" si="22"/>
        <v>2891929.9255992165</v>
      </c>
      <c r="K52" s="98">
        <f t="shared" si="22"/>
        <v>2786950.3936925107</v>
      </c>
      <c r="L52" s="98">
        <f t="shared" si="22"/>
        <v>2684775.0545560741</v>
      </c>
      <c r="M52" s="98">
        <f t="shared" si="22"/>
        <v>2584165.3590895399</v>
      </c>
      <c r="N52" s="98">
        <f t="shared" si="22"/>
        <v>2483779.8520358317</v>
      </c>
      <c r="O52" s="98">
        <f t="shared" si="22"/>
        <v>2383394.344982123</v>
      </c>
      <c r="P52" s="98">
        <f t="shared" si="22"/>
        <v>2283008.8379284143</v>
      </c>
      <c r="Q52" s="98">
        <f t="shared" si="22"/>
        <v>2182623.3308747062</v>
      </c>
      <c r="R52" s="98">
        <f t="shared" si="22"/>
        <v>2082237.8238209982</v>
      </c>
      <c r="S52" s="98">
        <f t="shared" si="22"/>
        <v>1981852.31676729</v>
      </c>
      <c r="T52" s="98">
        <f t="shared" si="22"/>
        <v>1881466.8097135813</v>
      </c>
      <c r="U52" s="98">
        <f t="shared" si="22"/>
        <v>1781081.3026598727</v>
      </c>
      <c r="V52" s="98">
        <f t="shared" si="22"/>
        <v>1680695.7956061647</v>
      </c>
      <c r="W52" s="98">
        <f t="shared" si="22"/>
        <v>1580310.2885524561</v>
      </c>
      <c r="X52" s="98">
        <f t="shared" si="22"/>
        <v>1479924.7814987479</v>
      </c>
      <c r="Y52" s="98">
        <f t="shared" si="22"/>
        <v>1387738.6900026693</v>
      </c>
      <c r="Z52" s="98">
        <f t="shared" si="22"/>
        <v>1311947.7544019683</v>
      </c>
      <c r="AA52" s="98">
        <f t="shared" si="22"/>
        <v>1244356.234358897</v>
      </c>
      <c r="AB52" s="98">
        <f t="shared" si="22"/>
        <v>1176764.7143158256</v>
      </c>
      <c r="AC52" s="98">
        <f t="shared" si="22"/>
        <v>1109173.1942727547</v>
      </c>
      <c r="AD52" s="98">
        <f t="shared" si="22"/>
        <v>1041581.6742296835</v>
      </c>
      <c r="AE52" s="98">
        <f t="shared" si="22"/>
        <v>973990.15418661246</v>
      </c>
      <c r="AF52" s="98">
        <f t="shared" si="22"/>
        <v>906398.63414354133</v>
      </c>
      <c r="AG52" s="98">
        <f t="shared" si="22"/>
        <v>838807.11410047032</v>
      </c>
      <c r="AH52" s="98">
        <f t="shared" si="22"/>
        <v>771215.5940573992</v>
      </c>
      <c r="AI52" s="98">
        <f t="shared" si="22"/>
        <v>703624.0740143283</v>
      </c>
      <c r="AJ52" s="98">
        <f t="shared" si="22"/>
        <v>636032.55397125718</v>
      </c>
      <c r="AK52" s="98">
        <f t="shared" si="22"/>
        <v>568441.03392818605</v>
      </c>
      <c r="AL52" s="98">
        <f t="shared" si="22"/>
        <v>500849.5138851151</v>
      </c>
      <c r="AM52" s="98">
        <f t="shared" si="22"/>
        <v>433257.99384204409</v>
      </c>
      <c r="AN52" s="98">
        <f t="shared" si="22"/>
        <v>365666.47379897308</v>
      </c>
      <c r="AO52" s="98">
        <f t="shared" si="22"/>
        <v>298074.95375590201</v>
      </c>
      <c r="AP52" s="98">
        <f t="shared" si="22"/>
        <v>230483.433712831</v>
      </c>
      <c r="AQ52" s="98">
        <f t="shared" si="22"/>
        <v>162891.91366975996</v>
      </c>
      <c r="AR52" s="98">
        <f t="shared" si="22"/>
        <v>95300.393626688921</v>
      </c>
      <c r="AS52" s="98">
        <f t="shared" si="22"/>
        <v>61504.633605153409</v>
      </c>
      <c r="AT52" s="98">
        <f t="shared" si="22"/>
        <v>61504.633605153409</v>
      </c>
      <c r="AU52" s="100">
        <f t="shared" si="21"/>
        <v>63800254.63779334</v>
      </c>
    </row>
    <row r="53" spans="1:47" x14ac:dyDescent="0.2">
      <c r="A53" s="125">
        <f t="shared" si="16"/>
        <v>23</v>
      </c>
      <c r="B53" s="2" t="s">
        <v>66</v>
      </c>
      <c r="C53" s="2"/>
      <c r="D53" s="115"/>
      <c r="E53" s="40">
        <f t="shared" ref="E53" si="23">E52*$F15</f>
        <v>733002.76971787796</v>
      </c>
      <c r="F53" s="96">
        <f>F52*$G15</f>
        <v>702392.57976173412</v>
      </c>
      <c r="G53" s="96">
        <f t="shared" ref="G53:AT53" si="24">G52*$G15</f>
        <v>677473.48090067063</v>
      </c>
      <c r="H53" s="96">
        <f t="shared" si="24"/>
        <v>653358.59365427354</v>
      </c>
      <c r="I53" s="96">
        <f t="shared" si="24"/>
        <v>629987.71792086912</v>
      </c>
      <c r="J53" s="96">
        <f t="shared" si="24"/>
        <v>607305.28437583544</v>
      </c>
      <c r="K53" s="96">
        <f t="shared" si="24"/>
        <v>585259.5826754272</v>
      </c>
      <c r="L53" s="96">
        <f t="shared" si="24"/>
        <v>563802.7614567756</v>
      </c>
      <c r="M53" s="96">
        <f t="shared" si="24"/>
        <v>542674.72540880332</v>
      </c>
      <c r="N53" s="96">
        <f t="shared" si="24"/>
        <v>521593.76892752462</v>
      </c>
      <c r="O53" s="96">
        <f t="shared" si="24"/>
        <v>500512.81244624581</v>
      </c>
      <c r="P53" s="96">
        <f t="shared" si="24"/>
        <v>479431.85596496699</v>
      </c>
      <c r="Q53" s="96">
        <f t="shared" si="24"/>
        <v>458350.89948368829</v>
      </c>
      <c r="R53" s="96">
        <f t="shared" si="24"/>
        <v>437269.94300240959</v>
      </c>
      <c r="S53" s="96">
        <f t="shared" si="24"/>
        <v>416188.98652113089</v>
      </c>
      <c r="T53" s="96">
        <f t="shared" si="24"/>
        <v>395108.03003985208</v>
      </c>
      <c r="U53" s="96">
        <f t="shared" si="24"/>
        <v>374027.07355857326</v>
      </c>
      <c r="V53" s="96">
        <f t="shared" si="24"/>
        <v>352946.11707729456</v>
      </c>
      <c r="W53" s="96">
        <f t="shared" si="24"/>
        <v>331865.16059601575</v>
      </c>
      <c r="X53" s="96">
        <f t="shared" si="24"/>
        <v>310784.20411473705</v>
      </c>
      <c r="Y53" s="96">
        <f t="shared" si="24"/>
        <v>291425.12490056054</v>
      </c>
      <c r="Z53" s="96">
        <f t="shared" si="24"/>
        <v>275509.02842441335</v>
      </c>
      <c r="AA53" s="96">
        <f t="shared" si="24"/>
        <v>261314.80921536835</v>
      </c>
      <c r="AB53" s="96">
        <f t="shared" si="24"/>
        <v>247120.59000632336</v>
      </c>
      <c r="AC53" s="96">
        <f t="shared" si="24"/>
        <v>232926.37079727848</v>
      </c>
      <c r="AD53" s="96">
        <f t="shared" si="24"/>
        <v>218732.15158823351</v>
      </c>
      <c r="AE53" s="96">
        <f t="shared" si="24"/>
        <v>204537.9323791886</v>
      </c>
      <c r="AF53" s="96">
        <f t="shared" si="24"/>
        <v>190343.71317014366</v>
      </c>
      <c r="AG53" s="96">
        <f t="shared" si="24"/>
        <v>176149.49396109875</v>
      </c>
      <c r="AH53" s="96">
        <f t="shared" si="24"/>
        <v>161955.27475205384</v>
      </c>
      <c r="AI53" s="96">
        <f t="shared" si="24"/>
        <v>147761.05554300893</v>
      </c>
      <c r="AJ53" s="96">
        <f t="shared" si="24"/>
        <v>133566.83633396399</v>
      </c>
      <c r="AK53" s="96">
        <f t="shared" si="24"/>
        <v>119372.61712491907</v>
      </c>
      <c r="AL53" s="96">
        <f t="shared" si="24"/>
        <v>105178.39791587417</v>
      </c>
      <c r="AM53" s="96">
        <f t="shared" si="24"/>
        <v>90984.178706829262</v>
      </c>
      <c r="AN53" s="96">
        <f t="shared" si="24"/>
        <v>76789.959497784337</v>
      </c>
      <c r="AO53" s="96">
        <f t="shared" si="24"/>
        <v>62595.74028873942</v>
      </c>
      <c r="AP53" s="96">
        <f t="shared" si="24"/>
        <v>48401.52107969451</v>
      </c>
      <c r="AQ53" s="96">
        <f t="shared" si="24"/>
        <v>34207.301870649593</v>
      </c>
      <c r="AR53" s="96">
        <f t="shared" si="24"/>
        <v>20013.082661604672</v>
      </c>
      <c r="AS53" s="96">
        <f t="shared" si="24"/>
        <v>12915.973057082216</v>
      </c>
      <c r="AT53" s="96">
        <f t="shared" si="24"/>
        <v>12915.973057082216</v>
      </c>
      <c r="AU53" s="100">
        <f t="shared" si="21"/>
        <v>13398053.473936601</v>
      </c>
    </row>
    <row r="54" spans="1:47" x14ac:dyDescent="0.2">
      <c r="A54" s="125">
        <f t="shared" si="16"/>
        <v>24</v>
      </c>
      <c r="B54" s="2" t="s">
        <v>67</v>
      </c>
      <c r="C54" s="2"/>
      <c r="D54" s="115"/>
      <c r="E54" s="38">
        <f>E52-E53</f>
        <v>2757486.6098910645</v>
      </c>
      <c r="F54" s="98">
        <f t="shared" ref="F54:AT54" si="25">F52-F53</f>
        <v>2642333.990532238</v>
      </c>
      <c r="G54" s="98">
        <f t="shared" si="25"/>
        <v>2548590.713864428</v>
      </c>
      <c r="H54" s="98">
        <f t="shared" si="25"/>
        <v>2457872.8046994102</v>
      </c>
      <c r="I54" s="98">
        <f t="shared" si="25"/>
        <v>2369953.7959880317</v>
      </c>
      <c r="J54" s="98">
        <f t="shared" si="25"/>
        <v>2284624.6412233813</v>
      </c>
      <c r="K54" s="98">
        <f t="shared" si="25"/>
        <v>2201690.8110170835</v>
      </c>
      <c r="L54" s="98">
        <f t="shared" si="25"/>
        <v>2120972.2930992986</v>
      </c>
      <c r="M54" s="98">
        <f t="shared" si="25"/>
        <v>2041490.6336807366</v>
      </c>
      <c r="N54" s="98">
        <f t="shared" si="25"/>
        <v>1962186.0831083071</v>
      </c>
      <c r="O54" s="98">
        <f t="shared" si="25"/>
        <v>1882881.5325358771</v>
      </c>
      <c r="P54" s="98">
        <f t="shared" si="25"/>
        <v>1803576.9819634473</v>
      </c>
      <c r="Q54" s="98">
        <f t="shared" si="25"/>
        <v>1724272.431391018</v>
      </c>
      <c r="R54" s="98">
        <f t="shared" si="25"/>
        <v>1644967.8808185887</v>
      </c>
      <c r="S54" s="98">
        <f t="shared" si="25"/>
        <v>1565663.3302461591</v>
      </c>
      <c r="T54" s="98">
        <f t="shared" si="25"/>
        <v>1486358.7796737293</v>
      </c>
      <c r="U54" s="98">
        <f t="shared" si="25"/>
        <v>1407054.2291012993</v>
      </c>
      <c r="V54" s="98">
        <f t="shared" si="25"/>
        <v>1327749.6785288702</v>
      </c>
      <c r="W54" s="98">
        <f t="shared" si="25"/>
        <v>1248445.1279564402</v>
      </c>
      <c r="X54" s="98">
        <f t="shared" si="25"/>
        <v>1169140.5773840109</v>
      </c>
      <c r="Y54" s="98">
        <f t="shared" si="25"/>
        <v>1096313.5651021088</v>
      </c>
      <c r="Z54" s="98">
        <f t="shared" si="25"/>
        <v>1036438.7259775549</v>
      </c>
      <c r="AA54" s="98">
        <f t="shared" si="25"/>
        <v>983041.42514352861</v>
      </c>
      <c r="AB54" s="98">
        <f t="shared" si="25"/>
        <v>929644.12430950231</v>
      </c>
      <c r="AC54" s="98">
        <f t="shared" si="25"/>
        <v>876246.82347547624</v>
      </c>
      <c r="AD54" s="98">
        <f t="shared" si="25"/>
        <v>822849.52264144993</v>
      </c>
      <c r="AE54" s="98">
        <f t="shared" si="25"/>
        <v>769452.22180742386</v>
      </c>
      <c r="AF54" s="98">
        <f t="shared" si="25"/>
        <v>716054.92097339767</v>
      </c>
      <c r="AG54" s="98">
        <f t="shared" si="25"/>
        <v>662657.6201393716</v>
      </c>
      <c r="AH54" s="98">
        <f t="shared" si="25"/>
        <v>609260.31930534542</v>
      </c>
      <c r="AI54" s="98">
        <f t="shared" si="25"/>
        <v>555863.01847131934</v>
      </c>
      <c r="AJ54" s="98">
        <f t="shared" si="25"/>
        <v>502465.71763729316</v>
      </c>
      <c r="AK54" s="98">
        <f t="shared" si="25"/>
        <v>449068.41680326697</v>
      </c>
      <c r="AL54" s="98">
        <f t="shared" si="25"/>
        <v>395671.1159692409</v>
      </c>
      <c r="AM54" s="98">
        <f t="shared" si="25"/>
        <v>342273.81513521483</v>
      </c>
      <c r="AN54" s="98">
        <f t="shared" si="25"/>
        <v>288876.51430118876</v>
      </c>
      <c r="AO54" s="98">
        <f t="shared" si="25"/>
        <v>235479.2134671626</v>
      </c>
      <c r="AP54" s="98">
        <f t="shared" si="25"/>
        <v>182081.9126331365</v>
      </c>
      <c r="AQ54" s="98">
        <f t="shared" si="25"/>
        <v>128684.61179911037</v>
      </c>
      <c r="AR54" s="98">
        <f t="shared" si="25"/>
        <v>75287.310965084253</v>
      </c>
      <c r="AS54" s="98">
        <f t="shared" ref="AS54" si="26">AS52-AS53</f>
        <v>48588.660548071195</v>
      </c>
      <c r="AT54" s="98">
        <f t="shared" si="25"/>
        <v>48588.660548071195</v>
      </c>
      <c r="AU54" s="100">
        <f t="shared" si="21"/>
        <v>50402201.163856745</v>
      </c>
    </row>
    <row r="55" spans="1:47" x14ac:dyDescent="0.2">
      <c r="A55" s="125">
        <f t="shared" si="16"/>
        <v>25</v>
      </c>
      <c r="B55" s="2"/>
      <c r="C55" s="2"/>
      <c r="D55" s="115"/>
      <c r="E55" s="117"/>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00">
        <f t="shared" si="21"/>
        <v>0</v>
      </c>
    </row>
    <row r="56" spans="1:47" x14ac:dyDescent="0.2">
      <c r="A56" s="125">
        <f t="shared" si="16"/>
        <v>26</v>
      </c>
      <c r="B56" s="2"/>
      <c r="C56" s="2"/>
      <c r="D56" s="115"/>
      <c r="E56" s="84"/>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00">
        <f t="shared" si="21"/>
        <v>0</v>
      </c>
    </row>
    <row r="57" spans="1:47" x14ac:dyDescent="0.2">
      <c r="A57" s="125">
        <f t="shared" si="16"/>
        <v>27</v>
      </c>
      <c r="B57" s="2" t="s">
        <v>68</v>
      </c>
      <c r="C57" s="2"/>
      <c r="D57" s="115"/>
      <c r="E57" s="38">
        <f>E27</f>
        <v>1482270.176383141</v>
      </c>
      <c r="F57" s="98">
        <f>F27</f>
        <v>1482270.176383141</v>
      </c>
      <c r="G57" s="98">
        <f>G27</f>
        <v>1482270.176383141</v>
      </c>
      <c r="H57" s="98">
        <f t="shared" ref="H57:AT57" si="27">H27</f>
        <v>1482270.176383141</v>
      </c>
      <c r="I57" s="98">
        <f t="shared" si="27"/>
        <v>1482270.176383141</v>
      </c>
      <c r="J57" s="98">
        <f t="shared" si="27"/>
        <v>1482270.176383141</v>
      </c>
      <c r="K57" s="98">
        <f t="shared" si="27"/>
        <v>1482270.176383141</v>
      </c>
      <c r="L57" s="98">
        <f t="shared" si="27"/>
        <v>1482270.176383141</v>
      </c>
      <c r="M57" s="98">
        <f t="shared" si="27"/>
        <v>1482270.176383141</v>
      </c>
      <c r="N57" s="98">
        <f t="shared" si="27"/>
        <v>1482270.176383141</v>
      </c>
      <c r="O57" s="98">
        <f t="shared" si="27"/>
        <v>1482270.176383141</v>
      </c>
      <c r="P57" s="98">
        <f t="shared" si="27"/>
        <v>1482270.176383141</v>
      </c>
      <c r="Q57" s="98">
        <f t="shared" si="27"/>
        <v>1482270.176383141</v>
      </c>
      <c r="R57" s="98">
        <f t="shared" si="27"/>
        <v>1482270.176383141</v>
      </c>
      <c r="S57" s="98">
        <f t="shared" si="27"/>
        <v>1482270.176383141</v>
      </c>
      <c r="T57" s="98">
        <f t="shared" si="27"/>
        <v>1482270.176383141</v>
      </c>
      <c r="U57" s="98">
        <f t="shared" si="27"/>
        <v>1482270.176383141</v>
      </c>
      <c r="V57" s="98">
        <f t="shared" si="27"/>
        <v>1482270.176383141</v>
      </c>
      <c r="W57" s="98">
        <f t="shared" si="27"/>
        <v>1482270.176383141</v>
      </c>
      <c r="X57" s="98">
        <f t="shared" si="27"/>
        <v>1482270.176383141</v>
      </c>
      <c r="Y57" s="98">
        <f t="shared" si="27"/>
        <v>1482270.176383141</v>
      </c>
      <c r="Z57" s="98">
        <f t="shared" si="27"/>
        <v>1482270.176383141</v>
      </c>
      <c r="AA57" s="98">
        <f t="shared" si="27"/>
        <v>1482270.176383141</v>
      </c>
      <c r="AB57" s="98">
        <f t="shared" si="27"/>
        <v>1482270.176383141</v>
      </c>
      <c r="AC57" s="98">
        <f t="shared" si="27"/>
        <v>1482270.176383141</v>
      </c>
      <c r="AD57" s="98">
        <f t="shared" si="27"/>
        <v>1482270.176383141</v>
      </c>
      <c r="AE57" s="98">
        <f t="shared" si="27"/>
        <v>1482270.176383141</v>
      </c>
      <c r="AF57" s="98">
        <f t="shared" si="27"/>
        <v>1482270.176383141</v>
      </c>
      <c r="AG57" s="98">
        <f t="shared" si="27"/>
        <v>1482270.176383141</v>
      </c>
      <c r="AH57" s="98">
        <f t="shared" si="27"/>
        <v>1482270.176383141</v>
      </c>
      <c r="AI57" s="98">
        <f t="shared" si="27"/>
        <v>1482270.176383141</v>
      </c>
      <c r="AJ57" s="98">
        <f t="shared" si="27"/>
        <v>1482270.176383141</v>
      </c>
      <c r="AK57" s="98">
        <f t="shared" si="27"/>
        <v>1482270.176383141</v>
      </c>
      <c r="AL57" s="98">
        <f t="shared" si="27"/>
        <v>1482270.176383141</v>
      </c>
      <c r="AM57" s="98">
        <f t="shared" si="27"/>
        <v>1482270.176383141</v>
      </c>
      <c r="AN57" s="98">
        <f t="shared" si="27"/>
        <v>1482270.176383141</v>
      </c>
      <c r="AO57" s="98">
        <f t="shared" si="27"/>
        <v>1482270.176383141</v>
      </c>
      <c r="AP57" s="98">
        <f t="shared" si="27"/>
        <v>1482270.176383141</v>
      </c>
      <c r="AQ57" s="98">
        <f t="shared" si="27"/>
        <v>1482270.176383141</v>
      </c>
      <c r="AR57" s="98">
        <f t="shared" si="27"/>
        <v>1482270.176383141</v>
      </c>
      <c r="AS57" s="98">
        <f t="shared" ref="AS57" si="28">AS27</f>
        <v>0</v>
      </c>
      <c r="AT57" s="98">
        <f t="shared" si="27"/>
        <v>0</v>
      </c>
      <c r="AU57" s="100">
        <f t="shared" si="21"/>
        <v>59290807.05532559</v>
      </c>
    </row>
    <row r="58" spans="1:47" x14ac:dyDescent="0.2">
      <c r="A58" s="125">
        <f t="shared" si="16"/>
        <v>28</v>
      </c>
      <c r="B58" s="2" t="s">
        <v>69</v>
      </c>
      <c r="C58" s="2"/>
      <c r="D58" s="115"/>
      <c r="E58" s="38">
        <f>$F22*E62</f>
        <v>2273984.7329999995</v>
      </c>
      <c r="F58" s="98">
        <f t="shared" ref="F58:AT58" si="29">$F22*F62</f>
        <v>4377572.2100072</v>
      </c>
      <c r="G58" s="98">
        <f t="shared" si="29"/>
        <v>4048905.6165975993</v>
      </c>
      <c r="H58" s="98">
        <f t="shared" si="29"/>
        <v>3745707.6521975994</v>
      </c>
      <c r="I58" s="98">
        <f t="shared" si="29"/>
        <v>3464339.9412343996</v>
      </c>
      <c r="J58" s="98">
        <f t="shared" si="29"/>
        <v>3204802.4837079998</v>
      </c>
      <c r="K58" s="98">
        <f t="shared" si="29"/>
        <v>2964063.2999743996</v>
      </c>
      <c r="L58" s="98">
        <f t="shared" si="29"/>
        <v>2742122.3900335999</v>
      </c>
      <c r="M58" s="98">
        <f t="shared" si="29"/>
        <v>2705738.6343055996</v>
      </c>
      <c r="N58" s="98">
        <f t="shared" si="29"/>
        <v>2705132.2383768</v>
      </c>
      <c r="O58" s="98">
        <f t="shared" si="29"/>
        <v>2705738.6343055996</v>
      </c>
      <c r="P58" s="98">
        <f t="shared" si="29"/>
        <v>2705132.2383768</v>
      </c>
      <c r="Q58" s="98">
        <f t="shared" si="29"/>
        <v>2705738.6343055996</v>
      </c>
      <c r="R58" s="98">
        <f t="shared" si="29"/>
        <v>2705132.2383768</v>
      </c>
      <c r="S58" s="98">
        <f t="shared" si="29"/>
        <v>2705738.6343055996</v>
      </c>
      <c r="T58" s="98">
        <f t="shared" si="29"/>
        <v>2705132.2383768</v>
      </c>
      <c r="U58" s="98">
        <f t="shared" si="29"/>
        <v>2705738.6343055996</v>
      </c>
      <c r="V58" s="98">
        <f t="shared" si="29"/>
        <v>2705132.2383768</v>
      </c>
      <c r="W58" s="98">
        <f t="shared" si="29"/>
        <v>2705738.6343055996</v>
      </c>
      <c r="X58" s="98">
        <f t="shared" si="29"/>
        <v>2705132.2383768</v>
      </c>
      <c r="Y58" s="98">
        <f t="shared" si="29"/>
        <v>1352869.3171527998</v>
      </c>
      <c r="Z58" s="98">
        <f t="shared" si="29"/>
        <v>0</v>
      </c>
      <c r="AA58" s="98">
        <f t="shared" si="29"/>
        <v>0</v>
      </c>
      <c r="AB58" s="98">
        <f t="shared" si="29"/>
        <v>0</v>
      </c>
      <c r="AC58" s="98">
        <f t="shared" si="29"/>
        <v>0</v>
      </c>
      <c r="AD58" s="98">
        <f t="shared" si="29"/>
        <v>0</v>
      </c>
      <c r="AE58" s="98">
        <f t="shared" si="29"/>
        <v>0</v>
      </c>
      <c r="AF58" s="98">
        <f t="shared" si="29"/>
        <v>0</v>
      </c>
      <c r="AG58" s="98">
        <f t="shared" si="29"/>
        <v>0</v>
      </c>
      <c r="AH58" s="98">
        <f t="shared" si="29"/>
        <v>0</v>
      </c>
      <c r="AI58" s="98">
        <f t="shared" si="29"/>
        <v>0</v>
      </c>
      <c r="AJ58" s="98">
        <f t="shared" si="29"/>
        <v>0</v>
      </c>
      <c r="AK58" s="98">
        <f t="shared" si="29"/>
        <v>0</v>
      </c>
      <c r="AL58" s="98">
        <f t="shared" si="29"/>
        <v>0</v>
      </c>
      <c r="AM58" s="98">
        <f t="shared" si="29"/>
        <v>0</v>
      </c>
      <c r="AN58" s="98">
        <f t="shared" si="29"/>
        <v>0</v>
      </c>
      <c r="AO58" s="98">
        <f t="shared" si="29"/>
        <v>0</v>
      </c>
      <c r="AP58" s="98">
        <f t="shared" si="29"/>
        <v>0</v>
      </c>
      <c r="AQ58" s="98">
        <f t="shared" si="29"/>
        <v>0</v>
      </c>
      <c r="AR58" s="98">
        <f t="shared" si="29"/>
        <v>0</v>
      </c>
      <c r="AS58" s="98">
        <f t="shared" ref="AS58" si="30">$F22*AS62</f>
        <v>0</v>
      </c>
      <c r="AT58" s="98">
        <f t="shared" si="29"/>
        <v>0</v>
      </c>
      <c r="AU58" s="100">
        <f t="shared" si="21"/>
        <v>60639592.879999965</v>
      </c>
    </row>
    <row r="59" spans="1:47" x14ac:dyDescent="0.2">
      <c r="A59" s="125">
        <f t="shared" si="16"/>
        <v>29</v>
      </c>
      <c r="B59" s="2" t="s">
        <v>70</v>
      </c>
      <c r="C59" s="2"/>
      <c r="D59" s="115"/>
      <c r="E59" s="38">
        <f>E58-E57</f>
        <v>791714.55661685858</v>
      </c>
      <c r="F59" s="98">
        <f>F58-F57</f>
        <v>2895302.0336240591</v>
      </c>
      <c r="G59" s="98">
        <f>G58-G57</f>
        <v>2566635.4402144584</v>
      </c>
      <c r="H59" s="98">
        <f t="shared" ref="H59:AT59" si="31">H58-H57</f>
        <v>2263437.4758144584</v>
      </c>
      <c r="I59" s="98">
        <f t="shared" si="31"/>
        <v>1982069.7648512586</v>
      </c>
      <c r="J59" s="98">
        <f t="shared" si="31"/>
        <v>1722532.3073248588</v>
      </c>
      <c r="K59" s="98">
        <f t="shared" si="31"/>
        <v>1481793.1235912587</v>
      </c>
      <c r="L59" s="98">
        <f t="shared" si="31"/>
        <v>1259852.213650459</v>
      </c>
      <c r="M59" s="98">
        <f t="shared" si="31"/>
        <v>1223468.4579224586</v>
      </c>
      <c r="N59" s="98">
        <f t="shared" si="31"/>
        <v>1222862.061993659</v>
      </c>
      <c r="O59" s="98">
        <f t="shared" si="31"/>
        <v>1223468.4579224586</v>
      </c>
      <c r="P59" s="98">
        <f t="shared" si="31"/>
        <v>1222862.061993659</v>
      </c>
      <c r="Q59" s="98">
        <f t="shared" si="31"/>
        <v>1223468.4579224586</v>
      </c>
      <c r="R59" s="98">
        <f t="shared" si="31"/>
        <v>1222862.061993659</v>
      </c>
      <c r="S59" s="98">
        <f t="shared" si="31"/>
        <v>1223468.4579224586</v>
      </c>
      <c r="T59" s="98">
        <f t="shared" si="31"/>
        <v>1222862.061993659</v>
      </c>
      <c r="U59" s="98">
        <f t="shared" si="31"/>
        <v>1223468.4579224586</v>
      </c>
      <c r="V59" s="98">
        <f t="shared" si="31"/>
        <v>1222862.061993659</v>
      </c>
      <c r="W59" s="98">
        <f t="shared" si="31"/>
        <v>1223468.4579224586</v>
      </c>
      <c r="X59" s="98">
        <f t="shared" si="31"/>
        <v>1222862.061993659</v>
      </c>
      <c r="Y59" s="98">
        <f t="shared" si="31"/>
        <v>-129400.85923034116</v>
      </c>
      <c r="Z59" s="98">
        <f t="shared" si="31"/>
        <v>-1482270.176383141</v>
      </c>
      <c r="AA59" s="98">
        <f t="shared" si="31"/>
        <v>-1482270.176383141</v>
      </c>
      <c r="AB59" s="98">
        <f t="shared" si="31"/>
        <v>-1482270.176383141</v>
      </c>
      <c r="AC59" s="98">
        <f t="shared" si="31"/>
        <v>-1482270.176383141</v>
      </c>
      <c r="AD59" s="98">
        <f t="shared" si="31"/>
        <v>-1482270.176383141</v>
      </c>
      <c r="AE59" s="98">
        <f t="shared" si="31"/>
        <v>-1482270.176383141</v>
      </c>
      <c r="AF59" s="98">
        <f t="shared" si="31"/>
        <v>-1482270.176383141</v>
      </c>
      <c r="AG59" s="98">
        <f t="shared" si="31"/>
        <v>-1482270.176383141</v>
      </c>
      <c r="AH59" s="98">
        <f t="shared" si="31"/>
        <v>-1482270.176383141</v>
      </c>
      <c r="AI59" s="98">
        <f t="shared" si="31"/>
        <v>-1482270.176383141</v>
      </c>
      <c r="AJ59" s="98">
        <f t="shared" si="31"/>
        <v>-1482270.176383141</v>
      </c>
      <c r="AK59" s="98">
        <f t="shared" si="31"/>
        <v>-1482270.176383141</v>
      </c>
      <c r="AL59" s="98">
        <f t="shared" si="31"/>
        <v>-1482270.176383141</v>
      </c>
      <c r="AM59" s="98">
        <f t="shared" si="31"/>
        <v>-1482270.176383141</v>
      </c>
      <c r="AN59" s="98">
        <f t="shared" si="31"/>
        <v>-1482270.176383141</v>
      </c>
      <c r="AO59" s="98">
        <f t="shared" si="31"/>
        <v>-1482270.176383141</v>
      </c>
      <c r="AP59" s="98">
        <f t="shared" si="31"/>
        <v>-1482270.176383141</v>
      </c>
      <c r="AQ59" s="98">
        <f t="shared" si="31"/>
        <v>-1482270.176383141</v>
      </c>
      <c r="AR59" s="98">
        <f t="shared" si="31"/>
        <v>-1482270.176383141</v>
      </c>
      <c r="AS59" s="98">
        <f t="shared" ref="AS59" si="32">AS58-AS57</f>
        <v>0</v>
      </c>
      <c r="AT59" s="98">
        <f t="shared" si="31"/>
        <v>0</v>
      </c>
      <c r="AU59" s="100">
        <f t="shared" si="21"/>
        <v>1348785.8246743502</v>
      </c>
    </row>
    <row r="60" spans="1:47" x14ac:dyDescent="0.2">
      <c r="A60" s="125">
        <f t="shared" si="16"/>
        <v>30</v>
      </c>
      <c r="B60" s="2" t="s">
        <v>71</v>
      </c>
      <c r="C60" s="2"/>
      <c r="D60" s="115"/>
      <c r="E60" s="38">
        <f>E59*$F$15</f>
        <v>166260.05688954028</v>
      </c>
      <c r="F60" s="98">
        <f>F59*$G$15</f>
        <v>608013.42706105241</v>
      </c>
      <c r="G60" s="98">
        <f t="shared" ref="G60:AT60" si="33">G59*$G$15</f>
        <v>538993.44244503626</v>
      </c>
      <c r="H60" s="98">
        <f t="shared" si="33"/>
        <v>475321.86992103624</v>
      </c>
      <c r="I60" s="98">
        <f t="shared" si="33"/>
        <v>416234.65061876428</v>
      </c>
      <c r="J60" s="98">
        <f t="shared" si="33"/>
        <v>361731.78453822032</v>
      </c>
      <c r="K60" s="98">
        <f t="shared" si="33"/>
        <v>311176.5559541643</v>
      </c>
      <c r="L60" s="98">
        <f t="shared" si="33"/>
        <v>264568.96486659639</v>
      </c>
      <c r="M60" s="98">
        <f t="shared" si="33"/>
        <v>256928.37616371631</v>
      </c>
      <c r="N60" s="98">
        <f t="shared" si="33"/>
        <v>256801.03301866839</v>
      </c>
      <c r="O60" s="98">
        <f t="shared" si="33"/>
        <v>256928.37616371631</v>
      </c>
      <c r="P60" s="98">
        <f t="shared" si="33"/>
        <v>256801.03301866839</v>
      </c>
      <c r="Q60" s="98">
        <f t="shared" si="33"/>
        <v>256928.37616371631</v>
      </c>
      <c r="R60" s="98">
        <f t="shared" si="33"/>
        <v>256801.03301866839</v>
      </c>
      <c r="S60" s="98">
        <f t="shared" si="33"/>
        <v>256928.37616371631</v>
      </c>
      <c r="T60" s="98">
        <f t="shared" si="33"/>
        <v>256801.03301866839</v>
      </c>
      <c r="U60" s="98">
        <f t="shared" si="33"/>
        <v>256928.37616371631</v>
      </c>
      <c r="V60" s="98">
        <f t="shared" si="33"/>
        <v>256801.03301866839</v>
      </c>
      <c r="W60" s="98">
        <f t="shared" si="33"/>
        <v>256928.37616371631</v>
      </c>
      <c r="X60" s="98">
        <f t="shared" si="33"/>
        <v>256801.03301866839</v>
      </c>
      <c r="Y60" s="98">
        <f t="shared" si="33"/>
        <v>-27174.180438371641</v>
      </c>
      <c r="Z60" s="98">
        <f t="shared" si="33"/>
        <v>-311276.73704045959</v>
      </c>
      <c r="AA60" s="98">
        <f t="shared" si="33"/>
        <v>-311276.73704045959</v>
      </c>
      <c r="AB60" s="98">
        <f t="shared" si="33"/>
        <v>-311276.73704045959</v>
      </c>
      <c r="AC60" s="98">
        <f t="shared" si="33"/>
        <v>-311276.73704045959</v>
      </c>
      <c r="AD60" s="98">
        <f t="shared" si="33"/>
        <v>-311276.73704045959</v>
      </c>
      <c r="AE60" s="98">
        <f t="shared" si="33"/>
        <v>-311276.73704045959</v>
      </c>
      <c r="AF60" s="98">
        <f t="shared" si="33"/>
        <v>-311276.73704045959</v>
      </c>
      <c r="AG60" s="98">
        <f t="shared" si="33"/>
        <v>-311276.73704045959</v>
      </c>
      <c r="AH60" s="98">
        <f t="shared" si="33"/>
        <v>-311276.73704045959</v>
      </c>
      <c r="AI60" s="98">
        <f t="shared" si="33"/>
        <v>-311276.73704045959</v>
      </c>
      <c r="AJ60" s="98">
        <f t="shared" si="33"/>
        <v>-311276.73704045959</v>
      </c>
      <c r="AK60" s="98">
        <f t="shared" si="33"/>
        <v>-311276.73704045959</v>
      </c>
      <c r="AL60" s="98">
        <f t="shared" si="33"/>
        <v>-311276.73704045959</v>
      </c>
      <c r="AM60" s="98">
        <f t="shared" si="33"/>
        <v>-311276.73704045959</v>
      </c>
      <c r="AN60" s="98">
        <f t="shared" si="33"/>
        <v>-311276.73704045959</v>
      </c>
      <c r="AO60" s="98">
        <f t="shared" si="33"/>
        <v>-311276.73704045959</v>
      </c>
      <c r="AP60" s="98">
        <f t="shared" si="33"/>
        <v>-311276.73704045959</v>
      </c>
      <c r="AQ60" s="98">
        <f t="shared" si="33"/>
        <v>-311276.73704045959</v>
      </c>
      <c r="AR60" s="98">
        <f t="shared" si="33"/>
        <v>-311276.73704045959</v>
      </c>
      <c r="AS60" s="98">
        <f t="shared" si="33"/>
        <v>0</v>
      </c>
      <c r="AT60" s="98">
        <f t="shared" si="33"/>
        <v>0</v>
      </c>
      <c r="AU60" s="100">
        <f t="shared" si="21"/>
        <v>283245.02318161592</v>
      </c>
    </row>
    <row r="61" spans="1:47" x14ac:dyDescent="0.2">
      <c r="A61" s="125">
        <f t="shared" si="16"/>
        <v>31</v>
      </c>
      <c r="B61" s="2"/>
      <c r="C61" s="2"/>
      <c r="D61" s="115"/>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5"/>
    </row>
    <row r="62" spans="1:47" s="50" customFormat="1" x14ac:dyDescent="0.2">
      <c r="A62" s="125">
        <f t="shared" si="16"/>
        <v>32</v>
      </c>
      <c r="B62" s="2" t="str">
        <f t="shared" ref="B62" si="34">IF($F$18=1,B66,B65)</f>
        <v>MACRS Depreciation - 20</v>
      </c>
      <c r="C62" s="2"/>
      <c r="D62" s="47"/>
      <c r="E62" s="62">
        <f t="shared" ref="E62" si="35">IF($F$18=1,E66,E65)</f>
        <v>3.7499999999999999E-2</v>
      </c>
      <c r="F62" s="58">
        <f>IF($F$18=1,F66,F65)</f>
        <v>7.2190000000000004E-2</v>
      </c>
      <c r="G62" s="58">
        <f t="shared" ref="G62:Y62" si="36">IF($F$18=1,G66,G65)</f>
        <v>6.6769999999999996E-2</v>
      </c>
      <c r="H62" s="58">
        <f t="shared" si="36"/>
        <v>6.1769999999999999E-2</v>
      </c>
      <c r="I62" s="58">
        <f t="shared" si="36"/>
        <v>5.713E-2</v>
      </c>
      <c r="J62" s="58">
        <f t="shared" si="36"/>
        <v>5.2850000000000001E-2</v>
      </c>
      <c r="K62" s="58">
        <f t="shared" si="36"/>
        <v>4.888E-2</v>
      </c>
      <c r="L62" s="58">
        <f t="shared" si="36"/>
        <v>4.5220000000000003E-2</v>
      </c>
      <c r="M62" s="58">
        <f t="shared" si="36"/>
        <v>4.462E-2</v>
      </c>
      <c r="N62" s="58">
        <f t="shared" si="36"/>
        <v>4.4610000000000004E-2</v>
      </c>
      <c r="O62" s="58">
        <f t="shared" si="36"/>
        <v>4.462E-2</v>
      </c>
      <c r="P62" s="58">
        <f t="shared" si="36"/>
        <v>4.4610000000000004E-2</v>
      </c>
      <c r="Q62" s="58">
        <f t="shared" si="36"/>
        <v>4.462E-2</v>
      </c>
      <c r="R62" s="58">
        <f t="shared" si="36"/>
        <v>4.4610000000000004E-2</v>
      </c>
      <c r="S62" s="58">
        <f t="shared" si="36"/>
        <v>4.462E-2</v>
      </c>
      <c r="T62" s="58">
        <f t="shared" si="36"/>
        <v>4.4610000000000004E-2</v>
      </c>
      <c r="U62" s="58">
        <f t="shared" si="36"/>
        <v>4.462E-2</v>
      </c>
      <c r="V62" s="58">
        <f t="shared" si="36"/>
        <v>4.4610000000000004E-2</v>
      </c>
      <c r="W62" s="58">
        <f t="shared" si="36"/>
        <v>4.462E-2</v>
      </c>
      <c r="X62" s="58">
        <f t="shared" si="36"/>
        <v>4.4610000000000004E-2</v>
      </c>
      <c r="Y62" s="58">
        <f t="shared" si="36"/>
        <v>2.231E-2</v>
      </c>
      <c r="Z62" s="48"/>
      <c r="AA62" s="48"/>
      <c r="AB62" s="48"/>
      <c r="AC62" s="48"/>
      <c r="AD62" s="48"/>
      <c r="AE62" s="48"/>
      <c r="AF62" s="48"/>
      <c r="AG62" s="48"/>
      <c r="AH62" s="48"/>
      <c r="AI62" s="48"/>
      <c r="AJ62" s="48"/>
      <c r="AK62" s="48"/>
      <c r="AL62" s="48"/>
      <c r="AM62" s="48"/>
      <c r="AN62" s="48"/>
      <c r="AO62" s="48"/>
      <c r="AP62" s="47"/>
    </row>
    <row r="63" spans="1:47" outlineLevel="1" x14ac:dyDescent="0.25">
      <c r="A63" s="125">
        <f t="shared" si="16"/>
        <v>33</v>
      </c>
      <c r="B63" s="2"/>
      <c r="C63" s="118"/>
      <c r="E63" s="119"/>
      <c r="F63" s="120"/>
      <c r="G63" s="120"/>
      <c r="H63" s="120"/>
      <c r="I63" s="120"/>
      <c r="J63" s="120"/>
      <c r="K63" s="120"/>
      <c r="L63" s="120"/>
      <c r="M63" s="121"/>
      <c r="N63" s="121"/>
      <c r="O63" s="121"/>
      <c r="P63" s="121"/>
      <c r="Q63" s="121"/>
      <c r="R63" s="121"/>
      <c r="S63" s="121"/>
      <c r="T63" s="121"/>
      <c r="U63" s="121"/>
      <c r="V63" s="121"/>
      <c r="W63" s="121"/>
      <c r="X63" s="121"/>
      <c r="Y63" s="121"/>
      <c r="Z63" s="115"/>
      <c r="AA63" s="115"/>
      <c r="AB63" s="115"/>
      <c r="AC63" s="115"/>
      <c r="AD63" s="115"/>
      <c r="AE63" s="115"/>
      <c r="AF63" s="115"/>
      <c r="AG63" s="115"/>
      <c r="AH63" s="115"/>
      <c r="AI63" s="115"/>
      <c r="AJ63" s="115"/>
      <c r="AK63" s="115"/>
      <c r="AL63" s="115"/>
      <c r="AM63" s="115"/>
      <c r="AN63" s="115"/>
      <c r="AO63" s="3"/>
    </row>
    <row r="64" spans="1:47" outlineLevel="1" x14ac:dyDescent="0.25">
      <c r="A64" s="125">
        <f t="shared" si="16"/>
        <v>34</v>
      </c>
      <c r="B64" s="2"/>
      <c r="C64" s="118"/>
      <c r="E64" s="119"/>
      <c r="F64" s="120"/>
      <c r="G64" s="120"/>
      <c r="H64" s="120"/>
      <c r="I64" s="120"/>
      <c r="J64" s="120"/>
      <c r="K64" s="120"/>
      <c r="L64" s="120"/>
      <c r="M64" s="121"/>
      <c r="N64" s="121"/>
      <c r="O64" s="121"/>
      <c r="P64" s="121"/>
      <c r="Q64" s="121"/>
      <c r="R64" s="121"/>
      <c r="S64" s="121"/>
      <c r="T64" s="121"/>
      <c r="U64" s="121"/>
      <c r="V64" s="121"/>
      <c r="W64" s="121"/>
      <c r="X64" s="121"/>
      <c r="Y64" s="121"/>
      <c r="Z64" s="115"/>
      <c r="AA64" s="115"/>
      <c r="AB64" s="115"/>
      <c r="AC64" s="115"/>
      <c r="AD64" s="115"/>
      <c r="AE64" s="115"/>
      <c r="AF64" s="115"/>
      <c r="AG64" s="115"/>
      <c r="AH64" s="115"/>
      <c r="AI64" s="115"/>
      <c r="AJ64" s="115"/>
      <c r="AK64" s="115"/>
      <c r="AL64" s="115"/>
      <c r="AM64" s="115"/>
      <c r="AN64" s="115"/>
      <c r="AO64" s="3"/>
    </row>
    <row r="65" spans="1:42" s="50" customFormat="1" x14ac:dyDescent="0.25">
      <c r="A65" s="125">
        <f t="shared" si="16"/>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5">
        <f t="shared" si="16"/>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5"/>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A34" workbookViewId="0">
      <selection activeCell="G18" sqref="G18"/>
    </sheetView>
  </sheetViews>
  <sheetFormatPr defaultColWidth="9.28515625" defaultRowHeight="15" outlineLevelRow="1" x14ac:dyDescent="0.25"/>
  <cols>
    <col min="1" max="1" width="17" style="364" customWidth="1"/>
    <col min="2" max="2" width="46" style="364" bestFit="1" customWidth="1"/>
    <col min="3" max="3" width="14.5703125" style="364" bestFit="1" customWidth="1"/>
    <col min="4" max="4" width="15.7109375" style="364" bestFit="1" customWidth="1"/>
    <col min="5" max="5" width="16" style="364" bestFit="1" customWidth="1"/>
    <col min="6" max="6" width="35.7109375" style="364" customWidth="1"/>
    <col min="7" max="7" width="28.5703125" style="363" bestFit="1" customWidth="1"/>
    <col min="8" max="8" width="11" style="363" customWidth="1"/>
    <col min="9" max="16384" width="9.28515625" style="363"/>
  </cols>
  <sheetData>
    <row r="1" spans="1:8" x14ac:dyDescent="0.25">
      <c r="A1" s="218"/>
      <c r="B1" s="218"/>
      <c r="C1" s="218"/>
      <c r="D1" s="218"/>
      <c r="E1" s="218"/>
      <c r="F1" s="218"/>
      <c r="G1"/>
      <c r="H1"/>
    </row>
    <row r="2" spans="1:8" x14ac:dyDescent="0.25">
      <c r="B2" s="365" t="s">
        <v>218</v>
      </c>
      <c r="C2" s="366"/>
      <c r="D2" s="366"/>
      <c r="E2" s="366"/>
    </row>
    <row r="4" spans="1:8" ht="15.75" thickBot="1" x14ac:dyDescent="0.3"/>
    <row r="5" spans="1:8" ht="15.75" thickBot="1" x14ac:dyDescent="0.3">
      <c r="A5" s="367"/>
      <c r="B5" s="368">
        <v>43739</v>
      </c>
      <c r="C5" s="369"/>
      <c r="D5" s="369"/>
      <c r="E5" s="370"/>
      <c r="F5" s="371"/>
      <c r="G5" s="372"/>
    </row>
    <row r="6" spans="1:8" ht="82.9" customHeight="1" x14ac:dyDescent="0.25">
      <c r="A6" s="373" t="s">
        <v>219</v>
      </c>
      <c r="B6" s="373" t="s">
        <v>220</v>
      </c>
      <c r="C6" s="374" t="s">
        <v>221</v>
      </c>
      <c r="D6" s="374" t="s">
        <v>222</v>
      </c>
      <c r="E6" s="374" t="s">
        <v>248</v>
      </c>
      <c r="F6" s="371"/>
      <c r="G6" s="372"/>
    </row>
    <row r="7" spans="1:8" ht="15.75" x14ac:dyDescent="0.25">
      <c r="A7" s="364" t="s">
        <v>83</v>
      </c>
      <c r="B7" s="376" t="s">
        <v>224</v>
      </c>
      <c r="C7" s="377">
        <v>49985039.879999995</v>
      </c>
      <c r="D7" s="377">
        <v>10065397.379999999</v>
      </c>
      <c r="E7" s="378">
        <f>SUM(C7:D7)</f>
        <v>60050437.25999999</v>
      </c>
      <c r="F7" s="371"/>
      <c r="G7" s="372"/>
    </row>
    <row r="8" spans="1:8" ht="15.75" x14ac:dyDescent="0.25">
      <c r="A8" s="364" t="s">
        <v>225</v>
      </c>
      <c r="B8" s="376" t="s">
        <v>226</v>
      </c>
      <c r="C8" s="377">
        <v>479737.33</v>
      </c>
      <c r="D8" s="377">
        <v>1588.01</v>
      </c>
      <c r="E8" s="378">
        <f>SUM(C8:D8)</f>
        <v>481325.34</v>
      </c>
      <c r="F8" s="371"/>
      <c r="G8" s="372"/>
    </row>
    <row r="9" spans="1:8" ht="15.75" x14ac:dyDescent="0.25">
      <c r="A9" s="364" t="s">
        <v>227</v>
      </c>
      <c r="B9" s="376" t="s">
        <v>228</v>
      </c>
      <c r="C9" s="377">
        <v>105950.33000000002</v>
      </c>
      <c r="D9" s="377">
        <v>1879.9500000000003</v>
      </c>
      <c r="E9" s="378">
        <f>SUM(C9:D9)</f>
        <v>107830.28000000001</v>
      </c>
      <c r="F9" s="371"/>
      <c r="G9" s="372"/>
    </row>
    <row r="10" spans="1:8" x14ac:dyDescent="0.25">
      <c r="A10" s="126" t="s">
        <v>229</v>
      </c>
      <c r="B10" s="126"/>
      <c r="C10" s="378">
        <f>SUM(C7:C9)</f>
        <v>50570727.539999992</v>
      </c>
      <c r="D10" s="378">
        <f t="shared" ref="D10:E10" si="0">SUM(D7:D9)</f>
        <v>10068865.339999998</v>
      </c>
      <c r="E10" s="378">
        <f t="shared" si="0"/>
        <v>60639592.879999995</v>
      </c>
      <c r="F10" s="371"/>
      <c r="G10" s="372"/>
    </row>
    <row r="11" spans="1:8" x14ac:dyDescent="0.25">
      <c r="F11" s="371"/>
      <c r="G11" s="372"/>
    </row>
    <row r="12" spans="1:8" x14ac:dyDescent="0.25">
      <c r="B12" s="362" t="s">
        <v>78</v>
      </c>
      <c r="C12" s="362"/>
      <c r="D12" s="362"/>
      <c r="E12" s="379">
        <f>+E7+E8</f>
        <v>60531762.599999994</v>
      </c>
      <c r="F12" s="371"/>
      <c r="G12" s="372"/>
    </row>
    <row r="13" spans="1:8" x14ac:dyDescent="0.25">
      <c r="B13" s="362" t="s">
        <v>79</v>
      </c>
      <c r="C13" s="362"/>
      <c r="D13" s="362"/>
      <c r="E13" s="379">
        <f>+E9</f>
        <v>107830.28000000001</v>
      </c>
      <c r="F13" s="371"/>
      <c r="G13" s="372"/>
    </row>
    <row r="14" spans="1:8" x14ac:dyDescent="0.25">
      <c r="E14" s="380">
        <f>+E12/E10</f>
        <v>0.99822178423569918</v>
      </c>
      <c r="F14" s="371"/>
      <c r="G14" s="372"/>
    </row>
    <row r="15" spans="1:8" x14ac:dyDescent="0.25">
      <c r="E15" s="380">
        <f>+E13/E10</f>
        <v>1.7782157643008243E-3</v>
      </c>
      <c r="F15" s="371"/>
      <c r="G15" s="372"/>
    </row>
    <row r="16" spans="1:8" x14ac:dyDescent="0.25">
      <c r="E16" s="380"/>
      <c r="F16" s="371"/>
      <c r="G16" s="372"/>
    </row>
    <row r="17" spans="1:8" x14ac:dyDescent="0.25">
      <c r="A17" s="381"/>
      <c r="B17" s="365" t="s">
        <v>230</v>
      </c>
      <c r="C17" s="365"/>
      <c r="D17" s="365"/>
      <c r="E17" s="365"/>
      <c r="F17" s="371"/>
      <c r="G17" s="372"/>
    </row>
    <row r="18" spans="1:8" x14ac:dyDescent="0.25">
      <c r="A18" s="382" t="s">
        <v>231</v>
      </c>
      <c r="B18" s="383" t="s">
        <v>232</v>
      </c>
      <c r="C18" s="384" t="s">
        <v>233</v>
      </c>
      <c r="D18" s="384" t="s">
        <v>234</v>
      </c>
      <c r="E18" s="384" t="s">
        <v>80</v>
      </c>
      <c r="F18" s="371"/>
      <c r="G18" s="372"/>
    </row>
    <row r="19" spans="1:8" x14ac:dyDescent="0.25">
      <c r="A19" s="126" t="s">
        <v>81</v>
      </c>
      <c r="B19" s="385">
        <f>D30</f>
        <v>2.443056207967733E-2</v>
      </c>
      <c r="C19" s="386">
        <f>E12*B19</f>
        <v>1478824.9839915903</v>
      </c>
      <c r="D19" s="386"/>
      <c r="E19" s="386">
        <f>SUM(C19:D19)</f>
        <v>1478824.9839915903</v>
      </c>
      <c r="F19" s="371"/>
      <c r="G19" s="372"/>
    </row>
    <row r="20" spans="1:8" x14ac:dyDescent="0.25">
      <c r="A20" s="362" t="s">
        <v>79</v>
      </c>
      <c r="B20" s="385">
        <f>D31</f>
        <v>3.1950138602539598E-2</v>
      </c>
      <c r="C20" s="386"/>
      <c r="D20" s="386">
        <f>E13*B20</f>
        <v>3445.1923915506541</v>
      </c>
      <c r="E20" s="386">
        <f>SUM(C20:D20)</f>
        <v>3445.1923915506541</v>
      </c>
      <c r="F20" s="371"/>
      <c r="G20" s="372"/>
    </row>
    <row r="21" spans="1:8" x14ac:dyDescent="0.25">
      <c r="A21" s="126" t="s">
        <v>235</v>
      </c>
      <c r="B21" s="387"/>
      <c r="C21" s="386">
        <f>SUM(C19:C20)</f>
        <v>1478824.9839915903</v>
      </c>
      <c r="D21" s="386">
        <f>SUM(D19:D20)</f>
        <v>3445.1923915506541</v>
      </c>
      <c r="E21" s="386">
        <f>SUM(C21:D21)</f>
        <v>1482270.176383141</v>
      </c>
      <c r="F21" s="371"/>
      <c r="G21" s="372"/>
    </row>
    <row r="22" spans="1:8" x14ac:dyDescent="0.25">
      <c r="A22" s="387"/>
      <c r="B22" s="128" t="s">
        <v>82</v>
      </c>
      <c r="C22" s="387"/>
      <c r="D22" s="387"/>
      <c r="E22" s="385">
        <f>+E21/E10</f>
        <v>2.4443933509191149E-2</v>
      </c>
      <c r="F22" s="388" t="s">
        <v>236</v>
      </c>
      <c r="G22" s="372"/>
    </row>
    <row r="23" spans="1:8" x14ac:dyDescent="0.25">
      <c r="E23" s="380">
        <f>E19/E21</f>
        <v>0.99767573250380226</v>
      </c>
      <c r="F23" s="389" t="s">
        <v>237</v>
      </c>
      <c r="G23" s="372"/>
      <c r="H23" s="372"/>
    </row>
    <row r="24" spans="1:8" x14ac:dyDescent="0.25">
      <c r="E24" s="380">
        <f>E20/E21</f>
        <v>2.3242674961977592E-3</v>
      </c>
      <c r="F24" s="371"/>
      <c r="G24" s="372"/>
      <c r="H24" s="372"/>
    </row>
    <row r="25" spans="1:8" ht="15.75" thickBot="1" x14ac:dyDescent="0.3">
      <c r="F25" s="371"/>
      <c r="G25" s="372"/>
      <c r="H25" s="372"/>
    </row>
    <row r="26" spans="1:8" x14ac:dyDescent="0.25">
      <c r="A26" s="390" t="s">
        <v>107</v>
      </c>
      <c r="B26" s="219"/>
      <c r="C26" s="219"/>
      <c r="D26" s="220"/>
      <c r="E26" s="380"/>
    </row>
    <row r="27" spans="1:8" ht="24.75" x14ac:dyDescent="0.25">
      <c r="A27" s="391" t="s">
        <v>108</v>
      </c>
      <c r="B27" s="392" t="s">
        <v>93</v>
      </c>
      <c r="C27" s="393" t="s">
        <v>109</v>
      </c>
      <c r="D27" s="394" t="s">
        <v>110</v>
      </c>
      <c r="E27" s="395"/>
      <c r="F27" s="371"/>
    </row>
    <row r="28" spans="1:8" x14ac:dyDescent="0.25">
      <c r="A28" s="391" t="s">
        <v>111</v>
      </c>
      <c r="B28" s="392"/>
      <c r="C28" s="221" t="s">
        <v>94</v>
      </c>
      <c r="D28" s="396" t="s">
        <v>94</v>
      </c>
      <c r="E28" s="371"/>
      <c r="F28" s="397"/>
    </row>
    <row r="29" spans="1:8" x14ac:dyDescent="0.25">
      <c r="A29" s="222"/>
      <c r="B29" s="223"/>
      <c r="C29" s="221" t="s">
        <v>112</v>
      </c>
      <c r="D29" s="224"/>
    </row>
    <row r="30" spans="1:8" x14ac:dyDescent="0.25">
      <c r="A30" s="225">
        <v>376.2</v>
      </c>
      <c r="B30" s="223" t="s">
        <v>113</v>
      </c>
      <c r="C30" s="226">
        <v>2.7700000000000002E-2</v>
      </c>
      <c r="D30" s="227">
        <v>2.443056207967733E-2</v>
      </c>
    </row>
    <row r="31" spans="1:8" ht="15.75" thickBot="1" x14ac:dyDescent="0.3">
      <c r="A31" s="228">
        <v>380.2</v>
      </c>
      <c r="B31" s="229" t="s">
        <v>114</v>
      </c>
      <c r="C31" s="230">
        <v>4.58E-2</v>
      </c>
      <c r="D31" s="231">
        <v>3.1950138602539598E-2</v>
      </c>
    </row>
    <row r="33" spans="1:8" x14ac:dyDescent="0.25">
      <c r="A33" s="381"/>
      <c r="B33" s="365" t="s">
        <v>230</v>
      </c>
      <c r="C33" s="365"/>
      <c r="D33" s="365"/>
      <c r="E33" s="380"/>
    </row>
    <row r="34" spans="1:8" x14ac:dyDescent="0.25">
      <c r="A34" s="382" t="s">
        <v>231</v>
      </c>
      <c r="B34" s="383" t="s">
        <v>238</v>
      </c>
      <c r="C34" s="384" t="s">
        <v>239</v>
      </c>
      <c r="D34" s="384" t="s">
        <v>240</v>
      </c>
      <c r="E34" s="384" t="s">
        <v>80</v>
      </c>
    </row>
    <row r="35" spans="1:8" x14ac:dyDescent="0.25">
      <c r="A35" s="126" t="s">
        <v>81</v>
      </c>
      <c r="B35" s="385">
        <f>D30</f>
        <v>2.443056207967733E-2</v>
      </c>
      <c r="C35" s="386">
        <f>E80*B35</f>
        <v>1026649.0141054934</v>
      </c>
      <c r="D35" s="386"/>
      <c r="E35" s="386">
        <f>SUM(C35:D35)</f>
        <v>1026649.0141054934</v>
      </c>
    </row>
    <row r="36" spans="1:8" x14ac:dyDescent="0.25">
      <c r="A36" s="126" t="s">
        <v>79</v>
      </c>
      <c r="B36" s="385">
        <f>D31</f>
        <v>3.1950138602539598E-2</v>
      </c>
      <c r="C36" s="386"/>
      <c r="D36" s="386">
        <f>E81*B36</f>
        <v>111651.69744198215</v>
      </c>
      <c r="E36" s="386">
        <f>SUM(C36:D36)</f>
        <v>111651.69744198215</v>
      </c>
    </row>
    <row r="37" spans="1:8" x14ac:dyDescent="0.25">
      <c r="A37" s="126" t="s">
        <v>235</v>
      </c>
      <c r="B37" s="387"/>
      <c r="C37" s="386">
        <f>SUM(C35:C36)</f>
        <v>1026649.0141054934</v>
      </c>
      <c r="D37" s="386">
        <f>SUM(D35:D36)</f>
        <v>111651.69744198215</v>
      </c>
      <c r="E37" s="386">
        <f>SUM(C37:D37)</f>
        <v>1138300.7115474755</v>
      </c>
    </row>
    <row r="38" spans="1:8" x14ac:dyDescent="0.25">
      <c r="A38" s="387"/>
      <c r="B38" s="128" t="s">
        <v>82</v>
      </c>
      <c r="C38" s="387"/>
      <c r="D38" s="387"/>
      <c r="E38" s="385">
        <f>+E37/E78</f>
        <v>2.5007867478263991E-2</v>
      </c>
    </row>
    <row r="41" spans="1:8" ht="15.75" thickBot="1" x14ac:dyDescent="0.3"/>
    <row r="42" spans="1:8" ht="15.75" thickBot="1" x14ac:dyDescent="0.3">
      <c r="A42" s="367"/>
      <c r="B42" s="398">
        <v>2018</v>
      </c>
      <c r="C42" s="369"/>
      <c r="D42" s="369"/>
      <c r="E42" s="370"/>
      <c r="G42" s="399"/>
      <c r="H42" s="399"/>
    </row>
    <row r="43" spans="1:8" ht="75" x14ac:dyDescent="0.25">
      <c r="A43" s="373" t="s">
        <v>219</v>
      </c>
      <c r="B43" s="373" t="s">
        <v>220</v>
      </c>
      <c r="C43" s="374" t="s">
        <v>241</v>
      </c>
      <c r="D43" s="374" t="s">
        <v>242</v>
      </c>
      <c r="E43" s="375" t="s">
        <v>223</v>
      </c>
      <c r="G43" s="400"/>
      <c r="H43" s="400"/>
    </row>
    <row r="44" spans="1:8" ht="15.75" x14ac:dyDescent="0.25">
      <c r="A44" s="364" t="s">
        <v>83</v>
      </c>
      <c r="B44" s="376" t="s">
        <v>224</v>
      </c>
      <c r="C44" s="377">
        <v>50181798.259999998</v>
      </c>
      <c r="D44" s="377">
        <v>4644023.4099999992</v>
      </c>
      <c r="E44" s="378">
        <f>SUM(C44:D44)</f>
        <v>54825821.669999994</v>
      </c>
      <c r="G44" s="401"/>
      <c r="H44" s="401"/>
    </row>
    <row r="45" spans="1:8" ht="15.75" x14ac:dyDescent="0.25">
      <c r="A45" s="364" t="s">
        <v>225</v>
      </c>
      <c r="B45" s="376" t="s">
        <v>226</v>
      </c>
      <c r="C45" s="377">
        <v>4782276.53</v>
      </c>
      <c r="D45" s="377"/>
      <c r="E45" s="378">
        <f>SUM(C45:D45)</f>
        <v>4782276.53</v>
      </c>
      <c r="G45" s="401"/>
      <c r="H45" s="401"/>
    </row>
    <row r="46" spans="1:8" ht="15.75" x14ac:dyDescent="0.25">
      <c r="A46" s="364" t="s">
        <v>227</v>
      </c>
      <c r="B46" s="376" t="s">
        <v>228</v>
      </c>
      <c r="C46" s="377">
        <v>676665.87999999989</v>
      </c>
      <c r="D46" s="377"/>
      <c r="E46" s="378">
        <f>SUM(C46:D46)</f>
        <v>676665.87999999989</v>
      </c>
      <c r="G46" s="401"/>
      <c r="H46" s="401"/>
    </row>
    <row r="47" spans="1:8" x14ac:dyDescent="0.25">
      <c r="A47" s="126" t="s">
        <v>229</v>
      </c>
      <c r="B47" s="126"/>
      <c r="C47" s="378">
        <f t="shared" ref="C47:D47" si="1">SUM(C44:C46)</f>
        <v>55640740.670000002</v>
      </c>
      <c r="D47" s="378">
        <f t="shared" si="1"/>
        <v>4644023.4099999992</v>
      </c>
      <c r="E47" s="378">
        <f>SUM(E44:E46)</f>
        <v>60284764.079999998</v>
      </c>
      <c r="F47" s="402"/>
      <c r="G47" s="403"/>
      <c r="H47" s="403"/>
    </row>
    <row r="48" spans="1:8" x14ac:dyDescent="0.25">
      <c r="G48" s="404"/>
      <c r="H48" s="404"/>
    </row>
    <row r="49" spans="1:8" x14ac:dyDescent="0.25">
      <c r="B49" s="362" t="s">
        <v>78</v>
      </c>
      <c r="C49" s="362"/>
      <c r="D49" s="362"/>
      <c r="E49" s="379">
        <f>+E44+E45</f>
        <v>59608098.199999996</v>
      </c>
      <c r="G49" s="404"/>
      <c r="H49" s="404"/>
    </row>
    <row r="50" spans="1:8" x14ac:dyDescent="0.25">
      <c r="B50" s="362" t="s">
        <v>79</v>
      </c>
      <c r="C50" s="362"/>
      <c r="D50" s="362"/>
      <c r="E50" s="379">
        <f>+E46</f>
        <v>676665.87999999989</v>
      </c>
      <c r="G50" s="404"/>
      <c r="H50" s="404"/>
    </row>
    <row r="51" spans="1:8" x14ac:dyDescent="0.25">
      <c r="E51" s="380">
        <f>+E49/E47</f>
        <v>0.98877550753782428</v>
      </c>
      <c r="G51" s="404"/>
      <c r="H51" s="404"/>
    </row>
    <row r="52" spans="1:8" x14ac:dyDescent="0.25">
      <c r="E52" s="380">
        <f>+E50/E47</f>
        <v>1.1224492462175693E-2</v>
      </c>
      <c r="G52" s="404"/>
      <c r="H52" s="404"/>
    </row>
    <row r="53" spans="1:8" x14ac:dyDescent="0.25">
      <c r="E53" s="380"/>
      <c r="G53" s="404"/>
      <c r="H53" s="404"/>
    </row>
    <row r="54" spans="1:8" x14ac:dyDescent="0.25">
      <c r="A54" s="381"/>
      <c r="B54" s="365" t="s">
        <v>230</v>
      </c>
      <c r="C54" s="365"/>
      <c r="D54" s="365"/>
      <c r="E54" s="365"/>
      <c r="G54" s="404"/>
      <c r="H54" s="404"/>
    </row>
    <row r="55" spans="1:8" x14ac:dyDescent="0.25">
      <c r="A55" s="382" t="s">
        <v>231</v>
      </c>
      <c r="B55" s="383" t="s">
        <v>243</v>
      </c>
      <c r="C55" s="384" t="s">
        <v>233</v>
      </c>
      <c r="D55" s="384" t="s">
        <v>234</v>
      </c>
      <c r="E55" s="384" t="s">
        <v>80</v>
      </c>
      <c r="G55" s="404"/>
      <c r="H55" s="404"/>
    </row>
    <row r="56" spans="1:8" x14ac:dyDescent="0.25">
      <c r="A56" s="126" t="s">
        <v>81</v>
      </c>
      <c r="B56" s="385">
        <f>C30</f>
        <v>2.7700000000000002E-2</v>
      </c>
      <c r="C56" s="386">
        <f>E49*B56</f>
        <v>1651144.32014</v>
      </c>
      <c r="D56" s="386"/>
      <c r="E56" s="386">
        <f>SUM(C56:D56)</f>
        <v>1651144.32014</v>
      </c>
      <c r="G56" s="404"/>
      <c r="H56" s="404"/>
    </row>
    <row r="57" spans="1:8" x14ac:dyDescent="0.25">
      <c r="A57" s="126" t="s">
        <v>79</v>
      </c>
      <c r="B57" s="385">
        <f>C31</f>
        <v>4.58E-2</v>
      </c>
      <c r="C57" s="386"/>
      <c r="D57" s="386">
        <f>E50*B57</f>
        <v>30991.297303999996</v>
      </c>
      <c r="E57" s="386">
        <f>SUM(C57:D57)</f>
        <v>30991.297303999996</v>
      </c>
      <c r="G57" s="404"/>
      <c r="H57" s="404"/>
    </row>
    <row r="58" spans="1:8" x14ac:dyDescent="0.25">
      <c r="A58" s="126" t="s">
        <v>235</v>
      </c>
      <c r="B58" s="387"/>
      <c r="C58" s="386">
        <f>SUM(C56:C57)</f>
        <v>1651144.32014</v>
      </c>
      <c r="D58" s="386">
        <f>SUM(D56:D57)</f>
        <v>30991.297303999996</v>
      </c>
      <c r="E58" s="386">
        <f>SUM(C58:D58)</f>
        <v>1682135.617444</v>
      </c>
      <c r="G58" s="404"/>
      <c r="H58" s="404"/>
    </row>
    <row r="59" spans="1:8" x14ac:dyDescent="0.25">
      <c r="A59" s="387"/>
      <c r="B59" s="128" t="s">
        <v>82</v>
      </c>
      <c r="C59" s="387"/>
      <c r="D59" s="387"/>
      <c r="E59" s="385">
        <f>+E58/E47</f>
        <v>2.790316331356538E-2</v>
      </c>
      <c r="G59" s="404"/>
      <c r="H59" s="404"/>
    </row>
    <row r="60" spans="1:8" x14ac:dyDescent="0.25">
      <c r="E60" s="380">
        <f>E56/E58</f>
        <v>0.98157621954935403</v>
      </c>
      <c r="G60" s="404"/>
      <c r="H60" s="404"/>
    </row>
    <row r="61" spans="1:8" x14ac:dyDescent="0.25">
      <c r="E61" s="380">
        <f>E57/E58</f>
        <v>1.8423780450645934E-2</v>
      </c>
      <c r="G61" s="404"/>
      <c r="H61" s="404"/>
    </row>
    <row r="62" spans="1:8" x14ac:dyDescent="0.25">
      <c r="A62" s="381"/>
      <c r="B62" s="365" t="s">
        <v>230</v>
      </c>
      <c r="C62" s="365"/>
      <c r="D62" s="365"/>
      <c r="E62" s="365"/>
      <c r="G62" s="404"/>
      <c r="H62" s="404"/>
    </row>
    <row r="63" spans="1:8" x14ac:dyDescent="0.25">
      <c r="A63" s="382" t="s">
        <v>231</v>
      </c>
      <c r="B63" s="383" t="s">
        <v>232</v>
      </c>
      <c r="C63" s="384" t="s">
        <v>233</v>
      </c>
      <c r="D63" s="384" t="s">
        <v>234</v>
      </c>
      <c r="E63" s="384" t="s">
        <v>80</v>
      </c>
      <c r="G63" s="404"/>
      <c r="H63" s="404"/>
    </row>
    <row r="64" spans="1:8" x14ac:dyDescent="0.25">
      <c r="A64" s="126" t="s">
        <v>81</v>
      </c>
      <c r="B64" s="385">
        <f>D30</f>
        <v>2.443056207967733E-2</v>
      </c>
      <c r="C64" s="386">
        <f>E49*B64</f>
        <v>1456259.3435266025</v>
      </c>
      <c r="D64" s="386"/>
      <c r="E64" s="386">
        <f>SUM(C64:D64)</f>
        <v>1456259.3435266025</v>
      </c>
      <c r="F64" s="371"/>
      <c r="G64" s="404"/>
      <c r="H64" s="404"/>
    </row>
    <row r="65" spans="1:8" x14ac:dyDescent="0.25">
      <c r="A65" s="126" t="s">
        <v>79</v>
      </c>
      <c r="B65" s="385">
        <f>D31</f>
        <v>3.1950138602539598E-2</v>
      </c>
      <c r="C65" s="386"/>
      <c r="D65" s="386">
        <f>E50*B65</f>
        <v>21619.568653609422</v>
      </c>
      <c r="E65" s="386">
        <f>SUM(C65:D65)</f>
        <v>21619.568653609422</v>
      </c>
      <c r="F65" s="371"/>
      <c r="G65" s="404"/>
      <c r="H65" s="404"/>
    </row>
    <row r="66" spans="1:8" x14ac:dyDescent="0.25">
      <c r="A66" s="126" t="s">
        <v>235</v>
      </c>
      <c r="B66" s="387"/>
      <c r="C66" s="386">
        <f>SUM(C64:C65)</f>
        <v>1456259.3435266025</v>
      </c>
      <c r="D66" s="386">
        <f>SUM(D64:D65)</f>
        <v>21619.568653609422</v>
      </c>
      <c r="E66" s="386">
        <f>SUM(C66:D66)</f>
        <v>1477878.9121802119</v>
      </c>
      <c r="F66" s="371"/>
      <c r="G66" s="404"/>
      <c r="H66" s="404"/>
    </row>
    <row r="67" spans="1:8" x14ac:dyDescent="0.25">
      <c r="A67" s="387"/>
      <c r="B67" s="128" t="s">
        <v>82</v>
      </c>
      <c r="C67" s="387"/>
      <c r="D67" s="387"/>
      <c r="E67" s="385">
        <f>+E66/E47</f>
        <v>2.451496550967695E-2</v>
      </c>
      <c r="G67" s="405"/>
      <c r="H67" s="405"/>
    </row>
    <row r="68" spans="1:8" x14ac:dyDescent="0.25">
      <c r="E68" s="380">
        <f>E64/E66</f>
        <v>0.98537121784780357</v>
      </c>
      <c r="F68" s="371"/>
      <c r="G68" s="406"/>
      <c r="H68" s="406"/>
    </row>
    <row r="69" spans="1:8" x14ac:dyDescent="0.25">
      <c r="E69" s="380">
        <f>E65/E66</f>
        <v>1.4628782152196472E-2</v>
      </c>
      <c r="F69" s="371"/>
      <c r="G69" s="406"/>
      <c r="H69" s="406"/>
    </row>
    <row r="70" spans="1:8" x14ac:dyDescent="0.25">
      <c r="F70" s="371"/>
      <c r="G70" s="406"/>
      <c r="H70" s="406"/>
    </row>
    <row r="71" spans="1:8" x14ac:dyDescent="0.25">
      <c r="E71" s="371">
        <f>E66/12*F71</f>
        <v>50237.303400000004</v>
      </c>
      <c r="F71" s="371">
        <f>0.01/E67</f>
        <v>0.40791409623042857</v>
      </c>
      <c r="G71" s="404"/>
      <c r="H71" s="404"/>
    </row>
    <row r="72" spans="1:8" ht="15.75" thickBot="1" x14ac:dyDescent="0.3">
      <c r="E72" s="371"/>
      <c r="G72" s="404"/>
      <c r="H72" s="404"/>
    </row>
    <row r="73" spans="1:8" ht="15.75" outlineLevel="1" thickBot="1" x14ac:dyDescent="0.3">
      <c r="A73" s="367"/>
      <c r="B73" s="398">
        <v>2017</v>
      </c>
      <c r="C73" s="369"/>
      <c r="D73" s="369"/>
      <c r="E73" s="370"/>
      <c r="G73" s="407"/>
      <c r="H73" s="407"/>
    </row>
    <row r="74" spans="1:8" ht="30" outlineLevel="1" x14ac:dyDescent="0.25">
      <c r="A74" s="373" t="s">
        <v>219</v>
      </c>
      <c r="B74" s="373" t="s">
        <v>220</v>
      </c>
      <c r="C74" s="375" t="s">
        <v>244</v>
      </c>
      <c r="D74" s="375" t="s">
        <v>245</v>
      </c>
      <c r="E74" s="375" t="s">
        <v>223</v>
      </c>
      <c r="G74" s="407"/>
      <c r="H74" s="407"/>
    </row>
    <row r="75" spans="1:8" ht="15.75" outlineLevel="1" x14ac:dyDescent="0.25">
      <c r="A75" s="364" t="s">
        <v>83</v>
      </c>
      <c r="B75" s="376" t="s">
        <v>224</v>
      </c>
      <c r="C75" s="378">
        <v>32093652.129999988</v>
      </c>
      <c r="D75" s="378">
        <v>2505759</v>
      </c>
      <c r="E75" s="378">
        <f>SUM(C75:D75)</f>
        <v>34599411.129999988</v>
      </c>
      <c r="G75" s="407"/>
      <c r="H75" s="407"/>
    </row>
    <row r="76" spans="1:8" ht="15.75" outlineLevel="1" x14ac:dyDescent="0.25">
      <c r="A76" s="364" t="s">
        <v>225</v>
      </c>
      <c r="B76" s="376" t="s">
        <v>226</v>
      </c>
      <c r="C76" s="378">
        <v>7251539.2899999935</v>
      </c>
      <c r="D76" s="378">
        <v>172193</v>
      </c>
      <c r="E76" s="378">
        <f>SUM(C76:D76)</f>
        <v>7423732.2899999935</v>
      </c>
      <c r="G76" s="407"/>
      <c r="H76" s="407"/>
    </row>
    <row r="77" spans="1:8" ht="15.75" outlineLevel="1" x14ac:dyDescent="0.25">
      <c r="A77" s="364" t="s">
        <v>227</v>
      </c>
      <c r="B77" s="376" t="s">
        <v>228</v>
      </c>
      <c r="C77" s="378">
        <v>3437688.6599999969</v>
      </c>
      <c r="D77" s="378">
        <v>56872</v>
      </c>
      <c r="E77" s="378">
        <f>SUM(C77:D77)</f>
        <v>3494560.6599999969</v>
      </c>
      <c r="G77" s="407"/>
      <c r="H77" s="407"/>
    </row>
    <row r="78" spans="1:8" outlineLevel="1" x14ac:dyDescent="0.25">
      <c r="A78" s="126" t="s">
        <v>229</v>
      </c>
      <c r="B78" s="126"/>
      <c r="C78" s="378">
        <f t="shared" ref="C78:D78" si="2">SUM(C75:C77)</f>
        <v>42782880.079999976</v>
      </c>
      <c r="D78" s="378">
        <f t="shared" si="2"/>
        <v>2734824</v>
      </c>
      <c r="E78" s="378">
        <f>SUM(E75:E77)</f>
        <v>45517704.079999976</v>
      </c>
      <c r="F78" s="408"/>
      <c r="G78" s="407"/>
      <c r="H78" s="407"/>
    </row>
    <row r="79" spans="1:8" outlineLevel="1" x14ac:dyDescent="0.25">
      <c r="F79" s="409"/>
      <c r="G79" s="407"/>
      <c r="H79" s="407"/>
    </row>
    <row r="80" spans="1:8" outlineLevel="1" x14ac:dyDescent="0.25">
      <c r="B80" s="362" t="s">
        <v>78</v>
      </c>
      <c r="C80" s="362"/>
      <c r="D80" s="362"/>
      <c r="E80" s="379">
        <f>+E75+E76</f>
        <v>42023143.419999979</v>
      </c>
      <c r="G80" s="407"/>
      <c r="H80" s="407"/>
    </row>
    <row r="81" spans="1:8" outlineLevel="1" x14ac:dyDescent="0.25">
      <c r="B81" s="362" t="s">
        <v>79</v>
      </c>
      <c r="C81" s="362"/>
      <c r="D81" s="362"/>
      <c r="E81" s="379">
        <f>+E77</f>
        <v>3494560.6599999969</v>
      </c>
    </row>
    <row r="82" spans="1:8" outlineLevel="1" x14ac:dyDescent="0.25">
      <c r="D82" s="364" t="s">
        <v>246</v>
      </c>
      <c r="E82" s="380">
        <f>+E80/E78</f>
        <v>0.92322634169205664</v>
      </c>
    </row>
    <row r="83" spans="1:8" outlineLevel="1" x14ac:dyDescent="0.25">
      <c r="D83" s="364" t="s">
        <v>247</v>
      </c>
      <c r="E83" s="380">
        <f>+E81/E78</f>
        <v>7.6773658307943346E-2</v>
      </c>
    </row>
    <row r="84" spans="1:8" outlineLevel="1" x14ac:dyDescent="0.25">
      <c r="A84" s="381"/>
      <c r="B84" s="365" t="s">
        <v>230</v>
      </c>
      <c r="C84" s="365"/>
      <c r="D84" s="365"/>
    </row>
    <row r="85" spans="1:8" outlineLevel="1" x14ac:dyDescent="0.25">
      <c r="A85" s="382" t="s">
        <v>231</v>
      </c>
      <c r="B85" s="383" t="s">
        <v>238</v>
      </c>
      <c r="C85" s="384" t="s">
        <v>239</v>
      </c>
      <c r="D85" s="384" t="s">
        <v>240</v>
      </c>
      <c r="E85" s="384" t="s">
        <v>80</v>
      </c>
    </row>
    <row r="86" spans="1:8" outlineLevel="1" x14ac:dyDescent="0.25">
      <c r="A86" s="126" t="s">
        <v>81</v>
      </c>
      <c r="B86" s="385">
        <f>C30</f>
        <v>2.7700000000000002E-2</v>
      </c>
      <c r="C86" s="386">
        <f>E80*B86</f>
        <v>1164041.0727339995</v>
      </c>
      <c r="D86" s="386"/>
      <c r="E86" s="386">
        <f>SUM(C86:D86)</f>
        <v>1164041.0727339995</v>
      </c>
      <c r="F86" s="371"/>
    </row>
    <row r="87" spans="1:8" outlineLevel="1" x14ac:dyDescent="0.25">
      <c r="A87" s="126" t="s">
        <v>79</v>
      </c>
      <c r="B87" s="385">
        <f>C31</f>
        <v>4.58E-2</v>
      </c>
      <c r="C87" s="386"/>
      <c r="D87" s="386">
        <f>E81*B87</f>
        <v>160050.87822799987</v>
      </c>
      <c r="E87" s="386">
        <f>SUM(C87:D87)</f>
        <v>160050.87822799987</v>
      </c>
      <c r="F87" s="371"/>
    </row>
    <row r="88" spans="1:8" outlineLevel="1" x14ac:dyDescent="0.25">
      <c r="A88" s="126" t="s">
        <v>235</v>
      </c>
      <c r="B88" s="387"/>
      <c r="C88" s="386">
        <f>SUM(C86:C87)</f>
        <v>1164041.0727339995</v>
      </c>
      <c r="D88" s="386">
        <f>SUM(D86:D87)</f>
        <v>160050.87822799987</v>
      </c>
      <c r="E88" s="386">
        <f>SUM(C88:D88)</f>
        <v>1324091.9509619994</v>
      </c>
      <c r="F88" s="371"/>
    </row>
    <row r="89" spans="1:8" outlineLevel="1" x14ac:dyDescent="0.25">
      <c r="A89" s="387"/>
      <c r="B89" s="128" t="s">
        <v>82</v>
      </c>
      <c r="C89" s="387"/>
      <c r="D89" s="387"/>
      <c r="E89" s="385">
        <f>+E88/E78</f>
        <v>2.9089603215373776E-2</v>
      </c>
      <c r="F89" s="371"/>
    </row>
    <row r="90" spans="1:8" outlineLevel="1" x14ac:dyDescent="0.25">
      <c r="E90" s="380">
        <f>E86/E88</f>
        <v>0.87912404564372038</v>
      </c>
      <c r="F90" s="371"/>
      <c r="G90" s="372"/>
      <c r="H90" s="372"/>
    </row>
    <row r="91" spans="1:8" outlineLevel="1" x14ac:dyDescent="0.25">
      <c r="E91" s="380">
        <f>E87/E88</f>
        <v>0.12087595435627962</v>
      </c>
      <c r="F91" s="371"/>
      <c r="G91" s="372"/>
      <c r="H91" s="372"/>
    </row>
  </sheetData>
  <pageMargins left="0.7" right="0.7" top="0.75" bottom="0.75" header="0.3" footer="0.3"/>
  <pageSetup scale="52"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9"/>
  <sheetViews>
    <sheetView zoomScale="85" zoomScaleNormal="85" workbookViewId="0">
      <pane xSplit="4" ySplit="26" topLeftCell="E48" activePane="bottomRight" state="frozen"/>
      <selection activeCell="H42" sqref="H42"/>
      <selection pane="topRight" activeCell="H42" sqref="H42"/>
      <selection pane="bottomLeft" activeCell="H42" sqref="H42"/>
      <selection pane="bottomRight" activeCell="C62" sqref="C62"/>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4" width="14" style="3" customWidth="1"/>
    <col min="45" max="45" width="14.28515625" style="3" bestFit="1" customWidth="1"/>
    <col min="46" max="46" width="16.5703125" style="3" customWidth="1"/>
    <col min="47" max="16384" width="10.28515625" style="3"/>
  </cols>
  <sheetData>
    <row r="1" spans="1:14" s="3" customFormat="1" ht="17.25" customHeight="1" x14ac:dyDescent="0.25">
      <c r="A1" s="1" t="s">
        <v>0</v>
      </c>
      <c r="B1" s="2"/>
      <c r="C1" s="2"/>
      <c r="E1" s="506"/>
      <c r="F1" s="506"/>
      <c r="H1" s="4"/>
      <c r="I1" s="5"/>
    </row>
    <row r="2" spans="1:14" s="3" customFormat="1" ht="12.75" customHeight="1" x14ac:dyDescent="0.25">
      <c r="A2" s="6" t="s">
        <v>1</v>
      </c>
      <c r="B2" s="2"/>
      <c r="C2" s="2"/>
      <c r="F2" s="5"/>
      <c r="G2" s="5"/>
    </row>
    <row r="3" spans="1:14" s="3" customFormat="1" ht="12.75" customHeight="1" x14ac:dyDescent="0.25">
      <c r="A3" s="6" t="s">
        <v>2</v>
      </c>
      <c r="B3" s="2"/>
      <c r="C3" s="134">
        <v>2018</v>
      </c>
      <c r="D3" s="135" t="s">
        <v>3</v>
      </c>
      <c r="F3" s="5"/>
      <c r="G3" s="5"/>
    </row>
    <row r="4" spans="1:14" s="3" customFormat="1" ht="7.5" customHeight="1" thickBot="1" x14ac:dyDescent="0.25">
      <c r="A4" s="2"/>
      <c r="B4" s="2"/>
      <c r="C4" s="2"/>
      <c r="F4" s="5"/>
      <c r="G4" s="5"/>
    </row>
    <row r="5" spans="1:14" s="3" customFormat="1" x14ac:dyDescent="0.2">
      <c r="A5" s="7" t="s">
        <v>4</v>
      </c>
      <c r="B5" s="8"/>
      <c r="C5" s="8"/>
      <c r="D5" s="9"/>
      <c r="E5" s="9"/>
      <c r="F5" s="10"/>
      <c r="G5" s="11"/>
      <c r="H5" s="136"/>
      <c r="I5" s="9"/>
      <c r="J5" s="10"/>
      <c r="L5" s="3" t="s">
        <v>146</v>
      </c>
      <c r="N5" s="22">
        <f>F22</f>
        <v>60284764.079999998</v>
      </c>
    </row>
    <row r="6" spans="1:14" s="3" customFormat="1" x14ac:dyDescent="0.2">
      <c r="A6" s="12"/>
      <c r="B6" s="13"/>
      <c r="C6" s="13"/>
      <c r="D6" s="109" t="s">
        <v>143</v>
      </c>
      <c r="E6" s="109"/>
      <c r="F6" s="110"/>
      <c r="G6" s="11"/>
      <c r="H6" s="137" t="s">
        <v>144</v>
      </c>
      <c r="I6" s="109"/>
      <c r="J6" s="110"/>
    </row>
    <row r="7" spans="1:14" s="3" customFormat="1" x14ac:dyDescent="0.2">
      <c r="A7" s="12"/>
      <c r="B7" s="13"/>
      <c r="C7" s="13"/>
      <c r="D7" s="16"/>
      <c r="E7" s="16"/>
      <c r="F7" s="17" t="s">
        <v>5</v>
      </c>
      <c r="G7" s="18"/>
      <c r="H7" s="138"/>
      <c r="I7" s="16"/>
      <c r="J7" s="17" t="s">
        <v>5</v>
      </c>
      <c r="M7" s="111" t="s">
        <v>147</v>
      </c>
      <c r="N7" s="3" t="s">
        <v>53</v>
      </c>
    </row>
    <row r="8" spans="1:14" s="3" customFormat="1" x14ac:dyDescent="0.2">
      <c r="A8" s="12" t="s">
        <v>6</v>
      </c>
      <c r="B8" s="13"/>
      <c r="C8" s="13"/>
      <c r="D8" s="19" t="s">
        <v>7</v>
      </c>
      <c r="E8" s="19" t="s">
        <v>8</v>
      </c>
      <c r="F8" s="20" t="s">
        <v>8</v>
      </c>
      <c r="G8" s="18"/>
      <c r="H8" s="139" t="s">
        <v>7</v>
      </c>
      <c r="I8" s="19" t="s">
        <v>8</v>
      </c>
      <c r="J8" s="20" t="s">
        <v>8</v>
      </c>
      <c r="L8" s="165">
        <v>43069</v>
      </c>
      <c r="M8" s="101">
        <f>J17</f>
        <v>2.790316331356538E-2</v>
      </c>
      <c r="N8" s="22">
        <f>$N$5*M8/12</f>
        <v>140177.96812033333</v>
      </c>
    </row>
    <row r="9" spans="1:14" s="3" customFormat="1" x14ac:dyDescent="0.2">
      <c r="A9" s="12"/>
      <c r="B9" s="13"/>
      <c r="C9" s="13"/>
      <c r="D9" s="14"/>
      <c r="E9" s="14"/>
      <c r="F9" s="21"/>
      <c r="G9" s="14"/>
      <c r="H9" s="141"/>
      <c r="I9" s="14"/>
      <c r="J9" s="21"/>
      <c r="L9" s="165">
        <v>43100</v>
      </c>
      <c r="M9" s="101">
        <f>F17</f>
        <v>2.451496550967695E-2</v>
      </c>
      <c r="N9" s="22">
        <f>$N$5*M9/12</f>
        <v>123156.57601501765</v>
      </c>
    </row>
    <row r="10" spans="1:14" s="3" customFormat="1" x14ac:dyDescent="0.2">
      <c r="A10" s="12"/>
      <c r="B10" s="13"/>
      <c r="C10" s="13"/>
      <c r="D10" s="23"/>
      <c r="E10" s="23"/>
      <c r="F10" s="24"/>
      <c r="G10" s="22"/>
      <c r="H10" s="142"/>
      <c r="I10" s="23"/>
      <c r="J10" s="24"/>
      <c r="L10" s="165">
        <v>43131</v>
      </c>
      <c r="M10" s="101">
        <f>M9</f>
        <v>2.451496550967695E-2</v>
      </c>
      <c r="N10" s="22">
        <f>$N$5*M10/12</f>
        <v>123156.57601501765</v>
      </c>
    </row>
    <row r="11" spans="1:14" s="3" customFormat="1" x14ac:dyDescent="0.2">
      <c r="A11" s="12" t="s">
        <v>102</v>
      </c>
      <c r="B11" s="13"/>
      <c r="C11" s="13"/>
      <c r="D11" s="23">
        <v>0.51500000000000001</v>
      </c>
      <c r="E11" s="23">
        <v>5.8058252427184473E-2</v>
      </c>
      <c r="F11" s="24">
        <v>2.9899999999999999E-2</v>
      </c>
      <c r="G11" s="22"/>
      <c r="H11" s="142">
        <v>0.52</v>
      </c>
      <c r="I11" s="23">
        <v>8.8400000000000006E-2</v>
      </c>
      <c r="J11" s="24">
        <v>3.0700000000000002E-2</v>
      </c>
      <c r="K11" s="22"/>
      <c r="L11" s="165">
        <v>43159</v>
      </c>
      <c r="M11" s="101">
        <f t="shared" ref="M11:M19" si="0">M10</f>
        <v>2.451496550967695E-2</v>
      </c>
      <c r="N11" s="22">
        <f t="shared" ref="N11:N19" si="1">$N$5*M11/12</f>
        <v>123156.57601501765</v>
      </c>
    </row>
    <row r="12" spans="1:14" s="3" customFormat="1" x14ac:dyDescent="0.2">
      <c r="A12" s="12" t="s">
        <v>9</v>
      </c>
      <c r="B12" s="13"/>
      <c r="C12" s="13"/>
      <c r="D12" s="25">
        <v>0.48499999999999999</v>
      </c>
      <c r="E12" s="23">
        <v>9.5000000000000001E-2</v>
      </c>
      <c r="F12" s="26">
        <v>4.6100000000000002E-2</v>
      </c>
      <c r="G12" s="22"/>
      <c r="H12" s="143">
        <v>0.48</v>
      </c>
      <c r="I12" s="25">
        <v>9.8000000000000004E-2</v>
      </c>
      <c r="J12" s="26">
        <v>4.7E-2</v>
      </c>
      <c r="K12" s="22"/>
      <c r="L12" s="165">
        <v>43190</v>
      </c>
      <c r="M12" s="101">
        <f t="shared" si="0"/>
        <v>2.451496550967695E-2</v>
      </c>
      <c r="N12" s="22">
        <f t="shared" si="1"/>
        <v>123156.57601501765</v>
      </c>
    </row>
    <row r="13" spans="1:14" s="3" customFormat="1" ht="15.75" thickBot="1" x14ac:dyDescent="0.25">
      <c r="A13" s="12" t="s">
        <v>10</v>
      </c>
      <c r="B13" s="13"/>
      <c r="C13" s="13"/>
      <c r="D13" s="27">
        <f>D10+D11+D12</f>
        <v>1</v>
      </c>
      <c r="E13" s="28"/>
      <c r="F13" s="29">
        <f>F10+F11+F12</f>
        <v>7.5999999999999998E-2</v>
      </c>
      <c r="G13" s="28"/>
      <c r="H13" s="144">
        <f>H10+H11+H12</f>
        <v>1</v>
      </c>
      <c r="I13" s="28"/>
      <c r="J13" s="29">
        <f>J10+J11+J12</f>
        <v>7.7700000000000005E-2</v>
      </c>
      <c r="K13" s="22"/>
      <c r="L13" s="165">
        <v>43220</v>
      </c>
      <c r="M13" s="101">
        <f t="shared" si="0"/>
        <v>2.451496550967695E-2</v>
      </c>
      <c r="N13" s="22">
        <f t="shared" si="1"/>
        <v>123156.57601501765</v>
      </c>
    </row>
    <row r="14" spans="1:14" s="3" customFormat="1" ht="15.75" thickTop="1" x14ac:dyDescent="0.2">
      <c r="A14" s="12"/>
      <c r="B14" s="13"/>
      <c r="C14" s="13"/>
      <c r="D14" s="14"/>
      <c r="E14" s="14"/>
      <c r="F14" s="21"/>
      <c r="G14" s="14"/>
      <c r="H14" s="141"/>
      <c r="I14" s="14"/>
      <c r="J14" s="21"/>
      <c r="L14" s="165">
        <v>43251</v>
      </c>
      <c r="M14" s="101">
        <f t="shared" si="0"/>
        <v>2.451496550967695E-2</v>
      </c>
      <c r="N14" s="22">
        <f t="shared" si="1"/>
        <v>123156.57601501765</v>
      </c>
    </row>
    <row r="15" spans="1:14" s="3" customFormat="1" x14ac:dyDescent="0.2">
      <c r="A15" s="12" t="s">
        <v>11</v>
      </c>
      <c r="B15" s="13"/>
      <c r="C15" s="13"/>
      <c r="D15" s="14"/>
      <c r="E15" s="14"/>
      <c r="F15" s="24">
        <v>0.21</v>
      </c>
      <c r="G15" s="28"/>
      <c r="H15" s="141"/>
      <c r="I15" s="14"/>
      <c r="J15" s="24">
        <v>0.35</v>
      </c>
      <c r="L15" s="165">
        <v>43281</v>
      </c>
      <c r="M15" s="101">
        <f t="shared" si="0"/>
        <v>2.451496550967695E-2</v>
      </c>
      <c r="N15" s="22">
        <f t="shared" si="1"/>
        <v>123156.57601501765</v>
      </c>
    </row>
    <row r="16" spans="1:14" s="3" customFormat="1" x14ac:dyDescent="0.2">
      <c r="A16" s="12" t="s">
        <v>12</v>
      </c>
      <c r="B16" s="13"/>
      <c r="C16" s="13"/>
      <c r="D16" s="14"/>
      <c r="E16" s="14"/>
      <c r="F16" s="24">
        <v>4.5462000000000002E-2</v>
      </c>
      <c r="G16" s="28"/>
      <c r="H16" s="141"/>
      <c r="I16" s="14"/>
      <c r="J16" s="24">
        <v>4.5462000000000002E-2</v>
      </c>
      <c r="L16" s="165">
        <v>43312</v>
      </c>
      <c r="M16" s="101">
        <f t="shared" si="0"/>
        <v>2.451496550967695E-2</v>
      </c>
      <c r="N16" s="22">
        <f t="shared" si="1"/>
        <v>123156.57601501765</v>
      </c>
    </row>
    <row r="17" spans="1:46" x14ac:dyDescent="0.2">
      <c r="A17" s="12" t="s">
        <v>13</v>
      </c>
      <c r="B17" s="13"/>
      <c r="C17" s="13"/>
      <c r="D17" s="14"/>
      <c r="E17" s="14"/>
      <c r="F17" s="24">
        <v>2.451496550967695E-2</v>
      </c>
      <c r="H17" s="141"/>
      <c r="I17" s="14"/>
      <c r="J17" s="24">
        <v>2.790316331356538E-2</v>
      </c>
      <c r="K17" s="3"/>
      <c r="L17" s="165">
        <v>43343</v>
      </c>
      <c r="M17" s="101">
        <f t="shared" si="0"/>
        <v>2.451496550967695E-2</v>
      </c>
      <c r="N17" s="22">
        <f t="shared" si="1"/>
        <v>123156.57601501765</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6" x14ac:dyDescent="0.2">
      <c r="A18" s="12" t="s">
        <v>14</v>
      </c>
      <c r="B18" s="13"/>
      <c r="C18" s="13"/>
      <c r="D18" s="14"/>
      <c r="E18" s="14"/>
      <c r="F18" s="30">
        <v>0</v>
      </c>
      <c r="G18" s="5"/>
      <c r="H18" s="141"/>
      <c r="I18" s="14"/>
      <c r="J18" s="30">
        <v>1</v>
      </c>
      <c r="K18" s="3"/>
      <c r="L18" s="165">
        <v>43373</v>
      </c>
      <c r="M18" s="101">
        <f t="shared" si="0"/>
        <v>2.451496550967695E-2</v>
      </c>
      <c r="N18" s="22">
        <f t="shared" si="1"/>
        <v>123156.57601501765</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6" x14ac:dyDescent="0.2">
      <c r="A19" s="12"/>
      <c r="B19" s="13"/>
      <c r="C19" s="13"/>
      <c r="D19" s="14"/>
      <c r="E19" s="14"/>
      <c r="F19" s="15"/>
      <c r="G19" s="5"/>
      <c r="H19" s="146"/>
      <c r="I19" s="14"/>
      <c r="J19" s="21"/>
      <c r="K19" s="3"/>
      <c r="L19" s="165">
        <v>43404</v>
      </c>
      <c r="M19" s="101">
        <f t="shared" si="0"/>
        <v>2.451496550967695E-2</v>
      </c>
      <c r="N19" s="22">
        <f t="shared" si="1"/>
        <v>123156.57601501765</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6" x14ac:dyDescent="0.2">
      <c r="A20" s="12" t="s">
        <v>15</v>
      </c>
      <c r="B20" s="13"/>
      <c r="C20" s="13"/>
      <c r="D20" s="14"/>
      <c r="E20" s="14"/>
      <c r="F20" s="15"/>
      <c r="G20" s="5"/>
      <c r="H20" s="146"/>
      <c r="I20" s="14"/>
      <c r="J20" s="21"/>
      <c r="K20" s="3"/>
      <c r="N20" s="112">
        <f>SUM(N8:N19)</f>
        <v>1494900.3042855277</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6" x14ac:dyDescent="0.2">
      <c r="A21" s="12" t="s">
        <v>16</v>
      </c>
      <c r="B21" s="13"/>
      <c r="C21" s="13"/>
      <c r="D21" s="14"/>
      <c r="E21" s="14"/>
      <c r="F21" s="15"/>
      <c r="H21" s="146"/>
      <c r="I21" s="14"/>
      <c r="J21" s="21"/>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6" ht="15.75" thickBot="1" x14ac:dyDescent="0.25">
      <c r="A22" s="31" t="s">
        <v>17</v>
      </c>
      <c r="B22" s="32"/>
      <c r="C22" s="32"/>
      <c r="D22" s="32"/>
      <c r="E22" s="33"/>
      <c r="F22" s="57">
        <v>60284764.079999998</v>
      </c>
      <c r="H22" s="148"/>
      <c r="I22" s="33"/>
      <c r="J22" s="149"/>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6"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6"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6" x14ac:dyDescent="0.2">
      <c r="A25" s="2"/>
      <c r="B25" s="2"/>
      <c r="C25" s="2"/>
      <c r="D25" s="135"/>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6" x14ac:dyDescent="0.2">
      <c r="A26" s="2"/>
      <c r="B26" s="2"/>
      <c r="C26" s="2"/>
      <c r="D26" s="135"/>
      <c r="E26" s="82">
        <v>2018</v>
      </c>
      <c r="F26" s="82">
        <v>2019</v>
      </c>
      <c r="G26" s="82">
        <v>2020</v>
      </c>
      <c r="H26" s="82">
        <v>2021</v>
      </c>
      <c r="I26" s="82">
        <v>2022</v>
      </c>
      <c r="J26" s="82">
        <v>2023</v>
      </c>
      <c r="K26" s="82">
        <v>2024</v>
      </c>
      <c r="L26" s="82">
        <v>2025</v>
      </c>
      <c r="M26" s="82">
        <v>2026</v>
      </c>
      <c r="N26" s="82">
        <v>2027</v>
      </c>
      <c r="O26" s="82">
        <v>2028</v>
      </c>
      <c r="P26" s="82">
        <v>2029</v>
      </c>
      <c r="Q26" s="82">
        <v>2030</v>
      </c>
      <c r="R26" s="82">
        <v>2031</v>
      </c>
      <c r="S26" s="82">
        <v>2032</v>
      </c>
      <c r="T26" s="82">
        <v>2033</v>
      </c>
      <c r="U26" s="82">
        <v>2034</v>
      </c>
      <c r="V26" s="82">
        <v>2035</v>
      </c>
      <c r="W26" s="82">
        <v>2036</v>
      </c>
      <c r="X26" s="82">
        <v>2037</v>
      </c>
      <c r="Y26" s="82">
        <v>2038</v>
      </c>
      <c r="Z26" s="82">
        <v>2039</v>
      </c>
      <c r="AA26" s="82">
        <v>2040</v>
      </c>
      <c r="AB26" s="82">
        <v>2041</v>
      </c>
      <c r="AC26" s="82">
        <v>2042</v>
      </c>
      <c r="AD26" s="82">
        <v>2043</v>
      </c>
      <c r="AE26" s="82">
        <v>2044</v>
      </c>
      <c r="AF26" s="82">
        <v>2045</v>
      </c>
      <c r="AG26" s="82">
        <v>2046</v>
      </c>
      <c r="AH26" s="82">
        <v>2047</v>
      </c>
      <c r="AI26" s="82">
        <v>2048</v>
      </c>
      <c r="AJ26" s="82">
        <v>2049</v>
      </c>
      <c r="AK26" s="82">
        <v>2050</v>
      </c>
      <c r="AL26" s="82">
        <v>2051</v>
      </c>
      <c r="AM26" s="82">
        <v>2052</v>
      </c>
      <c r="AN26" s="82">
        <v>2053</v>
      </c>
      <c r="AO26" s="82">
        <v>2054</v>
      </c>
      <c r="AP26" s="82">
        <v>2055</v>
      </c>
      <c r="AQ26" s="82">
        <v>2056</v>
      </c>
      <c r="AR26" s="82">
        <v>2057</v>
      </c>
    </row>
    <row r="27" spans="1:46" x14ac:dyDescent="0.2">
      <c r="A27" s="134">
        <v>1</v>
      </c>
      <c r="B27" s="2" t="s">
        <v>53</v>
      </c>
      <c r="C27" s="2"/>
      <c r="D27" s="135"/>
      <c r="E27" s="38">
        <f>N20</f>
        <v>1494900.3042855277</v>
      </c>
      <c r="F27" s="98">
        <f>$F22*$F17</f>
        <v>1477878.9121802119</v>
      </c>
      <c r="G27" s="98">
        <f t="shared" ref="G27:AR27" si="2">$F22*$F17</f>
        <v>1477878.9121802119</v>
      </c>
      <c r="H27" s="98">
        <f t="shared" si="2"/>
        <v>1477878.9121802119</v>
      </c>
      <c r="I27" s="98">
        <f t="shared" si="2"/>
        <v>1477878.9121802119</v>
      </c>
      <c r="J27" s="98">
        <f t="shared" si="2"/>
        <v>1477878.9121802119</v>
      </c>
      <c r="K27" s="98">
        <f t="shared" si="2"/>
        <v>1477878.9121802119</v>
      </c>
      <c r="L27" s="98">
        <f t="shared" si="2"/>
        <v>1477878.9121802119</v>
      </c>
      <c r="M27" s="98">
        <f t="shared" si="2"/>
        <v>1477878.9121802119</v>
      </c>
      <c r="N27" s="98">
        <f t="shared" si="2"/>
        <v>1477878.9121802119</v>
      </c>
      <c r="O27" s="98">
        <f t="shared" si="2"/>
        <v>1477878.9121802119</v>
      </c>
      <c r="P27" s="98">
        <f t="shared" si="2"/>
        <v>1477878.9121802119</v>
      </c>
      <c r="Q27" s="98">
        <f t="shared" si="2"/>
        <v>1477878.9121802119</v>
      </c>
      <c r="R27" s="98">
        <f t="shared" si="2"/>
        <v>1477878.9121802119</v>
      </c>
      <c r="S27" s="98">
        <f t="shared" si="2"/>
        <v>1477878.9121802119</v>
      </c>
      <c r="T27" s="98">
        <f t="shared" si="2"/>
        <v>1477878.9121802119</v>
      </c>
      <c r="U27" s="98">
        <f t="shared" si="2"/>
        <v>1477878.9121802119</v>
      </c>
      <c r="V27" s="98">
        <f t="shared" si="2"/>
        <v>1477878.9121802119</v>
      </c>
      <c r="W27" s="98">
        <f t="shared" si="2"/>
        <v>1477878.9121802119</v>
      </c>
      <c r="X27" s="98">
        <f t="shared" si="2"/>
        <v>1477878.9121802119</v>
      </c>
      <c r="Y27" s="98">
        <f t="shared" si="2"/>
        <v>1477878.9121802119</v>
      </c>
      <c r="Z27" s="98">
        <f t="shared" si="2"/>
        <v>1477878.9121802119</v>
      </c>
      <c r="AA27" s="98">
        <f t="shared" si="2"/>
        <v>1477878.9121802119</v>
      </c>
      <c r="AB27" s="98">
        <f t="shared" si="2"/>
        <v>1477878.9121802119</v>
      </c>
      <c r="AC27" s="98">
        <f t="shared" si="2"/>
        <v>1477878.9121802119</v>
      </c>
      <c r="AD27" s="98">
        <f t="shared" si="2"/>
        <v>1477878.9121802119</v>
      </c>
      <c r="AE27" s="98">
        <f t="shared" si="2"/>
        <v>1477878.9121802119</v>
      </c>
      <c r="AF27" s="98">
        <f t="shared" si="2"/>
        <v>1477878.9121802119</v>
      </c>
      <c r="AG27" s="98">
        <f t="shared" si="2"/>
        <v>1477878.9121802119</v>
      </c>
      <c r="AH27" s="98">
        <f t="shared" si="2"/>
        <v>1477878.9121802119</v>
      </c>
      <c r="AI27" s="98">
        <f t="shared" si="2"/>
        <v>1477878.9121802119</v>
      </c>
      <c r="AJ27" s="98">
        <f t="shared" si="2"/>
        <v>1477878.9121802119</v>
      </c>
      <c r="AK27" s="98">
        <f t="shared" si="2"/>
        <v>1477878.9121802119</v>
      </c>
      <c r="AL27" s="98">
        <f t="shared" si="2"/>
        <v>1477878.9121802119</v>
      </c>
      <c r="AM27" s="98">
        <f t="shared" si="2"/>
        <v>1477878.9121802119</v>
      </c>
      <c r="AN27" s="98">
        <f t="shared" si="2"/>
        <v>1477878.9121802119</v>
      </c>
      <c r="AO27" s="98">
        <f t="shared" si="2"/>
        <v>1477878.9121802119</v>
      </c>
      <c r="AP27" s="98">
        <f t="shared" si="2"/>
        <v>1477878.9121802119</v>
      </c>
      <c r="AQ27" s="98">
        <f t="shared" si="2"/>
        <v>1477878.9121802119</v>
      </c>
      <c r="AR27" s="98">
        <f t="shared" si="2"/>
        <v>1477878.9121802119</v>
      </c>
      <c r="AS27" s="98">
        <v>50237.303400000004</v>
      </c>
      <c r="AT27" s="100">
        <f>SUM(D27:AS27)</f>
        <v>59182415.182713844</v>
      </c>
    </row>
    <row r="28" spans="1:46" x14ac:dyDescent="0.2">
      <c r="A28" s="2"/>
      <c r="B28" s="2"/>
      <c r="C28" s="2"/>
      <c r="D28" s="135"/>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53"/>
    </row>
    <row r="29" spans="1:46" x14ac:dyDescent="0.2">
      <c r="A29" s="134">
        <f>A27+1</f>
        <v>2</v>
      </c>
      <c r="B29" s="2" t="s">
        <v>54</v>
      </c>
      <c r="C29" s="2"/>
      <c r="D29" s="135"/>
      <c r="E29" s="38">
        <f>E53</f>
        <v>728501.04782231676</v>
      </c>
      <c r="F29" s="98">
        <f t="shared" ref="F29:AS29" si="3">F53</f>
        <v>705493.24906179088</v>
      </c>
      <c r="G29" s="98">
        <f t="shared" si="3"/>
        <v>680406.87037514627</v>
      </c>
      <c r="H29" s="98">
        <f t="shared" si="3"/>
        <v>656128.7640201957</v>
      </c>
      <c r="I29" s="98">
        <f t="shared" si="3"/>
        <v>632598.42592604412</v>
      </c>
      <c r="J29" s="98">
        <f t="shared" si="3"/>
        <v>609760.00618109677</v>
      </c>
      <c r="K29" s="98">
        <f t="shared" si="3"/>
        <v>587561.53333984176</v>
      </c>
      <c r="L29" s="98">
        <f t="shared" si="3"/>
        <v>565954.91442285012</v>
      </c>
      <c r="M29" s="98">
        <f t="shared" si="3"/>
        <v>544678.74081612867</v>
      </c>
      <c r="N29" s="98">
        <f t="shared" si="3"/>
        <v>523449.88449561945</v>
      </c>
      <c r="O29" s="98">
        <f t="shared" si="3"/>
        <v>502221.02817511029</v>
      </c>
      <c r="P29" s="98">
        <f t="shared" si="3"/>
        <v>480992.17185460124</v>
      </c>
      <c r="Q29" s="98">
        <f t="shared" si="3"/>
        <v>459763.31553409214</v>
      </c>
      <c r="R29" s="98">
        <f t="shared" si="3"/>
        <v>438534.45921358303</v>
      </c>
      <c r="S29" s="98">
        <f t="shared" si="3"/>
        <v>417305.60289307381</v>
      </c>
      <c r="T29" s="98">
        <f t="shared" si="3"/>
        <v>396076.74657256471</v>
      </c>
      <c r="U29" s="98">
        <f t="shared" si="3"/>
        <v>374847.89025205572</v>
      </c>
      <c r="V29" s="98">
        <f t="shared" si="3"/>
        <v>353619.03393154667</v>
      </c>
      <c r="W29" s="98">
        <f t="shared" si="3"/>
        <v>332390.17761103751</v>
      </c>
      <c r="X29" s="98">
        <f t="shared" si="3"/>
        <v>311161.3212905284</v>
      </c>
      <c r="Y29" s="98">
        <f t="shared" si="3"/>
        <v>291663.03653624654</v>
      </c>
      <c r="Z29" s="98">
        <f t="shared" si="3"/>
        <v>275625.11922120268</v>
      </c>
      <c r="AA29" s="98">
        <f t="shared" si="3"/>
        <v>261317.77347238603</v>
      </c>
      <c r="AB29" s="98">
        <f t="shared" si="3"/>
        <v>247010.42772356933</v>
      </c>
      <c r="AC29" s="98">
        <f t="shared" si="3"/>
        <v>232703.08197475271</v>
      </c>
      <c r="AD29" s="98">
        <f t="shared" si="3"/>
        <v>218395.73622593601</v>
      </c>
      <c r="AE29" s="98">
        <f t="shared" si="3"/>
        <v>204088.39047711936</v>
      </c>
      <c r="AF29" s="98">
        <f t="shared" si="3"/>
        <v>189781.04472830263</v>
      </c>
      <c r="AG29" s="98">
        <f t="shared" si="3"/>
        <v>175473.69897948598</v>
      </c>
      <c r="AH29" s="98">
        <f t="shared" si="3"/>
        <v>161166.35323066931</v>
      </c>
      <c r="AI29" s="98">
        <f t="shared" si="3"/>
        <v>146859.00748185266</v>
      </c>
      <c r="AJ29" s="98">
        <f t="shared" si="3"/>
        <v>132551.66173303599</v>
      </c>
      <c r="AK29" s="98">
        <f t="shared" si="3"/>
        <v>118244.3159842193</v>
      </c>
      <c r="AL29" s="98">
        <f t="shared" si="3"/>
        <v>103936.97023540264</v>
      </c>
      <c r="AM29" s="98">
        <f t="shared" si="3"/>
        <v>89629.624486585977</v>
      </c>
      <c r="AN29" s="98">
        <f t="shared" si="3"/>
        <v>75322.278737769302</v>
      </c>
      <c r="AO29" s="98">
        <f t="shared" si="3"/>
        <v>61014.932988952627</v>
      </c>
      <c r="AP29" s="98">
        <f t="shared" si="3"/>
        <v>46707.587240135952</v>
      </c>
      <c r="AQ29" s="98">
        <f t="shared" si="3"/>
        <v>32400.241491319288</v>
      </c>
      <c r="AR29" s="98">
        <f t="shared" si="3"/>
        <v>18092.895742502616</v>
      </c>
      <c r="AS29" s="98">
        <f t="shared" si="3"/>
        <v>10696.04920098661</v>
      </c>
      <c r="AT29" s="100">
        <f>SUM(D29:AS29)</f>
        <v>13394125.411681658</v>
      </c>
    </row>
    <row r="30" spans="1:46" x14ac:dyDescent="0.2">
      <c r="A30" s="2"/>
      <c r="B30" s="2"/>
      <c r="C30" s="2"/>
      <c r="D30" s="135"/>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row>
    <row r="31" spans="1:46" x14ac:dyDescent="0.2">
      <c r="A31" s="2"/>
      <c r="B31" s="2" t="s">
        <v>55</v>
      </c>
      <c r="C31" s="2"/>
      <c r="D31" s="135"/>
      <c r="E31" s="3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row>
    <row r="32" spans="1:46" x14ac:dyDescent="0.2">
      <c r="A32" s="134"/>
      <c r="B32" s="2"/>
      <c r="C32" s="2"/>
      <c r="D32" s="135"/>
      <c r="E32" s="3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100"/>
    </row>
    <row r="33" spans="1:46" x14ac:dyDescent="0.2">
      <c r="A33" s="134">
        <v>3</v>
      </c>
      <c r="B33" s="13"/>
      <c r="C33" s="13" t="s">
        <v>102</v>
      </c>
      <c r="D33" s="135"/>
      <c r="E33" s="38">
        <f>E49*$F11</f>
        <v>1777494.3963031655</v>
      </c>
      <c r="F33" s="98">
        <f t="shared" ref="F33:AS33" si="4">F49*$F11</f>
        <v>1721356.8883471298</v>
      </c>
      <c r="G33" s="98">
        <f t="shared" si="4"/>
        <v>1660147.7827839409</v>
      </c>
      <c r="H33" s="98">
        <f t="shared" si="4"/>
        <v>1600910.808276112</v>
      </c>
      <c r="I33" s="98">
        <f t="shared" si="4"/>
        <v>1543498.3388905164</v>
      </c>
      <c r="J33" s="98">
        <f t="shared" si="4"/>
        <v>1487774.1045350363</v>
      </c>
      <c r="K33" s="98">
        <f t="shared" si="4"/>
        <v>1433611.298318397</v>
      </c>
      <c r="L33" s="98">
        <f t="shared" si="4"/>
        <v>1380892.5765501645</v>
      </c>
      <c r="M33" s="98">
        <f t="shared" si="4"/>
        <v>1328980.119493624</v>
      </c>
      <c r="N33" s="98">
        <f t="shared" si="4"/>
        <v>1277183.1134873491</v>
      </c>
      <c r="O33" s="98">
        <f t="shared" si="4"/>
        <v>1225386.1074810743</v>
      </c>
      <c r="P33" s="98">
        <f t="shared" si="4"/>
        <v>1173589.1014747997</v>
      </c>
      <c r="Q33" s="98">
        <f t="shared" si="4"/>
        <v>1121792.0954685251</v>
      </c>
      <c r="R33" s="98">
        <f t="shared" si="4"/>
        <v>1069995.0894622502</v>
      </c>
      <c r="S33" s="98">
        <f t="shared" si="4"/>
        <v>1018198.0834559754</v>
      </c>
      <c r="T33" s="98">
        <f t="shared" si="4"/>
        <v>966401.07744970068</v>
      </c>
      <c r="U33" s="98">
        <f t="shared" si="4"/>
        <v>914604.07144342607</v>
      </c>
      <c r="V33" s="98">
        <f t="shared" si="4"/>
        <v>862807.06543715158</v>
      </c>
      <c r="W33" s="98">
        <f t="shared" si="4"/>
        <v>811010.05943087675</v>
      </c>
      <c r="X33" s="98">
        <f t="shared" si="4"/>
        <v>759213.05342460203</v>
      </c>
      <c r="Y33" s="98">
        <f t="shared" si="4"/>
        <v>711638.52763378574</v>
      </c>
      <c r="Z33" s="98">
        <f t="shared" si="4"/>
        <v>672507.06963371846</v>
      </c>
      <c r="AA33" s="98">
        <f t="shared" si="4"/>
        <v>637598.09184910974</v>
      </c>
      <c r="AB33" s="98">
        <f t="shared" si="4"/>
        <v>602689.11406450078</v>
      </c>
      <c r="AC33" s="98">
        <f t="shared" si="4"/>
        <v>567780.13627989194</v>
      </c>
      <c r="AD33" s="98">
        <f t="shared" si="4"/>
        <v>532871.15849528299</v>
      </c>
      <c r="AE33" s="98">
        <f t="shared" si="4"/>
        <v>497962.18071067409</v>
      </c>
      <c r="AF33" s="98">
        <f t="shared" si="4"/>
        <v>463053.20292606513</v>
      </c>
      <c r="AG33" s="98">
        <f t="shared" si="4"/>
        <v>428144.22514145635</v>
      </c>
      <c r="AH33" s="98">
        <f t="shared" si="4"/>
        <v>393235.24735684745</v>
      </c>
      <c r="AI33" s="98">
        <f t="shared" si="4"/>
        <v>358326.26957223855</v>
      </c>
      <c r="AJ33" s="98">
        <f t="shared" si="4"/>
        <v>323417.29178762971</v>
      </c>
      <c r="AK33" s="98">
        <f t="shared" si="4"/>
        <v>288508.31400302082</v>
      </c>
      <c r="AL33" s="98">
        <f t="shared" si="4"/>
        <v>253599.33621841192</v>
      </c>
      <c r="AM33" s="98">
        <f t="shared" si="4"/>
        <v>218690.35843380305</v>
      </c>
      <c r="AN33" s="98">
        <f t="shared" si="4"/>
        <v>183781.38064919415</v>
      </c>
      <c r="AO33" s="98">
        <f t="shared" si="4"/>
        <v>148872.40286458528</v>
      </c>
      <c r="AP33" s="98">
        <f t="shared" si="4"/>
        <v>113963.42507997638</v>
      </c>
      <c r="AQ33" s="98">
        <f t="shared" si="4"/>
        <v>79054.447295367514</v>
      </c>
      <c r="AR33" s="98">
        <f t="shared" si="4"/>
        <v>44145.46951075863</v>
      </c>
      <c r="AS33" s="98">
        <f t="shared" si="4"/>
        <v>26097.652946648566</v>
      </c>
      <c r="AT33" s="100">
        <f t="shared" ref="AT33:AT42" si="5">SUM(D33:AS33)</f>
        <v>32680780.533966795</v>
      </c>
    </row>
    <row r="34" spans="1:46" x14ac:dyDescent="0.2">
      <c r="A34" s="134">
        <f>A33+1</f>
        <v>4</v>
      </c>
      <c r="B34" s="2"/>
      <c r="C34" s="2" t="s">
        <v>9</v>
      </c>
      <c r="D34" s="135"/>
      <c r="E34" s="40">
        <f>E49*$F12</f>
        <v>2740551.5608553826</v>
      </c>
      <c r="F34" s="96">
        <f t="shared" ref="F34:AS34" si="6">F49*$F12</f>
        <v>2653998.4131372138</v>
      </c>
      <c r="G34" s="96">
        <f t="shared" si="6"/>
        <v>2559625.8456969792</v>
      </c>
      <c r="H34" s="96">
        <f t="shared" si="6"/>
        <v>2468293.9217902599</v>
      </c>
      <c r="I34" s="96">
        <f t="shared" si="6"/>
        <v>2379775.0308646425</v>
      </c>
      <c r="J34" s="96">
        <f t="shared" si="6"/>
        <v>2293859.0708717452</v>
      </c>
      <c r="K34" s="96">
        <f t="shared" si="6"/>
        <v>2210350.5301832142</v>
      </c>
      <c r="L34" s="96">
        <f t="shared" si="6"/>
        <v>2129068.4875907218</v>
      </c>
      <c r="M34" s="96">
        <f t="shared" si="6"/>
        <v>2049029.5487844839</v>
      </c>
      <c r="N34" s="96">
        <f t="shared" si="6"/>
        <v>1969168.6131025685</v>
      </c>
      <c r="O34" s="96">
        <f t="shared" si="6"/>
        <v>1889307.6774206532</v>
      </c>
      <c r="P34" s="96">
        <f t="shared" si="6"/>
        <v>1809446.741738738</v>
      </c>
      <c r="Q34" s="96">
        <f t="shared" si="6"/>
        <v>1729585.8060568231</v>
      </c>
      <c r="R34" s="96">
        <f t="shared" si="6"/>
        <v>1649724.8703749077</v>
      </c>
      <c r="S34" s="96">
        <f t="shared" si="6"/>
        <v>1569863.9346929921</v>
      </c>
      <c r="T34" s="96">
        <f t="shared" si="6"/>
        <v>1490002.999011077</v>
      </c>
      <c r="U34" s="96">
        <f t="shared" si="6"/>
        <v>1410142.0633291621</v>
      </c>
      <c r="V34" s="96">
        <f t="shared" si="6"/>
        <v>1330281.1276472472</v>
      </c>
      <c r="W34" s="96">
        <f t="shared" si="6"/>
        <v>1250420.1919653318</v>
      </c>
      <c r="X34" s="96">
        <f t="shared" si="6"/>
        <v>1170559.2562834164</v>
      </c>
      <c r="Y34" s="96">
        <f t="shared" si="6"/>
        <v>1097208.5660173085</v>
      </c>
      <c r="Z34" s="96">
        <f t="shared" si="6"/>
        <v>1036875.4484988101</v>
      </c>
      <c r="AA34" s="96">
        <f t="shared" si="6"/>
        <v>983052.57639611897</v>
      </c>
      <c r="AB34" s="96">
        <f t="shared" si="6"/>
        <v>929229.70429342764</v>
      </c>
      <c r="AC34" s="96">
        <f t="shared" si="6"/>
        <v>875406.83219073643</v>
      </c>
      <c r="AD34" s="96">
        <f t="shared" si="6"/>
        <v>821583.96008804499</v>
      </c>
      <c r="AE34" s="96">
        <f t="shared" si="6"/>
        <v>767761.08798535378</v>
      </c>
      <c r="AF34" s="96">
        <f t="shared" si="6"/>
        <v>713938.21588266233</v>
      </c>
      <c r="AG34" s="96">
        <f t="shared" si="6"/>
        <v>660115.34377997112</v>
      </c>
      <c r="AH34" s="96">
        <f t="shared" si="6"/>
        <v>606292.4716772798</v>
      </c>
      <c r="AI34" s="96">
        <f t="shared" si="6"/>
        <v>552469.59957458859</v>
      </c>
      <c r="AJ34" s="96">
        <f t="shared" si="6"/>
        <v>498646.72747189732</v>
      </c>
      <c r="AK34" s="96">
        <f t="shared" si="6"/>
        <v>444823.85536920599</v>
      </c>
      <c r="AL34" s="96">
        <f t="shared" si="6"/>
        <v>391000.98326651473</v>
      </c>
      <c r="AM34" s="96">
        <f t="shared" si="6"/>
        <v>337178.11116382346</v>
      </c>
      <c r="AN34" s="96">
        <f t="shared" si="6"/>
        <v>283355.23906113213</v>
      </c>
      <c r="AO34" s="96">
        <f t="shared" si="6"/>
        <v>229532.36695844086</v>
      </c>
      <c r="AP34" s="96">
        <f t="shared" si="6"/>
        <v>175709.49485574957</v>
      </c>
      <c r="AQ34" s="96">
        <f t="shared" si="6"/>
        <v>121886.62275305828</v>
      </c>
      <c r="AR34" s="96">
        <f t="shared" si="6"/>
        <v>68063.750650366987</v>
      </c>
      <c r="AS34" s="96">
        <f t="shared" si="6"/>
        <v>40237.51842275916</v>
      </c>
      <c r="AT34" s="100">
        <f t="shared" si="5"/>
        <v>50387424.167754821</v>
      </c>
    </row>
    <row r="35" spans="1:46" x14ac:dyDescent="0.2">
      <c r="A35" s="134">
        <f>A34+1</f>
        <v>5</v>
      </c>
      <c r="B35" s="2"/>
      <c r="C35" s="2" t="s">
        <v>58</v>
      </c>
      <c r="D35" s="135"/>
      <c r="E35" s="38">
        <f>E32+E33+E34</f>
        <v>4518045.9571585478</v>
      </c>
      <c r="F35" s="98">
        <f>F32+F33+F34</f>
        <v>4375355.3014843436</v>
      </c>
      <c r="G35" s="98">
        <f>G32+G33+G34</f>
        <v>4219773.6284809206</v>
      </c>
      <c r="H35" s="98">
        <f t="shared" ref="H35:AS35" si="7">H32+H33+H34</f>
        <v>4069204.7300663721</v>
      </c>
      <c r="I35" s="98">
        <f t="shared" si="7"/>
        <v>3923273.3697551591</v>
      </c>
      <c r="J35" s="98">
        <f t="shared" si="7"/>
        <v>3781633.1754067815</v>
      </c>
      <c r="K35" s="98">
        <f t="shared" si="7"/>
        <v>3643961.828501611</v>
      </c>
      <c r="L35" s="98">
        <f t="shared" si="7"/>
        <v>3509961.0641408861</v>
      </c>
      <c r="M35" s="98">
        <f t="shared" si="7"/>
        <v>3378009.6682781079</v>
      </c>
      <c r="N35" s="98">
        <f t="shared" si="7"/>
        <v>3246351.7265899177</v>
      </c>
      <c r="O35" s="98">
        <f t="shared" si="7"/>
        <v>3114693.7849017275</v>
      </c>
      <c r="P35" s="98">
        <f t="shared" si="7"/>
        <v>2983035.8432135377</v>
      </c>
      <c r="Q35" s="98">
        <f t="shared" si="7"/>
        <v>2851377.9015253484</v>
      </c>
      <c r="R35" s="98">
        <f t="shared" si="7"/>
        <v>2719719.9598371582</v>
      </c>
      <c r="S35" s="98">
        <f t="shared" si="7"/>
        <v>2588062.0181489675</v>
      </c>
      <c r="T35" s="98">
        <f t="shared" si="7"/>
        <v>2456404.0764607778</v>
      </c>
      <c r="U35" s="98">
        <f t="shared" si="7"/>
        <v>2324746.134772588</v>
      </c>
      <c r="V35" s="98">
        <f t="shared" si="7"/>
        <v>2193088.1930843988</v>
      </c>
      <c r="W35" s="98">
        <f t="shared" si="7"/>
        <v>2061430.2513962085</v>
      </c>
      <c r="X35" s="98">
        <f t="shared" si="7"/>
        <v>1929772.3097080183</v>
      </c>
      <c r="Y35" s="98">
        <f t="shared" si="7"/>
        <v>1808847.0936510942</v>
      </c>
      <c r="Z35" s="98">
        <f t="shared" si="7"/>
        <v>1709382.5181325285</v>
      </c>
      <c r="AA35" s="98">
        <f t="shared" si="7"/>
        <v>1620650.6682452287</v>
      </c>
      <c r="AB35" s="98">
        <f t="shared" si="7"/>
        <v>1531918.8183579284</v>
      </c>
      <c r="AC35" s="98">
        <f t="shared" si="7"/>
        <v>1443186.9684706284</v>
      </c>
      <c r="AD35" s="98">
        <f t="shared" si="7"/>
        <v>1354455.1185833281</v>
      </c>
      <c r="AE35" s="98">
        <f t="shared" si="7"/>
        <v>1265723.2686960278</v>
      </c>
      <c r="AF35" s="98">
        <f t="shared" si="7"/>
        <v>1176991.4188087275</v>
      </c>
      <c r="AG35" s="98">
        <f t="shared" si="7"/>
        <v>1088259.5689214275</v>
      </c>
      <c r="AH35" s="98">
        <f t="shared" si="7"/>
        <v>999527.71903412719</v>
      </c>
      <c r="AI35" s="98">
        <f t="shared" si="7"/>
        <v>910795.86914682714</v>
      </c>
      <c r="AJ35" s="98">
        <f t="shared" si="7"/>
        <v>822064.01925952709</v>
      </c>
      <c r="AK35" s="98">
        <f t="shared" si="7"/>
        <v>733332.16937222681</v>
      </c>
      <c r="AL35" s="98">
        <f t="shared" si="7"/>
        <v>644600.31948492664</v>
      </c>
      <c r="AM35" s="98">
        <f t="shared" si="7"/>
        <v>555868.46959762648</v>
      </c>
      <c r="AN35" s="98">
        <f t="shared" si="7"/>
        <v>467136.61971032631</v>
      </c>
      <c r="AO35" s="98">
        <f t="shared" si="7"/>
        <v>378404.76982302614</v>
      </c>
      <c r="AP35" s="98">
        <f t="shared" si="7"/>
        <v>289672.91993572598</v>
      </c>
      <c r="AQ35" s="98">
        <f t="shared" si="7"/>
        <v>200941.07004842581</v>
      </c>
      <c r="AR35" s="98">
        <f t="shared" si="7"/>
        <v>112209.22016112562</v>
      </c>
      <c r="AS35" s="98">
        <f t="shared" si="7"/>
        <v>66335.171369407733</v>
      </c>
      <c r="AT35" s="100">
        <f t="shared" si="5"/>
        <v>83068204.701721579</v>
      </c>
    </row>
    <row r="36" spans="1:46" x14ac:dyDescent="0.2">
      <c r="A36" s="2"/>
      <c r="B36" s="2"/>
      <c r="C36" s="2"/>
      <c r="D36" s="135"/>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100">
        <f t="shared" si="5"/>
        <v>0</v>
      </c>
    </row>
    <row r="37" spans="1:46" x14ac:dyDescent="0.2">
      <c r="A37" s="134">
        <f>A35+1</f>
        <v>6</v>
      </c>
      <c r="B37" s="2" t="s">
        <v>59</v>
      </c>
      <c r="C37" s="2"/>
      <c r="D37" s="135"/>
      <c r="E37" s="41">
        <f>E27+E29+E35</f>
        <v>6741447.3092663921</v>
      </c>
      <c r="F37" s="95">
        <f>F27+F29+F35</f>
        <v>6558727.4627263462</v>
      </c>
      <c r="G37" s="95">
        <f t="shared" ref="G37:AS37" si="8">G27+G29+G35</f>
        <v>6378059.4110362791</v>
      </c>
      <c r="H37" s="95">
        <f t="shared" si="8"/>
        <v>6203212.4062667796</v>
      </c>
      <c r="I37" s="95">
        <f t="shared" si="8"/>
        <v>6033750.7078614151</v>
      </c>
      <c r="J37" s="95">
        <f t="shared" si="8"/>
        <v>5869272.09376809</v>
      </c>
      <c r="K37" s="95">
        <f t="shared" si="8"/>
        <v>5709402.2740216646</v>
      </c>
      <c r="L37" s="95">
        <f t="shared" si="8"/>
        <v>5553794.8907439485</v>
      </c>
      <c r="M37" s="95">
        <f t="shared" si="8"/>
        <v>5400567.3212744482</v>
      </c>
      <c r="N37" s="95">
        <f t="shared" si="8"/>
        <v>5247680.5232657492</v>
      </c>
      <c r="O37" s="95">
        <f t="shared" si="8"/>
        <v>5094793.7252570493</v>
      </c>
      <c r="P37" s="95">
        <f t="shared" si="8"/>
        <v>4941906.9272483513</v>
      </c>
      <c r="Q37" s="95">
        <f t="shared" si="8"/>
        <v>4789020.1292396523</v>
      </c>
      <c r="R37" s="95">
        <f t="shared" si="8"/>
        <v>4636133.3312309533</v>
      </c>
      <c r="S37" s="95">
        <f t="shared" si="8"/>
        <v>4483246.5332222534</v>
      </c>
      <c r="T37" s="95">
        <f t="shared" si="8"/>
        <v>4330359.7352135545</v>
      </c>
      <c r="U37" s="95">
        <f t="shared" si="8"/>
        <v>4177472.9372048555</v>
      </c>
      <c r="V37" s="95">
        <f t="shared" si="8"/>
        <v>4024586.1391961575</v>
      </c>
      <c r="W37" s="95">
        <f t="shared" si="8"/>
        <v>3871699.341187458</v>
      </c>
      <c r="X37" s="95">
        <f t="shared" si="8"/>
        <v>3718812.5431787586</v>
      </c>
      <c r="Y37" s="95">
        <f t="shared" si="8"/>
        <v>3578389.0423675524</v>
      </c>
      <c r="Z37" s="95">
        <f t="shared" si="8"/>
        <v>3462886.5495339427</v>
      </c>
      <c r="AA37" s="95">
        <f t="shared" si="8"/>
        <v>3359847.3538978267</v>
      </c>
      <c r="AB37" s="95">
        <f t="shared" si="8"/>
        <v>3256808.1582617098</v>
      </c>
      <c r="AC37" s="95">
        <f t="shared" si="8"/>
        <v>3153768.9626255929</v>
      </c>
      <c r="AD37" s="95">
        <f t="shared" si="8"/>
        <v>3050729.766989476</v>
      </c>
      <c r="AE37" s="95">
        <f t="shared" si="8"/>
        <v>2947690.5713533591</v>
      </c>
      <c r="AF37" s="95">
        <f t="shared" si="8"/>
        <v>2844651.3757172422</v>
      </c>
      <c r="AG37" s="95">
        <f t="shared" si="8"/>
        <v>2741612.1800811253</v>
      </c>
      <c r="AH37" s="95">
        <f t="shared" si="8"/>
        <v>2638572.9844450084</v>
      </c>
      <c r="AI37" s="95">
        <f t="shared" si="8"/>
        <v>2535533.7888088915</v>
      </c>
      <c r="AJ37" s="95">
        <f t="shared" si="8"/>
        <v>2432494.5931727747</v>
      </c>
      <c r="AK37" s="95">
        <f t="shared" si="8"/>
        <v>2329455.3975366578</v>
      </c>
      <c r="AL37" s="95">
        <f t="shared" si="8"/>
        <v>2226416.2019005413</v>
      </c>
      <c r="AM37" s="95">
        <f t="shared" si="8"/>
        <v>2123377.0062644244</v>
      </c>
      <c r="AN37" s="95">
        <f t="shared" si="8"/>
        <v>2020337.8106283075</v>
      </c>
      <c r="AO37" s="95">
        <f t="shared" si="8"/>
        <v>1917298.6149921906</v>
      </c>
      <c r="AP37" s="95">
        <f t="shared" si="8"/>
        <v>1814259.4193560737</v>
      </c>
      <c r="AQ37" s="95">
        <f t="shared" si="8"/>
        <v>1711220.2237199571</v>
      </c>
      <c r="AR37" s="95">
        <f t="shared" si="8"/>
        <v>1608181.0280838399</v>
      </c>
      <c r="AS37" s="95">
        <f t="shared" si="8"/>
        <v>127268.52397039435</v>
      </c>
      <c r="AT37" s="100">
        <f t="shared" si="5"/>
        <v>155644745.29611704</v>
      </c>
    </row>
    <row r="38" spans="1:46" x14ac:dyDescent="0.2">
      <c r="A38" s="134">
        <f>A37+1</f>
        <v>7</v>
      </c>
      <c r="B38" s="2" t="s">
        <v>60</v>
      </c>
      <c r="C38" s="2"/>
      <c r="D38" s="135"/>
      <c r="E38" s="40">
        <f t="shared" ref="E38:AS38" si="9">E37/(1-$F16)-E37</f>
        <v>321076.45538875181</v>
      </c>
      <c r="F38" s="96">
        <f t="shared" si="9"/>
        <v>312374.01539851259</v>
      </c>
      <c r="G38" s="96">
        <f t="shared" si="9"/>
        <v>303769.29671163578</v>
      </c>
      <c r="H38" s="96">
        <f t="shared" si="9"/>
        <v>295441.81835998222</v>
      </c>
      <c r="I38" s="96">
        <f t="shared" si="9"/>
        <v>287370.82722824626</v>
      </c>
      <c r="J38" s="96">
        <f t="shared" si="9"/>
        <v>279537.16659460869</v>
      </c>
      <c r="K38" s="96">
        <f t="shared" si="9"/>
        <v>271923.0100651551</v>
      </c>
      <c r="L38" s="96">
        <f t="shared" si="9"/>
        <v>264511.86157387309</v>
      </c>
      <c r="M38" s="96">
        <f t="shared" si="9"/>
        <v>257214.05702002347</v>
      </c>
      <c r="N38" s="96">
        <f t="shared" si="9"/>
        <v>249932.48246660456</v>
      </c>
      <c r="O38" s="96">
        <f t="shared" si="9"/>
        <v>242650.90791318566</v>
      </c>
      <c r="P38" s="96">
        <f t="shared" si="9"/>
        <v>235369.33335976582</v>
      </c>
      <c r="Q38" s="96">
        <f t="shared" si="9"/>
        <v>228087.75880634692</v>
      </c>
      <c r="R38" s="96">
        <f t="shared" si="9"/>
        <v>220806.18425292801</v>
      </c>
      <c r="S38" s="96">
        <f t="shared" si="9"/>
        <v>213524.60969950911</v>
      </c>
      <c r="T38" s="96">
        <f t="shared" si="9"/>
        <v>206243.0351460902</v>
      </c>
      <c r="U38" s="96">
        <f t="shared" si="9"/>
        <v>198961.4605926713</v>
      </c>
      <c r="V38" s="96">
        <f t="shared" si="9"/>
        <v>191679.88603925239</v>
      </c>
      <c r="W38" s="96">
        <f t="shared" si="9"/>
        <v>184398.31148583302</v>
      </c>
      <c r="X38" s="96">
        <f t="shared" si="9"/>
        <v>177116.73693241412</v>
      </c>
      <c r="Y38" s="96">
        <f t="shared" si="9"/>
        <v>170428.75468982244</v>
      </c>
      <c r="Z38" s="96">
        <f t="shared" si="9"/>
        <v>164927.69100330444</v>
      </c>
      <c r="AA38" s="96">
        <f t="shared" si="9"/>
        <v>160020.21962761367</v>
      </c>
      <c r="AB38" s="96">
        <f t="shared" si="9"/>
        <v>155112.74825192289</v>
      </c>
      <c r="AC38" s="96">
        <f t="shared" si="9"/>
        <v>150205.27687623212</v>
      </c>
      <c r="AD38" s="96">
        <f t="shared" si="9"/>
        <v>145297.80550054135</v>
      </c>
      <c r="AE38" s="96">
        <f t="shared" si="9"/>
        <v>140390.33412485057</v>
      </c>
      <c r="AF38" s="96">
        <f t="shared" si="9"/>
        <v>135482.86274915934</v>
      </c>
      <c r="AG38" s="96">
        <f t="shared" si="9"/>
        <v>130575.39137346856</v>
      </c>
      <c r="AH38" s="96">
        <f t="shared" si="9"/>
        <v>125667.91999777779</v>
      </c>
      <c r="AI38" s="96">
        <f t="shared" si="9"/>
        <v>120760.44862208702</v>
      </c>
      <c r="AJ38" s="96">
        <f t="shared" si="9"/>
        <v>115852.97724639624</v>
      </c>
      <c r="AK38" s="96">
        <f t="shared" si="9"/>
        <v>110945.50587070547</v>
      </c>
      <c r="AL38" s="96">
        <f t="shared" si="9"/>
        <v>106038.0344950147</v>
      </c>
      <c r="AM38" s="96">
        <f t="shared" si="9"/>
        <v>101130.56311932392</v>
      </c>
      <c r="AN38" s="96">
        <f t="shared" si="9"/>
        <v>96223.091743633151</v>
      </c>
      <c r="AO38" s="96">
        <f t="shared" si="9"/>
        <v>91315.620367942378</v>
      </c>
      <c r="AP38" s="96">
        <f t="shared" si="9"/>
        <v>86408.148992251605</v>
      </c>
      <c r="AQ38" s="96">
        <f t="shared" si="9"/>
        <v>81500.677616560832</v>
      </c>
      <c r="AR38" s="96">
        <f t="shared" si="9"/>
        <v>76593.206240870059</v>
      </c>
      <c r="AS38" s="96">
        <f t="shared" si="9"/>
        <v>6061.4471469360724</v>
      </c>
      <c r="AT38" s="100">
        <f t="shared" si="5"/>
        <v>7412927.9406918017</v>
      </c>
    </row>
    <row r="39" spans="1:46" x14ac:dyDescent="0.2">
      <c r="A39" s="134">
        <f>A38+1</f>
        <v>8</v>
      </c>
      <c r="B39" s="2"/>
      <c r="C39" s="2" t="s">
        <v>61</v>
      </c>
      <c r="D39" s="135"/>
      <c r="E39" s="41">
        <f>SUM(E37:E38)</f>
        <v>7062523.764655144</v>
      </c>
      <c r="F39" s="95">
        <f t="shared" ref="F39:AS39" si="10">SUM(F37:F38)</f>
        <v>6871101.4781248588</v>
      </c>
      <c r="G39" s="95">
        <f t="shared" si="10"/>
        <v>6681828.7077479148</v>
      </c>
      <c r="H39" s="95">
        <f t="shared" si="10"/>
        <v>6498654.2246267619</v>
      </c>
      <c r="I39" s="95">
        <f t="shared" si="10"/>
        <v>6321121.5350896614</v>
      </c>
      <c r="J39" s="95">
        <f t="shared" si="10"/>
        <v>6148809.2603626987</v>
      </c>
      <c r="K39" s="95">
        <f t="shared" si="10"/>
        <v>5981325.2840868197</v>
      </c>
      <c r="L39" s="95">
        <f t="shared" si="10"/>
        <v>5818306.7523178216</v>
      </c>
      <c r="M39" s="95">
        <f t="shared" si="10"/>
        <v>5657781.3782944717</v>
      </c>
      <c r="N39" s="95">
        <f t="shared" si="10"/>
        <v>5497613.0057323538</v>
      </c>
      <c r="O39" s="95">
        <f t="shared" si="10"/>
        <v>5337444.633170235</v>
      </c>
      <c r="P39" s="95">
        <f t="shared" si="10"/>
        <v>5177276.2606081171</v>
      </c>
      <c r="Q39" s="95">
        <f t="shared" si="10"/>
        <v>5017107.8880459992</v>
      </c>
      <c r="R39" s="95">
        <f t="shared" si="10"/>
        <v>4856939.5154838813</v>
      </c>
      <c r="S39" s="95">
        <f t="shared" si="10"/>
        <v>4696771.1429217625</v>
      </c>
      <c r="T39" s="95">
        <f t="shared" si="10"/>
        <v>4536602.7703596447</v>
      </c>
      <c r="U39" s="95">
        <f t="shared" si="10"/>
        <v>4376434.3977975268</v>
      </c>
      <c r="V39" s="95">
        <f t="shared" si="10"/>
        <v>4216266.0252354098</v>
      </c>
      <c r="W39" s="95">
        <f t="shared" si="10"/>
        <v>4056097.652673291</v>
      </c>
      <c r="X39" s="95">
        <f t="shared" si="10"/>
        <v>3895929.2801111727</v>
      </c>
      <c r="Y39" s="95">
        <f t="shared" si="10"/>
        <v>3748817.7970573748</v>
      </c>
      <c r="Z39" s="95">
        <f t="shared" si="10"/>
        <v>3627814.2405372472</v>
      </c>
      <c r="AA39" s="95">
        <f t="shared" si="10"/>
        <v>3519867.5735254404</v>
      </c>
      <c r="AB39" s="95">
        <f t="shared" si="10"/>
        <v>3411920.9065136327</v>
      </c>
      <c r="AC39" s="95">
        <f t="shared" si="10"/>
        <v>3303974.2395018251</v>
      </c>
      <c r="AD39" s="95">
        <f t="shared" si="10"/>
        <v>3196027.5724900174</v>
      </c>
      <c r="AE39" s="95">
        <f t="shared" si="10"/>
        <v>3088080.9054782097</v>
      </c>
      <c r="AF39" s="95">
        <f t="shared" si="10"/>
        <v>2980134.2384664016</v>
      </c>
      <c r="AG39" s="95">
        <f t="shared" si="10"/>
        <v>2872187.5714545939</v>
      </c>
      <c r="AH39" s="95">
        <f t="shared" si="10"/>
        <v>2764240.9044427862</v>
      </c>
      <c r="AI39" s="95">
        <f t="shared" si="10"/>
        <v>2656294.2374309786</v>
      </c>
      <c r="AJ39" s="95">
        <f t="shared" si="10"/>
        <v>2548347.5704191709</v>
      </c>
      <c r="AK39" s="95">
        <f t="shared" si="10"/>
        <v>2440400.9034073632</v>
      </c>
      <c r="AL39" s="95">
        <f t="shared" si="10"/>
        <v>2332454.236395556</v>
      </c>
      <c r="AM39" s="95">
        <f t="shared" si="10"/>
        <v>2224507.5693837483</v>
      </c>
      <c r="AN39" s="95">
        <f t="shared" si="10"/>
        <v>2116560.9023719407</v>
      </c>
      <c r="AO39" s="95">
        <f t="shared" si="10"/>
        <v>2008614.235360133</v>
      </c>
      <c r="AP39" s="95">
        <f t="shared" si="10"/>
        <v>1900667.5683483253</v>
      </c>
      <c r="AQ39" s="95">
        <f t="shared" si="10"/>
        <v>1792720.9013365179</v>
      </c>
      <c r="AR39" s="95">
        <f t="shared" si="10"/>
        <v>1684774.23432471</v>
      </c>
      <c r="AS39" s="95">
        <f t="shared" si="10"/>
        <v>133329.97111733042</v>
      </c>
      <c r="AT39" s="100">
        <f t="shared" si="5"/>
        <v>163057673.23680887</v>
      </c>
    </row>
    <row r="40" spans="1:46" x14ac:dyDescent="0.2">
      <c r="A40" s="134">
        <f t="shared" ref="A40:A66" si="11">A39+1</f>
        <v>9</v>
      </c>
      <c r="B40" s="2"/>
      <c r="C40" s="2"/>
      <c r="D40" s="135"/>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100">
        <f t="shared" si="5"/>
        <v>0</v>
      </c>
    </row>
    <row r="41" spans="1:46" x14ac:dyDescent="0.2">
      <c r="A41" s="134">
        <f t="shared" si="11"/>
        <v>10</v>
      </c>
      <c r="B41" s="2"/>
      <c r="C41" s="2"/>
      <c r="D41" s="135"/>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100">
        <f t="shared" si="5"/>
        <v>0</v>
      </c>
    </row>
    <row r="42" spans="1:46" x14ac:dyDescent="0.2">
      <c r="A42" s="134">
        <f t="shared" si="11"/>
        <v>11</v>
      </c>
      <c r="B42" s="2" t="s">
        <v>62</v>
      </c>
      <c r="C42" s="2"/>
      <c r="D42" s="135"/>
      <c r="E42" s="40">
        <f>E39</f>
        <v>7062523.764655144</v>
      </c>
      <c r="F42" s="96">
        <f>F39</f>
        <v>6871101.4781248588</v>
      </c>
      <c r="G42" s="96">
        <f t="shared" ref="G42:AS42" si="12">G39</f>
        <v>6681828.7077479148</v>
      </c>
      <c r="H42" s="96">
        <f t="shared" si="12"/>
        <v>6498654.2246267619</v>
      </c>
      <c r="I42" s="96">
        <f t="shared" si="12"/>
        <v>6321121.5350896614</v>
      </c>
      <c r="J42" s="96">
        <f t="shared" si="12"/>
        <v>6148809.2603626987</v>
      </c>
      <c r="K42" s="96">
        <f t="shared" si="12"/>
        <v>5981325.2840868197</v>
      </c>
      <c r="L42" s="96">
        <f t="shared" si="12"/>
        <v>5818306.7523178216</v>
      </c>
      <c r="M42" s="96">
        <f t="shared" si="12"/>
        <v>5657781.3782944717</v>
      </c>
      <c r="N42" s="96">
        <f t="shared" si="12"/>
        <v>5497613.0057323538</v>
      </c>
      <c r="O42" s="96">
        <f t="shared" si="12"/>
        <v>5337444.633170235</v>
      </c>
      <c r="P42" s="96">
        <f t="shared" si="12"/>
        <v>5177276.2606081171</v>
      </c>
      <c r="Q42" s="96">
        <f t="shared" si="12"/>
        <v>5017107.8880459992</v>
      </c>
      <c r="R42" s="96">
        <f t="shared" si="12"/>
        <v>4856939.5154838813</v>
      </c>
      <c r="S42" s="96">
        <f t="shared" si="12"/>
        <v>4696771.1429217625</v>
      </c>
      <c r="T42" s="96">
        <f t="shared" si="12"/>
        <v>4536602.7703596447</v>
      </c>
      <c r="U42" s="96">
        <f t="shared" si="12"/>
        <v>4376434.3977975268</v>
      </c>
      <c r="V42" s="96">
        <f t="shared" si="12"/>
        <v>4216266.0252354098</v>
      </c>
      <c r="W42" s="96">
        <f t="shared" si="12"/>
        <v>4056097.652673291</v>
      </c>
      <c r="X42" s="96">
        <f t="shared" si="12"/>
        <v>3895929.2801111727</v>
      </c>
      <c r="Y42" s="96">
        <f t="shared" si="12"/>
        <v>3748817.7970573748</v>
      </c>
      <c r="Z42" s="96">
        <f t="shared" si="12"/>
        <v>3627814.2405372472</v>
      </c>
      <c r="AA42" s="96">
        <f t="shared" si="12"/>
        <v>3519867.5735254404</v>
      </c>
      <c r="AB42" s="96">
        <f t="shared" si="12"/>
        <v>3411920.9065136327</v>
      </c>
      <c r="AC42" s="96">
        <f t="shared" si="12"/>
        <v>3303974.2395018251</v>
      </c>
      <c r="AD42" s="96">
        <f t="shared" si="12"/>
        <v>3196027.5724900174</v>
      </c>
      <c r="AE42" s="96">
        <f t="shared" si="12"/>
        <v>3088080.9054782097</v>
      </c>
      <c r="AF42" s="96">
        <f t="shared" si="12"/>
        <v>2980134.2384664016</v>
      </c>
      <c r="AG42" s="96">
        <f t="shared" si="12"/>
        <v>2872187.5714545939</v>
      </c>
      <c r="AH42" s="96">
        <f t="shared" si="12"/>
        <v>2764240.9044427862</v>
      </c>
      <c r="AI42" s="96">
        <f t="shared" si="12"/>
        <v>2656294.2374309786</v>
      </c>
      <c r="AJ42" s="96">
        <f t="shared" si="12"/>
        <v>2548347.5704191709</v>
      </c>
      <c r="AK42" s="96">
        <f t="shared" si="12"/>
        <v>2440400.9034073632</v>
      </c>
      <c r="AL42" s="96">
        <f t="shared" si="12"/>
        <v>2332454.236395556</v>
      </c>
      <c r="AM42" s="96">
        <f t="shared" si="12"/>
        <v>2224507.5693837483</v>
      </c>
      <c r="AN42" s="96">
        <f t="shared" si="12"/>
        <v>2116560.9023719407</v>
      </c>
      <c r="AO42" s="96">
        <f t="shared" si="12"/>
        <v>2008614.235360133</v>
      </c>
      <c r="AP42" s="96">
        <f t="shared" si="12"/>
        <v>1900667.5683483253</v>
      </c>
      <c r="AQ42" s="96">
        <f t="shared" si="12"/>
        <v>1792720.9013365179</v>
      </c>
      <c r="AR42" s="96">
        <f t="shared" si="12"/>
        <v>1684774.23432471</v>
      </c>
      <c r="AS42" s="96">
        <f t="shared" si="12"/>
        <v>133329.97111733042</v>
      </c>
      <c r="AT42" s="100">
        <f t="shared" si="5"/>
        <v>163057673.23680887</v>
      </c>
    </row>
    <row r="43" spans="1:46" x14ac:dyDescent="0.2">
      <c r="A43" s="134">
        <f t="shared" si="11"/>
        <v>12</v>
      </c>
      <c r="B43" s="2"/>
      <c r="C43" s="2"/>
      <c r="D43" s="135"/>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134">
        <f t="shared" si="11"/>
        <v>13</v>
      </c>
      <c r="B44" s="2"/>
      <c r="C44" s="2"/>
      <c r="D44" s="135"/>
      <c r="E44" s="43"/>
      <c r="F44" s="13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134">
        <f t="shared" si="11"/>
        <v>14</v>
      </c>
      <c r="B45" s="2" t="s">
        <v>63</v>
      </c>
      <c r="C45" s="135"/>
      <c r="D45" s="135"/>
      <c r="E45" s="45">
        <f>+E42/$F$22</f>
        <v>0.11715271466075453</v>
      </c>
      <c r="F45" s="97">
        <f t="shared" ref="F45:AS45" si="13">+F42/$F$22</f>
        <v>0.11397741341421966</v>
      </c>
      <c r="G45" s="97">
        <f t="shared" si="13"/>
        <v>0.11083776821090141</v>
      </c>
      <c r="H45" s="97">
        <f t="shared" si="13"/>
        <v>0.10779928102568039</v>
      </c>
      <c r="I45" s="97">
        <f t="shared" si="13"/>
        <v>0.10485437956929401</v>
      </c>
      <c r="J45" s="97">
        <f t="shared" si="13"/>
        <v>0.10199607403626915</v>
      </c>
      <c r="K45" s="97">
        <f t="shared" si="13"/>
        <v>9.9217860024290561E-2</v>
      </c>
      <c r="L45" s="97">
        <f t="shared" si="13"/>
        <v>9.6513718534200849E-2</v>
      </c>
      <c r="M45" s="97">
        <f t="shared" si="13"/>
        <v>9.385093339316046E-2</v>
      </c>
      <c r="N45" s="97">
        <f t="shared" si="13"/>
        <v>9.1194070170645902E-2</v>
      </c>
      <c r="O45" s="97">
        <f t="shared" si="13"/>
        <v>8.8537206948131345E-2</v>
      </c>
      <c r="P45" s="97">
        <f t="shared" si="13"/>
        <v>8.5880343725616801E-2</v>
      </c>
      <c r="Q45" s="97">
        <f t="shared" si="13"/>
        <v>8.3223480503102257E-2</v>
      </c>
      <c r="R45" s="97">
        <f t="shared" si="13"/>
        <v>8.0566617280587713E-2</v>
      </c>
      <c r="S45" s="97">
        <f t="shared" si="13"/>
        <v>7.7909754058073155E-2</v>
      </c>
      <c r="T45" s="97">
        <f t="shared" si="13"/>
        <v>7.5252890835558611E-2</v>
      </c>
      <c r="U45" s="97">
        <f t="shared" si="13"/>
        <v>7.2596027613044067E-2</v>
      </c>
      <c r="V45" s="97">
        <f t="shared" si="13"/>
        <v>6.9939164390529537E-2</v>
      </c>
      <c r="W45" s="97">
        <f t="shared" si="13"/>
        <v>6.728230116801498E-2</v>
      </c>
      <c r="X45" s="97">
        <f t="shared" si="13"/>
        <v>6.4625437945500422E-2</v>
      </c>
      <c r="Y45" s="97">
        <f t="shared" si="13"/>
        <v>6.2185161612021277E-2</v>
      </c>
      <c r="Z45" s="97">
        <f t="shared" si="13"/>
        <v>6.0177961975981367E-2</v>
      </c>
      <c r="AA45" s="97">
        <f t="shared" si="13"/>
        <v>5.838734922897687E-2</v>
      </c>
      <c r="AB45" s="97">
        <f t="shared" si="13"/>
        <v>5.659673648197236E-2</v>
      </c>
      <c r="AC45" s="97">
        <f t="shared" si="13"/>
        <v>5.4806123734967849E-2</v>
      </c>
      <c r="AD45" s="97">
        <f t="shared" si="13"/>
        <v>5.3015510987963338E-2</v>
      </c>
      <c r="AE45" s="97">
        <f t="shared" si="13"/>
        <v>5.1224898240958827E-2</v>
      </c>
      <c r="AF45" s="97">
        <f t="shared" si="13"/>
        <v>4.9434285493954309E-2</v>
      </c>
      <c r="AG45" s="97">
        <f t="shared" si="13"/>
        <v>4.7643672746949799E-2</v>
      </c>
      <c r="AH45" s="97">
        <f t="shared" si="13"/>
        <v>4.5853059999945288E-2</v>
      </c>
      <c r="AI45" s="97">
        <f t="shared" si="13"/>
        <v>4.4062447252940777E-2</v>
      </c>
      <c r="AJ45" s="97">
        <f t="shared" si="13"/>
        <v>4.2271834505936266E-2</v>
      </c>
      <c r="AK45" s="97">
        <f t="shared" si="13"/>
        <v>4.0481221758931749E-2</v>
      </c>
      <c r="AL45" s="97">
        <f t="shared" si="13"/>
        <v>3.8690609011927252E-2</v>
      </c>
      <c r="AM45" s="97">
        <f t="shared" si="13"/>
        <v>3.6899996264922741E-2</v>
      </c>
      <c r="AN45" s="97">
        <f t="shared" si="13"/>
        <v>3.5109383517918223E-2</v>
      </c>
      <c r="AO45" s="97">
        <f t="shared" si="13"/>
        <v>3.3318770770913712E-2</v>
      </c>
      <c r="AP45" s="97">
        <f t="shared" si="13"/>
        <v>3.1528158023909202E-2</v>
      </c>
      <c r="AQ45" s="97">
        <f t="shared" si="13"/>
        <v>2.9737545276904698E-2</v>
      </c>
      <c r="AR45" s="97">
        <f t="shared" si="13"/>
        <v>2.7946932529900183E-2</v>
      </c>
      <c r="AS45" s="97">
        <f t="shared" si="13"/>
        <v>2.2116694516776557E-3</v>
      </c>
    </row>
    <row r="46" spans="1:46" outlineLevel="1" x14ac:dyDescent="0.2">
      <c r="A46" s="134">
        <f t="shared" si="11"/>
        <v>15</v>
      </c>
      <c r="B46" s="2"/>
      <c r="C46" s="2"/>
      <c r="D46" s="135"/>
      <c r="E46" s="43"/>
      <c r="F46" s="13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134">
        <f t="shared" si="11"/>
        <v>16</v>
      </c>
      <c r="B47" s="2"/>
      <c r="C47" s="2"/>
      <c r="D47" s="135"/>
      <c r="E47" s="43">
        <f>+E27/2</f>
        <v>747450.15214276384</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134">
        <f t="shared" si="11"/>
        <v>17</v>
      </c>
      <c r="B48" s="2"/>
      <c r="C48" s="2"/>
      <c r="D48" s="135"/>
      <c r="E48" s="43">
        <f>+E60/2</f>
        <v>89340.807350021758</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134">
        <f t="shared" si="11"/>
        <v>18</v>
      </c>
      <c r="B49" s="46" t="s">
        <v>64</v>
      </c>
      <c r="C49" s="2"/>
      <c r="D49" s="135"/>
      <c r="E49" s="41">
        <f>F22-E27/2-E60/2</f>
        <v>59447973.12050721</v>
      </c>
      <c r="F49" s="113">
        <f>$F$22-(SUM($E$27:E27)+F27/2)-(SUM($E$60:E60)+F60/2)</f>
        <v>57570464.493215047</v>
      </c>
      <c r="G49" s="113">
        <f>$F$22-(SUM($E$27:F27)+G27/2)-(SUM($E$60:F60)+G60/2)</f>
        <v>55523337.216854215</v>
      </c>
      <c r="H49" s="113">
        <f>$F$22-(SUM($E$27:G27)+H27/2)-(SUM($E$60:G60)+H60/2)</f>
        <v>53542167.500873312</v>
      </c>
      <c r="I49" s="113">
        <f>$F$22-(SUM($E$27:H27)+I27/2)-(SUM($E$60:H60)+I60/2)</f>
        <v>51622018.023094192</v>
      </c>
      <c r="J49" s="113">
        <f>$F$22-(SUM($E$27:I27)+J27/2)-(SUM($E$60:I60)+J60/2)</f>
        <v>49758331.255352385</v>
      </c>
      <c r="K49" s="113">
        <f>$F$22-(SUM($E$27:J27)+K27/2)-(SUM($E$60:J60)+K60/2)</f>
        <v>47946866.164494887</v>
      </c>
      <c r="L49" s="113">
        <f>$F$22-(SUM($E$27:K27)+L27/2)-(SUM($E$60:K60)+L60/2)</f>
        <v>46183698.212380081</v>
      </c>
      <c r="M49" s="113">
        <f>$F$22-(SUM($E$27:L27)+M27/2)-(SUM($E$60:L60)+M60/2)</f>
        <v>44447495.63523826</v>
      </c>
      <c r="N49" s="113">
        <f>$F$22-(SUM($E$27:M27)+N27/2)-(SUM($E$60:M60)+N60/2)</f>
        <v>42715154.297235757</v>
      </c>
      <c r="O49" s="113">
        <f>$F$22-(SUM($E$27:N27)+O27/2)-(SUM($E$60:N60)+O60/2)</f>
        <v>40982812.959233254</v>
      </c>
      <c r="P49" s="113">
        <f>$F$22-(SUM($E$27:O27)+P27/2)-(SUM($E$60:O60)+P60/2)</f>
        <v>39250471.621230759</v>
      </c>
      <c r="Q49" s="113">
        <f>$F$22-(SUM($E$27:P27)+Q27/2)-(SUM($E$60:P60)+Q60/2)</f>
        <v>37518130.283228263</v>
      </c>
      <c r="R49" s="113">
        <f>$F$22-(SUM($E$27:Q27)+R27/2)-(SUM($E$60:Q60)+R60/2)</f>
        <v>35785788.94522576</v>
      </c>
      <c r="S49" s="113">
        <f>$F$22-(SUM($E$27:R27)+S27/2)-(SUM($E$60:R60)+S60/2)</f>
        <v>34053447.607223257</v>
      </c>
      <c r="T49" s="113">
        <f>$F$22-(SUM($E$27:S27)+T27/2)-(SUM($E$60:S60)+T60/2)</f>
        <v>32321106.269220758</v>
      </c>
      <c r="U49" s="113">
        <f>$F$22-(SUM($E$27:T27)+U27/2)-(SUM($E$60:T60)+U60/2)</f>
        <v>30588764.931218263</v>
      </c>
      <c r="V49" s="113">
        <f>$F$22-(SUM($E$27:U27)+V27/2)-(SUM($E$60:U60)+V60/2)</f>
        <v>28856423.593215771</v>
      </c>
      <c r="W49" s="113">
        <f>$F$22-(SUM($E$27:V27)+W27/2)-(SUM($E$60:V60)+W60/2)</f>
        <v>27124082.255213268</v>
      </c>
      <c r="X49" s="113">
        <f>$F$22-(SUM($E$27:W27)+X27/2)-(SUM($E$60:W60)+X60/2)</f>
        <v>25391740.917210769</v>
      </c>
      <c r="Y49" s="113">
        <f>$F$22-(SUM($E$27:X27)+Y27/2)-(SUM($E$60:X60)+Y60/2)</f>
        <v>23800619.653303873</v>
      </c>
      <c r="Z49" s="113">
        <f>$F$22-(SUM($E$27:Y27)+Z27/2)-(SUM($E$60:Y60)+Z60/2)</f>
        <v>22491875.238585901</v>
      </c>
      <c r="AA49" s="113">
        <f>$F$22-(SUM($E$27:Z27)+AA27/2)-(SUM($E$60:Z60)+AA60/2)</f>
        <v>21324350.897963535</v>
      </c>
      <c r="AB49" s="113">
        <f>$F$22-(SUM($E$27:AA27)+AB27/2)-(SUM($E$60:AA60)+AB60/2)</f>
        <v>20156826.557341162</v>
      </c>
      <c r="AC49" s="113">
        <f>$F$22-(SUM($E$27:AB27)+AC27/2)-(SUM($E$60:AB60)+AC60/2)</f>
        <v>18989302.216718793</v>
      </c>
      <c r="AD49" s="113">
        <f>$F$22-(SUM($E$27:AC27)+AD27/2)-(SUM($E$60:AC60)+AD60/2)</f>
        <v>17821777.87609642</v>
      </c>
      <c r="AE49" s="113">
        <f>$F$22-(SUM($E$27:AD27)+AE27/2)-(SUM($E$60:AD60)+AE60/2)</f>
        <v>16654253.535474051</v>
      </c>
      <c r="AF49" s="113">
        <f>$F$22-(SUM($E$27:AE27)+AF27/2)-(SUM($E$60:AE60)+AF60/2)</f>
        <v>15486729.194851678</v>
      </c>
      <c r="AG49" s="113">
        <f>$F$22-(SUM($E$27:AF27)+AG27/2)-(SUM($E$60:AF60)+AG60/2)</f>
        <v>14319204.854229309</v>
      </c>
      <c r="AH49" s="113">
        <f>$F$22-(SUM($E$27:AG27)+AH27/2)-(SUM($E$60:AG60)+AH60/2)</f>
        <v>13151680.513606938</v>
      </c>
      <c r="AI49" s="113">
        <f>$F$22-(SUM($E$27:AH27)+AI27/2)-(SUM($E$60:AH60)+AI60/2)</f>
        <v>11984156.172984567</v>
      </c>
      <c r="AJ49" s="113">
        <f>$F$22-(SUM($E$27:AI27)+AJ27/2)-(SUM($E$60:AI60)+AJ60/2)</f>
        <v>10816631.832362197</v>
      </c>
      <c r="AK49" s="113">
        <f>$F$22-(SUM($E$27:AJ27)+AK27/2)-(SUM($E$60:AJ60)+AK60/2)</f>
        <v>9649107.4917398263</v>
      </c>
      <c r="AL49" s="113">
        <f>$F$22-(SUM($E$27:AK27)+AL27/2)-(SUM($E$60:AK60)+AL60/2)</f>
        <v>8481583.1511174552</v>
      </c>
      <c r="AM49" s="113">
        <f>$F$22-(SUM($E$27:AL27)+AM27/2)-(SUM($E$60:AL60)+AM60/2)</f>
        <v>7314058.8104950851</v>
      </c>
      <c r="AN49" s="113">
        <f>$F$22-(SUM($E$27:AM27)+AN27/2)-(SUM($E$60:AM60)+AN60/2)</f>
        <v>6146534.469872714</v>
      </c>
      <c r="AO49" s="113">
        <f>$F$22-(SUM($E$27:AN27)+AO27/2)-(SUM($E$60:AN60)+AO60/2)</f>
        <v>4979010.1292503439</v>
      </c>
      <c r="AP49" s="113">
        <f>$F$22-(SUM($E$27:AO27)+AP27/2)-(SUM($E$60:AO60)+AP60/2)</f>
        <v>3811485.7886279728</v>
      </c>
      <c r="AQ49" s="113">
        <f>$F$22-(SUM($E$27:AP27)+AQ27/2)-(SUM($E$60:AP60)+AQ60/2)</f>
        <v>2643961.4480056027</v>
      </c>
      <c r="AR49" s="113">
        <f>$F$22-(SUM($E$27:AQ27)+AR27/2)-(SUM($E$60:AQ60)+AR60/2)</f>
        <v>1476437.1073832319</v>
      </c>
      <c r="AS49" s="113">
        <f>$F$22-(SUM($E$27:AR27)+AS27/2)-(SUM($E$60:AR60)+AS60/2)</f>
        <v>872831.20222904906</v>
      </c>
      <c r="AT49" s="100">
        <f t="shared" ref="AT49:AT60" si="14">SUM(D49:AS49)</f>
        <v>1093002693.4437053</v>
      </c>
    </row>
    <row r="50" spans="1:46" x14ac:dyDescent="0.2">
      <c r="A50" s="134">
        <f t="shared" si="11"/>
        <v>19</v>
      </c>
      <c r="B50" s="2"/>
      <c r="C50" s="2"/>
      <c r="D50" s="135"/>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100">
        <f t="shared" si="14"/>
        <v>0</v>
      </c>
    </row>
    <row r="51" spans="1:46" x14ac:dyDescent="0.2">
      <c r="A51" s="134">
        <f t="shared" si="11"/>
        <v>20</v>
      </c>
      <c r="B51" s="2"/>
      <c r="C51" s="2"/>
      <c r="D51" s="135"/>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100">
        <f t="shared" si="14"/>
        <v>0</v>
      </c>
    </row>
    <row r="52" spans="1:46" x14ac:dyDescent="0.2">
      <c r="A52" s="134">
        <f t="shared" si="11"/>
        <v>21</v>
      </c>
      <c r="B52" s="2" t="s">
        <v>65</v>
      </c>
      <c r="C52" s="2"/>
      <c r="D52" s="135"/>
      <c r="E52" s="38">
        <f>(E34)/(1-$F$15)</f>
        <v>3469052.6086776992</v>
      </c>
      <c r="F52" s="98">
        <f t="shared" ref="F52:AS52" si="15">(F34)/(1-$F$15)</f>
        <v>3359491.6621990046</v>
      </c>
      <c r="G52" s="98">
        <f t="shared" si="15"/>
        <v>3240032.7160721254</v>
      </c>
      <c r="H52" s="98">
        <f t="shared" si="15"/>
        <v>3124422.6858104556</v>
      </c>
      <c r="I52" s="98">
        <f t="shared" si="15"/>
        <v>3012373.4567906866</v>
      </c>
      <c r="J52" s="98">
        <f t="shared" si="15"/>
        <v>2903619.0770528419</v>
      </c>
      <c r="K52" s="98">
        <f t="shared" si="15"/>
        <v>2797912.063523056</v>
      </c>
      <c r="L52" s="98">
        <f t="shared" si="15"/>
        <v>2695023.4020135719</v>
      </c>
      <c r="M52" s="98">
        <f t="shared" si="15"/>
        <v>2593708.2896006126</v>
      </c>
      <c r="N52" s="98">
        <f t="shared" si="15"/>
        <v>2492618.497598188</v>
      </c>
      <c r="O52" s="98">
        <f t="shared" si="15"/>
        <v>2391528.7055957634</v>
      </c>
      <c r="P52" s="98">
        <f t="shared" si="15"/>
        <v>2290438.9135933393</v>
      </c>
      <c r="Q52" s="98">
        <f t="shared" si="15"/>
        <v>2189349.1215909151</v>
      </c>
      <c r="R52" s="98">
        <f t="shared" si="15"/>
        <v>2088259.3295884908</v>
      </c>
      <c r="S52" s="98">
        <f t="shared" si="15"/>
        <v>1987169.5375860659</v>
      </c>
      <c r="T52" s="98">
        <f t="shared" si="15"/>
        <v>1886079.7455836416</v>
      </c>
      <c r="U52" s="98">
        <f t="shared" si="15"/>
        <v>1784989.9535812177</v>
      </c>
      <c r="V52" s="98">
        <f t="shared" si="15"/>
        <v>1683900.1615787938</v>
      </c>
      <c r="W52" s="98">
        <f t="shared" si="15"/>
        <v>1582810.3695763692</v>
      </c>
      <c r="X52" s="98">
        <f t="shared" si="15"/>
        <v>1481720.5775739448</v>
      </c>
      <c r="Y52" s="98">
        <f t="shared" si="15"/>
        <v>1388871.602553555</v>
      </c>
      <c r="Z52" s="98">
        <f t="shared" si="15"/>
        <v>1312500.5677200127</v>
      </c>
      <c r="AA52" s="98">
        <f t="shared" si="15"/>
        <v>1244370.349868505</v>
      </c>
      <c r="AB52" s="98">
        <f t="shared" si="15"/>
        <v>1176240.1320169969</v>
      </c>
      <c r="AC52" s="98">
        <f t="shared" si="15"/>
        <v>1108109.9141654891</v>
      </c>
      <c r="AD52" s="98">
        <f t="shared" si="15"/>
        <v>1039979.696313981</v>
      </c>
      <c r="AE52" s="98">
        <f t="shared" si="15"/>
        <v>971849.47846247314</v>
      </c>
      <c r="AF52" s="98">
        <f t="shared" si="15"/>
        <v>903719.26061096496</v>
      </c>
      <c r="AG52" s="98">
        <f t="shared" si="15"/>
        <v>835589.04275945714</v>
      </c>
      <c r="AH52" s="98">
        <f t="shared" si="15"/>
        <v>767458.82490794908</v>
      </c>
      <c r="AI52" s="98">
        <f t="shared" si="15"/>
        <v>699328.60705644125</v>
      </c>
      <c r="AJ52" s="98">
        <f t="shared" si="15"/>
        <v>631198.38920493331</v>
      </c>
      <c r="AK52" s="98">
        <f t="shared" si="15"/>
        <v>563068.17135342525</v>
      </c>
      <c r="AL52" s="98">
        <f t="shared" si="15"/>
        <v>494937.95350191736</v>
      </c>
      <c r="AM52" s="98">
        <f t="shared" si="15"/>
        <v>426807.73565040942</v>
      </c>
      <c r="AN52" s="98">
        <f t="shared" si="15"/>
        <v>358677.51779890142</v>
      </c>
      <c r="AO52" s="98">
        <f t="shared" si="15"/>
        <v>290547.29994739348</v>
      </c>
      <c r="AP52" s="98">
        <f t="shared" si="15"/>
        <v>222417.0820958855</v>
      </c>
      <c r="AQ52" s="98">
        <f t="shared" si="15"/>
        <v>154286.86424437756</v>
      </c>
      <c r="AR52" s="98">
        <f t="shared" si="15"/>
        <v>86156.646392869603</v>
      </c>
      <c r="AS52" s="98">
        <f t="shared" si="15"/>
        <v>50933.567623745766</v>
      </c>
      <c r="AT52" s="100">
        <f t="shared" si="14"/>
        <v>63781549.579436459</v>
      </c>
    </row>
    <row r="53" spans="1:46" x14ac:dyDescent="0.2">
      <c r="A53" s="134">
        <f t="shared" si="11"/>
        <v>22</v>
      </c>
      <c r="B53" s="2" t="s">
        <v>66</v>
      </c>
      <c r="C53" s="2"/>
      <c r="D53" s="135"/>
      <c r="E53" s="40">
        <f t="shared" ref="E53:AS53" si="16">E52*$F15</f>
        <v>728501.04782231676</v>
      </c>
      <c r="F53" s="96">
        <f t="shared" si="16"/>
        <v>705493.24906179088</v>
      </c>
      <c r="G53" s="96">
        <f t="shared" si="16"/>
        <v>680406.87037514627</v>
      </c>
      <c r="H53" s="96">
        <f t="shared" si="16"/>
        <v>656128.7640201957</v>
      </c>
      <c r="I53" s="96">
        <f t="shared" si="16"/>
        <v>632598.42592604412</v>
      </c>
      <c r="J53" s="96">
        <f t="shared" si="16"/>
        <v>609760.00618109677</v>
      </c>
      <c r="K53" s="96">
        <f t="shared" si="16"/>
        <v>587561.53333984176</v>
      </c>
      <c r="L53" s="96">
        <f t="shared" si="16"/>
        <v>565954.91442285012</v>
      </c>
      <c r="M53" s="96">
        <f t="shared" si="16"/>
        <v>544678.74081612867</v>
      </c>
      <c r="N53" s="96">
        <f t="shared" si="16"/>
        <v>523449.88449561945</v>
      </c>
      <c r="O53" s="96">
        <f t="shared" si="16"/>
        <v>502221.02817511029</v>
      </c>
      <c r="P53" s="96">
        <f t="shared" si="16"/>
        <v>480992.17185460124</v>
      </c>
      <c r="Q53" s="96">
        <f t="shared" si="16"/>
        <v>459763.31553409214</v>
      </c>
      <c r="R53" s="96">
        <f t="shared" si="16"/>
        <v>438534.45921358303</v>
      </c>
      <c r="S53" s="96">
        <f t="shared" si="16"/>
        <v>417305.60289307381</v>
      </c>
      <c r="T53" s="96">
        <f t="shared" si="16"/>
        <v>396076.74657256471</v>
      </c>
      <c r="U53" s="96">
        <f t="shared" si="16"/>
        <v>374847.89025205572</v>
      </c>
      <c r="V53" s="96">
        <f t="shared" si="16"/>
        <v>353619.03393154667</v>
      </c>
      <c r="W53" s="96">
        <f t="shared" si="16"/>
        <v>332390.17761103751</v>
      </c>
      <c r="X53" s="96">
        <f t="shared" si="16"/>
        <v>311161.3212905284</v>
      </c>
      <c r="Y53" s="96">
        <f t="shared" si="16"/>
        <v>291663.03653624654</v>
      </c>
      <c r="Z53" s="96">
        <f t="shared" si="16"/>
        <v>275625.11922120268</v>
      </c>
      <c r="AA53" s="96">
        <f t="shared" si="16"/>
        <v>261317.77347238603</v>
      </c>
      <c r="AB53" s="96">
        <f t="shared" si="16"/>
        <v>247010.42772356933</v>
      </c>
      <c r="AC53" s="96">
        <f t="shared" si="16"/>
        <v>232703.08197475271</v>
      </c>
      <c r="AD53" s="96">
        <f t="shared" si="16"/>
        <v>218395.73622593601</v>
      </c>
      <c r="AE53" s="96">
        <f t="shared" si="16"/>
        <v>204088.39047711936</v>
      </c>
      <c r="AF53" s="96">
        <f t="shared" si="16"/>
        <v>189781.04472830263</v>
      </c>
      <c r="AG53" s="96">
        <f t="shared" si="16"/>
        <v>175473.69897948598</v>
      </c>
      <c r="AH53" s="96">
        <f t="shared" si="16"/>
        <v>161166.35323066931</v>
      </c>
      <c r="AI53" s="96">
        <f t="shared" si="16"/>
        <v>146859.00748185266</v>
      </c>
      <c r="AJ53" s="96">
        <f t="shared" si="16"/>
        <v>132551.66173303599</v>
      </c>
      <c r="AK53" s="96">
        <f t="shared" si="16"/>
        <v>118244.3159842193</v>
      </c>
      <c r="AL53" s="96">
        <f t="shared" si="16"/>
        <v>103936.97023540264</v>
      </c>
      <c r="AM53" s="96">
        <f t="shared" si="16"/>
        <v>89629.624486585977</v>
      </c>
      <c r="AN53" s="96">
        <f t="shared" si="16"/>
        <v>75322.278737769302</v>
      </c>
      <c r="AO53" s="96">
        <f t="shared" si="16"/>
        <v>61014.932988952627</v>
      </c>
      <c r="AP53" s="96">
        <f t="shared" si="16"/>
        <v>46707.587240135952</v>
      </c>
      <c r="AQ53" s="96">
        <f t="shared" si="16"/>
        <v>32400.241491319288</v>
      </c>
      <c r="AR53" s="96">
        <f t="shared" si="16"/>
        <v>18092.895742502616</v>
      </c>
      <c r="AS53" s="96">
        <f t="shared" si="16"/>
        <v>10696.04920098661</v>
      </c>
      <c r="AT53" s="100">
        <f t="shared" si="14"/>
        <v>13394125.411681658</v>
      </c>
    </row>
    <row r="54" spans="1:46" x14ac:dyDescent="0.2">
      <c r="A54" s="134">
        <f t="shared" si="11"/>
        <v>23</v>
      </c>
      <c r="B54" s="2" t="s">
        <v>67</v>
      </c>
      <c r="C54" s="2"/>
      <c r="D54" s="135"/>
      <c r="E54" s="38">
        <f>E52-E53</f>
        <v>2740551.5608553826</v>
      </c>
      <c r="F54" s="98">
        <f t="shared" ref="F54:AS54" si="17">F52-F53</f>
        <v>2653998.4131372138</v>
      </c>
      <c r="G54" s="98">
        <f t="shared" si="17"/>
        <v>2559625.8456969792</v>
      </c>
      <c r="H54" s="98">
        <f t="shared" si="17"/>
        <v>2468293.9217902599</v>
      </c>
      <c r="I54" s="98">
        <f t="shared" si="17"/>
        <v>2379775.0308646425</v>
      </c>
      <c r="J54" s="98">
        <f t="shared" si="17"/>
        <v>2293859.0708717452</v>
      </c>
      <c r="K54" s="98">
        <f t="shared" si="17"/>
        <v>2210350.5301832142</v>
      </c>
      <c r="L54" s="98">
        <f t="shared" si="17"/>
        <v>2129068.4875907218</v>
      </c>
      <c r="M54" s="98">
        <f t="shared" si="17"/>
        <v>2049029.5487844839</v>
      </c>
      <c r="N54" s="98">
        <f t="shared" si="17"/>
        <v>1969168.6131025685</v>
      </c>
      <c r="O54" s="98">
        <f t="shared" si="17"/>
        <v>1889307.6774206532</v>
      </c>
      <c r="P54" s="98">
        <f t="shared" si="17"/>
        <v>1809446.741738738</v>
      </c>
      <c r="Q54" s="98">
        <f t="shared" si="17"/>
        <v>1729585.8060568231</v>
      </c>
      <c r="R54" s="98">
        <f t="shared" si="17"/>
        <v>1649724.8703749077</v>
      </c>
      <c r="S54" s="98">
        <f t="shared" si="17"/>
        <v>1569863.9346929921</v>
      </c>
      <c r="T54" s="98">
        <f t="shared" si="17"/>
        <v>1490002.999011077</v>
      </c>
      <c r="U54" s="98">
        <f t="shared" si="17"/>
        <v>1410142.0633291621</v>
      </c>
      <c r="V54" s="98">
        <f t="shared" si="17"/>
        <v>1330281.1276472472</v>
      </c>
      <c r="W54" s="98">
        <f t="shared" si="17"/>
        <v>1250420.1919653318</v>
      </c>
      <c r="X54" s="98">
        <f t="shared" si="17"/>
        <v>1170559.2562834164</v>
      </c>
      <c r="Y54" s="98">
        <f t="shared" si="17"/>
        <v>1097208.5660173085</v>
      </c>
      <c r="Z54" s="98">
        <f t="shared" si="17"/>
        <v>1036875.4484988101</v>
      </c>
      <c r="AA54" s="98">
        <f t="shared" si="17"/>
        <v>983052.57639611897</v>
      </c>
      <c r="AB54" s="98">
        <f t="shared" si="17"/>
        <v>929229.70429342752</v>
      </c>
      <c r="AC54" s="98">
        <f t="shared" si="17"/>
        <v>875406.83219073643</v>
      </c>
      <c r="AD54" s="98">
        <f t="shared" si="17"/>
        <v>821583.96008804499</v>
      </c>
      <c r="AE54" s="98">
        <f t="shared" si="17"/>
        <v>767761.08798535378</v>
      </c>
      <c r="AF54" s="98">
        <f t="shared" si="17"/>
        <v>713938.21588266233</v>
      </c>
      <c r="AG54" s="98">
        <f t="shared" si="17"/>
        <v>660115.34377997112</v>
      </c>
      <c r="AH54" s="98">
        <f t="shared" si="17"/>
        <v>606292.4716772798</v>
      </c>
      <c r="AI54" s="98">
        <f t="shared" si="17"/>
        <v>552469.59957458859</v>
      </c>
      <c r="AJ54" s="98">
        <f t="shared" si="17"/>
        <v>498646.72747189732</v>
      </c>
      <c r="AK54" s="98">
        <f t="shared" si="17"/>
        <v>444823.85536920594</v>
      </c>
      <c r="AL54" s="98">
        <f t="shared" si="17"/>
        <v>391000.98326651473</v>
      </c>
      <c r="AM54" s="98">
        <f t="shared" si="17"/>
        <v>337178.11116382346</v>
      </c>
      <c r="AN54" s="98">
        <f t="shared" si="17"/>
        <v>283355.23906113213</v>
      </c>
      <c r="AO54" s="98">
        <f t="shared" si="17"/>
        <v>229532.36695844086</v>
      </c>
      <c r="AP54" s="98">
        <f t="shared" si="17"/>
        <v>175709.49485574954</v>
      </c>
      <c r="AQ54" s="98">
        <f t="shared" si="17"/>
        <v>121886.62275305827</v>
      </c>
      <c r="AR54" s="98">
        <f t="shared" si="17"/>
        <v>68063.750650366987</v>
      </c>
      <c r="AS54" s="98">
        <f t="shared" si="17"/>
        <v>40237.518422759153</v>
      </c>
      <c r="AT54" s="100">
        <f t="shared" si="14"/>
        <v>50387424.167754821</v>
      </c>
    </row>
    <row r="55" spans="1:46" x14ac:dyDescent="0.2">
      <c r="A55" s="134">
        <f t="shared" si="11"/>
        <v>24</v>
      </c>
      <c r="B55" s="2"/>
      <c r="C55" s="2"/>
      <c r="D55" s="135"/>
      <c r="E55" s="158"/>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00">
        <f t="shared" si="14"/>
        <v>0</v>
      </c>
    </row>
    <row r="56" spans="1:46" x14ac:dyDescent="0.2">
      <c r="A56" s="134">
        <f t="shared" si="11"/>
        <v>25</v>
      </c>
      <c r="B56" s="2"/>
      <c r="C56" s="2"/>
      <c r="D56" s="135"/>
      <c r="E56" s="84"/>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00">
        <f t="shared" si="14"/>
        <v>0</v>
      </c>
    </row>
    <row r="57" spans="1:46" x14ac:dyDescent="0.2">
      <c r="A57" s="134">
        <f t="shared" si="11"/>
        <v>26</v>
      </c>
      <c r="B57" s="2" t="s">
        <v>68</v>
      </c>
      <c r="C57" s="2"/>
      <c r="D57" s="135"/>
      <c r="E57" s="38">
        <f>E27</f>
        <v>1494900.3042855277</v>
      </c>
      <c r="F57" s="98">
        <f>F27</f>
        <v>1477878.9121802119</v>
      </c>
      <c r="G57" s="98">
        <f>G27</f>
        <v>1477878.9121802119</v>
      </c>
      <c r="H57" s="98">
        <f t="shared" ref="H57:AS57" si="18">H27</f>
        <v>1477878.9121802119</v>
      </c>
      <c r="I57" s="98">
        <f t="shared" si="18"/>
        <v>1477878.9121802119</v>
      </c>
      <c r="J57" s="98">
        <f t="shared" si="18"/>
        <v>1477878.9121802119</v>
      </c>
      <c r="K57" s="98">
        <f t="shared" si="18"/>
        <v>1477878.9121802119</v>
      </c>
      <c r="L57" s="98">
        <f t="shared" si="18"/>
        <v>1477878.9121802119</v>
      </c>
      <c r="M57" s="98">
        <f t="shared" si="18"/>
        <v>1477878.9121802119</v>
      </c>
      <c r="N57" s="98">
        <f t="shared" si="18"/>
        <v>1477878.9121802119</v>
      </c>
      <c r="O57" s="98">
        <f t="shared" si="18"/>
        <v>1477878.9121802119</v>
      </c>
      <c r="P57" s="98">
        <f t="shared" si="18"/>
        <v>1477878.9121802119</v>
      </c>
      <c r="Q57" s="98">
        <f t="shared" si="18"/>
        <v>1477878.9121802119</v>
      </c>
      <c r="R57" s="98">
        <f t="shared" si="18"/>
        <v>1477878.9121802119</v>
      </c>
      <c r="S57" s="98">
        <f t="shared" si="18"/>
        <v>1477878.9121802119</v>
      </c>
      <c r="T57" s="98">
        <f t="shared" si="18"/>
        <v>1477878.9121802119</v>
      </c>
      <c r="U57" s="98">
        <f t="shared" si="18"/>
        <v>1477878.9121802119</v>
      </c>
      <c r="V57" s="98">
        <f t="shared" si="18"/>
        <v>1477878.9121802119</v>
      </c>
      <c r="W57" s="98">
        <f t="shared" si="18"/>
        <v>1477878.9121802119</v>
      </c>
      <c r="X57" s="98">
        <f t="shared" si="18"/>
        <v>1477878.9121802119</v>
      </c>
      <c r="Y57" s="98">
        <f t="shared" si="18"/>
        <v>1477878.9121802119</v>
      </c>
      <c r="Z57" s="98">
        <f t="shared" si="18"/>
        <v>1477878.9121802119</v>
      </c>
      <c r="AA57" s="98">
        <f t="shared" si="18"/>
        <v>1477878.9121802119</v>
      </c>
      <c r="AB57" s="98">
        <f t="shared" si="18"/>
        <v>1477878.9121802119</v>
      </c>
      <c r="AC57" s="98">
        <f t="shared" si="18"/>
        <v>1477878.9121802119</v>
      </c>
      <c r="AD57" s="98">
        <f t="shared" si="18"/>
        <v>1477878.9121802119</v>
      </c>
      <c r="AE57" s="98">
        <f t="shared" si="18"/>
        <v>1477878.9121802119</v>
      </c>
      <c r="AF57" s="98">
        <f t="shared" si="18"/>
        <v>1477878.9121802119</v>
      </c>
      <c r="AG57" s="98">
        <f t="shared" si="18"/>
        <v>1477878.9121802119</v>
      </c>
      <c r="AH57" s="98">
        <f t="shared" si="18"/>
        <v>1477878.9121802119</v>
      </c>
      <c r="AI57" s="98">
        <f t="shared" si="18"/>
        <v>1477878.9121802119</v>
      </c>
      <c r="AJ57" s="98">
        <f t="shared" si="18"/>
        <v>1477878.9121802119</v>
      </c>
      <c r="AK57" s="98">
        <f t="shared" si="18"/>
        <v>1477878.9121802119</v>
      </c>
      <c r="AL57" s="98">
        <f t="shared" si="18"/>
        <v>1477878.9121802119</v>
      </c>
      <c r="AM57" s="98">
        <f t="shared" si="18"/>
        <v>1477878.9121802119</v>
      </c>
      <c r="AN57" s="98">
        <f t="shared" si="18"/>
        <v>1477878.9121802119</v>
      </c>
      <c r="AO57" s="98">
        <f t="shared" si="18"/>
        <v>1477878.9121802119</v>
      </c>
      <c r="AP57" s="98">
        <f t="shared" si="18"/>
        <v>1477878.9121802119</v>
      </c>
      <c r="AQ57" s="98">
        <f t="shared" si="18"/>
        <v>1477878.9121802119</v>
      </c>
      <c r="AR57" s="98">
        <f t="shared" si="18"/>
        <v>1477878.9121802119</v>
      </c>
      <c r="AS57" s="98">
        <f t="shared" si="18"/>
        <v>50237.303400000004</v>
      </c>
      <c r="AT57" s="100">
        <f t="shared" si="14"/>
        <v>59182415.182713844</v>
      </c>
    </row>
    <row r="58" spans="1:46" x14ac:dyDescent="0.2">
      <c r="A58" s="134">
        <f t="shared" si="11"/>
        <v>27</v>
      </c>
      <c r="B58" s="2" t="s">
        <v>69</v>
      </c>
      <c r="C58" s="2"/>
      <c r="D58" s="135"/>
      <c r="E58" s="38">
        <f>$F22*E62</f>
        <v>2260678.6529999999</v>
      </c>
      <c r="F58" s="98">
        <f t="shared" ref="F58:AS58" si="19">$F22*F62</f>
        <v>4351957.1189352004</v>
      </c>
      <c r="G58" s="98">
        <f t="shared" si="19"/>
        <v>4025213.6976215998</v>
      </c>
      <c r="H58" s="98">
        <f t="shared" si="19"/>
        <v>3723789.8772215997</v>
      </c>
      <c r="I58" s="98">
        <f t="shared" si="19"/>
        <v>3444068.5718903998</v>
      </c>
      <c r="J58" s="98">
        <f t="shared" si="19"/>
        <v>3186049.7816280001</v>
      </c>
      <c r="K58" s="98">
        <f t="shared" si="19"/>
        <v>2946719.2682304</v>
      </c>
      <c r="L58" s="98">
        <f t="shared" si="19"/>
        <v>2726077.0316976001</v>
      </c>
      <c r="M58" s="98">
        <f t="shared" si="19"/>
        <v>2689906.1732496</v>
      </c>
      <c r="N58" s="98">
        <f t="shared" si="19"/>
        <v>2689303.3256088002</v>
      </c>
      <c r="O58" s="98">
        <f t="shared" si="19"/>
        <v>2689906.1732496</v>
      </c>
      <c r="P58" s="98">
        <f t="shared" si="19"/>
        <v>2689303.3256088002</v>
      </c>
      <c r="Q58" s="98">
        <f t="shared" si="19"/>
        <v>2689906.1732496</v>
      </c>
      <c r="R58" s="98">
        <f t="shared" si="19"/>
        <v>2689303.3256088002</v>
      </c>
      <c r="S58" s="98">
        <f t="shared" si="19"/>
        <v>2689906.1732496</v>
      </c>
      <c r="T58" s="98">
        <f t="shared" si="19"/>
        <v>2689303.3256088002</v>
      </c>
      <c r="U58" s="98">
        <f t="shared" si="19"/>
        <v>2689906.1732496</v>
      </c>
      <c r="V58" s="98">
        <f t="shared" si="19"/>
        <v>2689303.3256088002</v>
      </c>
      <c r="W58" s="98">
        <f t="shared" si="19"/>
        <v>2689906.1732496</v>
      </c>
      <c r="X58" s="98">
        <f t="shared" si="19"/>
        <v>2689303.3256088002</v>
      </c>
      <c r="Y58" s="98">
        <f t="shared" si="19"/>
        <v>1344953.0866248</v>
      </c>
      <c r="Z58" s="98">
        <f t="shared" si="19"/>
        <v>0</v>
      </c>
      <c r="AA58" s="98">
        <f t="shared" si="19"/>
        <v>0</v>
      </c>
      <c r="AB58" s="98">
        <f t="shared" si="19"/>
        <v>0</v>
      </c>
      <c r="AC58" s="98">
        <f t="shared" si="19"/>
        <v>0</v>
      </c>
      <c r="AD58" s="98">
        <f t="shared" si="19"/>
        <v>0</v>
      </c>
      <c r="AE58" s="98">
        <f t="shared" si="19"/>
        <v>0</v>
      </c>
      <c r="AF58" s="98">
        <f t="shared" si="19"/>
        <v>0</v>
      </c>
      <c r="AG58" s="98">
        <f t="shared" si="19"/>
        <v>0</v>
      </c>
      <c r="AH58" s="98">
        <f t="shared" si="19"/>
        <v>0</v>
      </c>
      <c r="AI58" s="98">
        <f t="shared" si="19"/>
        <v>0</v>
      </c>
      <c r="AJ58" s="98">
        <f t="shared" si="19"/>
        <v>0</v>
      </c>
      <c r="AK58" s="98">
        <f t="shared" si="19"/>
        <v>0</v>
      </c>
      <c r="AL58" s="98">
        <f t="shared" si="19"/>
        <v>0</v>
      </c>
      <c r="AM58" s="98">
        <f t="shared" si="19"/>
        <v>0</v>
      </c>
      <c r="AN58" s="98">
        <f t="shared" si="19"/>
        <v>0</v>
      </c>
      <c r="AO58" s="98">
        <f t="shared" si="19"/>
        <v>0</v>
      </c>
      <c r="AP58" s="98">
        <f t="shared" si="19"/>
        <v>0</v>
      </c>
      <c r="AQ58" s="98">
        <f t="shared" si="19"/>
        <v>0</v>
      </c>
      <c r="AR58" s="98">
        <f t="shared" si="19"/>
        <v>0</v>
      </c>
      <c r="AS58" s="98">
        <f t="shared" si="19"/>
        <v>0</v>
      </c>
      <c r="AT58" s="100">
        <f t="shared" si="14"/>
        <v>60284764.079999998</v>
      </c>
    </row>
    <row r="59" spans="1:46" x14ac:dyDescent="0.2">
      <c r="A59" s="134">
        <f t="shared" si="11"/>
        <v>28</v>
      </c>
      <c r="B59" s="2" t="s">
        <v>70</v>
      </c>
      <c r="C59" s="2"/>
      <c r="D59" s="135"/>
      <c r="E59" s="38">
        <f>E58-E57</f>
        <v>765778.34871447226</v>
      </c>
      <c r="F59" s="98">
        <f>F58-F57</f>
        <v>2874078.2067549885</v>
      </c>
      <c r="G59" s="98">
        <f>G58-G57</f>
        <v>2547334.7854413879</v>
      </c>
      <c r="H59" s="98">
        <f t="shared" ref="H59:AS59" si="20">H58-H57</f>
        <v>2245910.9650413878</v>
      </c>
      <c r="I59" s="98">
        <f t="shared" si="20"/>
        <v>1966189.6597101879</v>
      </c>
      <c r="J59" s="98">
        <f t="shared" si="20"/>
        <v>1708170.8694477882</v>
      </c>
      <c r="K59" s="98">
        <f t="shared" si="20"/>
        <v>1468840.3560501882</v>
      </c>
      <c r="L59" s="98">
        <f t="shared" si="20"/>
        <v>1248198.1195173883</v>
      </c>
      <c r="M59" s="98">
        <f t="shared" si="20"/>
        <v>1212027.2610693881</v>
      </c>
      <c r="N59" s="98">
        <f t="shared" si="20"/>
        <v>1211424.4134285883</v>
      </c>
      <c r="O59" s="98">
        <f t="shared" si="20"/>
        <v>1212027.2610693881</v>
      </c>
      <c r="P59" s="98">
        <f t="shared" si="20"/>
        <v>1211424.4134285883</v>
      </c>
      <c r="Q59" s="98">
        <f t="shared" si="20"/>
        <v>1212027.2610693881</v>
      </c>
      <c r="R59" s="98">
        <f t="shared" si="20"/>
        <v>1211424.4134285883</v>
      </c>
      <c r="S59" s="98">
        <f t="shared" si="20"/>
        <v>1212027.2610693881</v>
      </c>
      <c r="T59" s="98">
        <f t="shared" si="20"/>
        <v>1211424.4134285883</v>
      </c>
      <c r="U59" s="98">
        <f t="shared" si="20"/>
        <v>1212027.2610693881</v>
      </c>
      <c r="V59" s="98">
        <f t="shared" si="20"/>
        <v>1211424.4134285883</v>
      </c>
      <c r="W59" s="98">
        <f t="shared" si="20"/>
        <v>1212027.2610693881</v>
      </c>
      <c r="X59" s="98">
        <f t="shared" si="20"/>
        <v>1211424.4134285883</v>
      </c>
      <c r="Y59" s="98">
        <f t="shared" si="20"/>
        <v>-132925.82555541187</v>
      </c>
      <c r="Z59" s="98">
        <f t="shared" si="20"/>
        <v>-1477878.9121802119</v>
      </c>
      <c r="AA59" s="98">
        <f t="shared" si="20"/>
        <v>-1477878.9121802119</v>
      </c>
      <c r="AB59" s="98">
        <f t="shared" si="20"/>
        <v>-1477878.9121802119</v>
      </c>
      <c r="AC59" s="98">
        <f t="shared" si="20"/>
        <v>-1477878.9121802119</v>
      </c>
      <c r="AD59" s="98">
        <f t="shared" si="20"/>
        <v>-1477878.9121802119</v>
      </c>
      <c r="AE59" s="98">
        <f t="shared" si="20"/>
        <v>-1477878.9121802119</v>
      </c>
      <c r="AF59" s="98">
        <f t="shared" si="20"/>
        <v>-1477878.9121802119</v>
      </c>
      <c r="AG59" s="98">
        <f t="shared" si="20"/>
        <v>-1477878.9121802119</v>
      </c>
      <c r="AH59" s="98">
        <f t="shared" si="20"/>
        <v>-1477878.9121802119</v>
      </c>
      <c r="AI59" s="98">
        <f t="shared" si="20"/>
        <v>-1477878.9121802119</v>
      </c>
      <c r="AJ59" s="98">
        <f t="shared" si="20"/>
        <v>-1477878.9121802119</v>
      </c>
      <c r="AK59" s="98">
        <f t="shared" si="20"/>
        <v>-1477878.9121802119</v>
      </c>
      <c r="AL59" s="98">
        <f t="shared" si="20"/>
        <v>-1477878.9121802119</v>
      </c>
      <c r="AM59" s="98">
        <f t="shared" si="20"/>
        <v>-1477878.9121802119</v>
      </c>
      <c r="AN59" s="98">
        <f t="shared" si="20"/>
        <v>-1477878.9121802119</v>
      </c>
      <c r="AO59" s="98">
        <f t="shared" si="20"/>
        <v>-1477878.9121802119</v>
      </c>
      <c r="AP59" s="98">
        <f t="shared" si="20"/>
        <v>-1477878.9121802119</v>
      </c>
      <c r="AQ59" s="98">
        <f t="shared" si="20"/>
        <v>-1477878.9121802119</v>
      </c>
      <c r="AR59" s="98">
        <f t="shared" si="20"/>
        <v>-1477878.9121802119</v>
      </c>
      <c r="AS59" s="98">
        <f t="shared" si="20"/>
        <v>-50237.303400000004</v>
      </c>
      <c r="AT59" s="100">
        <f t="shared" si="14"/>
        <v>1102348.8972862223</v>
      </c>
    </row>
    <row r="60" spans="1:46" x14ac:dyDescent="0.2">
      <c r="A60" s="134">
        <f t="shared" si="11"/>
        <v>29</v>
      </c>
      <c r="B60" s="2" t="s">
        <v>71</v>
      </c>
      <c r="C60" s="2"/>
      <c r="D60" s="135"/>
      <c r="E60" s="38">
        <f>E59/12*2*J15+E59/12*10*F15</f>
        <v>178681.61470004352</v>
      </c>
      <c r="F60" s="98">
        <f t="shared" ref="F60:AS60" si="21">F59*$F$15</f>
        <v>603556.42341854761</v>
      </c>
      <c r="G60" s="98">
        <f t="shared" si="21"/>
        <v>534940.30494269147</v>
      </c>
      <c r="H60" s="98">
        <f t="shared" si="21"/>
        <v>471641.30265869142</v>
      </c>
      <c r="I60" s="98">
        <f t="shared" si="21"/>
        <v>412899.82853913947</v>
      </c>
      <c r="J60" s="98">
        <f t="shared" si="21"/>
        <v>358715.88258403551</v>
      </c>
      <c r="K60" s="98">
        <f t="shared" si="21"/>
        <v>308456.4747705395</v>
      </c>
      <c r="L60" s="98">
        <f t="shared" si="21"/>
        <v>262121.60509865152</v>
      </c>
      <c r="M60" s="98">
        <f t="shared" si="21"/>
        <v>254525.72482457149</v>
      </c>
      <c r="N60" s="98">
        <f t="shared" si="21"/>
        <v>254399.12682000353</v>
      </c>
      <c r="O60" s="98">
        <f t="shared" si="21"/>
        <v>254525.72482457149</v>
      </c>
      <c r="P60" s="98">
        <f t="shared" si="21"/>
        <v>254399.12682000353</v>
      </c>
      <c r="Q60" s="98">
        <f t="shared" si="21"/>
        <v>254525.72482457149</v>
      </c>
      <c r="R60" s="98">
        <f t="shared" si="21"/>
        <v>254399.12682000353</v>
      </c>
      <c r="S60" s="98">
        <f t="shared" si="21"/>
        <v>254525.72482457149</v>
      </c>
      <c r="T60" s="98">
        <f t="shared" si="21"/>
        <v>254399.12682000353</v>
      </c>
      <c r="U60" s="98">
        <f t="shared" si="21"/>
        <v>254525.72482457149</v>
      </c>
      <c r="V60" s="98">
        <f t="shared" si="21"/>
        <v>254399.12682000353</v>
      </c>
      <c r="W60" s="98">
        <f t="shared" si="21"/>
        <v>254525.72482457149</v>
      </c>
      <c r="X60" s="98">
        <f t="shared" si="21"/>
        <v>254399.12682000353</v>
      </c>
      <c r="Y60" s="98">
        <f t="shared" si="21"/>
        <v>-27914.423366636493</v>
      </c>
      <c r="Z60" s="98">
        <f t="shared" si="21"/>
        <v>-310354.57155784447</v>
      </c>
      <c r="AA60" s="98">
        <f t="shared" si="21"/>
        <v>-310354.57155784447</v>
      </c>
      <c r="AB60" s="98">
        <f t="shared" si="21"/>
        <v>-310354.57155784447</v>
      </c>
      <c r="AC60" s="98">
        <f t="shared" si="21"/>
        <v>-310354.57155784447</v>
      </c>
      <c r="AD60" s="98">
        <f t="shared" si="21"/>
        <v>-310354.57155784447</v>
      </c>
      <c r="AE60" s="98">
        <f t="shared" si="21"/>
        <v>-310354.57155784447</v>
      </c>
      <c r="AF60" s="98">
        <f t="shared" si="21"/>
        <v>-310354.57155784447</v>
      </c>
      <c r="AG60" s="98">
        <f t="shared" si="21"/>
        <v>-310354.57155784447</v>
      </c>
      <c r="AH60" s="98">
        <f t="shared" si="21"/>
        <v>-310354.57155784447</v>
      </c>
      <c r="AI60" s="98">
        <f t="shared" si="21"/>
        <v>-310354.57155784447</v>
      </c>
      <c r="AJ60" s="98">
        <f t="shared" si="21"/>
        <v>-310354.57155784447</v>
      </c>
      <c r="AK60" s="98">
        <f t="shared" si="21"/>
        <v>-310354.57155784447</v>
      </c>
      <c r="AL60" s="98">
        <f t="shared" si="21"/>
        <v>-310354.57155784447</v>
      </c>
      <c r="AM60" s="98">
        <f t="shared" si="21"/>
        <v>-310354.57155784447</v>
      </c>
      <c r="AN60" s="98">
        <f t="shared" si="21"/>
        <v>-310354.57155784447</v>
      </c>
      <c r="AO60" s="98">
        <f t="shared" si="21"/>
        <v>-310354.57155784447</v>
      </c>
      <c r="AP60" s="98">
        <f t="shared" si="21"/>
        <v>-310354.57155784447</v>
      </c>
      <c r="AQ60" s="98">
        <f t="shared" si="21"/>
        <v>-310354.57155784447</v>
      </c>
      <c r="AR60" s="98">
        <f t="shared" si="21"/>
        <v>-310354.57155784447</v>
      </c>
      <c r="AS60" s="98">
        <f t="shared" si="21"/>
        <v>-10549.833714</v>
      </c>
      <c r="AT60" s="100">
        <f t="shared" si="14"/>
        <v>249361.42990011023</v>
      </c>
    </row>
    <row r="61" spans="1:46" x14ac:dyDescent="0.2">
      <c r="A61" s="134">
        <f t="shared" si="11"/>
        <v>30</v>
      </c>
      <c r="B61" s="2"/>
      <c r="C61" s="2"/>
      <c r="D61" s="135"/>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35"/>
    </row>
    <row r="62" spans="1:46" s="50" customFormat="1" x14ac:dyDescent="0.2">
      <c r="A62" s="134">
        <f t="shared" si="11"/>
        <v>31</v>
      </c>
      <c r="B62" s="2" t="str">
        <f t="shared" ref="B62" si="22">IF($F$18=1,B66,B65)</f>
        <v>MACRS Depreciation - 20</v>
      </c>
      <c r="C62" s="2"/>
      <c r="D62" s="47"/>
      <c r="E62" s="62">
        <f t="shared" ref="E62:Y62" si="23">IF($F$18=1,E66,E65)</f>
        <v>3.7499999999999999E-2</v>
      </c>
      <c r="F62" s="58">
        <f t="shared" si="23"/>
        <v>7.2190000000000004E-2</v>
      </c>
      <c r="G62" s="58">
        <f t="shared" si="23"/>
        <v>6.6769999999999996E-2</v>
      </c>
      <c r="H62" s="61">
        <f t="shared" si="23"/>
        <v>6.1769999999999999E-2</v>
      </c>
      <c r="I62" s="61">
        <f t="shared" si="23"/>
        <v>5.713E-2</v>
      </c>
      <c r="J62" s="61">
        <f t="shared" si="23"/>
        <v>5.2850000000000001E-2</v>
      </c>
      <c r="K62" s="61">
        <f t="shared" si="23"/>
        <v>4.888E-2</v>
      </c>
      <c r="L62" s="61">
        <f t="shared" si="23"/>
        <v>4.5220000000000003E-2</v>
      </c>
      <c r="M62" s="61">
        <f t="shared" si="23"/>
        <v>4.462E-2</v>
      </c>
      <c r="N62" s="61">
        <f t="shared" si="23"/>
        <v>4.4610000000000004E-2</v>
      </c>
      <c r="O62" s="61">
        <f t="shared" si="23"/>
        <v>4.462E-2</v>
      </c>
      <c r="P62" s="61">
        <f t="shared" si="23"/>
        <v>4.4610000000000004E-2</v>
      </c>
      <c r="Q62" s="61">
        <f t="shared" si="23"/>
        <v>4.462E-2</v>
      </c>
      <c r="R62" s="61">
        <f t="shared" si="23"/>
        <v>4.4610000000000004E-2</v>
      </c>
      <c r="S62" s="61">
        <f t="shared" si="23"/>
        <v>4.462E-2</v>
      </c>
      <c r="T62" s="61">
        <f t="shared" si="23"/>
        <v>4.4610000000000004E-2</v>
      </c>
      <c r="U62" s="61">
        <f t="shared" si="23"/>
        <v>4.462E-2</v>
      </c>
      <c r="V62" s="61">
        <f t="shared" si="23"/>
        <v>4.4610000000000004E-2</v>
      </c>
      <c r="W62" s="61">
        <f t="shared" si="23"/>
        <v>4.462E-2</v>
      </c>
      <c r="X62" s="61">
        <f t="shared" si="23"/>
        <v>4.4610000000000004E-2</v>
      </c>
      <c r="Y62" s="61">
        <f t="shared" si="23"/>
        <v>2.231E-2</v>
      </c>
      <c r="Z62" s="48"/>
      <c r="AA62" s="48"/>
      <c r="AB62" s="48"/>
      <c r="AC62" s="48"/>
      <c r="AD62" s="48"/>
      <c r="AE62" s="48"/>
      <c r="AF62" s="48"/>
      <c r="AG62" s="48"/>
      <c r="AH62" s="48"/>
      <c r="AI62" s="48"/>
      <c r="AJ62" s="48"/>
      <c r="AK62" s="48"/>
      <c r="AL62" s="48"/>
      <c r="AM62" s="48"/>
      <c r="AN62" s="48"/>
      <c r="AO62" s="48"/>
      <c r="AP62" s="47"/>
    </row>
    <row r="63" spans="1:46" hidden="1" outlineLevel="1" x14ac:dyDescent="0.25">
      <c r="A63" s="134">
        <f t="shared" si="11"/>
        <v>32</v>
      </c>
      <c r="B63" s="2"/>
      <c r="C63" s="160"/>
      <c r="E63" s="161"/>
      <c r="F63" s="162"/>
      <c r="G63" s="162"/>
      <c r="H63" s="162"/>
      <c r="I63" s="162"/>
      <c r="J63" s="162"/>
      <c r="K63" s="162"/>
      <c r="L63" s="162"/>
      <c r="M63" s="163"/>
      <c r="N63" s="163"/>
      <c r="O63" s="163"/>
      <c r="P63" s="163"/>
      <c r="Q63" s="163"/>
      <c r="R63" s="163"/>
      <c r="S63" s="163"/>
      <c r="T63" s="163"/>
      <c r="U63" s="163"/>
      <c r="V63" s="163"/>
      <c r="W63" s="163"/>
      <c r="X63" s="163"/>
      <c r="Y63" s="163"/>
      <c r="Z63" s="135"/>
      <c r="AA63" s="135"/>
      <c r="AB63" s="135"/>
      <c r="AC63" s="135"/>
      <c r="AD63" s="135"/>
      <c r="AE63" s="135"/>
      <c r="AF63" s="135"/>
      <c r="AG63" s="135"/>
      <c r="AH63" s="135"/>
      <c r="AI63" s="135"/>
      <c r="AJ63" s="135"/>
      <c r="AK63" s="135"/>
      <c r="AL63" s="135"/>
      <c r="AM63" s="135"/>
      <c r="AN63" s="135"/>
      <c r="AO63" s="3"/>
    </row>
    <row r="64" spans="1:46" hidden="1" outlineLevel="1" x14ac:dyDescent="0.25">
      <c r="A64" s="134">
        <f t="shared" si="11"/>
        <v>33</v>
      </c>
      <c r="B64" s="2"/>
      <c r="C64" s="160"/>
      <c r="E64" s="161"/>
      <c r="F64" s="162"/>
      <c r="G64" s="162"/>
      <c r="H64" s="162"/>
      <c r="I64" s="162"/>
      <c r="J64" s="162"/>
      <c r="K64" s="162"/>
      <c r="L64" s="162"/>
      <c r="M64" s="163"/>
      <c r="N64" s="163"/>
      <c r="O64" s="163"/>
      <c r="P64" s="163"/>
      <c r="Q64" s="163"/>
      <c r="R64" s="163"/>
      <c r="S64" s="163"/>
      <c r="T64" s="163"/>
      <c r="U64" s="163"/>
      <c r="V64" s="163"/>
      <c r="W64" s="163"/>
      <c r="X64" s="163"/>
      <c r="Y64" s="163"/>
      <c r="Z64" s="135"/>
      <c r="AA64" s="135"/>
      <c r="AB64" s="135"/>
      <c r="AC64" s="135"/>
      <c r="AD64" s="135"/>
      <c r="AE64" s="135"/>
      <c r="AF64" s="135"/>
      <c r="AG64" s="135"/>
      <c r="AH64" s="135"/>
      <c r="AI64" s="135"/>
      <c r="AJ64" s="135"/>
      <c r="AK64" s="135"/>
      <c r="AL64" s="135"/>
      <c r="AM64" s="135"/>
      <c r="AN64" s="135"/>
      <c r="AO64" s="3"/>
    </row>
    <row r="65" spans="1:42" s="50" customFormat="1" collapsed="1" x14ac:dyDescent="0.25">
      <c r="A65" s="134">
        <f t="shared" si="11"/>
        <v>34</v>
      </c>
      <c r="B65" s="2" t="s">
        <v>72</v>
      </c>
      <c r="C65" s="2"/>
      <c r="D65" s="51">
        <v>0</v>
      </c>
      <c r="E65" s="59">
        <v>3.7499999999999999E-2</v>
      </c>
      <c r="F65" s="58">
        <v>7.2190000000000004E-2</v>
      </c>
      <c r="G65" s="58">
        <v>6.6769999999999996E-2</v>
      </c>
      <c r="H65" s="60">
        <v>6.1769999999999999E-2</v>
      </c>
      <c r="I65" s="60">
        <v>5.713E-2</v>
      </c>
      <c r="J65" s="60">
        <v>5.2850000000000001E-2</v>
      </c>
      <c r="K65" s="60">
        <v>4.888E-2</v>
      </c>
      <c r="L65" s="60">
        <v>4.5220000000000003E-2</v>
      </c>
      <c r="M65" s="60">
        <v>4.462E-2</v>
      </c>
      <c r="N65" s="60">
        <v>4.4610000000000004E-2</v>
      </c>
      <c r="O65" s="60">
        <v>4.462E-2</v>
      </c>
      <c r="P65" s="60">
        <v>4.4610000000000004E-2</v>
      </c>
      <c r="Q65" s="60">
        <v>4.462E-2</v>
      </c>
      <c r="R65" s="60">
        <v>4.4610000000000004E-2</v>
      </c>
      <c r="S65" s="60">
        <v>4.462E-2</v>
      </c>
      <c r="T65" s="60">
        <v>4.4610000000000004E-2</v>
      </c>
      <c r="U65" s="60">
        <v>4.462E-2</v>
      </c>
      <c r="V65" s="60">
        <v>4.4610000000000004E-2</v>
      </c>
      <c r="W65" s="60">
        <v>4.462E-2</v>
      </c>
      <c r="X65" s="60">
        <v>4.4610000000000004E-2</v>
      </c>
      <c r="Y65" s="60">
        <v>2.231E-2</v>
      </c>
      <c r="Z65" s="52"/>
      <c r="AA65" s="48"/>
      <c r="AB65" s="48"/>
      <c r="AC65" s="48"/>
      <c r="AD65" s="48"/>
      <c r="AE65" s="48"/>
      <c r="AF65" s="48"/>
      <c r="AG65" s="48"/>
      <c r="AH65" s="48"/>
      <c r="AI65" s="48"/>
      <c r="AJ65" s="48"/>
      <c r="AK65" s="48"/>
      <c r="AL65" s="48"/>
      <c r="AM65" s="48"/>
      <c r="AN65" s="47"/>
      <c r="AP65" s="53"/>
    </row>
    <row r="66" spans="1:42" x14ac:dyDescent="0.2">
      <c r="A66" s="134">
        <f t="shared" si="11"/>
        <v>35</v>
      </c>
      <c r="B66" s="2" t="s">
        <v>73</v>
      </c>
      <c r="C66" s="2"/>
      <c r="D66" s="51">
        <v>0</v>
      </c>
      <c r="E66" s="59">
        <v>0.51875000000000004</v>
      </c>
      <c r="F66" s="58">
        <v>3.6095000000000002E-2</v>
      </c>
      <c r="G66" s="58">
        <v>3.3384999999999998E-2</v>
      </c>
      <c r="H66" s="61">
        <v>3.0884999999999999E-2</v>
      </c>
      <c r="I66" s="61">
        <v>2.8565E-2</v>
      </c>
      <c r="J66" s="61">
        <v>2.6425000000000001E-2</v>
      </c>
      <c r="K66" s="61">
        <v>2.444E-2</v>
      </c>
      <c r="L66" s="61">
        <v>2.2610000000000002E-2</v>
      </c>
      <c r="M66" s="61">
        <v>2.231E-2</v>
      </c>
      <c r="N66" s="61">
        <v>2.2305000000000002E-2</v>
      </c>
      <c r="O66" s="61">
        <v>2.231E-2</v>
      </c>
      <c r="P66" s="61">
        <v>2.2305000000000002E-2</v>
      </c>
      <c r="Q66" s="61">
        <v>2.231E-2</v>
      </c>
      <c r="R66" s="61">
        <v>2.2305000000000002E-2</v>
      </c>
      <c r="S66" s="61">
        <v>2.231E-2</v>
      </c>
      <c r="T66" s="61">
        <v>2.2305000000000002E-2</v>
      </c>
      <c r="U66" s="61">
        <v>2.231E-2</v>
      </c>
      <c r="V66" s="61">
        <v>2.2305000000000002E-2</v>
      </c>
      <c r="W66" s="61">
        <v>2.231E-2</v>
      </c>
      <c r="X66" s="61">
        <v>2.2305000000000002E-2</v>
      </c>
      <c r="Y66" s="61">
        <v>1.1155E-2</v>
      </c>
      <c r="Z66" s="49"/>
      <c r="AA66" s="49"/>
      <c r="AB66" s="54"/>
      <c r="AC66" s="54"/>
      <c r="AD66" s="54"/>
      <c r="AE66" s="54"/>
      <c r="AF66" s="54"/>
      <c r="AG66" s="54"/>
      <c r="AH66" s="54"/>
      <c r="AI66" s="54"/>
      <c r="AJ66" s="54"/>
      <c r="AK66" s="54"/>
      <c r="AL66" s="54"/>
      <c r="AM66" s="54"/>
      <c r="AN66" s="135"/>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workbookViewId="0">
      <selection activeCell="I43" sqref="I43"/>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2.5703125" style="56" bestFit="1" customWidth="1"/>
    <col min="6" max="6" width="13.42578125" style="56" customWidth="1"/>
    <col min="7" max="7" width="15.28515625" style="56" bestFit="1" customWidth="1"/>
    <col min="8" max="8" width="12.5703125" style="56" customWidth="1"/>
    <col min="9" max="9" width="12.7109375" style="56" bestFit="1" customWidth="1"/>
    <col min="10" max="10" width="16.28515625" style="56" customWidth="1"/>
    <col min="11" max="11" width="12.7109375" style="56" bestFit="1" customWidth="1"/>
    <col min="12" max="12" width="14.28515625" style="56" bestFit="1" customWidth="1"/>
    <col min="13" max="15" width="12.7109375" style="56" bestFit="1" customWidth="1"/>
    <col min="16" max="16" width="14.28515625" style="56" bestFit="1" customWidth="1"/>
    <col min="17" max="25" width="12.7109375" style="56" bestFit="1" customWidth="1"/>
    <col min="26" max="38" width="12.28515625" style="56" bestFit="1" customWidth="1"/>
    <col min="39" max="39" width="17" style="56" customWidth="1" outlineLevel="1"/>
    <col min="40" max="40" width="13" style="56" customWidth="1" outlineLevel="1"/>
    <col min="41" max="41" width="11" style="56" customWidth="1" outlineLevel="1"/>
    <col min="42" max="42" width="12.7109375" style="3" bestFit="1" customWidth="1"/>
    <col min="43" max="16384" width="10.28515625" style="3"/>
  </cols>
  <sheetData>
    <row r="1" spans="1:22" s="3" customFormat="1" ht="17.25" customHeight="1" outlineLevel="1" x14ac:dyDescent="0.25">
      <c r="A1" s="1" t="s">
        <v>0</v>
      </c>
      <c r="B1" s="2"/>
      <c r="C1" s="2"/>
      <c r="E1" s="506"/>
      <c r="F1" s="506"/>
      <c r="H1" s="4"/>
      <c r="I1" s="5"/>
    </row>
    <row r="2" spans="1:22" s="3" customFormat="1" ht="12.75" customHeight="1" outlineLevel="1" x14ac:dyDescent="0.25">
      <c r="A2" s="6" t="s">
        <v>1</v>
      </c>
      <c r="B2" s="2"/>
      <c r="C2" s="2"/>
      <c r="F2" s="5"/>
      <c r="G2" s="5"/>
    </row>
    <row r="3" spans="1:22" s="3" customFormat="1" ht="12.75" customHeight="1" outlineLevel="1" x14ac:dyDescent="0.25">
      <c r="A3" s="6" t="s">
        <v>2</v>
      </c>
      <c r="B3" s="2"/>
      <c r="C3" s="134">
        <v>2017</v>
      </c>
      <c r="D3" s="135" t="s">
        <v>3</v>
      </c>
      <c r="F3" s="5"/>
      <c r="G3" s="5"/>
    </row>
    <row r="4" spans="1:22" s="3" customFormat="1" ht="7.5" customHeight="1" outlineLevel="1" thickBot="1" x14ac:dyDescent="0.25">
      <c r="A4" s="2"/>
      <c r="B4" s="2"/>
      <c r="C4" s="2"/>
      <c r="F4" s="5"/>
      <c r="G4" s="5"/>
    </row>
    <row r="5" spans="1:22" s="3" customFormat="1" outlineLevel="1" x14ac:dyDescent="0.2">
      <c r="A5" s="7" t="s">
        <v>4</v>
      </c>
      <c r="B5" s="8"/>
      <c r="C5" s="8"/>
      <c r="D5" s="9"/>
      <c r="E5" s="9"/>
      <c r="F5" s="10"/>
      <c r="G5" s="11"/>
      <c r="H5" s="136"/>
      <c r="I5" s="9"/>
      <c r="J5" s="10"/>
    </row>
    <row r="6" spans="1:22" s="3" customFormat="1" outlineLevel="1" x14ac:dyDescent="0.2">
      <c r="A6" s="12"/>
      <c r="B6" s="13"/>
      <c r="C6" s="13"/>
      <c r="D6" s="109" t="s">
        <v>143</v>
      </c>
      <c r="E6" s="109"/>
      <c r="F6" s="110"/>
      <c r="G6" s="11"/>
      <c r="H6" s="137" t="s">
        <v>144</v>
      </c>
      <c r="I6" s="109"/>
      <c r="J6" s="110"/>
      <c r="L6" s="22">
        <f>E49*$J12/12*1+E49*F12/12*11</f>
        <v>1891107.2891529668</v>
      </c>
    </row>
    <row r="7" spans="1:22" s="3" customFormat="1" x14ac:dyDescent="0.2">
      <c r="A7" s="12"/>
      <c r="B7" s="13"/>
      <c r="C7" s="13"/>
      <c r="D7" s="16"/>
      <c r="E7" s="16"/>
      <c r="F7" s="17" t="s">
        <v>5</v>
      </c>
      <c r="G7" s="18"/>
      <c r="H7" s="138"/>
      <c r="I7" s="16"/>
      <c r="J7" s="17" t="s">
        <v>5</v>
      </c>
      <c r="L7" s="22"/>
    </row>
    <row r="8" spans="1:22" s="3" customFormat="1" x14ac:dyDescent="0.2">
      <c r="A8" s="12" t="s">
        <v>6</v>
      </c>
      <c r="B8" s="13"/>
      <c r="C8" s="13"/>
      <c r="D8" s="19" t="s">
        <v>7</v>
      </c>
      <c r="E8" s="19" t="s">
        <v>8</v>
      </c>
      <c r="F8" s="20" t="s">
        <v>8</v>
      </c>
      <c r="G8" s="18"/>
      <c r="H8" s="139" t="s">
        <v>7</v>
      </c>
      <c r="I8" s="19" t="s">
        <v>8</v>
      </c>
      <c r="J8" s="20" t="s">
        <v>8</v>
      </c>
      <c r="L8" s="101"/>
      <c r="N8" s="140"/>
      <c r="O8" s="140"/>
      <c r="P8" s="140"/>
      <c r="Q8" s="140">
        <f>O8-P8</f>
        <v>0</v>
      </c>
      <c r="R8" s="100"/>
      <c r="S8" s="100"/>
      <c r="T8" s="100"/>
      <c r="U8" s="100"/>
      <c r="V8" s="100"/>
    </row>
    <row r="9" spans="1:22" s="3" customFormat="1" x14ac:dyDescent="0.2">
      <c r="A9" s="12"/>
      <c r="B9" s="13"/>
      <c r="C9" s="13"/>
      <c r="D9" s="14"/>
      <c r="E9" s="14"/>
      <c r="F9" s="21"/>
      <c r="G9" s="14"/>
      <c r="H9" s="141"/>
      <c r="I9" s="14"/>
      <c r="J9" s="21"/>
      <c r="K9" s="100"/>
      <c r="L9" s="140"/>
      <c r="N9" s="140"/>
      <c r="O9" s="140"/>
      <c r="P9" s="140"/>
      <c r="Q9" s="140">
        <f t="shared" ref="Q9:Q13" si="0">O9-P9</f>
        <v>0</v>
      </c>
      <c r="R9" s="100"/>
      <c r="S9" s="100"/>
      <c r="T9" s="100"/>
      <c r="U9" s="100"/>
      <c r="V9" s="100"/>
    </row>
    <row r="10" spans="1:22" s="3" customFormat="1" x14ac:dyDescent="0.2">
      <c r="A10" s="12"/>
      <c r="B10" s="13"/>
      <c r="C10" s="13"/>
      <c r="D10" s="23"/>
      <c r="E10" s="23"/>
      <c r="F10" s="24"/>
      <c r="G10" s="22"/>
      <c r="H10" s="142"/>
      <c r="I10" s="23"/>
      <c r="J10" s="24"/>
      <c r="K10" s="100"/>
      <c r="L10" s="140"/>
      <c r="N10" s="140"/>
      <c r="O10" s="140"/>
      <c r="P10" s="140"/>
      <c r="Q10" s="140">
        <f t="shared" si="0"/>
        <v>0</v>
      </c>
      <c r="R10" s="100"/>
      <c r="S10" s="100"/>
      <c r="T10" s="100"/>
      <c r="U10" s="100"/>
      <c r="V10" s="100"/>
    </row>
    <row r="11" spans="1:22" s="3" customFormat="1" x14ac:dyDescent="0.2">
      <c r="A11" s="12" t="s">
        <v>102</v>
      </c>
      <c r="B11" s="13"/>
      <c r="C11" s="13"/>
      <c r="D11" s="23">
        <v>0.51500000000000001</v>
      </c>
      <c r="E11" s="23">
        <v>5.8058252427184473E-2</v>
      </c>
      <c r="F11" s="24">
        <v>2.9899999999999999E-2</v>
      </c>
      <c r="G11" s="22"/>
      <c r="H11" s="142">
        <v>0.52</v>
      </c>
      <c r="I11" s="23">
        <v>8.8400000000000006E-2</v>
      </c>
      <c r="J11" s="24">
        <v>3.0700000000000002E-2</v>
      </c>
      <c r="K11" s="100"/>
      <c r="L11" s="101"/>
      <c r="N11" s="140"/>
      <c r="O11" s="140"/>
      <c r="P11" s="140"/>
      <c r="Q11" s="140">
        <f t="shared" si="0"/>
        <v>0</v>
      </c>
      <c r="R11" s="100"/>
      <c r="S11" s="100"/>
      <c r="T11" s="100"/>
      <c r="U11" s="100"/>
      <c r="V11" s="100"/>
    </row>
    <row r="12" spans="1:22" s="3" customFormat="1" x14ac:dyDescent="0.2">
      <c r="A12" s="12" t="s">
        <v>9</v>
      </c>
      <c r="B12" s="13"/>
      <c r="C12" s="13"/>
      <c r="D12" s="25">
        <v>0.48499999999999999</v>
      </c>
      <c r="E12" s="23">
        <v>9.5000000000000001E-2</v>
      </c>
      <c r="F12" s="26">
        <v>4.6100000000000002E-2</v>
      </c>
      <c r="G12" s="22"/>
      <c r="H12" s="143">
        <v>0.48</v>
      </c>
      <c r="I12" s="25">
        <v>9.8000000000000004E-2</v>
      </c>
      <c r="J12" s="26">
        <v>4.7E-2</v>
      </c>
      <c r="K12" s="100"/>
      <c r="L12" s="140"/>
      <c r="N12" s="140"/>
      <c r="O12" s="140"/>
      <c r="P12" s="140"/>
      <c r="Q12" s="140">
        <f t="shared" si="0"/>
        <v>0</v>
      </c>
      <c r="R12" s="100"/>
      <c r="S12" s="100"/>
      <c r="T12" s="100"/>
      <c r="U12" s="100"/>
      <c r="V12" s="100"/>
    </row>
    <row r="13" spans="1:22" s="3" customFormat="1" ht="15.75" thickBot="1" x14ac:dyDescent="0.25">
      <c r="A13" s="12" t="s">
        <v>10</v>
      </c>
      <c r="B13" s="13"/>
      <c r="C13" s="13"/>
      <c r="D13" s="27">
        <f>D10+D11+D12</f>
        <v>1</v>
      </c>
      <c r="E13" s="28"/>
      <c r="F13" s="29">
        <f>F10+F11+F12</f>
        <v>7.5999999999999998E-2</v>
      </c>
      <c r="G13" s="28"/>
      <c r="H13" s="144">
        <f>H10+H11+H12</f>
        <v>1</v>
      </c>
      <c r="I13" s="28"/>
      <c r="J13" s="29">
        <f>J10+J11+J12</f>
        <v>7.7700000000000005E-2</v>
      </c>
      <c r="K13" s="100"/>
      <c r="L13" s="140"/>
      <c r="N13" s="140"/>
      <c r="O13" s="140"/>
      <c r="P13" s="140"/>
      <c r="Q13" s="140">
        <f t="shared" si="0"/>
        <v>0</v>
      </c>
      <c r="R13" s="100"/>
      <c r="S13" s="100"/>
      <c r="T13" s="100"/>
      <c r="U13" s="100"/>
      <c r="V13" s="100"/>
    </row>
    <row r="14" spans="1:22" s="3" customFormat="1" ht="15.75" thickTop="1" x14ac:dyDescent="0.2">
      <c r="A14" s="12"/>
      <c r="B14" s="13"/>
      <c r="C14" s="13"/>
      <c r="D14" s="14"/>
      <c r="E14" s="14"/>
      <c r="F14" s="21"/>
      <c r="G14" s="14"/>
      <c r="H14" s="141"/>
      <c r="I14" s="14"/>
      <c r="J14" s="21"/>
      <c r="L14" s="101"/>
      <c r="M14" s="100"/>
      <c r="N14" s="100"/>
      <c r="O14" s="100"/>
      <c r="P14" s="100"/>
      <c r="Q14" s="100"/>
      <c r="R14" s="100"/>
      <c r="S14" s="100"/>
      <c r="T14" s="100"/>
      <c r="U14" s="100"/>
      <c r="V14" s="100"/>
    </row>
    <row r="15" spans="1:22" s="3" customFormat="1" x14ac:dyDescent="0.2">
      <c r="A15" s="12" t="s">
        <v>11</v>
      </c>
      <c r="B15" s="13"/>
      <c r="C15" s="13"/>
      <c r="D15" s="14"/>
      <c r="E15" s="14"/>
      <c r="F15" s="24">
        <v>0.21</v>
      </c>
      <c r="G15" s="28"/>
      <c r="H15" s="141"/>
      <c r="I15" s="14"/>
      <c r="J15" s="24">
        <v>0.35</v>
      </c>
      <c r="L15" s="140"/>
      <c r="M15" s="100"/>
      <c r="N15" s="100"/>
      <c r="O15" s="100"/>
      <c r="P15" s="100"/>
      <c r="Q15" s="100"/>
      <c r="R15" s="100"/>
      <c r="S15" s="100"/>
      <c r="T15" s="100"/>
      <c r="U15" s="100"/>
      <c r="V15" s="100"/>
    </row>
    <row r="16" spans="1:22" s="3" customFormat="1" x14ac:dyDescent="0.2">
      <c r="A16" s="12" t="s">
        <v>12</v>
      </c>
      <c r="B16" s="13"/>
      <c r="C16" s="13"/>
      <c r="D16" s="14"/>
      <c r="E16" s="14"/>
      <c r="F16" s="24">
        <v>4.5462000000000002E-2</v>
      </c>
      <c r="G16" s="28"/>
      <c r="H16" s="141"/>
      <c r="I16" s="14"/>
      <c r="J16" s="24">
        <v>4.5462000000000002E-2</v>
      </c>
      <c r="L16" s="101"/>
      <c r="M16" s="100"/>
      <c r="N16" s="100"/>
      <c r="O16" s="100"/>
      <c r="P16" s="100"/>
      <c r="Q16" s="100"/>
      <c r="R16" s="100"/>
      <c r="S16" s="100"/>
      <c r="T16" s="100"/>
      <c r="U16" s="100"/>
      <c r="V16" s="100"/>
    </row>
    <row r="17" spans="1:42" x14ac:dyDescent="0.2">
      <c r="A17" s="12" t="s">
        <v>13</v>
      </c>
      <c r="B17" s="13"/>
      <c r="C17" s="13"/>
      <c r="D17" s="14"/>
      <c r="E17" s="14"/>
      <c r="F17" s="24">
        <v>2.5007867478263991E-2</v>
      </c>
      <c r="H17" s="141"/>
      <c r="I17" s="14"/>
      <c r="J17" s="24">
        <v>2.9089603215373776E-2</v>
      </c>
      <c r="K17" s="3"/>
      <c r="L17" s="140"/>
      <c r="M17" s="100"/>
      <c r="N17" s="100"/>
      <c r="O17" s="100"/>
      <c r="P17" s="100"/>
      <c r="Q17" s="100"/>
      <c r="R17" s="100"/>
      <c r="S17" s="100"/>
      <c r="T17" s="100"/>
      <c r="U17" s="100"/>
      <c r="V17" s="100"/>
      <c r="W17" s="3"/>
      <c r="X17" s="3"/>
      <c r="Y17" s="3"/>
      <c r="Z17" s="3"/>
      <c r="AA17" s="3"/>
      <c r="AB17" s="3"/>
      <c r="AC17" s="3"/>
      <c r="AD17" s="3"/>
      <c r="AE17" s="3"/>
      <c r="AF17" s="3"/>
      <c r="AG17" s="3"/>
      <c r="AH17" s="3"/>
      <c r="AI17" s="3"/>
      <c r="AJ17" s="3"/>
      <c r="AK17" s="3"/>
      <c r="AL17" s="3"/>
      <c r="AM17" s="3"/>
      <c r="AN17" s="3"/>
      <c r="AO17" s="3"/>
    </row>
    <row r="18" spans="1:42" x14ac:dyDescent="0.2">
      <c r="A18" s="12" t="s">
        <v>14</v>
      </c>
      <c r="B18" s="13"/>
      <c r="C18" s="13"/>
      <c r="D18" s="14"/>
      <c r="E18" s="14"/>
      <c r="F18" s="30">
        <v>1</v>
      </c>
      <c r="G18" s="5"/>
      <c r="H18" s="141"/>
      <c r="I18" s="14"/>
      <c r="J18" s="30">
        <v>1</v>
      </c>
      <c r="K18" s="3"/>
      <c r="L18" s="140"/>
      <c r="M18" s="145"/>
      <c r="N18" s="100"/>
      <c r="O18" s="100"/>
      <c r="P18" s="100"/>
      <c r="Q18" s="100"/>
      <c r="R18" s="100"/>
      <c r="S18" s="100"/>
      <c r="T18" s="100"/>
      <c r="U18" s="100"/>
      <c r="V18" s="100"/>
      <c r="W18" s="3"/>
      <c r="X18" s="3"/>
      <c r="Y18" s="3"/>
      <c r="Z18" s="3"/>
      <c r="AA18" s="3"/>
      <c r="AB18" s="3"/>
      <c r="AC18" s="3"/>
      <c r="AD18" s="3"/>
      <c r="AE18" s="3"/>
      <c r="AF18" s="3"/>
      <c r="AG18" s="3"/>
      <c r="AH18" s="3"/>
      <c r="AI18" s="3"/>
      <c r="AJ18" s="3"/>
      <c r="AK18" s="3"/>
      <c r="AL18" s="3"/>
      <c r="AM18" s="3"/>
      <c r="AN18" s="3"/>
      <c r="AO18" s="3"/>
    </row>
    <row r="19" spans="1:42" x14ac:dyDescent="0.2">
      <c r="A19" s="12"/>
      <c r="B19" s="13"/>
      <c r="C19" s="13"/>
      <c r="D19" s="14"/>
      <c r="E19" s="14"/>
      <c r="F19" s="15"/>
      <c r="G19" s="5"/>
      <c r="H19" s="146"/>
      <c r="I19" s="14"/>
      <c r="J19" s="21"/>
      <c r="K19" s="3"/>
      <c r="L19" s="101"/>
      <c r="M19" s="100"/>
      <c r="N19" s="100"/>
      <c r="O19" s="100"/>
      <c r="P19" s="100"/>
      <c r="Q19" s="100"/>
      <c r="R19" s="100"/>
      <c r="S19" s="100"/>
      <c r="T19" s="100"/>
      <c r="U19" s="100"/>
      <c r="V19" s="100"/>
      <c r="W19" s="3"/>
      <c r="X19" s="3"/>
      <c r="Y19" s="3"/>
      <c r="Z19" s="3"/>
      <c r="AA19" s="3"/>
      <c r="AB19" s="3"/>
      <c r="AC19" s="3"/>
      <c r="AD19" s="3"/>
      <c r="AE19" s="3"/>
      <c r="AF19" s="3"/>
      <c r="AG19" s="3"/>
      <c r="AH19" s="3"/>
      <c r="AI19" s="3"/>
      <c r="AJ19" s="3"/>
      <c r="AK19" s="3"/>
      <c r="AL19" s="3"/>
      <c r="AM19" s="3"/>
      <c r="AN19" s="3"/>
      <c r="AO19" s="3"/>
    </row>
    <row r="20" spans="1:42" x14ac:dyDescent="0.2">
      <c r="A20" s="12" t="s">
        <v>15</v>
      </c>
      <c r="B20" s="13"/>
      <c r="C20" s="13"/>
      <c r="D20" s="14"/>
      <c r="E20" s="14"/>
      <c r="F20" s="15"/>
      <c r="G20" s="5"/>
      <c r="H20" s="146"/>
      <c r="I20" s="14"/>
      <c r="J20" s="21"/>
      <c r="K20" s="3"/>
      <c r="L20" s="140"/>
      <c r="M20" s="100"/>
      <c r="N20" s="100"/>
      <c r="O20" s="100"/>
      <c r="P20" s="100"/>
      <c r="Q20" s="100"/>
      <c r="R20" s="100"/>
      <c r="S20" s="100"/>
      <c r="T20" s="100"/>
      <c r="U20" s="100"/>
      <c r="V20" s="100"/>
      <c r="W20" s="3"/>
      <c r="X20" s="3"/>
      <c r="Y20" s="3"/>
      <c r="Z20" s="3"/>
      <c r="AA20" s="3"/>
      <c r="AB20" s="3"/>
      <c r="AC20" s="3"/>
      <c r="AD20" s="3"/>
      <c r="AE20" s="3"/>
      <c r="AF20" s="3"/>
      <c r="AG20" s="3"/>
      <c r="AH20" s="3"/>
      <c r="AI20" s="3"/>
      <c r="AJ20" s="3"/>
      <c r="AK20" s="3"/>
      <c r="AL20" s="3"/>
      <c r="AM20" s="3"/>
      <c r="AN20" s="3"/>
      <c r="AO20" s="3"/>
    </row>
    <row r="21" spans="1:42" x14ac:dyDescent="0.2">
      <c r="A21" s="12" t="s">
        <v>16</v>
      </c>
      <c r="B21" s="13"/>
      <c r="C21" s="13"/>
      <c r="D21" s="14"/>
      <c r="E21" s="14"/>
      <c r="F21" s="15"/>
      <c r="H21" s="146"/>
      <c r="I21" s="14"/>
      <c r="J21" s="21"/>
      <c r="K21" s="3"/>
      <c r="L21" s="101"/>
      <c r="M21" s="100"/>
      <c r="N21" s="100"/>
      <c r="O21" s="100"/>
      <c r="P21" s="100"/>
      <c r="Q21" s="100"/>
      <c r="R21" s="100"/>
      <c r="S21" s="100"/>
      <c r="T21" s="100"/>
      <c r="U21" s="100"/>
      <c r="V21" s="100"/>
      <c r="W21" s="3"/>
      <c r="X21" s="3"/>
      <c r="Y21" s="3"/>
      <c r="Z21" s="3"/>
      <c r="AA21" s="3"/>
      <c r="AB21" s="3"/>
      <c r="AC21" s="3"/>
      <c r="AD21" s="3"/>
      <c r="AE21" s="3"/>
      <c r="AF21" s="3"/>
      <c r="AG21" s="3"/>
      <c r="AH21" s="3"/>
      <c r="AI21" s="3"/>
      <c r="AJ21" s="3"/>
      <c r="AK21" s="3"/>
      <c r="AL21" s="3"/>
      <c r="AM21" s="3"/>
      <c r="AN21" s="3"/>
      <c r="AO21" s="3"/>
    </row>
    <row r="22" spans="1:42" ht="15.75" thickBot="1" x14ac:dyDescent="0.25">
      <c r="A22" s="31" t="s">
        <v>17</v>
      </c>
      <c r="B22" s="32"/>
      <c r="C22" s="32"/>
      <c r="D22" s="32"/>
      <c r="E22" s="33"/>
      <c r="F22" s="57">
        <v>45517704.079999976</v>
      </c>
      <c r="G22" s="147"/>
      <c r="H22" s="148"/>
      <c r="I22" s="33"/>
      <c r="J22" s="149"/>
      <c r="K22" s="3"/>
      <c r="L22" s="140"/>
      <c r="M22" s="100"/>
      <c r="N22" s="100"/>
      <c r="O22" s="100"/>
      <c r="P22" s="100"/>
      <c r="Q22" s="100"/>
      <c r="R22" s="100"/>
      <c r="S22" s="100"/>
      <c r="T22" s="100"/>
      <c r="U22" s="100"/>
      <c r="V22" s="100"/>
      <c r="W22" s="3"/>
      <c r="X22" s="3"/>
      <c r="Y22" s="3"/>
      <c r="Z22" s="3"/>
      <c r="AA22" s="3"/>
      <c r="AB22" s="3"/>
      <c r="AC22" s="3"/>
      <c r="AD22" s="3"/>
      <c r="AE22" s="3"/>
      <c r="AF22" s="3"/>
      <c r="AG22" s="3"/>
      <c r="AH22" s="3"/>
      <c r="AI22" s="3"/>
      <c r="AJ22" s="3"/>
      <c r="AK22" s="3"/>
      <c r="AL22" s="3"/>
      <c r="AM22" s="3"/>
      <c r="AN22" s="3"/>
      <c r="AO22" s="3"/>
    </row>
    <row r="23" spans="1:42" x14ac:dyDescent="0.2">
      <c r="E23" s="3"/>
      <c r="F23" s="3"/>
      <c r="G23" s="3"/>
      <c r="H23" s="3"/>
      <c r="I23" s="3"/>
      <c r="J23" s="3"/>
      <c r="K23" s="3"/>
      <c r="L23" s="140"/>
      <c r="M23" s="100"/>
      <c r="N23" s="100"/>
      <c r="O23" s="100"/>
      <c r="P23" s="100"/>
      <c r="Q23" s="100"/>
      <c r="R23" s="100"/>
      <c r="S23" s="100"/>
      <c r="T23" s="100"/>
      <c r="U23" s="100"/>
      <c r="V23" s="100"/>
      <c r="W23" s="3"/>
      <c r="X23" s="3"/>
      <c r="Y23" s="3"/>
      <c r="Z23" s="3"/>
      <c r="AA23" s="3"/>
      <c r="AB23" s="3"/>
      <c r="AC23" s="3"/>
      <c r="AD23" s="3"/>
      <c r="AE23" s="3"/>
      <c r="AF23" s="3"/>
      <c r="AG23" s="3"/>
      <c r="AH23" s="3"/>
      <c r="AI23" s="3"/>
      <c r="AJ23" s="3"/>
      <c r="AK23" s="3"/>
      <c r="AL23" s="3"/>
      <c r="AM23" s="3"/>
      <c r="AN23" s="3"/>
      <c r="AO23" s="3"/>
    </row>
    <row r="24" spans="1:42" ht="6" customHeight="1" x14ac:dyDescent="0.2">
      <c r="B24" s="3"/>
      <c r="C24" s="3"/>
      <c r="D24" s="101"/>
      <c r="E24" s="35"/>
      <c r="F24" s="35"/>
      <c r="G24" s="35"/>
      <c r="H24" s="35"/>
      <c r="I24" s="35"/>
      <c r="J24" s="35"/>
      <c r="K24" s="35"/>
      <c r="L24" s="150"/>
      <c r="M24" s="150"/>
      <c r="N24" s="150"/>
      <c r="O24" s="150"/>
      <c r="P24" s="150"/>
      <c r="Q24" s="150"/>
      <c r="R24" s="150"/>
      <c r="S24" s="150"/>
      <c r="T24" s="150"/>
      <c r="U24" s="150"/>
      <c r="V24" s="150"/>
      <c r="W24" s="35"/>
      <c r="X24" s="35"/>
      <c r="Y24" s="35"/>
      <c r="Z24" s="35"/>
      <c r="AA24" s="35"/>
      <c r="AB24" s="35"/>
      <c r="AC24" s="35"/>
      <c r="AD24" s="35"/>
      <c r="AE24" s="35"/>
      <c r="AF24" s="35"/>
      <c r="AG24" s="35"/>
      <c r="AH24" s="35"/>
      <c r="AI24" s="35"/>
      <c r="AJ24" s="35"/>
      <c r="AK24" s="35"/>
      <c r="AL24" s="35"/>
      <c r="AM24" s="35"/>
      <c r="AN24" s="35"/>
      <c r="AO24" s="35"/>
    </row>
    <row r="25" spans="1:42" x14ac:dyDescent="0.2">
      <c r="A25" s="2"/>
      <c r="B25" s="2"/>
      <c r="C25" s="2"/>
      <c r="D25" s="135"/>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c r="AO25" s="37"/>
      <c r="AP25" s="135"/>
    </row>
    <row r="26" spans="1:42" x14ac:dyDescent="0.2">
      <c r="A26" s="2"/>
      <c r="B26" s="2"/>
      <c r="C26" s="2"/>
      <c r="D26" s="313"/>
      <c r="E26" s="151">
        <v>2017</v>
      </c>
      <c r="F26" s="151">
        <v>2018</v>
      </c>
      <c r="G26" s="151">
        <v>2017</v>
      </c>
      <c r="H26" s="151">
        <v>2017</v>
      </c>
      <c r="I26" s="151">
        <v>2017</v>
      </c>
      <c r="J26" s="151">
        <v>2017</v>
      </c>
      <c r="K26" s="151">
        <v>2017</v>
      </c>
      <c r="L26" s="151">
        <v>2017</v>
      </c>
      <c r="M26" s="151">
        <v>2017</v>
      </c>
      <c r="N26" s="151">
        <v>2017</v>
      </c>
      <c r="O26" s="151">
        <v>2017</v>
      </c>
      <c r="P26" s="151">
        <v>2017</v>
      </c>
      <c r="Q26" s="151">
        <v>2017</v>
      </c>
      <c r="R26" s="151">
        <v>2017</v>
      </c>
      <c r="S26" s="151">
        <v>2017</v>
      </c>
      <c r="T26" s="151">
        <v>2017</v>
      </c>
      <c r="U26" s="151">
        <v>2017</v>
      </c>
      <c r="V26" s="151">
        <v>2017</v>
      </c>
      <c r="W26" s="151">
        <v>2017</v>
      </c>
      <c r="X26" s="151">
        <v>2017</v>
      </c>
      <c r="Y26" s="151">
        <v>2017</v>
      </c>
      <c r="Z26" s="151">
        <v>2017</v>
      </c>
      <c r="AA26" s="151">
        <v>2017</v>
      </c>
      <c r="AB26" s="151">
        <v>2017</v>
      </c>
      <c r="AC26" s="151">
        <v>2017</v>
      </c>
      <c r="AD26" s="151">
        <v>2017</v>
      </c>
      <c r="AE26" s="151">
        <v>2017</v>
      </c>
      <c r="AF26" s="151">
        <v>2017</v>
      </c>
      <c r="AG26" s="151">
        <v>2017</v>
      </c>
      <c r="AH26" s="151">
        <v>2017</v>
      </c>
      <c r="AI26" s="151">
        <v>2017</v>
      </c>
      <c r="AJ26" s="151">
        <v>2017</v>
      </c>
      <c r="AK26" s="151">
        <v>2017</v>
      </c>
      <c r="AL26" s="151">
        <v>2017</v>
      </c>
      <c r="AM26" s="151">
        <v>2017</v>
      </c>
      <c r="AN26" s="93"/>
      <c r="AO26" s="93"/>
      <c r="AP26" s="135"/>
    </row>
    <row r="27" spans="1:42" x14ac:dyDescent="0.2">
      <c r="A27" s="134">
        <v>1</v>
      </c>
      <c r="B27" s="2" t="s">
        <v>53</v>
      </c>
      <c r="C27" s="2"/>
      <c r="D27" s="314"/>
      <c r="E27" s="38">
        <f>F22*J17</f>
        <v>1324091.9509619994</v>
      </c>
      <c r="F27" s="98">
        <f>F22*J17/12*1+F22*F17/12*11</f>
        <v>1153783.3148320192</v>
      </c>
      <c r="G27" s="98">
        <f t="shared" ref="G27:AL27" si="1">$F22*$F17</f>
        <v>1138300.7115474755</v>
      </c>
      <c r="H27" s="98">
        <f t="shared" si="1"/>
        <v>1138300.7115474755</v>
      </c>
      <c r="I27" s="98">
        <f t="shared" si="1"/>
        <v>1138300.7115474755</v>
      </c>
      <c r="J27" s="98">
        <f t="shared" si="1"/>
        <v>1138300.7115474755</v>
      </c>
      <c r="K27" s="98">
        <f t="shared" si="1"/>
        <v>1138300.7115474755</v>
      </c>
      <c r="L27" s="98">
        <f t="shared" si="1"/>
        <v>1138300.7115474755</v>
      </c>
      <c r="M27" s="98">
        <f t="shared" si="1"/>
        <v>1138300.7115474755</v>
      </c>
      <c r="N27" s="98">
        <f t="shared" si="1"/>
        <v>1138300.7115474755</v>
      </c>
      <c r="O27" s="98">
        <f t="shared" si="1"/>
        <v>1138300.7115474755</v>
      </c>
      <c r="P27" s="98">
        <f t="shared" si="1"/>
        <v>1138300.7115474755</v>
      </c>
      <c r="Q27" s="98">
        <f t="shared" si="1"/>
        <v>1138300.7115474755</v>
      </c>
      <c r="R27" s="98">
        <f t="shared" si="1"/>
        <v>1138300.7115474755</v>
      </c>
      <c r="S27" s="98">
        <f t="shared" si="1"/>
        <v>1138300.7115474755</v>
      </c>
      <c r="T27" s="98">
        <f t="shared" si="1"/>
        <v>1138300.7115474755</v>
      </c>
      <c r="U27" s="98">
        <f t="shared" si="1"/>
        <v>1138300.7115474755</v>
      </c>
      <c r="V27" s="98">
        <f t="shared" si="1"/>
        <v>1138300.7115474755</v>
      </c>
      <c r="W27" s="98">
        <f t="shared" si="1"/>
        <v>1138300.7115474755</v>
      </c>
      <c r="X27" s="98">
        <f t="shared" si="1"/>
        <v>1138300.7115474755</v>
      </c>
      <c r="Y27" s="98">
        <f t="shared" si="1"/>
        <v>1138300.7115474755</v>
      </c>
      <c r="Z27" s="98">
        <f t="shared" si="1"/>
        <v>1138300.7115474755</v>
      </c>
      <c r="AA27" s="98">
        <f t="shared" si="1"/>
        <v>1138300.7115474755</v>
      </c>
      <c r="AB27" s="98">
        <f t="shared" si="1"/>
        <v>1138300.7115474755</v>
      </c>
      <c r="AC27" s="98">
        <f t="shared" si="1"/>
        <v>1138300.7115474755</v>
      </c>
      <c r="AD27" s="98">
        <f t="shared" si="1"/>
        <v>1138300.7115474755</v>
      </c>
      <c r="AE27" s="98">
        <f t="shared" si="1"/>
        <v>1138300.7115474755</v>
      </c>
      <c r="AF27" s="98">
        <f t="shared" si="1"/>
        <v>1138300.7115474755</v>
      </c>
      <c r="AG27" s="98">
        <f t="shared" si="1"/>
        <v>1138300.7115474755</v>
      </c>
      <c r="AH27" s="98">
        <f t="shared" si="1"/>
        <v>1138300.7115474755</v>
      </c>
      <c r="AI27" s="98">
        <f t="shared" si="1"/>
        <v>1138300.7115474755</v>
      </c>
      <c r="AJ27" s="98">
        <f t="shared" si="1"/>
        <v>1138300.7115474755</v>
      </c>
      <c r="AK27" s="98">
        <f t="shared" si="1"/>
        <v>1138300.7115474755</v>
      </c>
      <c r="AL27" s="98">
        <f t="shared" si="1"/>
        <v>1138300.7115474755</v>
      </c>
      <c r="AM27" s="39">
        <f>F22-SUM(E27:AL27)</f>
        <v>6614206.0446867272</v>
      </c>
      <c r="AN27" s="98">
        <f>SUM(E27:AM27)</f>
        <v>45517704.079999976</v>
      </c>
      <c r="AO27" s="98"/>
      <c r="AP27" s="152">
        <f>+AM27/AL27</f>
        <v>5.8105964246433368</v>
      </c>
    </row>
    <row r="28" spans="1:42" x14ac:dyDescent="0.2">
      <c r="A28" s="2"/>
      <c r="B28" s="2"/>
      <c r="C28" s="2"/>
      <c r="D28" s="135"/>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f>+AN27-F22</f>
        <v>0</v>
      </c>
      <c r="AO28" s="98"/>
      <c r="AP28" s="153"/>
    </row>
    <row r="29" spans="1:42" x14ac:dyDescent="0.2">
      <c r="A29" s="134">
        <f>A27+1</f>
        <v>2</v>
      </c>
      <c r="B29" s="2" t="s">
        <v>54</v>
      </c>
      <c r="C29" s="2"/>
      <c r="D29" s="135"/>
      <c r="E29" s="38">
        <f>E53</f>
        <v>588630.92836666503</v>
      </c>
      <c r="F29" s="98">
        <f t="shared" ref="F29:AM29" si="2">F53</f>
        <v>438203.40296548838</v>
      </c>
      <c r="G29" s="98">
        <f t="shared" si="2"/>
        <v>422969.30627122481</v>
      </c>
      <c r="H29" s="98">
        <f t="shared" si="2"/>
        <v>408185.23107613128</v>
      </c>
      <c r="I29" s="98">
        <f t="shared" si="2"/>
        <v>393683.45518945251</v>
      </c>
      <c r="J29" s="98">
        <f t="shared" si="2"/>
        <v>379442.89401553944</v>
      </c>
      <c r="K29" s="98">
        <f t="shared" si="2"/>
        <v>365443.92716677394</v>
      </c>
      <c r="L29" s="98">
        <f t="shared" si="2"/>
        <v>351668.39846356917</v>
      </c>
      <c r="M29" s="98">
        <f t="shared" si="2"/>
        <v>338017.62028462242</v>
      </c>
      <c r="N29" s="98">
        <f t="shared" si="2"/>
        <v>324384.70544365619</v>
      </c>
      <c r="O29" s="98">
        <f t="shared" si="2"/>
        <v>310751.79060269013</v>
      </c>
      <c r="P29" s="98">
        <f t="shared" si="2"/>
        <v>297118.87576172402</v>
      </c>
      <c r="Q29" s="98">
        <f t="shared" si="2"/>
        <v>283485.96092075791</v>
      </c>
      <c r="R29" s="98">
        <f t="shared" si="2"/>
        <v>269853.04607979173</v>
      </c>
      <c r="S29" s="98">
        <f t="shared" si="2"/>
        <v>256220.13123882562</v>
      </c>
      <c r="T29" s="98">
        <f t="shared" si="2"/>
        <v>242587.21639785945</v>
      </c>
      <c r="U29" s="98">
        <f t="shared" si="2"/>
        <v>228954.30155689336</v>
      </c>
      <c r="V29" s="98">
        <f t="shared" si="2"/>
        <v>215321.38671592719</v>
      </c>
      <c r="W29" s="98">
        <f t="shared" si="2"/>
        <v>201688.47187496105</v>
      </c>
      <c r="X29" s="98">
        <f t="shared" si="2"/>
        <v>188055.55703399496</v>
      </c>
      <c r="Y29" s="98">
        <f t="shared" si="2"/>
        <v>175075.97181654911</v>
      </c>
      <c r="Z29" s="98">
        <f t="shared" si="2"/>
        <v>163402.75300453769</v>
      </c>
      <c r="AA29" s="98">
        <f t="shared" si="2"/>
        <v>152382.86381604656</v>
      </c>
      <c r="AB29" s="98">
        <f t="shared" si="2"/>
        <v>141362.97462755549</v>
      </c>
      <c r="AC29" s="98">
        <f t="shared" si="2"/>
        <v>130343.08543906438</v>
      </c>
      <c r="AD29" s="98">
        <f t="shared" si="2"/>
        <v>119323.19625057327</v>
      </c>
      <c r="AE29" s="98">
        <f t="shared" si="2"/>
        <v>108303.30706208217</v>
      </c>
      <c r="AF29" s="98">
        <f t="shared" si="2"/>
        <v>97283.417873591039</v>
      </c>
      <c r="AG29" s="98">
        <f t="shared" si="2"/>
        <v>86263.528685099969</v>
      </c>
      <c r="AH29" s="98">
        <f t="shared" si="2"/>
        <v>75243.639496608856</v>
      </c>
      <c r="AI29" s="98">
        <f t="shared" si="2"/>
        <v>64223.750308117706</v>
      </c>
      <c r="AJ29" s="98">
        <f t="shared" si="2"/>
        <v>53203.861119626556</v>
      </c>
      <c r="AK29" s="98">
        <f t="shared" si="2"/>
        <v>42183.971931135398</v>
      </c>
      <c r="AL29" s="98">
        <f t="shared" si="2"/>
        <v>31164.082742644252</v>
      </c>
      <c r="AM29" s="98">
        <f t="shared" si="2"/>
        <v>-6361.9262109074698</v>
      </c>
      <c r="AN29" s="98"/>
      <c r="AO29" s="98"/>
      <c r="AP29" s="153"/>
    </row>
    <row r="30" spans="1:42" x14ac:dyDescent="0.2">
      <c r="A30" s="2"/>
      <c r="B30" s="2"/>
      <c r="C30" s="2"/>
      <c r="D30" s="135"/>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153"/>
    </row>
    <row r="31" spans="1:42" x14ac:dyDescent="0.2">
      <c r="A31" s="2"/>
      <c r="B31" s="2" t="s">
        <v>55</v>
      </c>
      <c r="C31" s="2"/>
      <c r="D31" s="135"/>
      <c r="E31" s="3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153"/>
    </row>
    <row r="32" spans="1:42" x14ac:dyDescent="0.2">
      <c r="A32" s="134">
        <f>A29+1</f>
        <v>3</v>
      </c>
      <c r="B32" s="2"/>
      <c r="C32" s="2"/>
      <c r="D32" s="135"/>
      <c r="E32" s="3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153"/>
    </row>
    <row r="33" spans="1:42" x14ac:dyDescent="0.2">
      <c r="A33" s="134">
        <f>A32+1</f>
        <v>4</v>
      </c>
      <c r="B33" s="2"/>
      <c r="C33" s="12" t="s">
        <v>102</v>
      </c>
      <c r="D33" s="135"/>
      <c r="E33" s="38">
        <f>E49*$J11/12*1+E49*F11/12*11</f>
        <v>1227291.429668664</v>
      </c>
      <c r="F33" s="98">
        <f>F49*$F11</f>
        <v>1069187.3341026548</v>
      </c>
      <c r="G33" s="98">
        <f t="shared" ref="G33:AM33" si="3">G49*$F11</f>
        <v>1032017.1452776162</v>
      </c>
      <c r="H33" s="98">
        <f t="shared" si="3"/>
        <v>995944.97916013817</v>
      </c>
      <c r="I33" s="98">
        <f t="shared" si="3"/>
        <v>960561.604692703</v>
      </c>
      <c r="J33" s="98">
        <f t="shared" si="3"/>
        <v>925815.57685580582</v>
      </c>
      <c r="K33" s="98">
        <f t="shared" si="3"/>
        <v>891659.02320074034</v>
      </c>
      <c r="L33" s="98">
        <f t="shared" si="3"/>
        <v>858047.64384959906</v>
      </c>
      <c r="M33" s="98">
        <f t="shared" si="3"/>
        <v>824740.64753053058</v>
      </c>
      <c r="N33" s="98">
        <f t="shared" si="3"/>
        <v>791477.23657520965</v>
      </c>
      <c r="O33" s="98">
        <f t="shared" si="3"/>
        <v>758213.82561988884</v>
      </c>
      <c r="P33" s="98">
        <f t="shared" si="3"/>
        <v>724950.41466456815</v>
      </c>
      <c r="Q33" s="98">
        <f t="shared" si="3"/>
        <v>691687.00370924722</v>
      </c>
      <c r="R33" s="98">
        <f t="shared" si="3"/>
        <v>658423.59275392629</v>
      </c>
      <c r="S33" s="98">
        <f t="shared" si="3"/>
        <v>625160.1817986056</v>
      </c>
      <c r="T33" s="98">
        <f t="shared" si="3"/>
        <v>591896.77084328455</v>
      </c>
      <c r="U33" s="98">
        <f t="shared" si="3"/>
        <v>558633.35988796386</v>
      </c>
      <c r="V33" s="98">
        <f t="shared" si="3"/>
        <v>525369.94893264293</v>
      </c>
      <c r="W33" s="98">
        <f t="shared" si="3"/>
        <v>492106.53797732206</v>
      </c>
      <c r="X33" s="98">
        <f t="shared" si="3"/>
        <v>458843.12702200131</v>
      </c>
      <c r="Y33" s="98">
        <f t="shared" si="3"/>
        <v>427173.79715718486</v>
      </c>
      <c r="Z33" s="98">
        <f t="shared" si="3"/>
        <v>398691.91495921748</v>
      </c>
      <c r="AA33" s="98">
        <f t="shared" si="3"/>
        <v>371804.11385175458</v>
      </c>
      <c r="AB33" s="98">
        <f t="shared" si="3"/>
        <v>344916.31274429167</v>
      </c>
      <c r="AC33" s="98">
        <f t="shared" si="3"/>
        <v>318028.51163682877</v>
      </c>
      <c r="AD33" s="98">
        <f t="shared" si="3"/>
        <v>291140.71052936587</v>
      </c>
      <c r="AE33" s="98">
        <f t="shared" si="3"/>
        <v>264252.90942190296</v>
      </c>
      <c r="AF33" s="98">
        <f t="shared" si="3"/>
        <v>237365.10831444009</v>
      </c>
      <c r="AG33" s="98">
        <f t="shared" si="3"/>
        <v>210477.30720697719</v>
      </c>
      <c r="AH33" s="98">
        <f t="shared" si="3"/>
        <v>183589.50609951428</v>
      </c>
      <c r="AI33" s="98">
        <f t="shared" si="3"/>
        <v>156701.70499205127</v>
      </c>
      <c r="AJ33" s="98">
        <f t="shared" si="3"/>
        <v>129813.90388458825</v>
      </c>
      <c r="AK33" s="98">
        <f t="shared" si="3"/>
        <v>102926.10277712523</v>
      </c>
      <c r="AL33" s="98">
        <f t="shared" si="3"/>
        <v>76038.301669662222</v>
      </c>
      <c r="AM33" s="98">
        <f t="shared" si="3"/>
        <v>-15522.679374841993</v>
      </c>
      <c r="AN33" s="98"/>
      <c r="AO33" s="98"/>
      <c r="AP33" s="153"/>
    </row>
    <row r="34" spans="1:42" x14ac:dyDescent="0.2">
      <c r="A34" s="134">
        <f>A33+1</f>
        <v>5</v>
      </c>
      <c r="B34" s="2"/>
      <c r="C34" s="2" t="s">
        <v>9</v>
      </c>
      <c r="D34" s="135"/>
      <c r="E34" s="38">
        <f>E49*$J12/12*1+E49*F12/12*11</f>
        <v>1891107.2891529668</v>
      </c>
      <c r="F34" s="96">
        <f>F49*$F12</f>
        <v>1648479.4682987421</v>
      </c>
      <c r="G34" s="96">
        <f t="shared" ref="G34:AM34" si="4">G49*$F12</f>
        <v>1591170.2474012745</v>
      </c>
      <c r="H34" s="96">
        <f t="shared" si="4"/>
        <v>1535553.964524494</v>
      </c>
      <c r="I34" s="96">
        <f t="shared" si="4"/>
        <v>1480999.6647603214</v>
      </c>
      <c r="J34" s="96">
        <f t="shared" si="4"/>
        <v>1427428.0298679818</v>
      </c>
      <c r="K34" s="96">
        <f t="shared" si="4"/>
        <v>1374765.249817864</v>
      </c>
      <c r="L34" s="96">
        <f t="shared" si="4"/>
        <v>1322943.0227915223</v>
      </c>
      <c r="M34" s="96">
        <f t="shared" si="4"/>
        <v>1271590.0953564369</v>
      </c>
      <c r="N34" s="96">
        <f t="shared" si="4"/>
        <v>1220304.368097564</v>
      </c>
      <c r="O34" s="96">
        <f t="shared" si="4"/>
        <v>1169018.6408386915</v>
      </c>
      <c r="P34" s="96">
        <f t="shared" si="4"/>
        <v>1117732.913579819</v>
      </c>
      <c r="Q34" s="96">
        <f t="shared" si="4"/>
        <v>1066447.1863209466</v>
      </c>
      <c r="R34" s="96">
        <f t="shared" si="4"/>
        <v>1015161.4590620737</v>
      </c>
      <c r="S34" s="96">
        <f t="shared" si="4"/>
        <v>963875.73180320126</v>
      </c>
      <c r="T34" s="96">
        <f t="shared" si="4"/>
        <v>912590.00454432843</v>
      </c>
      <c r="U34" s="96">
        <f t="shared" si="4"/>
        <v>861304.27728545596</v>
      </c>
      <c r="V34" s="96">
        <f t="shared" si="4"/>
        <v>810018.55002658325</v>
      </c>
      <c r="W34" s="96">
        <f t="shared" si="4"/>
        <v>758732.82276771066</v>
      </c>
      <c r="X34" s="96">
        <f t="shared" si="4"/>
        <v>707447.09550883819</v>
      </c>
      <c r="Y34" s="96">
        <f t="shared" si="4"/>
        <v>658619.13207178004</v>
      </c>
      <c r="Z34" s="96">
        <f t="shared" si="4"/>
        <v>614705.59463611804</v>
      </c>
      <c r="AA34" s="96">
        <f t="shared" si="4"/>
        <v>573249.82102227048</v>
      </c>
      <c r="AB34" s="96">
        <f t="shared" si="4"/>
        <v>531794.04740842304</v>
      </c>
      <c r="AC34" s="96">
        <f t="shared" si="4"/>
        <v>490338.27379457554</v>
      </c>
      <c r="AD34" s="96">
        <f t="shared" si="4"/>
        <v>448882.50018072804</v>
      </c>
      <c r="AE34" s="96">
        <f t="shared" si="4"/>
        <v>407426.72656688053</v>
      </c>
      <c r="AF34" s="96">
        <f t="shared" si="4"/>
        <v>365970.95295303303</v>
      </c>
      <c r="AG34" s="96">
        <f t="shared" si="4"/>
        <v>324515.17933918559</v>
      </c>
      <c r="AH34" s="96">
        <f t="shared" si="4"/>
        <v>283059.40572533809</v>
      </c>
      <c r="AI34" s="96">
        <f t="shared" si="4"/>
        <v>241603.63211149041</v>
      </c>
      <c r="AJ34" s="96">
        <f t="shared" si="4"/>
        <v>200147.85849764277</v>
      </c>
      <c r="AK34" s="96">
        <f t="shared" si="4"/>
        <v>158692.08488379509</v>
      </c>
      <c r="AL34" s="96">
        <f t="shared" si="4"/>
        <v>117236.31126994743</v>
      </c>
      <c r="AM34" s="96">
        <f t="shared" si="4"/>
        <v>-23932.960507699529</v>
      </c>
      <c r="AN34" s="96"/>
      <c r="AO34" s="96"/>
      <c r="AP34" s="153"/>
    </row>
    <row r="35" spans="1:42" x14ac:dyDescent="0.2">
      <c r="A35" s="134">
        <f>A34+1</f>
        <v>6</v>
      </c>
      <c r="B35" s="2"/>
      <c r="C35" s="2" t="s">
        <v>58</v>
      </c>
      <c r="D35" s="135"/>
      <c r="E35" s="154">
        <f>E32+E33+E34</f>
        <v>3118398.7188216308</v>
      </c>
      <c r="F35" s="98">
        <f>F32+F33+F34</f>
        <v>2717666.8024013969</v>
      </c>
      <c r="G35" s="98">
        <f>G32+G33+G34</f>
        <v>2623187.3926788908</v>
      </c>
      <c r="H35" s="98">
        <f t="shared" ref="H35:AM35" si="5">H32+H33+H34</f>
        <v>2531498.943684632</v>
      </c>
      <c r="I35" s="98">
        <f t="shared" si="5"/>
        <v>2441561.2694530245</v>
      </c>
      <c r="J35" s="98">
        <f t="shared" si="5"/>
        <v>2353243.6067237877</v>
      </c>
      <c r="K35" s="98">
        <f t="shared" si="5"/>
        <v>2266424.2730186041</v>
      </c>
      <c r="L35" s="98">
        <f t="shared" si="5"/>
        <v>2180990.6666411213</v>
      </c>
      <c r="M35" s="98">
        <f t="shared" si="5"/>
        <v>2096330.7428869675</v>
      </c>
      <c r="N35" s="98">
        <f t="shared" si="5"/>
        <v>2011781.6046727737</v>
      </c>
      <c r="O35" s="98">
        <f t="shared" si="5"/>
        <v>1927232.4664585805</v>
      </c>
      <c r="P35" s="98">
        <f t="shared" si="5"/>
        <v>1842683.3282443872</v>
      </c>
      <c r="Q35" s="98">
        <f t="shared" si="5"/>
        <v>1758134.1900301939</v>
      </c>
      <c r="R35" s="98">
        <f t="shared" si="5"/>
        <v>1673585.0518160001</v>
      </c>
      <c r="S35" s="98">
        <f t="shared" si="5"/>
        <v>1589035.9136018069</v>
      </c>
      <c r="T35" s="98">
        <f t="shared" si="5"/>
        <v>1504486.7753876131</v>
      </c>
      <c r="U35" s="98">
        <f t="shared" si="5"/>
        <v>1419937.6371734198</v>
      </c>
      <c r="V35" s="98">
        <f t="shared" si="5"/>
        <v>1335388.4989592261</v>
      </c>
      <c r="W35" s="98">
        <f t="shared" si="5"/>
        <v>1250839.3607450328</v>
      </c>
      <c r="X35" s="98">
        <f t="shared" si="5"/>
        <v>1166290.2225308395</v>
      </c>
      <c r="Y35" s="98">
        <f t="shared" si="5"/>
        <v>1085792.929228965</v>
      </c>
      <c r="Z35" s="98">
        <f t="shared" si="5"/>
        <v>1013397.5095953355</v>
      </c>
      <c r="AA35" s="98">
        <f t="shared" si="5"/>
        <v>945053.93487402506</v>
      </c>
      <c r="AB35" s="98">
        <f t="shared" si="5"/>
        <v>876710.36015271465</v>
      </c>
      <c r="AC35" s="98">
        <f t="shared" si="5"/>
        <v>808366.78543140437</v>
      </c>
      <c r="AD35" s="98">
        <f t="shared" si="5"/>
        <v>740023.21071009384</v>
      </c>
      <c r="AE35" s="98">
        <f t="shared" si="5"/>
        <v>671679.63598878356</v>
      </c>
      <c r="AF35" s="98">
        <f t="shared" si="5"/>
        <v>603336.06126747315</v>
      </c>
      <c r="AG35" s="98">
        <f t="shared" si="5"/>
        <v>534992.48654616275</v>
      </c>
      <c r="AH35" s="98">
        <f t="shared" si="5"/>
        <v>466648.91182485234</v>
      </c>
      <c r="AI35" s="98">
        <f t="shared" si="5"/>
        <v>398305.33710354171</v>
      </c>
      <c r="AJ35" s="98">
        <f t="shared" si="5"/>
        <v>329961.76238223101</v>
      </c>
      <c r="AK35" s="98">
        <f t="shared" si="5"/>
        <v>261618.18766092032</v>
      </c>
      <c r="AL35" s="98">
        <f t="shared" si="5"/>
        <v>193274.61293960965</v>
      </c>
      <c r="AM35" s="98">
        <f t="shared" si="5"/>
        <v>-39455.639882541524</v>
      </c>
      <c r="AN35" s="98"/>
      <c r="AO35" s="98"/>
      <c r="AP35" s="153"/>
    </row>
    <row r="36" spans="1:42" x14ac:dyDescent="0.2">
      <c r="A36" s="2"/>
      <c r="B36" s="2"/>
      <c r="C36" s="2"/>
      <c r="D36" s="135"/>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153"/>
    </row>
    <row r="37" spans="1:42" x14ac:dyDescent="0.2">
      <c r="A37" s="134">
        <f>A35+1</f>
        <v>7</v>
      </c>
      <c r="B37" s="2" t="s">
        <v>59</v>
      </c>
      <c r="C37" s="2"/>
      <c r="D37" s="135"/>
      <c r="E37" s="41">
        <f>E27+E29+E35</f>
        <v>5031121.5981502952</v>
      </c>
      <c r="F37" s="95">
        <f>F27+F29+F35</f>
        <v>4309653.520198904</v>
      </c>
      <c r="G37" s="95">
        <f t="shared" ref="G37:AM37" si="6">G27+G29+G35</f>
        <v>4184457.4104975909</v>
      </c>
      <c r="H37" s="95">
        <f t="shared" si="6"/>
        <v>4077984.8863082388</v>
      </c>
      <c r="I37" s="95">
        <f t="shared" si="6"/>
        <v>3973545.4361899523</v>
      </c>
      <c r="J37" s="95">
        <f t="shared" si="6"/>
        <v>3870987.2122868029</v>
      </c>
      <c r="K37" s="95">
        <f t="shared" si="6"/>
        <v>3770168.9117328534</v>
      </c>
      <c r="L37" s="95">
        <f t="shared" si="6"/>
        <v>3670959.7766521657</v>
      </c>
      <c r="M37" s="95">
        <f t="shared" si="6"/>
        <v>3572649.0747190653</v>
      </c>
      <c r="N37" s="95">
        <f t="shared" si="6"/>
        <v>3474467.0216639056</v>
      </c>
      <c r="O37" s="95">
        <f t="shared" si="6"/>
        <v>3376284.9686087463</v>
      </c>
      <c r="P37" s="95">
        <f t="shared" si="6"/>
        <v>3278102.9155535866</v>
      </c>
      <c r="Q37" s="95">
        <f t="shared" si="6"/>
        <v>3179920.8624984273</v>
      </c>
      <c r="R37" s="95">
        <f t="shared" si="6"/>
        <v>3081738.8094432675</v>
      </c>
      <c r="S37" s="95">
        <f t="shared" si="6"/>
        <v>2983556.7563881082</v>
      </c>
      <c r="T37" s="95">
        <f t="shared" si="6"/>
        <v>2885374.703332948</v>
      </c>
      <c r="U37" s="95">
        <f t="shared" si="6"/>
        <v>2787192.6502777888</v>
      </c>
      <c r="V37" s="95">
        <f t="shared" si="6"/>
        <v>2689010.597222629</v>
      </c>
      <c r="W37" s="95">
        <f t="shared" si="6"/>
        <v>2590828.5441674693</v>
      </c>
      <c r="X37" s="95">
        <f t="shared" si="6"/>
        <v>2492646.49111231</v>
      </c>
      <c r="Y37" s="95">
        <f t="shared" si="6"/>
        <v>2399169.6125929896</v>
      </c>
      <c r="Z37" s="95">
        <f t="shared" si="6"/>
        <v>2315100.9741473487</v>
      </c>
      <c r="AA37" s="95">
        <f t="shared" si="6"/>
        <v>2235737.5102375471</v>
      </c>
      <c r="AB37" s="95">
        <f t="shared" si="6"/>
        <v>2156374.0463277455</v>
      </c>
      <c r="AC37" s="95">
        <f t="shared" si="6"/>
        <v>2077010.5824179442</v>
      </c>
      <c r="AD37" s="95">
        <f t="shared" si="6"/>
        <v>1997647.1185081427</v>
      </c>
      <c r="AE37" s="95">
        <f t="shared" si="6"/>
        <v>1918283.6545983413</v>
      </c>
      <c r="AF37" s="95">
        <f t="shared" si="6"/>
        <v>1838920.1906885398</v>
      </c>
      <c r="AG37" s="95">
        <f t="shared" si="6"/>
        <v>1759556.7267787382</v>
      </c>
      <c r="AH37" s="95">
        <f t="shared" si="6"/>
        <v>1680193.2628689366</v>
      </c>
      <c r="AI37" s="95">
        <f t="shared" si="6"/>
        <v>1600829.7989591348</v>
      </c>
      <c r="AJ37" s="95">
        <f t="shared" si="6"/>
        <v>1521466.3350493331</v>
      </c>
      <c r="AK37" s="95">
        <f t="shared" si="6"/>
        <v>1442102.8711395315</v>
      </c>
      <c r="AL37" s="95">
        <f t="shared" si="6"/>
        <v>1362739.4072297295</v>
      </c>
      <c r="AM37" s="95">
        <f t="shared" si="6"/>
        <v>6568388.4785932787</v>
      </c>
      <c r="AN37" s="95"/>
      <c r="AO37" s="95"/>
      <c r="AP37" s="155"/>
    </row>
    <row r="38" spans="1:42" x14ac:dyDescent="0.2">
      <c r="A38" s="134">
        <f>A37+1</f>
        <v>8</v>
      </c>
      <c r="B38" s="2" t="s">
        <v>60</v>
      </c>
      <c r="C38" s="2"/>
      <c r="D38" s="135"/>
      <c r="E38" s="40">
        <f>E37/(1-$J16)-E37</f>
        <v>239618.38092889823</v>
      </c>
      <c r="F38" s="96">
        <f>F37/(1-$F16)-F37</f>
        <v>205256.85550002474</v>
      </c>
      <c r="G38" s="96">
        <f t="shared" ref="G38:AM38" si="7">G37/(1-$F16)-G37</f>
        <v>199294.11170224939</v>
      </c>
      <c r="H38" s="96">
        <f t="shared" si="7"/>
        <v>194223.12040101644</v>
      </c>
      <c r="I38" s="96">
        <f t="shared" si="7"/>
        <v>189248.95878432039</v>
      </c>
      <c r="J38" s="96">
        <f t="shared" si="7"/>
        <v>184364.39475954091</v>
      </c>
      <c r="K38" s="96">
        <f t="shared" si="7"/>
        <v>179562.69846271072</v>
      </c>
      <c r="L38" s="96">
        <f t="shared" si="7"/>
        <v>174837.64225851744</v>
      </c>
      <c r="M38" s="96">
        <f t="shared" si="7"/>
        <v>170155.37593566533</v>
      </c>
      <c r="N38" s="96">
        <f t="shared" si="7"/>
        <v>165479.23680239497</v>
      </c>
      <c r="O38" s="96">
        <f t="shared" si="7"/>
        <v>160803.0976691246</v>
      </c>
      <c r="P38" s="96">
        <f t="shared" si="7"/>
        <v>156126.95853585424</v>
      </c>
      <c r="Q38" s="96">
        <f t="shared" si="7"/>
        <v>151450.81940258387</v>
      </c>
      <c r="R38" s="96">
        <f t="shared" si="7"/>
        <v>146774.68026931351</v>
      </c>
      <c r="S38" s="96">
        <f t="shared" si="7"/>
        <v>142098.54113604315</v>
      </c>
      <c r="T38" s="96">
        <f t="shared" si="7"/>
        <v>137422.40200277232</v>
      </c>
      <c r="U38" s="96">
        <f t="shared" si="7"/>
        <v>132746.26286950195</v>
      </c>
      <c r="V38" s="96">
        <f t="shared" si="7"/>
        <v>128070.12373623159</v>
      </c>
      <c r="W38" s="96">
        <f t="shared" si="7"/>
        <v>123393.98460296122</v>
      </c>
      <c r="X38" s="96">
        <f t="shared" si="7"/>
        <v>118717.84546969086</v>
      </c>
      <c r="Y38" s="96">
        <f t="shared" si="7"/>
        <v>114265.80076194182</v>
      </c>
      <c r="Z38" s="96">
        <f t="shared" si="7"/>
        <v>110261.84445950482</v>
      </c>
      <c r="AA38" s="96">
        <f t="shared" si="7"/>
        <v>106481.98258258915</v>
      </c>
      <c r="AB38" s="96">
        <f t="shared" si="7"/>
        <v>102702.12070567347</v>
      </c>
      <c r="AC38" s="96">
        <f t="shared" si="7"/>
        <v>98922.258828757564</v>
      </c>
      <c r="AD38" s="96">
        <f t="shared" si="7"/>
        <v>95142.396951841889</v>
      </c>
      <c r="AE38" s="96">
        <f t="shared" si="7"/>
        <v>91362.535074925981</v>
      </c>
      <c r="AF38" s="96">
        <f t="shared" si="7"/>
        <v>87582.673198010307</v>
      </c>
      <c r="AG38" s="96">
        <f t="shared" si="7"/>
        <v>83802.811321094632</v>
      </c>
      <c r="AH38" s="96">
        <f t="shared" si="7"/>
        <v>80022.949444178957</v>
      </c>
      <c r="AI38" s="96">
        <f t="shared" si="7"/>
        <v>76243.08756726305</v>
      </c>
      <c r="AJ38" s="96">
        <f t="shared" si="7"/>
        <v>72463.225690347375</v>
      </c>
      <c r="AK38" s="96">
        <f t="shared" si="7"/>
        <v>68683.363813431701</v>
      </c>
      <c r="AL38" s="96">
        <f t="shared" si="7"/>
        <v>64903.501936515793</v>
      </c>
      <c r="AM38" s="96">
        <f t="shared" si="7"/>
        <v>312834.14281443786</v>
      </c>
      <c r="AN38" s="96"/>
      <c r="AO38" s="96"/>
      <c r="AP38" s="153"/>
    </row>
    <row r="39" spans="1:42" x14ac:dyDescent="0.2">
      <c r="A39" s="134">
        <f>A38+1</f>
        <v>9</v>
      </c>
      <c r="B39" s="2"/>
      <c r="C39" s="2" t="s">
        <v>61</v>
      </c>
      <c r="D39" s="135"/>
      <c r="E39" s="41">
        <f>SUM(E37:E38)</f>
        <v>5270739.9790791934</v>
      </c>
      <c r="F39" s="95">
        <f t="shared" ref="F39:AM39" si="8">SUM(F37:F38)</f>
        <v>4514910.3756989287</v>
      </c>
      <c r="G39" s="95">
        <f t="shared" si="8"/>
        <v>4383751.5221998403</v>
      </c>
      <c r="H39" s="95">
        <f t="shared" si="8"/>
        <v>4272208.0067092553</v>
      </c>
      <c r="I39" s="95">
        <f t="shared" si="8"/>
        <v>4162794.3949742727</v>
      </c>
      <c r="J39" s="95">
        <f t="shared" si="8"/>
        <v>4055351.6070463439</v>
      </c>
      <c r="K39" s="95">
        <f t="shared" si="8"/>
        <v>3949731.6101955641</v>
      </c>
      <c r="L39" s="95">
        <f t="shared" si="8"/>
        <v>3845797.4189106831</v>
      </c>
      <c r="M39" s="95">
        <f t="shared" si="8"/>
        <v>3742804.4506547307</v>
      </c>
      <c r="N39" s="95">
        <f t="shared" si="8"/>
        <v>3639946.2584663006</v>
      </c>
      <c r="O39" s="95">
        <f t="shared" si="8"/>
        <v>3537088.0662778709</v>
      </c>
      <c r="P39" s="95">
        <f t="shared" si="8"/>
        <v>3434229.8740894408</v>
      </c>
      <c r="Q39" s="95">
        <f t="shared" si="8"/>
        <v>3331371.6819010112</v>
      </c>
      <c r="R39" s="95">
        <f t="shared" si="8"/>
        <v>3228513.489712581</v>
      </c>
      <c r="S39" s="95">
        <f t="shared" si="8"/>
        <v>3125655.2975241514</v>
      </c>
      <c r="T39" s="95">
        <f t="shared" si="8"/>
        <v>3022797.1053357203</v>
      </c>
      <c r="U39" s="95">
        <f t="shared" si="8"/>
        <v>2919938.9131472907</v>
      </c>
      <c r="V39" s="95">
        <f t="shared" si="8"/>
        <v>2817080.7209588606</v>
      </c>
      <c r="W39" s="95">
        <f t="shared" si="8"/>
        <v>2714222.5287704305</v>
      </c>
      <c r="X39" s="95">
        <f t="shared" si="8"/>
        <v>2611364.3365820008</v>
      </c>
      <c r="Y39" s="95">
        <f t="shared" si="8"/>
        <v>2513435.4133549314</v>
      </c>
      <c r="Z39" s="95">
        <f t="shared" si="8"/>
        <v>2425362.8186068535</v>
      </c>
      <c r="AA39" s="95">
        <f t="shared" si="8"/>
        <v>2342219.4928201362</v>
      </c>
      <c r="AB39" s="95">
        <f t="shared" si="8"/>
        <v>2259076.167033419</v>
      </c>
      <c r="AC39" s="95">
        <f t="shared" si="8"/>
        <v>2175932.8412467018</v>
      </c>
      <c r="AD39" s="95">
        <f t="shared" si="8"/>
        <v>2092789.5154599845</v>
      </c>
      <c r="AE39" s="95">
        <f t="shared" si="8"/>
        <v>2009646.1896732673</v>
      </c>
      <c r="AF39" s="95">
        <f t="shared" si="8"/>
        <v>1926502.8638865501</v>
      </c>
      <c r="AG39" s="95">
        <f t="shared" si="8"/>
        <v>1843359.5380998328</v>
      </c>
      <c r="AH39" s="95">
        <f t="shared" si="8"/>
        <v>1760216.2123131156</v>
      </c>
      <c r="AI39" s="95">
        <f t="shared" si="8"/>
        <v>1677072.8865263979</v>
      </c>
      <c r="AJ39" s="95">
        <f t="shared" si="8"/>
        <v>1593929.5607396804</v>
      </c>
      <c r="AK39" s="95">
        <f t="shared" si="8"/>
        <v>1510786.2349529632</v>
      </c>
      <c r="AL39" s="95">
        <f t="shared" si="8"/>
        <v>1427642.9091662453</v>
      </c>
      <c r="AM39" s="95">
        <f t="shared" si="8"/>
        <v>6881222.6214077165</v>
      </c>
      <c r="AN39" s="95"/>
      <c r="AO39" s="95"/>
      <c r="AP39" s="153"/>
    </row>
    <row r="40" spans="1:42" x14ac:dyDescent="0.2">
      <c r="A40" s="134">
        <f t="shared" ref="A40:A66" si="9">A39+1</f>
        <v>10</v>
      </c>
      <c r="B40" s="2"/>
      <c r="C40" s="2"/>
      <c r="D40" s="135"/>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153"/>
    </row>
    <row r="41" spans="1:42" x14ac:dyDescent="0.2">
      <c r="A41" s="134">
        <f t="shared" si="9"/>
        <v>11</v>
      </c>
      <c r="B41" s="2"/>
      <c r="C41" s="2"/>
      <c r="D41" s="135"/>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153"/>
    </row>
    <row r="42" spans="1:42" x14ac:dyDescent="0.2">
      <c r="A42" s="134">
        <f t="shared" si="9"/>
        <v>12</v>
      </c>
      <c r="B42" s="2" t="s">
        <v>62</v>
      </c>
      <c r="C42" s="2"/>
      <c r="D42" s="313" t="s">
        <v>145</v>
      </c>
      <c r="E42" s="40">
        <f>E39</f>
        <v>5270739.9790791934</v>
      </c>
      <c r="F42" s="96">
        <f>F39</f>
        <v>4514910.3756989287</v>
      </c>
      <c r="G42" s="96">
        <f t="shared" ref="G42:AM42" si="10">G39</f>
        <v>4383751.5221998403</v>
      </c>
      <c r="H42" s="96">
        <f t="shared" si="10"/>
        <v>4272208.0067092553</v>
      </c>
      <c r="I42" s="96">
        <f t="shared" si="10"/>
        <v>4162794.3949742727</v>
      </c>
      <c r="J42" s="96">
        <f t="shared" si="10"/>
        <v>4055351.6070463439</v>
      </c>
      <c r="K42" s="96">
        <f t="shared" si="10"/>
        <v>3949731.6101955641</v>
      </c>
      <c r="L42" s="96">
        <f t="shared" si="10"/>
        <v>3845797.4189106831</v>
      </c>
      <c r="M42" s="96">
        <f t="shared" si="10"/>
        <v>3742804.4506547307</v>
      </c>
      <c r="N42" s="96">
        <f t="shared" si="10"/>
        <v>3639946.2584663006</v>
      </c>
      <c r="O42" s="96">
        <f t="shared" si="10"/>
        <v>3537088.0662778709</v>
      </c>
      <c r="P42" s="96">
        <f t="shared" si="10"/>
        <v>3434229.8740894408</v>
      </c>
      <c r="Q42" s="96">
        <f t="shared" si="10"/>
        <v>3331371.6819010112</v>
      </c>
      <c r="R42" s="96">
        <f t="shared" si="10"/>
        <v>3228513.489712581</v>
      </c>
      <c r="S42" s="96">
        <f t="shared" si="10"/>
        <v>3125655.2975241514</v>
      </c>
      <c r="T42" s="96">
        <f t="shared" si="10"/>
        <v>3022797.1053357203</v>
      </c>
      <c r="U42" s="96">
        <f t="shared" si="10"/>
        <v>2919938.9131472907</v>
      </c>
      <c r="V42" s="96">
        <f t="shared" si="10"/>
        <v>2817080.7209588606</v>
      </c>
      <c r="W42" s="96">
        <f t="shared" si="10"/>
        <v>2714222.5287704305</v>
      </c>
      <c r="X42" s="96">
        <f t="shared" si="10"/>
        <v>2611364.3365820008</v>
      </c>
      <c r="Y42" s="96">
        <f t="shared" si="10"/>
        <v>2513435.4133549314</v>
      </c>
      <c r="Z42" s="96">
        <f t="shared" si="10"/>
        <v>2425362.8186068535</v>
      </c>
      <c r="AA42" s="96">
        <f t="shared" si="10"/>
        <v>2342219.4928201362</v>
      </c>
      <c r="AB42" s="96">
        <f t="shared" si="10"/>
        <v>2259076.167033419</v>
      </c>
      <c r="AC42" s="96">
        <f t="shared" si="10"/>
        <v>2175932.8412467018</v>
      </c>
      <c r="AD42" s="96">
        <f t="shared" si="10"/>
        <v>2092789.5154599845</v>
      </c>
      <c r="AE42" s="96">
        <f t="shared" si="10"/>
        <v>2009646.1896732673</v>
      </c>
      <c r="AF42" s="96">
        <f t="shared" si="10"/>
        <v>1926502.8638865501</v>
      </c>
      <c r="AG42" s="96">
        <f t="shared" si="10"/>
        <v>1843359.5380998328</v>
      </c>
      <c r="AH42" s="96">
        <f t="shared" si="10"/>
        <v>1760216.2123131156</v>
      </c>
      <c r="AI42" s="96">
        <f t="shared" si="10"/>
        <v>1677072.8865263979</v>
      </c>
      <c r="AJ42" s="96">
        <f t="shared" si="10"/>
        <v>1593929.5607396804</v>
      </c>
      <c r="AK42" s="96">
        <f t="shared" si="10"/>
        <v>1510786.2349529632</v>
      </c>
      <c r="AL42" s="96">
        <f t="shared" si="10"/>
        <v>1427642.9091662453</v>
      </c>
      <c r="AM42" s="96">
        <f t="shared" si="10"/>
        <v>6881222.6214077165</v>
      </c>
      <c r="AN42" s="96"/>
      <c r="AO42" s="96"/>
      <c r="AP42" s="153"/>
    </row>
    <row r="43" spans="1:42" x14ac:dyDescent="0.2">
      <c r="A43" s="134">
        <f t="shared" si="9"/>
        <v>13</v>
      </c>
      <c r="B43" s="2"/>
      <c r="C43" s="2"/>
      <c r="D43" s="315"/>
      <c r="E43" s="156"/>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135"/>
    </row>
    <row r="44" spans="1:42" outlineLevel="1" x14ac:dyDescent="0.2">
      <c r="A44" s="134">
        <f t="shared" si="9"/>
        <v>14</v>
      </c>
      <c r="B44" s="2"/>
      <c r="C44" s="2"/>
      <c r="D44" s="135"/>
      <c r="E44" s="43"/>
      <c r="F44" s="13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135"/>
    </row>
    <row r="45" spans="1:42" outlineLevel="1" x14ac:dyDescent="0.2">
      <c r="A45" s="134">
        <f t="shared" si="9"/>
        <v>15</v>
      </c>
      <c r="B45" s="2" t="s">
        <v>63</v>
      </c>
      <c r="C45" s="135"/>
      <c r="D45" s="135"/>
      <c r="E45" s="45">
        <f>+E42/$F$22</f>
        <v>0.11579538304075192</v>
      </c>
      <c r="F45" s="97">
        <f t="shared" ref="F45:AM45" si="11">+F42/$F$22</f>
        <v>9.919020449194263E-2</v>
      </c>
      <c r="G45" s="97">
        <f t="shared" si="11"/>
        <v>9.6308713517165662E-2</v>
      </c>
      <c r="H45" s="97">
        <f t="shared" si="11"/>
        <v>9.3858161193732539E-2</v>
      </c>
      <c r="I45" s="97">
        <f t="shared" si="11"/>
        <v>9.1454401734716737E-2</v>
      </c>
      <c r="J45" s="97">
        <f t="shared" si="11"/>
        <v>8.9093940237381722E-2</v>
      </c>
      <c r="K45" s="97">
        <f t="shared" si="11"/>
        <v>8.6773524500569812E-2</v>
      </c>
      <c r="L45" s="97">
        <f t="shared" si="11"/>
        <v>8.449014502470234E-2</v>
      </c>
      <c r="M45" s="97">
        <f t="shared" si="11"/>
        <v>8.2227443723359536E-2</v>
      </c>
      <c r="N45" s="97">
        <f t="shared" si="11"/>
        <v>7.9967703381279648E-2</v>
      </c>
      <c r="O45" s="97">
        <f t="shared" si="11"/>
        <v>7.7707963039199773E-2</v>
      </c>
      <c r="P45" s="97">
        <f t="shared" si="11"/>
        <v>7.5448222697119885E-2</v>
      </c>
      <c r="Q45" s="97">
        <f t="shared" si="11"/>
        <v>7.318848235504001E-2</v>
      </c>
      <c r="R45" s="97">
        <f t="shared" si="11"/>
        <v>7.0928742012960136E-2</v>
      </c>
      <c r="S45" s="97">
        <f t="shared" si="11"/>
        <v>6.8669001670880261E-2</v>
      </c>
      <c r="T45" s="97">
        <f t="shared" si="11"/>
        <v>6.6409261328800345E-2</v>
      </c>
      <c r="U45" s="97">
        <f t="shared" si="11"/>
        <v>6.4149520986720471E-2</v>
      </c>
      <c r="V45" s="97">
        <f t="shared" si="11"/>
        <v>6.1889780644640589E-2</v>
      </c>
      <c r="W45" s="97">
        <f t="shared" si="11"/>
        <v>5.9630040302560708E-2</v>
      </c>
      <c r="X45" s="97">
        <f t="shared" si="11"/>
        <v>5.7370299960480833E-2</v>
      </c>
      <c r="Y45" s="97">
        <f t="shared" si="11"/>
        <v>5.5218853062918648E-2</v>
      </c>
      <c r="Z45" s="97">
        <f t="shared" si="11"/>
        <v>5.3283944514076087E-2</v>
      </c>
      <c r="AA45" s="97">
        <f t="shared" si="11"/>
        <v>5.1457329409751229E-2</v>
      </c>
      <c r="AB45" s="97">
        <f t="shared" si="11"/>
        <v>4.9630714305426371E-2</v>
      </c>
      <c r="AC45" s="97">
        <f t="shared" si="11"/>
        <v>4.7804099201101513E-2</v>
      </c>
      <c r="AD45" s="97">
        <f t="shared" si="11"/>
        <v>4.5977484096776648E-2</v>
      </c>
      <c r="AE45" s="97">
        <f t="shared" si="11"/>
        <v>4.415086899245179E-2</v>
      </c>
      <c r="AF45" s="97">
        <f t="shared" si="11"/>
        <v>4.2324253888126932E-2</v>
      </c>
      <c r="AG45" s="97">
        <f t="shared" si="11"/>
        <v>4.0497638783802074E-2</v>
      </c>
      <c r="AH45" s="97">
        <f t="shared" si="11"/>
        <v>3.8671023679477209E-2</v>
      </c>
      <c r="AI45" s="97">
        <f t="shared" si="11"/>
        <v>3.6844408575152345E-2</v>
      </c>
      <c r="AJ45" s="97">
        <f t="shared" si="11"/>
        <v>3.501779347082748E-2</v>
      </c>
      <c r="AK45" s="97">
        <f t="shared" si="11"/>
        <v>3.3191178366502622E-2</v>
      </c>
      <c r="AL45" s="97">
        <f t="shared" si="11"/>
        <v>3.1364563262177743E-2</v>
      </c>
      <c r="AM45" s="97">
        <f t="shared" si="11"/>
        <v>0.15117683900122847</v>
      </c>
      <c r="AN45" s="97"/>
      <c r="AO45" s="97"/>
      <c r="AP45" s="135"/>
    </row>
    <row r="46" spans="1:42" outlineLevel="1" x14ac:dyDescent="0.2">
      <c r="A46" s="134">
        <f t="shared" si="9"/>
        <v>16</v>
      </c>
      <c r="B46" s="2"/>
      <c r="C46" s="2"/>
      <c r="D46" s="135"/>
      <c r="E46" s="43"/>
      <c r="F46" s="13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135"/>
    </row>
    <row r="47" spans="1:42" outlineLevel="1" x14ac:dyDescent="0.2">
      <c r="A47" s="134">
        <f t="shared" si="9"/>
        <v>17</v>
      </c>
      <c r="B47" s="2"/>
      <c r="C47" s="2"/>
      <c r="D47" s="135"/>
      <c r="E47" s="43">
        <f>+E27/2</f>
        <v>662045.97548099968</v>
      </c>
      <c r="F47" s="98">
        <f>E57+F57/2</f>
        <v>1900983.6083780089</v>
      </c>
      <c r="G47" s="98">
        <f>SUM($E$57:F57)+G57/2</f>
        <v>3047025.6215677559</v>
      </c>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135"/>
    </row>
    <row r="48" spans="1:42" outlineLevel="1" x14ac:dyDescent="0.2">
      <c r="A48" s="134">
        <f t="shared" si="9"/>
        <v>18</v>
      </c>
      <c r="B48" s="2"/>
      <c r="C48" s="2"/>
      <c r="D48" s="135"/>
      <c r="E48" s="43">
        <f>+E60/2</f>
        <v>3900437.9820941482</v>
      </c>
      <c r="F48" s="98">
        <f>E60+F60/2</f>
        <v>7857946.7558141137</v>
      </c>
      <c r="G48" s="98">
        <f>SUM($E$60:$F$60)+G60/2</f>
        <v>7955054.8705520807</v>
      </c>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135"/>
    </row>
    <row r="49" spans="1:42" x14ac:dyDescent="0.2">
      <c r="A49" s="134">
        <f t="shared" si="9"/>
        <v>19</v>
      </c>
      <c r="B49" s="46" t="s">
        <v>64</v>
      </c>
      <c r="C49" s="2"/>
      <c r="D49" s="135"/>
      <c r="E49" s="41">
        <f>F22-E27/2-E60/2</f>
        <v>40955220.122424833</v>
      </c>
      <c r="F49" s="113">
        <f>$F$22-(SUM($E$27:E27)+F27/2)-(SUM($E$60:E60)+F60/2)</f>
        <v>35758773.715807855</v>
      </c>
      <c r="G49" s="113">
        <f>$F$22-(SUM($E$27:F27)+G27/2)-(SUM($E$60:F60)+G60/2)</f>
        <v>34515623.587880142</v>
      </c>
      <c r="H49" s="113">
        <f>$F$22-(SUM($E$27:G27)+H27/2)-(SUM($E$60:G60)+H60/2)</f>
        <v>33309196.62742937</v>
      </c>
      <c r="I49" s="113">
        <f>$F$22-(SUM($E$27:H27)+I27/2)-(SUM($E$60:H60)+I60/2)</f>
        <v>32125806.177013479</v>
      </c>
      <c r="J49" s="113">
        <f>$F$22-(SUM($E$27:I27)+J27/2)-(SUM($E$60:I60)+J60/2)</f>
        <v>30963731.667418256</v>
      </c>
      <c r="K49" s="113">
        <f>$F$22-(SUM($E$27:J27)+K27/2)-(SUM($E$60:J60)+K60/2)</f>
        <v>29821372.013402689</v>
      </c>
      <c r="L49" s="113">
        <f>$F$22-(SUM($E$27:K27)+L27/2)-(SUM($E$60:K60)+L60/2)</f>
        <v>28697245.613698967</v>
      </c>
      <c r="M49" s="113">
        <f>$F$22-(SUM($E$27:L27)+M27/2)-(SUM($E$60:L60)+M60/2)</f>
        <v>27583299.24851273</v>
      </c>
      <c r="N49" s="113">
        <f>$F$22-(SUM($E$27:M27)+N27/2)-(SUM($E$60:M60)+N60/2)</f>
        <v>26470810.587799653</v>
      </c>
      <c r="O49" s="113">
        <f>$F$22-(SUM($E$27:N27)+O27/2)-(SUM($E$60:N60)+O60/2)</f>
        <v>25358321.927086584</v>
      </c>
      <c r="P49" s="113">
        <f>$F$22-(SUM($E$27:O27)+P27/2)-(SUM($E$60:O60)+P60/2)</f>
        <v>24245833.266373515</v>
      </c>
      <c r="Q49" s="113">
        <f>$F$22-(SUM($E$27:P27)+Q27/2)-(SUM($E$60:P60)+Q60/2)</f>
        <v>23133344.605660442</v>
      </c>
      <c r="R49" s="113">
        <f>$F$22-(SUM($E$27:Q27)+R27/2)-(SUM($E$60:Q60)+R60/2)</f>
        <v>22020855.944947369</v>
      </c>
      <c r="S49" s="113">
        <f>$F$22-(SUM($E$27:R27)+S27/2)-(SUM($E$60:R60)+S60/2)</f>
        <v>20908367.2842343</v>
      </c>
      <c r="T49" s="113">
        <f>$F$22-(SUM($E$27:S27)+T27/2)-(SUM($E$60:S60)+T60/2)</f>
        <v>19795878.623521224</v>
      </c>
      <c r="U49" s="113">
        <f>$F$22-(SUM($E$27:T27)+U27/2)-(SUM($E$60:T60)+U60/2)</f>
        <v>18683389.962808155</v>
      </c>
      <c r="V49" s="113">
        <f>$F$22-(SUM($E$27:U27)+V27/2)-(SUM($E$60:U60)+V60/2)</f>
        <v>17570901.302095082</v>
      </c>
      <c r="W49" s="113">
        <f>$F$22-(SUM($E$27:V27)+W27/2)-(SUM($E$60:V60)+W60/2)</f>
        <v>16458412.641382009</v>
      </c>
      <c r="X49" s="113">
        <f>$F$22-(SUM($E$27:W27)+X27/2)-(SUM($E$60:W60)+X60/2)</f>
        <v>15345923.98066894</v>
      </c>
      <c r="Y49" s="113">
        <f>$F$22-(SUM($E$27:X27)+Y27/2)-(SUM($E$60:X60)+Y60/2)</f>
        <v>14286749.06880217</v>
      </c>
      <c r="Z49" s="113">
        <f>$F$22-(SUM($E$27:Y27)+Z27/2)-(SUM($E$60:Y60)+Z60/2)</f>
        <v>13334177.757833362</v>
      </c>
      <c r="AA49" s="113">
        <f>$F$22-(SUM($E$27:Z27)+AA27/2)-(SUM($E$60:Z60)+AA60/2)</f>
        <v>12434920.195710856</v>
      </c>
      <c r="AB49" s="113">
        <f>$F$22-(SUM($E$27:AA27)+AB27/2)-(SUM($E$60:AA60)+AB60/2)</f>
        <v>11535662.633588351</v>
      </c>
      <c r="AC49" s="113">
        <f>$F$22-(SUM($E$27:AB27)+AC27/2)-(SUM($E$60:AB60)+AC60/2)</f>
        <v>10636405.071465846</v>
      </c>
      <c r="AD49" s="113">
        <f>$F$22-(SUM($E$27:AC27)+AD27/2)-(SUM($E$60:AC60)+AD60/2)</f>
        <v>9737147.509343341</v>
      </c>
      <c r="AE49" s="113">
        <f>$F$22-(SUM($E$27:AD27)+AE27/2)-(SUM($E$60:AD60)+AE60/2)</f>
        <v>8837889.9472208358</v>
      </c>
      <c r="AF49" s="113">
        <f>$F$22-(SUM($E$27:AE27)+AF27/2)-(SUM($E$60:AE60)+AF60/2)</f>
        <v>7938632.3850983307</v>
      </c>
      <c r="AG49" s="113">
        <f>$F$22-(SUM($E$27:AF27)+AG27/2)-(SUM($E$60:AF60)+AG60/2)</f>
        <v>7039374.8229758255</v>
      </c>
      <c r="AH49" s="113">
        <f>$F$22-(SUM($E$27:AG27)+AH27/2)-(SUM($E$60:AG60)+AH60/2)</f>
        <v>6140117.2608533204</v>
      </c>
      <c r="AI49" s="113">
        <f>$F$22-(SUM($E$27:AH27)+AI27/2)-(SUM($E$60:AH60)+AI60/2)</f>
        <v>5240859.6987308115</v>
      </c>
      <c r="AJ49" s="113">
        <f>$F$22-(SUM($E$27:AI27)+AJ27/2)-(SUM($E$60:AI60)+AJ60/2)</f>
        <v>4341602.1366083026</v>
      </c>
      <c r="AK49" s="113">
        <f>$F$22-(SUM($E$27:AJ27)+AK27/2)-(SUM($E$60:AJ60)+AK60/2)</f>
        <v>3442344.5744857937</v>
      </c>
      <c r="AL49" s="113">
        <f>$F$22-(SUM($E$27:AK27)+AL27/2)-(SUM($E$60:AK60)+AL60/2)</f>
        <v>2543087.0123632848</v>
      </c>
      <c r="AM49" s="113">
        <f>$F$22-(SUM($E$27:AL27)+AM27/2)-(SUM($E$60:AL60)+AM60/2)</f>
        <v>-519153.15634923056</v>
      </c>
      <c r="AN49" s="95"/>
      <c r="AO49" s="95"/>
      <c r="AP49" s="153"/>
    </row>
    <row r="50" spans="1:42" x14ac:dyDescent="0.2">
      <c r="A50" s="134">
        <f t="shared" si="9"/>
        <v>20</v>
      </c>
      <c r="B50" s="2"/>
      <c r="C50" s="2"/>
      <c r="D50" s="135"/>
      <c r="E50" s="84"/>
      <c r="F50" s="157"/>
      <c r="G50" s="157"/>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153"/>
    </row>
    <row r="51" spans="1:42" x14ac:dyDescent="0.2">
      <c r="A51" s="134">
        <f t="shared" si="9"/>
        <v>21</v>
      </c>
      <c r="B51" s="2"/>
      <c r="C51" s="2"/>
      <c r="D51" s="135"/>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153"/>
    </row>
    <row r="52" spans="1:42" x14ac:dyDescent="0.2">
      <c r="A52" s="134">
        <f t="shared" si="9"/>
        <v>22</v>
      </c>
      <c r="B52" s="2" t="s">
        <v>65</v>
      </c>
      <c r="C52" s="2"/>
      <c r="D52" s="135"/>
      <c r="E52" s="38">
        <f>(E34)/(1-$F$15)/12*10+(E34)/(1-$J$15)/12*2</f>
        <v>2479738.2175196316</v>
      </c>
      <c r="F52" s="98">
        <f t="shared" ref="F52:AM52" si="12">(F34)/(1-$F$15)</f>
        <v>2086682.8712642305</v>
      </c>
      <c r="G52" s="98">
        <f t="shared" si="12"/>
        <v>2014139.5536724993</v>
      </c>
      <c r="H52" s="98">
        <f t="shared" si="12"/>
        <v>1943739.1956006254</v>
      </c>
      <c r="I52" s="98">
        <f t="shared" si="12"/>
        <v>1874683.1199497739</v>
      </c>
      <c r="J52" s="98">
        <f t="shared" si="12"/>
        <v>1806870.9238835212</v>
      </c>
      <c r="K52" s="98">
        <f t="shared" si="12"/>
        <v>1740209.176984638</v>
      </c>
      <c r="L52" s="98">
        <f t="shared" si="12"/>
        <v>1674611.4212550914</v>
      </c>
      <c r="M52" s="98">
        <f t="shared" si="12"/>
        <v>1609607.7156410592</v>
      </c>
      <c r="N52" s="98">
        <f t="shared" si="12"/>
        <v>1544689.07354122</v>
      </c>
      <c r="O52" s="98">
        <f t="shared" si="12"/>
        <v>1479770.4314413816</v>
      </c>
      <c r="P52" s="98">
        <f t="shared" si="12"/>
        <v>1414851.7893415431</v>
      </c>
      <c r="Q52" s="98">
        <f t="shared" si="12"/>
        <v>1349933.1472417044</v>
      </c>
      <c r="R52" s="98">
        <f t="shared" si="12"/>
        <v>1285014.5051418655</v>
      </c>
      <c r="S52" s="98">
        <f t="shared" si="12"/>
        <v>1220095.8630420268</v>
      </c>
      <c r="T52" s="98">
        <f t="shared" si="12"/>
        <v>1155177.2209421878</v>
      </c>
      <c r="U52" s="98">
        <f t="shared" si="12"/>
        <v>1090258.5788423494</v>
      </c>
      <c r="V52" s="98">
        <f t="shared" si="12"/>
        <v>1025339.9367425104</v>
      </c>
      <c r="W52" s="98">
        <f t="shared" si="12"/>
        <v>960421.29464267171</v>
      </c>
      <c r="X52" s="98">
        <f t="shared" si="12"/>
        <v>895502.65254283312</v>
      </c>
      <c r="Y52" s="98">
        <f t="shared" si="12"/>
        <v>833695.10388832912</v>
      </c>
      <c r="Z52" s="98">
        <f t="shared" si="12"/>
        <v>778108.3476406557</v>
      </c>
      <c r="AA52" s="98">
        <f t="shared" si="12"/>
        <v>725632.68483831699</v>
      </c>
      <c r="AB52" s="98">
        <f t="shared" si="12"/>
        <v>673157.0220359785</v>
      </c>
      <c r="AC52" s="98">
        <f t="shared" si="12"/>
        <v>620681.3592336399</v>
      </c>
      <c r="AD52" s="98">
        <f t="shared" si="12"/>
        <v>568205.6964313013</v>
      </c>
      <c r="AE52" s="98">
        <f t="shared" si="12"/>
        <v>515730.0336289627</v>
      </c>
      <c r="AF52" s="98">
        <f t="shared" si="12"/>
        <v>463254.37082662404</v>
      </c>
      <c r="AG52" s="98">
        <f t="shared" si="12"/>
        <v>410778.70802428556</v>
      </c>
      <c r="AH52" s="98">
        <f t="shared" si="12"/>
        <v>358303.04522194696</v>
      </c>
      <c r="AI52" s="98">
        <f t="shared" si="12"/>
        <v>305827.38241960813</v>
      </c>
      <c r="AJ52" s="98">
        <f t="shared" si="12"/>
        <v>253351.71961726932</v>
      </c>
      <c r="AK52" s="98">
        <f t="shared" si="12"/>
        <v>200876.05681493049</v>
      </c>
      <c r="AL52" s="98">
        <f t="shared" si="12"/>
        <v>148400.39401259169</v>
      </c>
      <c r="AM52" s="98">
        <f t="shared" si="12"/>
        <v>-30294.886718606998</v>
      </c>
      <c r="AN52" s="98"/>
      <c r="AO52" s="98"/>
      <c r="AP52" s="153"/>
    </row>
    <row r="53" spans="1:42" x14ac:dyDescent="0.2">
      <c r="A53" s="134">
        <f t="shared" si="9"/>
        <v>23</v>
      </c>
      <c r="B53" s="2" t="s">
        <v>66</v>
      </c>
      <c r="C53" s="2"/>
      <c r="D53" s="135"/>
      <c r="E53" s="40">
        <f>(E34)/(1-$F$15)/12*10*F15+(E34)/(1-$J$15)/12*2*J15</f>
        <v>588630.92836666503</v>
      </c>
      <c r="F53" s="96">
        <f t="shared" ref="F53:AM53" si="13">F52*$F15</f>
        <v>438203.40296548838</v>
      </c>
      <c r="G53" s="96">
        <f t="shared" si="13"/>
        <v>422969.30627122481</v>
      </c>
      <c r="H53" s="96">
        <f t="shared" si="13"/>
        <v>408185.23107613128</v>
      </c>
      <c r="I53" s="96">
        <f t="shared" si="13"/>
        <v>393683.45518945251</v>
      </c>
      <c r="J53" s="96">
        <f t="shared" si="13"/>
        <v>379442.89401553944</v>
      </c>
      <c r="K53" s="96">
        <f t="shared" si="13"/>
        <v>365443.92716677394</v>
      </c>
      <c r="L53" s="96">
        <f t="shared" si="13"/>
        <v>351668.39846356917</v>
      </c>
      <c r="M53" s="96">
        <f t="shared" si="13"/>
        <v>338017.62028462242</v>
      </c>
      <c r="N53" s="96">
        <f t="shared" si="13"/>
        <v>324384.70544365619</v>
      </c>
      <c r="O53" s="96">
        <f t="shared" si="13"/>
        <v>310751.79060269013</v>
      </c>
      <c r="P53" s="96">
        <f t="shared" si="13"/>
        <v>297118.87576172402</v>
      </c>
      <c r="Q53" s="96">
        <f t="shared" si="13"/>
        <v>283485.96092075791</v>
      </c>
      <c r="R53" s="96">
        <f t="shared" si="13"/>
        <v>269853.04607979173</v>
      </c>
      <c r="S53" s="96">
        <f t="shared" si="13"/>
        <v>256220.13123882562</v>
      </c>
      <c r="T53" s="96">
        <f t="shared" si="13"/>
        <v>242587.21639785945</v>
      </c>
      <c r="U53" s="96">
        <f t="shared" si="13"/>
        <v>228954.30155689336</v>
      </c>
      <c r="V53" s="96">
        <f t="shared" si="13"/>
        <v>215321.38671592719</v>
      </c>
      <c r="W53" s="96">
        <f t="shared" si="13"/>
        <v>201688.47187496105</v>
      </c>
      <c r="X53" s="96">
        <f t="shared" si="13"/>
        <v>188055.55703399496</v>
      </c>
      <c r="Y53" s="96">
        <f t="shared" si="13"/>
        <v>175075.97181654911</v>
      </c>
      <c r="Z53" s="96">
        <f t="shared" si="13"/>
        <v>163402.75300453769</v>
      </c>
      <c r="AA53" s="96">
        <f t="shared" si="13"/>
        <v>152382.86381604656</v>
      </c>
      <c r="AB53" s="96">
        <f t="shared" si="13"/>
        <v>141362.97462755549</v>
      </c>
      <c r="AC53" s="96">
        <f t="shared" si="13"/>
        <v>130343.08543906438</v>
      </c>
      <c r="AD53" s="96">
        <f t="shared" si="13"/>
        <v>119323.19625057327</v>
      </c>
      <c r="AE53" s="96">
        <f t="shared" si="13"/>
        <v>108303.30706208217</v>
      </c>
      <c r="AF53" s="96">
        <f t="shared" si="13"/>
        <v>97283.417873591039</v>
      </c>
      <c r="AG53" s="96">
        <f t="shared" si="13"/>
        <v>86263.528685099969</v>
      </c>
      <c r="AH53" s="96">
        <f t="shared" si="13"/>
        <v>75243.639496608856</v>
      </c>
      <c r="AI53" s="96">
        <f t="shared" si="13"/>
        <v>64223.750308117706</v>
      </c>
      <c r="AJ53" s="96">
        <f t="shared" si="13"/>
        <v>53203.861119626556</v>
      </c>
      <c r="AK53" s="96">
        <f t="shared" si="13"/>
        <v>42183.971931135398</v>
      </c>
      <c r="AL53" s="96">
        <f t="shared" si="13"/>
        <v>31164.082742644252</v>
      </c>
      <c r="AM53" s="96">
        <f t="shared" si="13"/>
        <v>-6361.9262109074698</v>
      </c>
      <c r="AN53" s="96"/>
      <c r="AO53" s="96"/>
      <c r="AP53" s="153"/>
    </row>
    <row r="54" spans="1:42" x14ac:dyDescent="0.2">
      <c r="A54" s="134">
        <f t="shared" si="9"/>
        <v>24</v>
      </c>
      <c r="B54" s="2" t="s">
        <v>67</v>
      </c>
      <c r="C54" s="2"/>
      <c r="D54" s="135"/>
      <c r="E54" s="38">
        <f>E52-E53</f>
        <v>1891107.2891529666</v>
      </c>
      <c r="F54" s="98">
        <f t="shared" ref="F54:AM54" si="14">F52-F53</f>
        <v>1648479.4682987421</v>
      </c>
      <c r="G54" s="98">
        <f t="shared" si="14"/>
        <v>1591170.2474012745</v>
      </c>
      <c r="H54" s="98">
        <f t="shared" si="14"/>
        <v>1535553.964524494</v>
      </c>
      <c r="I54" s="98">
        <f t="shared" si="14"/>
        <v>1480999.6647603214</v>
      </c>
      <c r="J54" s="98">
        <f t="shared" si="14"/>
        <v>1427428.0298679818</v>
      </c>
      <c r="K54" s="98">
        <f t="shared" si="14"/>
        <v>1374765.249817864</v>
      </c>
      <c r="L54" s="98">
        <f t="shared" si="14"/>
        <v>1322943.0227915223</v>
      </c>
      <c r="M54" s="98">
        <f t="shared" si="14"/>
        <v>1271590.0953564369</v>
      </c>
      <c r="N54" s="98">
        <f t="shared" si="14"/>
        <v>1220304.3680975637</v>
      </c>
      <c r="O54" s="98">
        <f t="shared" si="14"/>
        <v>1169018.6408386915</v>
      </c>
      <c r="P54" s="98">
        <f t="shared" si="14"/>
        <v>1117732.913579819</v>
      </c>
      <c r="Q54" s="98">
        <f t="shared" si="14"/>
        <v>1066447.1863209466</v>
      </c>
      <c r="R54" s="98">
        <f t="shared" si="14"/>
        <v>1015161.4590620737</v>
      </c>
      <c r="S54" s="98">
        <f t="shared" si="14"/>
        <v>963875.73180320114</v>
      </c>
      <c r="T54" s="98">
        <f t="shared" si="14"/>
        <v>912590.00454432843</v>
      </c>
      <c r="U54" s="98">
        <f t="shared" si="14"/>
        <v>861304.27728545596</v>
      </c>
      <c r="V54" s="98">
        <f t="shared" si="14"/>
        <v>810018.55002658325</v>
      </c>
      <c r="W54" s="98">
        <f t="shared" si="14"/>
        <v>758732.82276771066</v>
      </c>
      <c r="X54" s="98">
        <f t="shared" si="14"/>
        <v>707447.09550883819</v>
      </c>
      <c r="Y54" s="98">
        <f t="shared" si="14"/>
        <v>658619.13207178004</v>
      </c>
      <c r="Z54" s="98">
        <f t="shared" si="14"/>
        <v>614705.59463611804</v>
      </c>
      <c r="AA54" s="98">
        <f t="shared" si="14"/>
        <v>573249.82102227048</v>
      </c>
      <c r="AB54" s="98">
        <f t="shared" si="14"/>
        <v>531794.04740842304</v>
      </c>
      <c r="AC54" s="98">
        <f t="shared" si="14"/>
        <v>490338.27379457554</v>
      </c>
      <c r="AD54" s="98">
        <f t="shared" si="14"/>
        <v>448882.50018072804</v>
      </c>
      <c r="AE54" s="98">
        <f t="shared" si="14"/>
        <v>407426.72656688053</v>
      </c>
      <c r="AF54" s="98">
        <f t="shared" si="14"/>
        <v>365970.95295303303</v>
      </c>
      <c r="AG54" s="98">
        <f t="shared" si="14"/>
        <v>324515.17933918559</v>
      </c>
      <c r="AH54" s="98">
        <f t="shared" si="14"/>
        <v>283059.40572533809</v>
      </c>
      <c r="AI54" s="98">
        <f t="shared" si="14"/>
        <v>241603.63211149041</v>
      </c>
      <c r="AJ54" s="98">
        <f t="shared" si="14"/>
        <v>200147.85849764277</v>
      </c>
      <c r="AK54" s="98">
        <f t="shared" si="14"/>
        <v>158692.08488379509</v>
      </c>
      <c r="AL54" s="98">
        <f t="shared" si="14"/>
        <v>117236.31126994743</v>
      </c>
      <c r="AM54" s="98">
        <f t="shared" si="14"/>
        <v>-23932.960507699529</v>
      </c>
      <c r="AN54" s="98"/>
      <c r="AO54" s="98"/>
      <c r="AP54" s="153"/>
    </row>
    <row r="55" spans="1:42" x14ac:dyDescent="0.2">
      <c r="A55" s="134">
        <f t="shared" si="9"/>
        <v>25</v>
      </c>
      <c r="B55" s="2"/>
      <c r="C55" s="2"/>
      <c r="D55" s="135"/>
      <c r="E55" s="158"/>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row>
    <row r="56" spans="1:42" x14ac:dyDescent="0.2">
      <c r="A56" s="134">
        <f t="shared" si="9"/>
        <v>26</v>
      </c>
      <c r="B56" s="2"/>
      <c r="C56" s="2"/>
      <c r="D56" s="135"/>
      <c r="E56" s="84"/>
      <c r="F56" s="157"/>
      <c r="G56" s="157"/>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row>
    <row r="57" spans="1:42" x14ac:dyDescent="0.2">
      <c r="A57" s="134">
        <f t="shared" si="9"/>
        <v>27</v>
      </c>
      <c r="B57" s="2" t="s">
        <v>68</v>
      </c>
      <c r="C57" s="2"/>
      <c r="D57" s="135"/>
      <c r="E57" s="38">
        <f>E27</f>
        <v>1324091.9509619994</v>
      </c>
      <c r="F57" s="98">
        <f>F27</f>
        <v>1153783.3148320192</v>
      </c>
      <c r="G57" s="98">
        <f>G27</f>
        <v>1138300.7115474755</v>
      </c>
      <c r="H57" s="98">
        <f t="shared" ref="H57:AM57" si="15">H27</f>
        <v>1138300.7115474755</v>
      </c>
      <c r="I57" s="98">
        <f t="shared" si="15"/>
        <v>1138300.7115474755</v>
      </c>
      <c r="J57" s="98">
        <f t="shared" si="15"/>
        <v>1138300.7115474755</v>
      </c>
      <c r="K57" s="98">
        <f t="shared" si="15"/>
        <v>1138300.7115474755</v>
      </c>
      <c r="L57" s="98">
        <f t="shared" si="15"/>
        <v>1138300.7115474755</v>
      </c>
      <c r="M57" s="98">
        <f t="shared" si="15"/>
        <v>1138300.7115474755</v>
      </c>
      <c r="N57" s="98">
        <f t="shared" si="15"/>
        <v>1138300.7115474755</v>
      </c>
      <c r="O57" s="98">
        <f t="shared" si="15"/>
        <v>1138300.7115474755</v>
      </c>
      <c r="P57" s="98">
        <f t="shared" si="15"/>
        <v>1138300.7115474755</v>
      </c>
      <c r="Q57" s="98">
        <f t="shared" si="15"/>
        <v>1138300.7115474755</v>
      </c>
      <c r="R57" s="98">
        <f t="shared" si="15"/>
        <v>1138300.7115474755</v>
      </c>
      <c r="S57" s="98">
        <f t="shared" si="15"/>
        <v>1138300.7115474755</v>
      </c>
      <c r="T57" s="98">
        <f t="shared" si="15"/>
        <v>1138300.7115474755</v>
      </c>
      <c r="U57" s="98">
        <f t="shared" si="15"/>
        <v>1138300.7115474755</v>
      </c>
      <c r="V57" s="98">
        <f t="shared" si="15"/>
        <v>1138300.7115474755</v>
      </c>
      <c r="W57" s="98">
        <f t="shared" si="15"/>
        <v>1138300.7115474755</v>
      </c>
      <c r="X57" s="98">
        <f t="shared" si="15"/>
        <v>1138300.7115474755</v>
      </c>
      <c r="Y57" s="98">
        <f t="shared" si="15"/>
        <v>1138300.7115474755</v>
      </c>
      <c r="Z57" s="98">
        <f t="shared" si="15"/>
        <v>1138300.7115474755</v>
      </c>
      <c r="AA57" s="98">
        <f t="shared" si="15"/>
        <v>1138300.7115474755</v>
      </c>
      <c r="AB57" s="98">
        <f t="shared" si="15"/>
        <v>1138300.7115474755</v>
      </c>
      <c r="AC57" s="98">
        <f t="shared" si="15"/>
        <v>1138300.7115474755</v>
      </c>
      <c r="AD57" s="98">
        <f t="shared" si="15"/>
        <v>1138300.7115474755</v>
      </c>
      <c r="AE57" s="98">
        <f t="shared" si="15"/>
        <v>1138300.7115474755</v>
      </c>
      <c r="AF57" s="98">
        <f t="shared" si="15"/>
        <v>1138300.7115474755</v>
      </c>
      <c r="AG57" s="98">
        <f t="shared" si="15"/>
        <v>1138300.7115474755</v>
      </c>
      <c r="AH57" s="98">
        <f t="shared" si="15"/>
        <v>1138300.7115474755</v>
      </c>
      <c r="AI57" s="98">
        <f t="shared" si="15"/>
        <v>1138300.7115474755</v>
      </c>
      <c r="AJ57" s="98">
        <f t="shared" si="15"/>
        <v>1138300.7115474755</v>
      </c>
      <c r="AK57" s="98">
        <f t="shared" si="15"/>
        <v>1138300.7115474755</v>
      </c>
      <c r="AL57" s="98">
        <f t="shared" si="15"/>
        <v>1138300.7115474755</v>
      </c>
      <c r="AM57" s="98">
        <f t="shared" si="15"/>
        <v>6614206.0446867272</v>
      </c>
      <c r="AN57" s="98"/>
      <c r="AO57" s="98"/>
      <c r="AP57" s="153"/>
    </row>
    <row r="58" spans="1:42" x14ac:dyDescent="0.2">
      <c r="A58" s="134">
        <f t="shared" si="9"/>
        <v>28</v>
      </c>
      <c r="B58" s="2" t="s">
        <v>69</v>
      </c>
      <c r="C58" s="2"/>
      <c r="D58" s="135"/>
      <c r="E58" s="38">
        <f>$F22*E62</f>
        <v>23612308.99149999</v>
      </c>
      <c r="F58" s="38">
        <f>$F22*F62</f>
        <v>1642961.5287675993</v>
      </c>
      <c r="G58" s="98">
        <f t="shared" ref="G58:AM58" si="16">$F22*G62</f>
        <v>1519608.5507107992</v>
      </c>
      <c r="H58" s="98">
        <f t="shared" si="16"/>
        <v>1405814.2905107993</v>
      </c>
      <c r="I58" s="98">
        <f t="shared" si="16"/>
        <v>1300213.2170451994</v>
      </c>
      <c r="J58" s="98">
        <f t="shared" si="16"/>
        <v>1202805.3303139994</v>
      </c>
      <c r="K58" s="98">
        <f t="shared" si="16"/>
        <v>1112452.6877151993</v>
      </c>
      <c r="L58" s="98">
        <f t="shared" si="16"/>
        <v>1029155.2892487996</v>
      </c>
      <c r="M58" s="98">
        <f t="shared" si="16"/>
        <v>1015499.9780247995</v>
      </c>
      <c r="N58" s="98">
        <f t="shared" si="16"/>
        <v>1015272.3895043995</v>
      </c>
      <c r="O58" s="98">
        <f t="shared" si="16"/>
        <v>1015499.9780247995</v>
      </c>
      <c r="P58" s="98">
        <f t="shared" si="16"/>
        <v>1015272.3895043995</v>
      </c>
      <c r="Q58" s="98">
        <f t="shared" si="16"/>
        <v>1015499.9780247995</v>
      </c>
      <c r="R58" s="98">
        <f t="shared" si="16"/>
        <v>1015272.3895043995</v>
      </c>
      <c r="S58" s="98">
        <f t="shared" si="16"/>
        <v>1015499.9780247995</v>
      </c>
      <c r="T58" s="98">
        <f t="shared" si="16"/>
        <v>1015272.3895043995</v>
      </c>
      <c r="U58" s="98">
        <f t="shared" si="16"/>
        <v>1015499.9780247995</v>
      </c>
      <c r="V58" s="98">
        <f t="shared" si="16"/>
        <v>1015272.3895043995</v>
      </c>
      <c r="W58" s="98">
        <f t="shared" si="16"/>
        <v>1015499.9780247995</v>
      </c>
      <c r="X58" s="98">
        <f t="shared" si="16"/>
        <v>1015272.3895043995</v>
      </c>
      <c r="Y58" s="98">
        <f t="shared" si="16"/>
        <v>507749.98901239975</v>
      </c>
      <c r="Z58" s="98">
        <f t="shared" si="16"/>
        <v>0</v>
      </c>
      <c r="AA58" s="98">
        <f t="shared" si="16"/>
        <v>0</v>
      </c>
      <c r="AB58" s="98">
        <f t="shared" si="16"/>
        <v>0</v>
      </c>
      <c r="AC58" s="98">
        <f t="shared" si="16"/>
        <v>0</v>
      </c>
      <c r="AD58" s="98">
        <f t="shared" si="16"/>
        <v>0</v>
      </c>
      <c r="AE58" s="98">
        <f t="shared" si="16"/>
        <v>0</v>
      </c>
      <c r="AF58" s="98">
        <f t="shared" si="16"/>
        <v>0</v>
      </c>
      <c r="AG58" s="98">
        <f t="shared" si="16"/>
        <v>0</v>
      </c>
      <c r="AH58" s="98">
        <f t="shared" si="16"/>
        <v>0</v>
      </c>
      <c r="AI58" s="98">
        <f t="shared" si="16"/>
        <v>0</v>
      </c>
      <c r="AJ58" s="98">
        <f t="shared" si="16"/>
        <v>0</v>
      </c>
      <c r="AK58" s="98">
        <f t="shared" si="16"/>
        <v>0</v>
      </c>
      <c r="AL58" s="98">
        <f t="shared" si="16"/>
        <v>0</v>
      </c>
      <c r="AM58" s="98">
        <f t="shared" si="16"/>
        <v>0</v>
      </c>
      <c r="AN58" s="98"/>
      <c r="AO58" s="98"/>
      <c r="AP58" s="153"/>
    </row>
    <row r="59" spans="1:42" x14ac:dyDescent="0.2">
      <c r="A59" s="134">
        <f t="shared" si="9"/>
        <v>29</v>
      </c>
      <c r="B59" s="2" t="s">
        <v>70</v>
      </c>
      <c r="C59" s="2"/>
      <c r="D59" s="135"/>
      <c r="E59" s="38">
        <f>E58-E57</f>
        <v>22288217.040537991</v>
      </c>
      <c r="F59" s="98">
        <f>F58-F57</f>
        <v>489178.2139355801</v>
      </c>
      <c r="G59" s="98">
        <f>G58-G57</f>
        <v>381307.83916332363</v>
      </c>
      <c r="H59" s="98">
        <f t="shared" ref="H59:AM59" si="17">H58-H57</f>
        <v>267513.57896332373</v>
      </c>
      <c r="I59" s="98">
        <f t="shared" si="17"/>
        <v>161912.50549772382</v>
      </c>
      <c r="J59" s="98">
        <f t="shared" si="17"/>
        <v>64504.618766523898</v>
      </c>
      <c r="K59" s="98">
        <f t="shared" si="17"/>
        <v>-25848.023832276231</v>
      </c>
      <c r="L59" s="98">
        <f t="shared" si="17"/>
        <v>-109145.42229867599</v>
      </c>
      <c r="M59" s="98">
        <f t="shared" si="17"/>
        <v>-122800.73352267605</v>
      </c>
      <c r="N59" s="98">
        <f t="shared" si="17"/>
        <v>-123028.32204307604</v>
      </c>
      <c r="O59" s="98">
        <f t="shared" si="17"/>
        <v>-122800.73352267605</v>
      </c>
      <c r="P59" s="98">
        <f t="shared" si="17"/>
        <v>-123028.32204307604</v>
      </c>
      <c r="Q59" s="98">
        <f t="shared" si="17"/>
        <v>-122800.73352267605</v>
      </c>
      <c r="R59" s="98">
        <f t="shared" si="17"/>
        <v>-123028.32204307604</v>
      </c>
      <c r="S59" s="98">
        <f t="shared" si="17"/>
        <v>-122800.73352267605</v>
      </c>
      <c r="T59" s="98">
        <f t="shared" si="17"/>
        <v>-123028.32204307604</v>
      </c>
      <c r="U59" s="98">
        <f t="shared" si="17"/>
        <v>-122800.73352267605</v>
      </c>
      <c r="V59" s="98">
        <f t="shared" si="17"/>
        <v>-123028.32204307604</v>
      </c>
      <c r="W59" s="98">
        <f t="shared" si="17"/>
        <v>-122800.73352267605</v>
      </c>
      <c r="X59" s="98">
        <f t="shared" si="17"/>
        <v>-123028.32204307604</v>
      </c>
      <c r="Y59" s="98">
        <f t="shared" si="17"/>
        <v>-630550.72253507585</v>
      </c>
      <c r="Z59" s="98">
        <f t="shared" si="17"/>
        <v>-1138300.7115474755</v>
      </c>
      <c r="AA59" s="98">
        <f t="shared" si="17"/>
        <v>-1138300.7115474755</v>
      </c>
      <c r="AB59" s="98">
        <f t="shared" si="17"/>
        <v>-1138300.7115474755</v>
      </c>
      <c r="AC59" s="98">
        <f t="shared" si="17"/>
        <v>-1138300.7115474755</v>
      </c>
      <c r="AD59" s="98">
        <f t="shared" si="17"/>
        <v>-1138300.7115474755</v>
      </c>
      <c r="AE59" s="98">
        <f t="shared" si="17"/>
        <v>-1138300.7115474755</v>
      </c>
      <c r="AF59" s="98">
        <f t="shared" si="17"/>
        <v>-1138300.7115474755</v>
      </c>
      <c r="AG59" s="98">
        <f t="shared" si="17"/>
        <v>-1138300.7115474755</v>
      </c>
      <c r="AH59" s="98">
        <f t="shared" si="17"/>
        <v>-1138300.7115474755</v>
      </c>
      <c r="AI59" s="98">
        <f t="shared" si="17"/>
        <v>-1138300.7115474755</v>
      </c>
      <c r="AJ59" s="98">
        <f t="shared" si="17"/>
        <v>-1138300.7115474755</v>
      </c>
      <c r="AK59" s="98">
        <f t="shared" si="17"/>
        <v>-1138300.7115474755</v>
      </c>
      <c r="AL59" s="98">
        <f t="shared" si="17"/>
        <v>-1138300.7115474755</v>
      </c>
      <c r="AM59" s="98">
        <f t="shared" si="17"/>
        <v>-6614206.0446867272</v>
      </c>
      <c r="AN59" s="98"/>
      <c r="AO59" s="98"/>
      <c r="AP59" s="153"/>
    </row>
    <row r="60" spans="1:42" x14ac:dyDescent="0.2">
      <c r="A60" s="134">
        <f t="shared" si="9"/>
        <v>30</v>
      </c>
      <c r="B60" s="2" t="s">
        <v>71</v>
      </c>
      <c r="C60" s="2"/>
      <c r="D60" s="135"/>
      <c r="E60" s="38">
        <f>E59*J15</f>
        <v>7800875.9641882963</v>
      </c>
      <c r="F60" s="159">
        <f>$F$59*$F$15/12*10+$F$59*$J$15/12*2</f>
        <v>114141.58325163535</v>
      </c>
      <c r="G60" s="98">
        <f t="shared" ref="G60:AM60" si="18">G59*$F$15</f>
        <v>80074.646224297961</v>
      </c>
      <c r="H60" s="98">
        <f t="shared" si="18"/>
        <v>56177.851582297983</v>
      </c>
      <c r="I60" s="98">
        <f t="shared" si="18"/>
        <v>34001.626154522004</v>
      </c>
      <c r="J60" s="98">
        <f t="shared" si="18"/>
        <v>13545.969940970019</v>
      </c>
      <c r="K60" s="98">
        <f t="shared" si="18"/>
        <v>-5428.0850047780086</v>
      </c>
      <c r="L60" s="98">
        <f t="shared" si="18"/>
        <v>-22920.538682721955</v>
      </c>
      <c r="M60" s="98">
        <f t="shared" si="18"/>
        <v>-25788.154039761968</v>
      </c>
      <c r="N60" s="98">
        <f t="shared" si="18"/>
        <v>-25835.947629045968</v>
      </c>
      <c r="O60" s="98">
        <f t="shared" si="18"/>
        <v>-25788.154039761968</v>
      </c>
      <c r="P60" s="98">
        <f t="shared" si="18"/>
        <v>-25835.947629045968</v>
      </c>
      <c r="Q60" s="98">
        <f t="shared" si="18"/>
        <v>-25788.154039761968</v>
      </c>
      <c r="R60" s="98">
        <f t="shared" si="18"/>
        <v>-25835.947629045968</v>
      </c>
      <c r="S60" s="98">
        <f t="shared" si="18"/>
        <v>-25788.154039761968</v>
      </c>
      <c r="T60" s="98">
        <f t="shared" si="18"/>
        <v>-25835.947629045968</v>
      </c>
      <c r="U60" s="98">
        <f t="shared" si="18"/>
        <v>-25788.154039761968</v>
      </c>
      <c r="V60" s="98">
        <f t="shared" si="18"/>
        <v>-25835.947629045968</v>
      </c>
      <c r="W60" s="98">
        <f t="shared" si="18"/>
        <v>-25788.154039761968</v>
      </c>
      <c r="X60" s="98">
        <f t="shared" si="18"/>
        <v>-25835.947629045968</v>
      </c>
      <c r="Y60" s="98">
        <f t="shared" si="18"/>
        <v>-132415.65173236592</v>
      </c>
      <c r="Z60" s="98">
        <f t="shared" si="18"/>
        <v>-239043.14942496986</v>
      </c>
      <c r="AA60" s="98">
        <f t="shared" si="18"/>
        <v>-239043.14942496986</v>
      </c>
      <c r="AB60" s="98">
        <f t="shared" si="18"/>
        <v>-239043.14942496986</v>
      </c>
      <c r="AC60" s="98">
        <f t="shared" si="18"/>
        <v>-239043.14942496986</v>
      </c>
      <c r="AD60" s="98">
        <f t="shared" si="18"/>
        <v>-239043.14942496986</v>
      </c>
      <c r="AE60" s="98">
        <f t="shared" si="18"/>
        <v>-239043.14942496986</v>
      </c>
      <c r="AF60" s="98">
        <f t="shared" si="18"/>
        <v>-239043.14942496986</v>
      </c>
      <c r="AG60" s="98">
        <f t="shared" si="18"/>
        <v>-239043.14942496986</v>
      </c>
      <c r="AH60" s="98">
        <f t="shared" si="18"/>
        <v>-239043.14942496986</v>
      </c>
      <c r="AI60" s="98">
        <f t="shared" si="18"/>
        <v>-239043.14942496986</v>
      </c>
      <c r="AJ60" s="98">
        <f t="shared" si="18"/>
        <v>-239043.14942496986</v>
      </c>
      <c r="AK60" s="98">
        <f t="shared" si="18"/>
        <v>-239043.14942496986</v>
      </c>
      <c r="AL60" s="98">
        <f t="shared" si="18"/>
        <v>-239043.14942496986</v>
      </c>
      <c r="AM60" s="98">
        <f t="shared" si="18"/>
        <v>-1388983.2693842126</v>
      </c>
      <c r="AN60" s="98"/>
      <c r="AO60" s="98"/>
      <c r="AP60" s="153"/>
    </row>
    <row r="61" spans="1:42" x14ac:dyDescent="0.2">
      <c r="A61" s="134">
        <f t="shared" si="9"/>
        <v>31</v>
      </c>
      <c r="B61" s="2"/>
      <c r="C61" s="2"/>
      <c r="D61" s="135"/>
      <c r="E61" s="84"/>
      <c r="F61" s="157"/>
      <c r="G61" s="157"/>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35"/>
    </row>
    <row r="62" spans="1:42" s="50" customFormat="1" x14ac:dyDescent="0.2">
      <c r="A62" s="134">
        <f t="shared" si="9"/>
        <v>32</v>
      </c>
      <c r="B62" s="2" t="str">
        <f t="shared" ref="B62" si="19">IF($F$18=1,B66,B65)</f>
        <v>MACRS Depreciation - 20 year - Bonus</v>
      </c>
      <c r="C62" s="2"/>
      <c r="D62" s="47"/>
      <c r="E62" s="62">
        <f t="shared" ref="E62:Y62" si="20">IF($F$18=1,E66,E65)</f>
        <v>0.51875000000000004</v>
      </c>
      <c r="F62" s="58">
        <f t="shared" si="20"/>
        <v>3.6095000000000002E-2</v>
      </c>
      <c r="G62" s="58">
        <f t="shared" si="20"/>
        <v>3.3384999999999998E-2</v>
      </c>
      <c r="H62" s="61">
        <f t="shared" si="20"/>
        <v>3.0884999999999999E-2</v>
      </c>
      <c r="I62" s="61">
        <f t="shared" si="20"/>
        <v>2.8565E-2</v>
      </c>
      <c r="J62" s="61">
        <f t="shared" si="20"/>
        <v>2.6425000000000001E-2</v>
      </c>
      <c r="K62" s="61">
        <f t="shared" si="20"/>
        <v>2.444E-2</v>
      </c>
      <c r="L62" s="61">
        <f t="shared" si="20"/>
        <v>2.2610000000000002E-2</v>
      </c>
      <c r="M62" s="61">
        <f t="shared" si="20"/>
        <v>2.231E-2</v>
      </c>
      <c r="N62" s="61">
        <f t="shared" si="20"/>
        <v>2.2305000000000002E-2</v>
      </c>
      <c r="O62" s="61">
        <f t="shared" si="20"/>
        <v>2.231E-2</v>
      </c>
      <c r="P62" s="61">
        <f t="shared" si="20"/>
        <v>2.2305000000000002E-2</v>
      </c>
      <c r="Q62" s="61">
        <f t="shared" si="20"/>
        <v>2.231E-2</v>
      </c>
      <c r="R62" s="61">
        <f t="shared" si="20"/>
        <v>2.2305000000000002E-2</v>
      </c>
      <c r="S62" s="61">
        <f t="shared" si="20"/>
        <v>2.231E-2</v>
      </c>
      <c r="T62" s="61">
        <f t="shared" si="20"/>
        <v>2.2305000000000002E-2</v>
      </c>
      <c r="U62" s="61">
        <f t="shared" si="20"/>
        <v>2.231E-2</v>
      </c>
      <c r="V62" s="61">
        <f t="shared" si="20"/>
        <v>2.2305000000000002E-2</v>
      </c>
      <c r="W62" s="61">
        <f t="shared" si="20"/>
        <v>2.231E-2</v>
      </c>
      <c r="X62" s="61">
        <f t="shared" si="20"/>
        <v>2.2305000000000002E-2</v>
      </c>
      <c r="Y62" s="61">
        <f t="shared" si="20"/>
        <v>1.1155E-2</v>
      </c>
      <c r="Z62" s="48"/>
      <c r="AA62" s="48"/>
      <c r="AB62" s="48"/>
      <c r="AC62" s="48"/>
      <c r="AD62" s="48"/>
      <c r="AE62" s="48"/>
      <c r="AF62" s="48"/>
      <c r="AG62" s="48"/>
      <c r="AH62" s="48"/>
      <c r="AI62" s="48"/>
      <c r="AJ62" s="48"/>
      <c r="AK62" s="48"/>
      <c r="AL62" s="48"/>
      <c r="AM62" s="48"/>
      <c r="AN62" s="48"/>
      <c r="AO62" s="48"/>
      <c r="AP62" s="47"/>
    </row>
    <row r="63" spans="1:42" outlineLevel="1" x14ac:dyDescent="0.25">
      <c r="A63" s="134">
        <f t="shared" si="9"/>
        <v>33</v>
      </c>
      <c r="B63" s="2"/>
      <c r="C63" s="160"/>
      <c r="E63" s="161"/>
      <c r="F63" s="162"/>
      <c r="G63" s="162"/>
      <c r="H63" s="162"/>
      <c r="I63" s="162"/>
      <c r="J63" s="162"/>
      <c r="K63" s="162"/>
      <c r="L63" s="162"/>
      <c r="M63" s="163"/>
      <c r="N63" s="163"/>
      <c r="O63" s="163"/>
      <c r="P63" s="163"/>
      <c r="Q63" s="163"/>
      <c r="R63" s="163"/>
      <c r="S63" s="163"/>
      <c r="T63" s="163"/>
      <c r="U63" s="163"/>
      <c r="V63" s="163"/>
      <c r="W63" s="163"/>
      <c r="X63" s="163"/>
      <c r="Y63" s="163"/>
      <c r="Z63" s="135"/>
      <c r="AA63" s="135"/>
      <c r="AB63" s="135"/>
      <c r="AC63" s="135"/>
      <c r="AD63" s="135"/>
      <c r="AE63" s="135"/>
      <c r="AF63" s="135"/>
      <c r="AG63" s="135"/>
      <c r="AH63" s="135"/>
      <c r="AI63" s="135"/>
      <c r="AJ63" s="135"/>
      <c r="AK63" s="135"/>
      <c r="AL63" s="135"/>
      <c r="AM63" s="135"/>
      <c r="AN63" s="135"/>
      <c r="AO63" s="3"/>
    </row>
    <row r="64" spans="1:42" outlineLevel="1" x14ac:dyDescent="0.25">
      <c r="A64" s="134">
        <f t="shared" si="9"/>
        <v>34</v>
      </c>
      <c r="B64" s="2"/>
      <c r="C64" s="160"/>
      <c r="E64" s="161"/>
      <c r="F64" s="162"/>
      <c r="G64" s="162"/>
      <c r="H64" s="162"/>
      <c r="I64" s="162"/>
      <c r="J64" s="162"/>
      <c r="K64" s="162"/>
      <c r="L64" s="162"/>
      <c r="M64" s="163"/>
      <c r="N64" s="163"/>
      <c r="O64" s="163"/>
      <c r="P64" s="163"/>
      <c r="Q64" s="163"/>
      <c r="R64" s="163"/>
      <c r="S64" s="163"/>
      <c r="T64" s="163"/>
      <c r="U64" s="163"/>
      <c r="V64" s="163"/>
      <c r="W64" s="163"/>
      <c r="X64" s="163"/>
      <c r="Y64" s="163"/>
      <c r="Z64" s="135"/>
      <c r="AA64" s="135"/>
      <c r="AB64" s="135"/>
      <c r="AC64" s="135"/>
      <c r="AD64" s="135"/>
      <c r="AE64" s="135"/>
      <c r="AF64" s="135"/>
      <c r="AG64" s="135"/>
      <c r="AH64" s="135"/>
      <c r="AI64" s="135"/>
      <c r="AJ64" s="135"/>
      <c r="AK64" s="135"/>
      <c r="AL64" s="135"/>
      <c r="AM64" s="135"/>
      <c r="AN64" s="135"/>
      <c r="AO64" s="3"/>
    </row>
    <row r="65" spans="1:42" s="50" customFormat="1" x14ac:dyDescent="0.25">
      <c r="A65" s="134">
        <f t="shared" si="9"/>
        <v>35</v>
      </c>
      <c r="B65" s="2" t="s">
        <v>72</v>
      </c>
      <c r="C65" s="2"/>
      <c r="D65" s="51">
        <v>0</v>
      </c>
      <c r="E65" s="59">
        <v>3.7499999999999999E-2</v>
      </c>
      <c r="F65" s="58">
        <v>7.2190000000000004E-2</v>
      </c>
      <c r="G65" s="58">
        <v>6.6769999999999996E-2</v>
      </c>
      <c r="H65" s="60">
        <v>6.1769999999999999E-2</v>
      </c>
      <c r="I65" s="60">
        <v>5.713E-2</v>
      </c>
      <c r="J65" s="60">
        <v>5.2850000000000001E-2</v>
      </c>
      <c r="K65" s="60">
        <v>4.888E-2</v>
      </c>
      <c r="L65" s="60">
        <v>4.5220000000000003E-2</v>
      </c>
      <c r="M65" s="60">
        <v>4.462E-2</v>
      </c>
      <c r="N65" s="60">
        <v>4.4610000000000004E-2</v>
      </c>
      <c r="O65" s="60">
        <v>4.462E-2</v>
      </c>
      <c r="P65" s="60">
        <v>4.4610000000000004E-2</v>
      </c>
      <c r="Q65" s="60">
        <v>4.462E-2</v>
      </c>
      <c r="R65" s="60">
        <v>4.4610000000000004E-2</v>
      </c>
      <c r="S65" s="60">
        <v>4.462E-2</v>
      </c>
      <c r="T65" s="60">
        <v>4.4610000000000004E-2</v>
      </c>
      <c r="U65" s="60">
        <v>4.462E-2</v>
      </c>
      <c r="V65" s="60">
        <v>4.4610000000000004E-2</v>
      </c>
      <c r="W65" s="60">
        <v>4.462E-2</v>
      </c>
      <c r="X65" s="60">
        <v>4.4610000000000004E-2</v>
      </c>
      <c r="Y65" s="60">
        <v>2.231E-2</v>
      </c>
      <c r="Z65" s="52"/>
      <c r="AA65" s="48"/>
      <c r="AB65" s="48"/>
      <c r="AC65" s="48"/>
      <c r="AD65" s="48"/>
      <c r="AE65" s="48"/>
      <c r="AF65" s="48"/>
      <c r="AG65" s="48"/>
      <c r="AH65" s="48"/>
      <c r="AI65" s="48"/>
      <c r="AJ65" s="48"/>
      <c r="AK65" s="48"/>
      <c r="AL65" s="48"/>
      <c r="AM65" s="48"/>
      <c r="AN65" s="47"/>
      <c r="AP65" s="53"/>
    </row>
    <row r="66" spans="1:42" x14ac:dyDescent="0.2">
      <c r="A66" s="134">
        <f t="shared" si="9"/>
        <v>36</v>
      </c>
      <c r="B66" s="2" t="s">
        <v>73</v>
      </c>
      <c r="C66" s="2"/>
      <c r="D66" s="51">
        <v>0</v>
      </c>
      <c r="E66" s="59">
        <v>0.51875000000000004</v>
      </c>
      <c r="F66" s="58">
        <v>3.6095000000000002E-2</v>
      </c>
      <c r="G66" s="58">
        <v>3.3384999999999998E-2</v>
      </c>
      <c r="H66" s="61">
        <v>3.0884999999999999E-2</v>
      </c>
      <c r="I66" s="61">
        <v>2.8565E-2</v>
      </c>
      <c r="J66" s="61">
        <v>2.6425000000000001E-2</v>
      </c>
      <c r="K66" s="61">
        <v>2.444E-2</v>
      </c>
      <c r="L66" s="61">
        <v>2.2610000000000002E-2</v>
      </c>
      <c r="M66" s="61">
        <v>2.231E-2</v>
      </c>
      <c r="N66" s="61">
        <v>2.2305000000000002E-2</v>
      </c>
      <c r="O66" s="61">
        <v>2.231E-2</v>
      </c>
      <c r="P66" s="61">
        <v>2.2305000000000002E-2</v>
      </c>
      <c r="Q66" s="61">
        <v>2.231E-2</v>
      </c>
      <c r="R66" s="61">
        <v>2.2305000000000002E-2</v>
      </c>
      <c r="S66" s="61">
        <v>2.231E-2</v>
      </c>
      <c r="T66" s="61">
        <v>2.2305000000000002E-2</v>
      </c>
      <c r="U66" s="61">
        <v>2.231E-2</v>
      </c>
      <c r="V66" s="61">
        <v>2.2305000000000002E-2</v>
      </c>
      <c r="W66" s="61">
        <v>2.231E-2</v>
      </c>
      <c r="X66" s="61">
        <v>2.2305000000000002E-2</v>
      </c>
      <c r="Y66" s="61">
        <v>1.1155E-2</v>
      </c>
      <c r="Z66" s="49"/>
      <c r="AA66" s="49"/>
      <c r="AB66" s="54"/>
      <c r="AC66" s="54"/>
      <c r="AD66" s="54"/>
      <c r="AE66" s="54"/>
      <c r="AF66" s="54"/>
      <c r="AG66" s="54"/>
      <c r="AH66" s="54"/>
      <c r="AI66" s="54"/>
      <c r="AJ66" s="54"/>
      <c r="AK66" s="54"/>
      <c r="AL66" s="54"/>
      <c r="AM66" s="54"/>
      <c r="AN66" s="135"/>
      <c r="AO66" s="3"/>
      <c r="AP66" s="53">
        <f>SUM(D66:AO66)</f>
        <v>1.0000000000000004</v>
      </c>
    </row>
    <row r="69" spans="1:42" x14ac:dyDescent="0.25">
      <c r="B69" s="55"/>
    </row>
    <row r="74" spans="1:42" x14ac:dyDescent="0.2">
      <c r="F74" s="164"/>
    </row>
    <row r="75" spans="1:42" x14ac:dyDescent="0.2">
      <c r="F75" s="164"/>
    </row>
    <row r="76" spans="1:42" x14ac:dyDescent="0.2">
      <c r="F76" s="164"/>
    </row>
    <row r="77" spans="1:42" x14ac:dyDescent="0.2">
      <c r="F77" s="164"/>
    </row>
    <row r="78" spans="1:42" x14ac:dyDescent="0.2">
      <c r="F78" s="164"/>
    </row>
    <row r="79" spans="1:42" x14ac:dyDescent="0.2">
      <c r="F79" s="164"/>
    </row>
    <row r="80" spans="1:42" x14ac:dyDescent="0.2">
      <c r="F80" s="164"/>
    </row>
    <row r="81" spans="6:6" x14ac:dyDescent="0.2">
      <c r="F81" s="164"/>
    </row>
    <row r="82" spans="6:6" x14ac:dyDescent="0.2">
      <c r="F82" s="164"/>
    </row>
    <row r="83" spans="6:6" x14ac:dyDescent="0.2">
      <c r="F83" s="164"/>
    </row>
    <row r="84" spans="6:6" x14ac:dyDescent="0.2">
      <c r="F84" s="164"/>
    </row>
    <row r="85" spans="6:6" x14ac:dyDescent="0.2">
      <c r="F85" s="164"/>
    </row>
    <row r="86" spans="6:6" x14ac:dyDescent="0.2">
      <c r="F86" s="164"/>
    </row>
    <row r="87" spans="6:6" x14ac:dyDescent="0.2">
      <c r="F87" s="164"/>
    </row>
    <row r="88" spans="6:6" x14ac:dyDescent="0.2">
      <c r="F88" s="164"/>
    </row>
    <row r="89" spans="6:6" x14ac:dyDescent="0.2">
      <c r="F89" s="164"/>
    </row>
    <row r="90" spans="6:6" x14ac:dyDescent="0.2">
      <c r="F90" s="164"/>
    </row>
    <row r="91" spans="6:6" x14ac:dyDescent="0.2">
      <c r="F91" s="164"/>
    </row>
    <row r="92" spans="6:6" x14ac:dyDescent="0.2">
      <c r="F92" s="164"/>
    </row>
    <row r="93" spans="6:6" x14ac:dyDescent="0.2">
      <c r="F93" s="164"/>
    </row>
    <row r="94" spans="6:6" x14ac:dyDescent="0.2">
      <c r="F94" s="164"/>
    </row>
    <row r="95" spans="6:6" x14ac:dyDescent="0.2">
      <c r="F95" s="164"/>
    </row>
    <row r="96" spans="6:6" x14ac:dyDescent="0.2">
      <c r="F96" s="164"/>
    </row>
    <row r="97" spans="6:6" x14ac:dyDescent="0.2">
      <c r="F97" s="164"/>
    </row>
    <row r="98" spans="6:6" x14ac:dyDescent="0.2">
      <c r="F98" s="164"/>
    </row>
    <row r="99" spans="6:6" x14ac:dyDescent="0.2">
      <c r="F99" s="164"/>
    </row>
    <row r="100" spans="6:6" x14ac:dyDescent="0.2">
      <c r="F100" s="164"/>
    </row>
    <row r="101" spans="6:6" x14ac:dyDescent="0.2">
      <c r="F101" s="164"/>
    </row>
    <row r="102" spans="6:6" x14ac:dyDescent="0.2">
      <c r="F102" s="164"/>
    </row>
    <row r="103" spans="6:6" x14ac:dyDescent="0.2">
      <c r="F103" s="164"/>
    </row>
    <row r="104" spans="6:6" x14ac:dyDescent="0.2">
      <c r="F104" s="164"/>
    </row>
    <row r="105" spans="6:6" x14ac:dyDescent="0.2">
      <c r="F105" s="164"/>
    </row>
    <row r="106" spans="6:6" x14ac:dyDescent="0.2">
      <c r="F106" s="164"/>
    </row>
    <row r="107" spans="6:6" x14ac:dyDescent="0.2">
      <c r="F107" s="164"/>
    </row>
    <row r="108" spans="6:6" x14ac:dyDescent="0.2">
      <c r="F108" s="164"/>
    </row>
    <row r="109" spans="6:6" x14ac:dyDescent="0.2">
      <c r="F109" s="164"/>
    </row>
  </sheetData>
  <mergeCells count="1">
    <mergeCell ref="E1:F1"/>
  </mergeCells>
  <printOptions horizontalCentered="1"/>
  <pageMargins left="0.75" right="0.5" top="0.5" bottom="0.5" header="0.5" footer="0.25"/>
  <pageSetup scale="17" orientation="portrait" blackAndWhite="1"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zoomScaleNormal="100" workbookViewId="0">
      <selection activeCell="P33" sqref="P33"/>
    </sheetView>
  </sheetViews>
  <sheetFormatPr defaultColWidth="9.28515625" defaultRowHeight="12.75" x14ac:dyDescent="0.2"/>
  <cols>
    <col min="1" max="1" width="3.5703125" style="65" customWidth="1"/>
    <col min="2" max="2" width="8.7109375" style="65" customWidth="1"/>
    <col min="3" max="3" width="63" style="65" bestFit="1" customWidth="1"/>
    <col min="4" max="4" width="4.42578125" style="65" customWidth="1"/>
    <col min="5" max="16384" width="9.28515625" style="65"/>
  </cols>
  <sheetData>
    <row r="3" spans="2:6" ht="13.5" thickBot="1" x14ac:dyDescent="0.25"/>
    <row r="4" spans="2:6" ht="13.5" thickBot="1" x14ac:dyDescent="0.25">
      <c r="B4" s="63"/>
      <c r="C4" s="63"/>
      <c r="D4" s="63"/>
      <c r="E4" s="63"/>
      <c r="F4" s="66" t="s">
        <v>115</v>
      </c>
    </row>
    <row r="5" spans="2:6" x14ac:dyDescent="0.2">
      <c r="C5" s="511" t="s">
        <v>116</v>
      </c>
      <c r="D5" s="511"/>
      <c r="E5" s="511"/>
      <c r="F5" s="511"/>
    </row>
    <row r="6" spans="2:6" x14ac:dyDescent="0.2">
      <c r="B6" s="67"/>
      <c r="C6" s="512" t="s">
        <v>119</v>
      </c>
      <c r="D6" s="512"/>
      <c r="E6" s="512"/>
      <c r="F6" s="512"/>
    </row>
    <row r="7" spans="2:6" x14ac:dyDescent="0.2">
      <c r="B7" s="68"/>
      <c r="C7" s="513" t="s">
        <v>117</v>
      </c>
      <c r="D7" s="513"/>
      <c r="E7" s="513"/>
      <c r="F7" s="513"/>
    </row>
    <row r="8" spans="2:6" x14ac:dyDescent="0.2">
      <c r="B8" s="68"/>
      <c r="C8" s="513"/>
      <c r="D8" s="513"/>
      <c r="E8" s="513"/>
      <c r="F8" s="513"/>
    </row>
    <row r="9" spans="2:6" x14ac:dyDescent="0.2">
      <c r="B9" s="63"/>
      <c r="C9" s="63"/>
      <c r="D9" s="63"/>
      <c r="E9" s="63"/>
      <c r="F9" s="63"/>
    </row>
    <row r="10" spans="2:6" x14ac:dyDescent="0.2">
      <c r="B10" s="114" t="s">
        <v>91</v>
      </c>
      <c r="C10" s="63"/>
      <c r="D10" s="63"/>
      <c r="E10" s="63"/>
      <c r="F10" s="63"/>
    </row>
    <row r="11" spans="2:6" x14ac:dyDescent="0.2">
      <c r="B11" s="69" t="s">
        <v>92</v>
      </c>
      <c r="C11" s="70" t="s">
        <v>93</v>
      </c>
      <c r="D11" s="71"/>
      <c r="E11" s="71"/>
      <c r="F11" s="72" t="s">
        <v>94</v>
      </c>
    </row>
    <row r="12" spans="2:6" x14ac:dyDescent="0.2">
      <c r="B12" s="64"/>
      <c r="C12" s="64"/>
      <c r="D12" s="64"/>
      <c r="E12" s="64"/>
      <c r="F12" s="73"/>
    </row>
    <row r="13" spans="2:6" x14ac:dyDescent="0.2">
      <c r="B13" s="73">
        <v>1</v>
      </c>
      <c r="C13" s="74" t="s">
        <v>95</v>
      </c>
      <c r="D13" s="64"/>
      <c r="E13" s="64"/>
      <c r="F13" s="75">
        <v>5.1399999999999996E-3</v>
      </c>
    </row>
    <row r="14" spans="2:6" x14ac:dyDescent="0.2">
      <c r="B14" s="73">
        <v>2</v>
      </c>
      <c r="C14" s="74" t="s">
        <v>96</v>
      </c>
      <c r="D14" s="64"/>
      <c r="E14" s="64"/>
      <c r="F14" s="75">
        <v>2E-3</v>
      </c>
    </row>
    <row r="15" spans="2:6" x14ac:dyDescent="0.2">
      <c r="B15" s="73">
        <v>3</v>
      </c>
      <c r="C15" s="74" t="s">
        <v>118</v>
      </c>
      <c r="D15" s="64"/>
      <c r="E15" s="76">
        <v>3.8519999999999999E-2</v>
      </c>
      <c r="F15" s="77">
        <v>3.8322000000000002E-2</v>
      </c>
    </row>
    <row r="16" spans="2:6" x14ac:dyDescent="0.2">
      <c r="B16" s="73">
        <v>4</v>
      </c>
      <c r="C16" s="74"/>
      <c r="D16" s="64"/>
      <c r="E16" s="64"/>
      <c r="F16" s="78"/>
    </row>
    <row r="17" spans="1:6" x14ac:dyDescent="0.2">
      <c r="B17" s="73">
        <v>5</v>
      </c>
      <c r="C17" s="74" t="s">
        <v>97</v>
      </c>
      <c r="D17" s="64"/>
      <c r="E17" s="64"/>
      <c r="F17" s="75">
        <v>4.5462000000000002E-2</v>
      </c>
    </row>
    <row r="18" spans="1:6" x14ac:dyDescent="0.2">
      <c r="B18" s="73">
        <v>6</v>
      </c>
      <c r="C18" s="64"/>
      <c r="D18" s="64"/>
      <c r="E18" s="64"/>
      <c r="F18" s="75"/>
    </row>
    <row r="19" spans="1:6" x14ac:dyDescent="0.2">
      <c r="A19" s="79"/>
      <c r="B19" s="73">
        <v>7</v>
      </c>
      <c r="C19" s="64" t="s">
        <v>98</v>
      </c>
      <c r="D19" s="64"/>
      <c r="E19" s="64"/>
      <c r="F19" s="75">
        <v>0.954538</v>
      </c>
    </row>
    <row r="20" spans="1:6" x14ac:dyDescent="0.2">
      <c r="B20" s="73">
        <v>8</v>
      </c>
      <c r="C20" s="74" t="s">
        <v>99</v>
      </c>
      <c r="D20" s="64"/>
      <c r="E20" s="80">
        <v>0.35</v>
      </c>
      <c r="F20" s="75">
        <v>0.334088</v>
      </c>
    </row>
    <row r="21" spans="1:6" x14ac:dyDescent="0.2">
      <c r="B21" s="73">
        <v>9</v>
      </c>
      <c r="C21" s="74" t="s">
        <v>100</v>
      </c>
      <c r="D21" s="64"/>
      <c r="E21" s="64"/>
      <c r="F21" s="81">
        <v>0.62044999999999995</v>
      </c>
    </row>
  </sheetData>
  <mergeCells count="4">
    <mergeCell ref="C5:F5"/>
    <mergeCell ref="C6:F6"/>
    <mergeCell ref="C7:F7"/>
    <mergeCell ref="C8:F8"/>
  </mergeCells>
  <printOptions horizontalCentered="1"/>
  <pageMargins left="0.68" right="0.56000000000000005" top="1" bottom="1" header="0.5" footer="0.5"/>
  <pageSetup scale="96" orientation="portrait"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J16" sqref="J16"/>
    </sheetView>
  </sheetViews>
  <sheetFormatPr defaultRowHeight="12.75" x14ac:dyDescent="0.2"/>
  <cols>
    <col min="1" max="1" width="5.42578125" customWidth="1"/>
    <col min="2" max="2" width="49.7109375" bestFit="1" customWidth="1"/>
    <col min="5" max="5" width="18.7109375" customWidth="1"/>
    <col min="6" max="6" width="5" bestFit="1" customWidth="1"/>
    <col min="7" max="7" width="75.42578125" bestFit="1" customWidth="1"/>
    <col min="9" max="9" width="8.42578125" bestFit="1" customWidth="1"/>
    <col min="10" max="10" width="9.5703125" bestFit="1" customWidth="1"/>
  </cols>
  <sheetData>
    <row r="1" spans="1:10" ht="15" x14ac:dyDescent="0.25">
      <c r="A1" s="191" t="s">
        <v>170</v>
      </c>
      <c r="B1" s="166"/>
      <c r="C1" s="166"/>
      <c r="D1" s="167" t="s">
        <v>150</v>
      </c>
      <c r="E1" s="168"/>
      <c r="F1" s="191" t="s">
        <v>170</v>
      </c>
      <c r="G1" s="166"/>
      <c r="H1" s="166"/>
      <c r="I1" s="167" t="s">
        <v>151</v>
      </c>
      <c r="J1" s="168"/>
    </row>
    <row r="2" spans="1:10" ht="15" x14ac:dyDescent="0.25">
      <c r="A2" s="169" t="s">
        <v>152</v>
      </c>
      <c r="B2" s="169"/>
      <c r="C2" s="169"/>
      <c r="D2" s="169"/>
      <c r="E2" s="169"/>
      <c r="F2" s="169" t="s">
        <v>152</v>
      </c>
      <c r="G2" s="169"/>
      <c r="H2" s="170"/>
      <c r="I2" s="170"/>
      <c r="J2" s="170"/>
    </row>
    <row r="3" spans="1:10" ht="15" x14ac:dyDescent="0.25">
      <c r="A3" s="169" t="s">
        <v>153</v>
      </c>
      <c r="B3" s="169"/>
      <c r="C3" s="169"/>
      <c r="D3" s="169"/>
      <c r="E3" s="169"/>
      <c r="F3" s="169" t="s">
        <v>153</v>
      </c>
      <c r="G3" s="169"/>
      <c r="H3" s="170"/>
      <c r="I3" s="170"/>
      <c r="J3" s="170"/>
    </row>
    <row r="4" spans="1:10" ht="15" x14ac:dyDescent="0.25">
      <c r="A4" s="169" t="s">
        <v>154</v>
      </c>
      <c r="B4" s="169"/>
      <c r="C4" s="169"/>
      <c r="D4" s="169"/>
      <c r="E4" s="169"/>
      <c r="F4" s="169" t="s">
        <v>154</v>
      </c>
      <c r="G4" s="169"/>
      <c r="H4" s="170"/>
      <c r="I4" s="170"/>
      <c r="J4" s="170"/>
    </row>
    <row r="5" spans="1:10" ht="15" x14ac:dyDescent="0.25">
      <c r="A5" s="169" t="s">
        <v>155</v>
      </c>
      <c r="B5" s="169"/>
      <c r="C5" s="169"/>
      <c r="D5" s="169"/>
      <c r="E5" s="169"/>
      <c r="F5" s="169" t="s">
        <v>155</v>
      </c>
      <c r="G5" s="169"/>
      <c r="H5" s="170"/>
      <c r="I5" s="170"/>
      <c r="J5" s="170"/>
    </row>
    <row r="6" spans="1:10" ht="14.25" x14ac:dyDescent="0.2">
      <c r="A6" s="169" t="s">
        <v>156</v>
      </c>
      <c r="B6" s="169"/>
      <c r="C6" s="169"/>
      <c r="D6" s="169"/>
      <c r="E6" s="169"/>
      <c r="F6" s="169" t="s">
        <v>157</v>
      </c>
      <c r="G6" s="169"/>
      <c r="H6" s="169"/>
      <c r="I6" s="169"/>
      <c r="J6" s="169"/>
    </row>
    <row r="7" spans="1:10" ht="15" x14ac:dyDescent="0.25">
      <c r="A7" s="166"/>
      <c r="B7" s="170"/>
      <c r="C7" s="170"/>
      <c r="D7" s="170"/>
      <c r="E7" s="170"/>
      <c r="F7" s="170"/>
      <c r="G7" s="170"/>
      <c r="H7" s="170"/>
      <c r="I7" s="170"/>
      <c r="J7" s="170"/>
    </row>
    <row r="8" spans="1:10" ht="15" x14ac:dyDescent="0.25">
      <c r="A8" s="166"/>
      <c r="B8" s="166"/>
      <c r="C8" s="166"/>
      <c r="D8" s="166"/>
      <c r="E8" s="166"/>
      <c r="F8" s="170"/>
      <c r="G8" s="170"/>
      <c r="H8" s="170"/>
      <c r="I8" s="170"/>
      <c r="J8" s="166"/>
    </row>
    <row r="9" spans="1:10" x14ac:dyDescent="0.2">
      <c r="A9" s="171" t="s">
        <v>91</v>
      </c>
      <c r="B9" s="171"/>
      <c r="C9" s="172" t="s">
        <v>132</v>
      </c>
      <c r="D9" s="173"/>
      <c r="E9" s="172" t="s">
        <v>158</v>
      </c>
      <c r="F9" s="171" t="s">
        <v>91</v>
      </c>
      <c r="G9" s="171"/>
      <c r="H9" s="171"/>
      <c r="I9" s="173"/>
      <c r="J9" s="173"/>
    </row>
    <row r="10" spans="1:10" x14ac:dyDescent="0.2">
      <c r="A10" s="174" t="s">
        <v>92</v>
      </c>
      <c r="B10" s="174" t="s">
        <v>93</v>
      </c>
      <c r="C10" s="175" t="s">
        <v>159</v>
      </c>
      <c r="D10" s="175" t="s">
        <v>160</v>
      </c>
      <c r="E10" s="175" t="s">
        <v>160</v>
      </c>
      <c r="F10" s="174" t="s">
        <v>92</v>
      </c>
      <c r="G10" s="174" t="s">
        <v>93</v>
      </c>
      <c r="H10" s="174"/>
      <c r="I10" s="176"/>
      <c r="J10" s="176"/>
    </row>
    <row r="11" spans="1:10" ht="15" x14ac:dyDescent="0.25">
      <c r="A11" s="166"/>
      <c r="B11" s="166"/>
      <c r="C11" s="166"/>
      <c r="D11" s="166"/>
      <c r="E11" s="166"/>
      <c r="F11" s="166"/>
      <c r="G11" s="166"/>
      <c r="H11" s="166"/>
      <c r="I11" s="166"/>
      <c r="J11" s="166"/>
    </row>
    <row r="12" spans="1:10" ht="15" x14ac:dyDescent="0.25">
      <c r="A12" s="177">
        <v>1</v>
      </c>
      <c r="B12" s="178" t="s">
        <v>161</v>
      </c>
      <c r="C12" s="179">
        <v>0.51500000000000001</v>
      </c>
      <c r="D12" s="179">
        <v>5.4951456310679617E-2</v>
      </c>
      <c r="E12" s="179">
        <v>2.8299999999999999E-2</v>
      </c>
      <c r="F12" s="177">
        <v>1</v>
      </c>
      <c r="G12" s="180" t="s">
        <v>95</v>
      </c>
      <c r="H12" s="178"/>
      <c r="I12" s="178"/>
      <c r="J12" s="181">
        <v>5.1240000000000001E-3</v>
      </c>
    </row>
    <row r="13" spans="1:10" ht="15" x14ac:dyDescent="0.25">
      <c r="A13" s="177">
        <v>2</v>
      </c>
      <c r="B13" s="178" t="s">
        <v>162</v>
      </c>
      <c r="C13" s="179">
        <v>0.48499999999999999</v>
      </c>
      <c r="D13" s="179">
        <v>9.4E-2</v>
      </c>
      <c r="E13" s="179">
        <v>4.5600000000000002E-2</v>
      </c>
      <c r="F13" s="177">
        <v>2</v>
      </c>
      <c r="G13" s="180" t="s">
        <v>96</v>
      </c>
      <c r="H13" s="178"/>
      <c r="I13" s="178"/>
      <c r="J13" s="181">
        <v>2E-3</v>
      </c>
    </row>
    <row r="14" spans="1:10" ht="15" x14ac:dyDescent="0.25">
      <c r="A14" s="177">
        <v>3</v>
      </c>
      <c r="B14" s="178" t="s">
        <v>163</v>
      </c>
      <c r="C14" s="182">
        <v>1</v>
      </c>
      <c r="D14" s="183"/>
      <c r="E14" s="193">
        <v>7.3899999999999993E-2</v>
      </c>
      <c r="F14" s="177">
        <v>3</v>
      </c>
      <c r="G14" s="180" t="s">
        <v>164</v>
      </c>
      <c r="H14" s="166"/>
      <c r="I14" s="184">
        <v>3.8519999999999999E-2</v>
      </c>
      <c r="J14" s="185">
        <v>3.8323000000000003E-2</v>
      </c>
    </row>
    <row r="15" spans="1:10" ht="15" x14ac:dyDescent="0.25">
      <c r="A15" s="177">
        <v>4</v>
      </c>
      <c r="B15" s="178"/>
      <c r="C15" s="166"/>
      <c r="D15" s="166"/>
      <c r="E15" s="166"/>
      <c r="F15" s="177">
        <v>4</v>
      </c>
      <c r="G15" s="180"/>
      <c r="H15" s="178"/>
      <c r="I15" s="178"/>
      <c r="J15" s="186"/>
    </row>
    <row r="16" spans="1:10" ht="15" x14ac:dyDescent="0.25">
      <c r="A16" s="177">
        <v>5</v>
      </c>
      <c r="B16" s="178" t="s">
        <v>165</v>
      </c>
      <c r="C16" s="179">
        <v>0.51500000000000001</v>
      </c>
      <c r="D16" s="179">
        <v>4.3411650485436902E-2</v>
      </c>
      <c r="E16" s="179">
        <v>2.24E-2</v>
      </c>
      <c r="F16" s="177">
        <v>5</v>
      </c>
      <c r="G16" s="180" t="s">
        <v>97</v>
      </c>
      <c r="H16" s="178"/>
      <c r="I16" s="178"/>
      <c r="J16" s="192">
        <v>4.5447000000000001E-2</v>
      </c>
    </row>
    <row r="17" spans="1:10" ht="15" x14ac:dyDescent="0.25">
      <c r="A17" s="177">
        <v>6</v>
      </c>
      <c r="B17" s="178" t="s">
        <v>162</v>
      </c>
      <c r="C17" s="179">
        <v>0.48499999999999999</v>
      </c>
      <c r="D17" s="179">
        <v>9.4E-2</v>
      </c>
      <c r="E17" s="179">
        <v>4.5600000000000002E-2</v>
      </c>
      <c r="F17" s="177">
        <v>6</v>
      </c>
      <c r="G17" s="178"/>
      <c r="H17" s="178"/>
      <c r="I17" s="178"/>
      <c r="J17" s="181"/>
    </row>
    <row r="18" spans="1:10" ht="15" x14ac:dyDescent="0.25">
      <c r="A18" s="177">
        <v>7</v>
      </c>
      <c r="B18" s="178" t="s">
        <v>166</v>
      </c>
      <c r="C18" s="182">
        <v>1</v>
      </c>
      <c r="D18" s="183"/>
      <c r="E18" s="182">
        <v>6.8000000000000005E-2</v>
      </c>
      <c r="F18" s="177">
        <v>7</v>
      </c>
      <c r="G18" s="178" t="s">
        <v>167</v>
      </c>
      <c r="H18" s="178"/>
      <c r="I18" s="178"/>
      <c r="J18" s="181">
        <v>0.95455299999999998</v>
      </c>
    </row>
    <row r="19" spans="1:10" ht="15" x14ac:dyDescent="0.25">
      <c r="A19" s="177"/>
      <c r="B19" s="166"/>
      <c r="C19" s="166"/>
      <c r="D19" s="166"/>
      <c r="E19" s="166"/>
      <c r="F19" s="177">
        <v>8</v>
      </c>
      <c r="G19" s="180" t="s">
        <v>168</v>
      </c>
      <c r="H19" s="178"/>
      <c r="I19" s="187">
        <v>0.21</v>
      </c>
      <c r="J19" s="181">
        <v>0.200456</v>
      </c>
    </row>
    <row r="20" spans="1:10" ht="15.75" thickBot="1" x14ac:dyDescent="0.3">
      <c r="A20" s="177"/>
      <c r="B20" s="166"/>
      <c r="C20" s="166"/>
      <c r="D20" s="166"/>
      <c r="E20" s="166"/>
      <c r="F20" s="177">
        <v>9</v>
      </c>
      <c r="G20" s="180" t="s">
        <v>169</v>
      </c>
      <c r="H20" s="178"/>
      <c r="I20" s="178"/>
      <c r="J20" s="188">
        <v>0.75409700000000002</v>
      </c>
    </row>
    <row r="21" spans="1:10" ht="15.75" thickTop="1" x14ac:dyDescent="0.25">
      <c r="A21" s="177"/>
      <c r="B21" s="189"/>
      <c r="C21" s="190"/>
      <c r="D21" s="166"/>
      <c r="E21" s="166"/>
      <c r="F21" s="177"/>
      <c r="G21" s="166"/>
      <c r="H21" s="178"/>
      <c r="I21" s="178"/>
      <c r="J21" s="178"/>
    </row>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topLeftCell="C1" workbookViewId="0">
      <selection activeCell="V5" sqref="V5"/>
    </sheetView>
  </sheetViews>
  <sheetFormatPr defaultColWidth="9.28515625" defaultRowHeight="15" x14ac:dyDescent="0.2"/>
  <cols>
    <col min="1" max="1" width="19.28515625" style="102" bestFit="1" customWidth="1"/>
    <col min="2" max="2" width="11.5703125" style="102" bestFit="1" customWidth="1"/>
    <col min="3" max="22" width="10.28515625" style="102" bestFit="1" customWidth="1"/>
    <col min="23" max="23" width="12.7109375" style="102" bestFit="1" customWidth="1"/>
    <col min="24" max="16384" width="9.28515625" style="102"/>
  </cols>
  <sheetData>
    <row r="2" spans="1:23" x14ac:dyDescent="0.2">
      <c r="B2" s="103"/>
    </row>
    <row r="4" spans="1:23" x14ac:dyDescent="0.2">
      <c r="A4" s="104" t="s">
        <v>86</v>
      </c>
      <c r="B4" s="105">
        <v>1</v>
      </c>
      <c r="C4" s="105">
        <v>2</v>
      </c>
      <c r="D4" s="105">
        <v>3</v>
      </c>
      <c r="E4" s="105">
        <v>4</v>
      </c>
      <c r="F4" s="105">
        <v>5</v>
      </c>
      <c r="G4" s="105">
        <v>6</v>
      </c>
      <c r="H4" s="105">
        <v>7</v>
      </c>
      <c r="I4" s="105">
        <v>8</v>
      </c>
      <c r="J4" s="105">
        <v>9</v>
      </c>
      <c r="K4" s="105">
        <v>10</v>
      </c>
      <c r="L4" s="105">
        <v>11</v>
      </c>
      <c r="M4" s="105">
        <v>12</v>
      </c>
      <c r="N4" s="105">
        <v>13</v>
      </c>
      <c r="O4" s="105">
        <v>14</v>
      </c>
      <c r="P4" s="105">
        <v>15</v>
      </c>
      <c r="Q4" s="105">
        <v>16</v>
      </c>
      <c r="R4" s="105">
        <v>17</v>
      </c>
      <c r="S4" s="105">
        <v>18</v>
      </c>
      <c r="T4" s="105">
        <v>19</v>
      </c>
      <c r="U4" s="105">
        <v>20</v>
      </c>
      <c r="V4" s="105">
        <v>21</v>
      </c>
      <c r="W4" s="105" t="s">
        <v>87</v>
      </c>
    </row>
    <row r="5" spans="1:23" x14ac:dyDescent="0.2">
      <c r="A5" s="106" t="s">
        <v>88</v>
      </c>
      <c r="B5" s="107">
        <v>3.7499999999999999E-2</v>
      </c>
      <c r="C5" s="107">
        <v>7.2190000000000004E-2</v>
      </c>
      <c r="D5" s="107">
        <v>6.6769999999999996E-2</v>
      </c>
      <c r="E5" s="107">
        <v>6.1769999999999999E-2</v>
      </c>
      <c r="F5" s="107">
        <v>5.713E-2</v>
      </c>
      <c r="G5" s="107">
        <v>5.2850000000000001E-2</v>
      </c>
      <c r="H5" s="107">
        <v>4.888E-2</v>
      </c>
      <c r="I5" s="107">
        <v>4.5220000000000003E-2</v>
      </c>
      <c r="J5" s="107">
        <v>4.462E-2</v>
      </c>
      <c r="K5" s="107">
        <v>4.4610000000000004E-2</v>
      </c>
      <c r="L5" s="107">
        <v>4.462E-2</v>
      </c>
      <c r="M5" s="107">
        <v>4.4610000000000004E-2</v>
      </c>
      <c r="N5" s="107">
        <v>4.462E-2</v>
      </c>
      <c r="O5" s="107">
        <v>4.4610000000000004E-2</v>
      </c>
      <c r="P5" s="107">
        <v>4.462E-2</v>
      </c>
      <c r="Q5" s="107">
        <v>4.4610000000000004E-2</v>
      </c>
      <c r="R5" s="107">
        <v>4.462E-2</v>
      </c>
      <c r="S5" s="107">
        <v>4.4610000000000004E-2</v>
      </c>
      <c r="T5" s="107">
        <v>4.462E-2</v>
      </c>
      <c r="U5" s="107">
        <v>4.4610000000000004E-2</v>
      </c>
      <c r="V5" s="107">
        <v>2.231E-2</v>
      </c>
      <c r="W5" s="107">
        <f>SUM(B5:V5)</f>
        <v>1.0000000000000002</v>
      </c>
    </row>
    <row r="6" spans="1:23" x14ac:dyDescent="0.2">
      <c r="A6" s="106" t="s">
        <v>89</v>
      </c>
      <c r="B6" s="107">
        <f>B5*0.5+0.5</f>
        <v>0.51875000000000004</v>
      </c>
      <c r="C6" s="107">
        <f>C5*0.5</f>
        <v>3.6095000000000002E-2</v>
      </c>
      <c r="D6" s="107">
        <f t="shared" ref="D6:V6" si="0">D5*0.5</f>
        <v>3.3384999999999998E-2</v>
      </c>
      <c r="E6" s="107">
        <f t="shared" si="0"/>
        <v>3.0884999999999999E-2</v>
      </c>
      <c r="F6" s="107">
        <f t="shared" si="0"/>
        <v>2.8565E-2</v>
      </c>
      <c r="G6" s="107">
        <f t="shared" si="0"/>
        <v>2.6425000000000001E-2</v>
      </c>
      <c r="H6" s="107">
        <f t="shared" si="0"/>
        <v>2.444E-2</v>
      </c>
      <c r="I6" s="107">
        <f t="shared" si="0"/>
        <v>2.2610000000000002E-2</v>
      </c>
      <c r="J6" s="107">
        <f t="shared" si="0"/>
        <v>2.231E-2</v>
      </c>
      <c r="K6" s="107">
        <f t="shared" si="0"/>
        <v>2.2305000000000002E-2</v>
      </c>
      <c r="L6" s="107">
        <f t="shared" si="0"/>
        <v>2.231E-2</v>
      </c>
      <c r="M6" s="107">
        <f t="shared" si="0"/>
        <v>2.2305000000000002E-2</v>
      </c>
      <c r="N6" s="107">
        <f t="shared" si="0"/>
        <v>2.231E-2</v>
      </c>
      <c r="O6" s="107">
        <f t="shared" si="0"/>
        <v>2.2305000000000002E-2</v>
      </c>
      <c r="P6" s="107">
        <f t="shared" si="0"/>
        <v>2.231E-2</v>
      </c>
      <c r="Q6" s="107">
        <f t="shared" si="0"/>
        <v>2.2305000000000002E-2</v>
      </c>
      <c r="R6" s="107">
        <f t="shared" si="0"/>
        <v>2.231E-2</v>
      </c>
      <c r="S6" s="107">
        <f t="shared" si="0"/>
        <v>2.2305000000000002E-2</v>
      </c>
      <c r="T6" s="107">
        <f t="shared" si="0"/>
        <v>2.231E-2</v>
      </c>
      <c r="U6" s="107">
        <f t="shared" si="0"/>
        <v>2.2305000000000002E-2</v>
      </c>
      <c r="V6" s="107">
        <f t="shared" si="0"/>
        <v>1.1155E-2</v>
      </c>
      <c r="W6" s="107">
        <f>SUM(B6:V6)</f>
        <v>1.0000000000000004</v>
      </c>
    </row>
    <row r="7" spans="1:23" x14ac:dyDescent="0.2">
      <c r="A7" s="106" t="s">
        <v>90</v>
      </c>
      <c r="B7" s="107">
        <f>B5*0.6+0.4</f>
        <v>0.42250000000000004</v>
      </c>
      <c r="C7" s="107">
        <f>C5*0.6</f>
        <v>4.3313999999999998E-2</v>
      </c>
      <c r="D7" s="107">
        <f t="shared" ref="D7:V7" si="1">D5*0.6</f>
        <v>4.0061999999999993E-2</v>
      </c>
      <c r="E7" s="107">
        <f t="shared" si="1"/>
        <v>3.7061999999999998E-2</v>
      </c>
      <c r="F7" s="107">
        <f t="shared" si="1"/>
        <v>3.4277999999999996E-2</v>
      </c>
      <c r="G7" s="107">
        <f t="shared" si="1"/>
        <v>3.1710000000000002E-2</v>
      </c>
      <c r="H7" s="107">
        <f t="shared" si="1"/>
        <v>2.9328E-2</v>
      </c>
      <c r="I7" s="107">
        <f t="shared" si="1"/>
        <v>2.7132E-2</v>
      </c>
      <c r="J7" s="107">
        <f t="shared" si="1"/>
        <v>2.6772000000000001E-2</v>
      </c>
      <c r="K7" s="107">
        <f t="shared" si="1"/>
        <v>2.6766000000000002E-2</v>
      </c>
      <c r="L7" s="107">
        <f t="shared" si="1"/>
        <v>2.6772000000000001E-2</v>
      </c>
      <c r="M7" s="107">
        <f t="shared" si="1"/>
        <v>2.6766000000000002E-2</v>
      </c>
      <c r="N7" s="107">
        <f t="shared" si="1"/>
        <v>2.6772000000000001E-2</v>
      </c>
      <c r="O7" s="107">
        <f t="shared" si="1"/>
        <v>2.6766000000000002E-2</v>
      </c>
      <c r="P7" s="107">
        <f t="shared" si="1"/>
        <v>2.6772000000000001E-2</v>
      </c>
      <c r="Q7" s="107">
        <f t="shared" si="1"/>
        <v>2.6766000000000002E-2</v>
      </c>
      <c r="R7" s="107">
        <f t="shared" si="1"/>
        <v>2.6772000000000001E-2</v>
      </c>
      <c r="S7" s="107">
        <f t="shared" si="1"/>
        <v>2.6766000000000002E-2</v>
      </c>
      <c r="T7" s="107">
        <f t="shared" si="1"/>
        <v>2.6772000000000001E-2</v>
      </c>
      <c r="U7" s="107">
        <f t="shared" si="1"/>
        <v>2.6766000000000002E-2</v>
      </c>
      <c r="V7" s="107">
        <f t="shared" si="1"/>
        <v>1.3386E-2</v>
      </c>
      <c r="W7" s="107">
        <f>SUM(B7:V7)</f>
        <v>1</v>
      </c>
    </row>
  </sheetData>
  <pageMargins left="0.7" right="0.7" top="0.75" bottom="0.75" header="0.3" footer="0.3"/>
  <pageSetup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9D59015D42AAE469D2BA8B2BC690981" ma:contentTypeVersion="36" ma:contentTypeDescription="" ma:contentTypeScope="" ma:versionID="c45b8588c054b9150406014beb071b1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2021-08-31T07:00:00+00:00</OpenedDate>
    <SignificantOrder xmlns="dc463f71-b30c-4ab2-9473-d307f9d35888">false</SignificantOrder>
    <Date1 xmlns="dc463f71-b30c-4ab2-9473-d307f9d35888">2021-10-15T07:00:00+00:00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210678</DocketNumber>
    <DelegatedOrder xmlns="dc463f71-b30c-4ab2-9473-d307f9d35888">false</DelegatedOrder>
  </documentManagement>
</p:properties>
</file>

<file path=customXml/itemProps1.xml><?xml version="1.0" encoding="utf-8"?>
<ds:datastoreItem xmlns:ds="http://schemas.openxmlformats.org/officeDocument/2006/customXml" ds:itemID="{72B6C764-47CD-4372-903C-D24FA6C8F560}"/>
</file>

<file path=customXml/itemProps2.xml><?xml version="1.0" encoding="utf-8"?>
<ds:datastoreItem xmlns:ds="http://schemas.openxmlformats.org/officeDocument/2006/customXml" ds:itemID="{C1A40951-B986-4B3F-B70B-EB45A3906E23}"/>
</file>

<file path=customXml/itemProps3.xml><?xml version="1.0" encoding="utf-8"?>
<ds:datastoreItem xmlns:ds="http://schemas.openxmlformats.org/officeDocument/2006/customXml" ds:itemID="{83C3A891-2426-4359-859D-7C309891E94C}"/>
</file>

<file path=customXml/itemProps4.xml><?xml version="1.0" encoding="utf-8"?>
<ds:datastoreItem xmlns:ds="http://schemas.openxmlformats.org/officeDocument/2006/customXml" ds:itemID="{7DBE8EDA-592F-4D07-8197-94A01B50D7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Summary</vt:lpstr>
      <vt:lpstr>Work Papers--&gt;</vt:lpstr>
      <vt:lpstr>2021 CAP CRM</vt:lpstr>
      <vt:lpstr>2021 C&amp;OM</vt:lpstr>
      <vt:lpstr>Summary 2020</vt:lpstr>
      <vt:lpstr>2020 + true up CAP</vt:lpstr>
      <vt:lpstr>2020TrueUp</vt:lpstr>
      <vt:lpstr>2020 Filed Oct 16,20</vt:lpstr>
      <vt:lpstr>2019 CRM</vt:lpstr>
      <vt:lpstr>CRM CAP Forecast(from2019filin)</vt:lpstr>
      <vt:lpstr>2018 CRM</vt:lpstr>
      <vt:lpstr>2017 CRM</vt:lpstr>
      <vt:lpstr>2017 4.01 G</vt:lpstr>
      <vt:lpstr>2019 GRC</vt:lpstr>
      <vt:lpstr>MACRS 20</vt:lpstr>
      <vt:lpstr>'2017 4.01 G'!Print_Area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SFree</dc:creator>
  <cp:lastModifiedBy>Puget Sound Energy</cp:lastModifiedBy>
  <cp:lastPrinted>2019-10-14T16:46:50Z</cp:lastPrinted>
  <dcterms:created xsi:type="dcterms:W3CDTF">2017-05-26T23:01:59Z</dcterms:created>
  <dcterms:modified xsi:type="dcterms:W3CDTF">2021-10-15T00:41:47Z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0x0101006E56B4D1795A2E4DB2F0B01679ED314A0069D59015D42AAE469D2BA8B2BC690981</vt:lpwstr>
  </property>
  <property fmtid="{D5CDD505-2E9C-101B-9397-08002B2CF9AE}" pid="3" name="_docset_NoMedatataSyncRequired">
    <vt:lpwstr>False</vt:lpwstr>
  </property>
  <property fmtid="{D5CDD505-2E9C-101B-9397-08002B2CF9AE}" pid="4" name="IsEFSEC">
    <vt:bool>false</vt:bool>
  </property>
</Properties>
</file>