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57E1B1AB-CD1F-46A1-8F64-2E5ABC4FE57C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C41" i="4"/>
  <c r="D19" i="4"/>
  <c r="D9" i="4"/>
  <c r="D8" i="4"/>
  <c r="D7" i="4"/>
  <c r="D6" i="4"/>
  <c r="D5" i="4"/>
  <c r="D4" i="4"/>
  <c r="C5" i="4"/>
  <c r="C8" i="4"/>
  <c r="C4" i="4"/>
  <c r="C19" i="4"/>
  <c r="U9" i="4"/>
  <c r="U8" i="4"/>
  <c r="U7" i="4"/>
  <c r="U6" i="4"/>
  <c r="U5" i="4"/>
  <c r="U4" i="4"/>
  <c r="T8" i="4"/>
  <c r="T7" i="4"/>
  <c r="T5" i="4"/>
  <c r="T6" i="4"/>
  <c r="T9" i="4"/>
  <c r="T4" i="4"/>
  <c r="G29" i="1" l="1"/>
  <c r="G30" i="1"/>
  <c r="G28" i="1"/>
  <c r="F6" i="3" l="1"/>
  <c r="G6" i="3" s="1"/>
  <c r="F7" i="3"/>
  <c r="G7" i="3" s="1"/>
  <c r="F8" i="3"/>
  <c r="F9" i="3"/>
  <c r="F10" i="3"/>
  <c r="F11" i="3"/>
  <c r="F12" i="3"/>
  <c r="G12" i="3" s="1"/>
  <c r="F13" i="3"/>
  <c r="G13" i="3" s="1"/>
  <c r="F14" i="3"/>
  <c r="G14" i="3" s="1"/>
  <c r="F15" i="3"/>
  <c r="F16" i="3"/>
  <c r="F17" i="3"/>
  <c r="F18" i="3"/>
  <c r="F19" i="3"/>
  <c r="G19" i="3" s="1"/>
  <c r="F20" i="3"/>
  <c r="G20" i="3" s="1"/>
  <c r="F21" i="3"/>
  <c r="F22" i="3"/>
  <c r="F23" i="3"/>
  <c r="G23" i="3" s="1"/>
  <c r="F24" i="3"/>
  <c r="F25" i="3"/>
  <c r="F26" i="3"/>
  <c r="G26" i="3" s="1"/>
  <c r="F27" i="3"/>
  <c r="F28" i="3"/>
  <c r="G28" i="3" s="1"/>
  <c r="F29" i="3"/>
  <c r="F30" i="3"/>
  <c r="G30" i="3" s="1"/>
  <c r="F31" i="3"/>
  <c r="G31" i="3" s="1"/>
  <c r="F32" i="3"/>
  <c r="F33" i="3"/>
  <c r="F34" i="3"/>
  <c r="F35" i="3"/>
  <c r="F36" i="3"/>
  <c r="F37" i="3"/>
  <c r="G37" i="3" s="1"/>
  <c r="F38" i="3"/>
  <c r="F39" i="3"/>
  <c r="F40" i="3"/>
  <c r="F41" i="3"/>
  <c r="F42" i="3"/>
  <c r="F43" i="3"/>
  <c r="G43" i="3" s="1"/>
  <c r="F44" i="3"/>
  <c r="F45" i="3"/>
  <c r="F46" i="3"/>
  <c r="G46" i="3" s="1"/>
  <c r="F47" i="3"/>
  <c r="F48" i="3"/>
  <c r="F49" i="3"/>
  <c r="F50" i="3"/>
  <c r="G50" i="3" s="1"/>
  <c r="F51" i="3"/>
  <c r="F52" i="3"/>
  <c r="F53" i="3"/>
  <c r="F54" i="3"/>
  <c r="F55" i="3"/>
  <c r="G55" i="3" s="1"/>
  <c r="F56" i="3"/>
  <c r="F57" i="3"/>
  <c r="G57" i="3" s="1"/>
  <c r="F58" i="3"/>
  <c r="G58" i="3" s="1"/>
  <c r="F59" i="3"/>
  <c r="G59" i="3" s="1"/>
  <c r="F60" i="3"/>
  <c r="G60" i="3" s="1"/>
  <c r="F61" i="3"/>
  <c r="F62" i="3"/>
  <c r="F63" i="3"/>
  <c r="F5" i="3"/>
  <c r="G5" i="3" s="1"/>
  <c r="F65" i="3" l="1"/>
  <c r="D20" i="1" s="1"/>
  <c r="B19" i="4"/>
  <c r="B8" i="4"/>
  <c r="B5" i="4"/>
  <c r="B4" i="4"/>
  <c r="D28" i="4" l="1"/>
  <c r="D29" i="4"/>
  <c r="D25" i="4"/>
  <c r="D26" i="4"/>
  <c r="O34" i="4" l="1"/>
  <c r="U34" i="4" s="1"/>
  <c r="V34" i="4" s="1"/>
  <c r="O33" i="4"/>
  <c r="U33" i="4" s="1"/>
  <c r="V33" i="4" s="1"/>
  <c r="O32" i="4"/>
  <c r="U32" i="4" s="1"/>
  <c r="V32" i="4" s="1"/>
  <c r="O31" i="4"/>
  <c r="U31" i="4" s="1"/>
  <c r="V31" i="4" s="1"/>
  <c r="O30" i="4"/>
  <c r="U30" i="4" s="1"/>
  <c r="V30" i="4" s="1"/>
  <c r="O29" i="4"/>
  <c r="U29" i="4" s="1"/>
  <c r="V29" i="4" s="1"/>
  <c r="O28" i="4"/>
  <c r="U28" i="4" s="1"/>
  <c r="V28" i="4" s="1"/>
  <c r="L27" i="4"/>
  <c r="O27" i="4" s="1"/>
  <c r="U27" i="4" s="1"/>
  <c r="V27" i="4" s="1"/>
  <c r="F27" i="4"/>
  <c r="F28" i="4" s="1"/>
  <c r="F29" i="4" s="1"/>
  <c r="F30" i="4" s="1"/>
  <c r="F31" i="4" s="1"/>
  <c r="F32" i="4" s="1"/>
  <c r="F33" i="4" s="1"/>
  <c r="F34" i="4" s="1"/>
  <c r="O26" i="4"/>
  <c r="U26" i="4" s="1"/>
  <c r="V26" i="4" s="1"/>
  <c r="O24" i="4"/>
  <c r="U24" i="4" s="1"/>
  <c r="V24" i="4" s="1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20" i="1"/>
  <c r="C6" i="4"/>
  <c r="C7" i="4"/>
  <c r="C9" i="4"/>
  <c r="D41" i="4"/>
  <c r="E3" i="3" s="1"/>
  <c r="F18" i="1"/>
  <c r="G48" i="3" l="1"/>
  <c r="G36" i="3"/>
  <c r="G18" i="3"/>
  <c r="G10" i="3"/>
  <c r="G29" i="3"/>
  <c r="G61" i="3"/>
  <c r="G27" i="3"/>
  <c r="G38" i="3"/>
  <c r="G34" i="3"/>
  <c r="G54" i="3"/>
  <c r="G52" i="3"/>
  <c r="G33" i="3"/>
  <c r="G17" i="3"/>
  <c r="G32" i="3"/>
  <c r="G11" i="3"/>
  <c r="G24" i="3"/>
  <c r="G42" i="3"/>
  <c r="G39" i="3"/>
  <c r="G41" i="3"/>
  <c r="G22" i="3"/>
  <c r="G51" i="3"/>
  <c r="G62" i="3"/>
  <c r="G49" i="3"/>
  <c r="G53" i="3"/>
  <c r="G45" i="3"/>
  <c r="G8" i="3"/>
  <c r="G25" i="3"/>
  <c r="G9" i="3"/>
  <c r="G56" i="3"/>
  <c r="G63" i="3"/>
  <c r="G44" i="3"/>
  <c r="G16" i="3"/>
  <c r="G21" i="3"/>
  <c r="G40" i="3"/>
  <c r="G35" i="3"/>
  <c r="G47" i="3"/>
  <c r="G15" i="3"/>
  <c r="G65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8B8D1B0C-3BAD-4520-A26B-9A5B58719B1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T7" authorId="0" shapeId="0" xr:uid="{EEB617B9-D915-4B1C-9EEB-92127F967473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U7" authorId="0" shapeId="0" xr:uid="{B4630088-B464-452A-98D4-BBD809A38DF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T8" authorId="0" shapeId="0" xr:uid="{8A1E78C1-4A38-4C9E-8F6F-BB32CAFF53D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<sst xmlns="http://schemas.openxmlformats.org/spreadsheetml/2006/main" count="486" uniqueCount="261">
  <si>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</si>
  <si>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</si>
  <si>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</si>
  <si>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</si>
  <si>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</si>
  <si>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</si>
  <si>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</si>
  <si>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</si>
  <si>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</si>
  <si>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</si>
  <si>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</si>
  <si>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</si>
  <si>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</si>
  <si>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</si>
  <si>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</si>
  <si>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</si>
  <si>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</si>
  <si>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</si>
  <si>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</si>
  <si>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</si>
  <si>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</si>
  <si>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</si>
  <si>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</si>
  <si>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</si>
  <si>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</si>
  <si>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</si>
  <si>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</si>
  <si>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</si>
  <si>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</si>
  <si>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</si>
  <si>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</si>
  <si>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</si>
  <si>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</si>
  <si>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</si>
  <si>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</si>
  <si>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</si>
  <si>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</si>
  <si>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</si>
  <si>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</si>
  <si>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</si>
  <si>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</si>
  <si>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</si>
  <si>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</si>
  <si>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</si>
  <si>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</si>
  <si>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</si>
  <si>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</si>
  <si>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</si>
  <si>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</si>
  <si>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</si>
  <si>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</si>
  <si>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</si>
  <si>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</si>
  <si>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</si>
  <si>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Energy Keepers Inc.</t>
  </si>
  <si>
    <t>Engy Authrty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</si>
  <si>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</si>
  <si>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</si>
  <si>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</si>
  <si>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</si>
  <si>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</si>
  <si>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</si>
  <si>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 P Morgan Ventures Energy LLC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</si>
  <si>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</si>
  <si>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</si>
  <si>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</si>
  <si>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</si>
  <si>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</si>
  <si>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</si>
  <si>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</si>
  <si>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</si>
  <si>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</si>
  <si>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</si>
  <si>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</si>
  <si>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</si>
  <si>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</si>
  <si>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</si>
  <si>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</si>
  <si>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</si>
  <si>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</si>
  <si>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</si>
  <si>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</si>
  <si>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Tenaska Power Services Co.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</si>
  <si>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</si>
  <si>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</si>
  <si>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</si>
  <si>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</si>
  <si>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</si>
  <si>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</si>
  <si>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</si>
  <si>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</si>
  <si>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</si>
  <si>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</si>
  <si>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</si>
  <si>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</si>
  <si>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</si>
  <si>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</si>
  <si>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</si>
  <si>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</si>
  <si>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</si>
  <si>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</si>
  <si>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</si>
  <si>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</si>
  <si>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</si>
  <si>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</si>
  <si>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</si>
  <si>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</si>
  <si>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</si>
  <si>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</si>
  <si>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</si>
  <si>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</si>
  <si>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</si>
  <si>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</si>
  <si>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</si>
  <si>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</si>
  <si>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</si>
  <si>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</si>
  <si>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</si>
  <si>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</si>
  <si>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</si>
  <si>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</si>
  <si>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</si>
  <si>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</si>
  <si>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</si>
  <si>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</si>
  <si>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</si>
  <si>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</si>
  <si>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</si>
  <si>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</si>
  <si>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</si>
  <si>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</si>
  <si>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</si>
  <si>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</si>
  <si>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</si>
  <si>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</si>
  <si>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</si>
  <si>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</si>
  <si>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</si>
  <si>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</si>
  <si>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</si>
  <si>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</si>
  <si>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</si>
  <si>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</si>
  <si>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</si>
  <si>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</si>
  <si>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</si>
  <si>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</si>
  <si>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</si>
  <si>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</si>
  <si>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</si>
  <si>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</si>
  <si>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</si>
  <si>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</si>
  <si>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</si>
  <si>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</si>
  <si>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</si>
  <si>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</si>
  <si>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</si>
  <si>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</si>
  <si>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</si>
  <si>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</si>
  <si>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</si>
  <si>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</si>
  <si>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</si>
  <si>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</si>
  <si>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</si>
  <si>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</si>
  <si>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</si>
  <si>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</si>
  <si>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</si>
  <si>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</si>
  <si>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</si>
  <si>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</si>
  <si>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</si>
  <si>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</si>
  <si>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</si>
  <si>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</si>
  <si>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</si>
  <si>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</si>
  <si>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</si>
  <si>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</si>
  <si>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</si>
  <si>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</si>
  <si>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</si>
  <si>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</si>
  <si>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</si>
  <si>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</si>
  <si>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</si>
  <si>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</si>
  <si>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</si>
  <si>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</si>
  <si>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</si>
  <si>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</si>
  <si>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 xml:space="preserve"> Gross Load (MW-h)</t>
  </si>
  <si>
    <t>Counter-Party</t>
  </si>
  <si>
    <t>Energy
Purchased
(MWh)</t>
  </si>
  <si>
    <t>Energy
Sold
(MWh)</t>
  </si>
  <si>
    <t>Bonneville Power Admin</t>
  </si>
  <si>
    <t>British Columbia Hydro and Power Author</t>
  </si>
  <si>
    <t>Cargill Inc.</t>
  </si>
  <si>
    <t>Chelan County PUD No. 1</t>
  </si>
  <si>
    <t>ConocoPhillips</t>
  </si>
  <si>
    <t>EDF Trading North America LLC</t>
  </si>
  <si>
    <t>Energy America LLC</t>
  </si>
  <si>
    <t>Eugene City of</t>
  </si>
  <si>
    <t>JP Morgan Ventures Energy Corp</t>
  </si>
  <si>
    <t>Modesto Irrigation District</t>
  </si>
  <si>
    <t>Inland Power &amp; Light Co.</t>
  </si>
  <si>
    <t>NaturEner Power Watch LLC</t>
  </si>
  <si>
    <t>Nevada Power Co.</t>
  </si>
  <si>
    <t>NorthWestern Corp.</t>
  </si>
  <si>
    <t>Portland General Electric Co.</t>
  </si>
  <si>
    <t>Public Service Co. of CO</t>
  </si>
  <si>
    <t>Puget Sound Energy Inc.</t>
  </si>
  <si>
    <t>Redding City of</t>
  </si>
  <si>
    <t>SG Americas Securities LLC</t>
  </si>
  <si>
    <t>Sierra Pacific Power Co.</t>
  </si>
  <si>
    <t>Southern California Edison Co.</t>
  </si>
  <si>
    <t>Spokane City of</t>
  </si>
  <si>
    <t>Talen Energy Marketing LLC</t>
  </si>
  <si>
    <t>TransAlta Energy Marketing (US</t>
  </si>
  <si>
    <t>Turlock Irrigation District</t>
  </si>
  <si>
    <t>WAPA - Western Area Power Admin</t>
  </si>
  <si>
    <t>Ford Electronics (PURPA Hydro)</t>
  </si>
  <si>
    <t>2016 report was missing Cargill 17,408 MWh of unknown</t>
  </si>
  <si>
    <t>Corrected unknown PacifiCorp purchases from 23,433 MWh to 46,865 MWh</t>
  </si>
  <si>
    <t>Moved Ford Electronics 2,992 MWh from unknown to known (PURPA hydro)</t>
  </si>
  <si>
    <t>Unknown Resources for Washington Customers</t>
  </si>
  <si>
    <t>Moved Stimson Lumber Co. 29,412 MWh from unknown to known resources (PURPA biomass)</t>
  </si>
  <si>
    <t>Stimson Lumber Company (PURPA Biomass)</t>
  </si>
  <si>
    <t>Net Unknown Purchases</t>
  </si>
  <si>
    <t>Tons CO2 Emissions from Purchases</t>
  </si>
  <si>
    <t>Net Purchase</t>
  </si>
  <si>
    <t xml:space="preserve">Avista = </t>
  </si>
  <si>
    <t>Net Lbs CO2 from Purchases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</si>
  <si>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</si>
  <si>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Known Resources Serving WA - EIA</t>
  </si>
  <si>
    <t>Known Resources Serving WA - EPA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</si>
  <si>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</si>
  <si>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</si>
  <si>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CO2 Metric Tons</t>
  </si>
  <si>
    <t>CO2e Metric Tons</t>
  </si>
  <si>
    <t>Calculation Based Methodology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</si>
  <si>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</si>
  <si>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</si>
  <si>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</si>
  <si>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</si>
  <si>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</si>
  <si>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</si>
  <si>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</si>
  <si>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</si>
  <si>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</si>
  <si>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</si>
  <si>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</si>
  <si>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</si>
  <si>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kg/Mmbtu</t>
  </si>
  <si>
    <t>Mmbtu/bbl</t>
  </si>
  <si>
    <t>Department of Ecology Unknown Resource Default Rate =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</si>
  <si>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</si>
  <si>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</si>
  <si>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r>
      <t>Multiplied Busbar MWh and 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by 65% to adjust from system to Washington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</si>
</sst>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_(* #,##0.000_);_(* \(#,##0.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Protection="0">
      <alignment horizontal="center"/>
    </xf>
    <xf numFmtId="0" fontId="26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7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11" fontId="0" fillId="0" borderId="0" xfId="0" applyNumberFormat="1"/>
    <xf numFmtId="43" fontId="0" fillId="0" borderId="2" xfId="1" applyNumberFormat="1" applyFont="1" applyBorder="1"/>
    <xf numFmtId="0" fontId="10" fillId="0" borderId="0" xfId="23"/>
    <xf numFmtId="0" fontId="11" fillId="0" borderId="0" xfId="24"/>
    <xf numFmtId="0" fontId="11" fillId="0" borderId="0" xfId="24" applyAlignment="1">
      <alignment horizontal="left"/>
    </xf>
    <xf numFmtId="168" fontId="11" fillId="0" borderId="0" xfId="24" applyNumberFormat="1" applyAlignment="1">
      <alignment horizontal="right"/>
    </xf>
    <xf numFmtId="0" fontId="11" fillId="0" borderId="0" xfId="24" applyFill="1" applyAlignment="1">
      <alignment horizontal="left"/>
    </xf>
    <xf numFmtId="168" fontId="0" fillId="0" borderId="0" xfId="0" applyNumberFormat="1"/>
    <xf numFmtId="43" fontId="0" fillId="0" borderId="0" xfId="0" applyNumberFormat="1"/>
    <xf numFmtId="0" fontId="11" fillId="0" borderId="0" xfId="4" applyFill="1" applyBorder="1" applyAlignment="1">
      <alignment horizontal="left"/>
    </xf>
    <xf numFmtId="0" fontId="25" fillId="0" borderId="0" xfId="3" applyFont="1"/>
    <xf numFmtId="0" fontId="0" fillId="0" borderId="0" xfId="0" applyAlignment="1">
      <alignment wrapText="1"/>
    </xf>
    <xf numFmtId="0" fontId="25" fillId="0" borderId="0" xfId="3" applyFont="1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74" fontId="0" fillId="2" borderId="10" xfId="1" applyNumberFormat="1" applyFont="1" applyFill="1" applyBorder="1"/>
    <xf numFmtId="165" fontId="0" fillId="0" borderId="8" xfId="1" applyNumberFormat="1" applyFont="1" applyBorder="1"/>
    <xf numFmtId="0" fontId="0" fillId="12" borderId="0" xfId="0" applyFill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43" fontId="0" fillId="0" borderId="0" xfId="1" applyFont="1"/>
    <xf numFmtId="174" fontId="0" fillId="12" borderId="0" xfId="0" applyNumberFormat="1" applyFill="1"/>
    <xf numFmtId="174" fontId="0" fillId="0" borderId="0" xfId="0" applyNumberFormat="1"/>
  </cellXfs>
  <cellStyles count="25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Normal 3" xfId="24" xr:uid="{00000000-0005-0000-0000-000005000000}"/>
    <cellStyle name="Percent" xfId="2" builtinId="5"/>
    <cellStyle name="Style 21" xfId="5" xr:uid="{00000000-0005-0000-0000-000007000000}"/>
    <cellStyle name="Style 22" xfId="3" xr:uid="{00000000-0005-0000-0000-000008000000}"/>
    <cellStyle name="Style 22 2" xfId="23" xr:uid="{00000000-0005-0000-0000-000009000000}"/>
    <cellStyle name="Style 23" xfId="6" xr:uid="{00000000-0005-0000-0000-00000A000000}"/>
    <cellStyle name="Style 24" xfId="7" xr:uid="{00000000-0005-0000-0000-00000B000000}"/>
    <cellStyle name="Style 25" xfId="8" xr:uid="{00000000-0005-0000-0000-00000C000000}"/>
    <cellStyle name="Style 26" xfId="9" xr:uid="{00000000-0005-0000-0000-00000D000000}"/>
    <cellStyle name="Style 27" xfId="10" xr:uid="{00000000-0005-0000-0000-00000E000000}"/>
    <cellStyle name="Style 28" xfId="11" xr:uid="{00000000-0005-0000-0000-00000F000000}"/>
    <cellStyle name="Style 29" xfId="12" xr:uid="{00000000-0005-0000-0000-000010000000}"/>
    <cellStyle name="Style 30" xfId="13" xr:uid="{00000000-0005-0000-0000-000011000000}"/>
    <cellStyle name="Style 31" xfId="14" xr:uid="{00000000-0005-0000-0000-000012000000}"/>
    <cellStyle name="Style 32" xfId="15" xr:uid="{00000000-0005-0000-0000-000013000000}"/>
    <cellStyle name="Style 33" xfId="16" xr:uid="{00000000-0005-0000-0000-000014000000}"/>
    <cellStyle name="Style 34" xfId="17" xr:uid="{00000000-0005-0000-0000-000015000000}"/>
    <cellStyle name="Style 35" xfId="18" xr:uid="{00000000-0005-0000-0000-000016000000}"/>
    <cellStyle name="Style 36" xfId="19" xr:uid="{00000000-0005-0000-0000-000017000000}"/>
    <cellStyle name="Style 39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K43" sqref="K43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4</v>
      </c>
    </row>
    <row r="2" spans="1:7" ht="15.75" thickBot="1" x14ac:dyDescent="0.3"/>
    <row r="3" spans="1:7" x14ac:dyDescent="0.25">
      <c r="A3" s="54"/>
      <c r="B3" s="55" t="s">
        <v>8</v>
      </c>
      <c r="C3" s="56" t="s">
        <v>16</v>
      </c>
      <c r="D3" s="61"/>
      <c r="E3" s="59"/>
    </row>
    <row r="4" spans="1:7" x14ac:dyDescent="0.25">
      <c r="A4" s="164" t="s">
        <v>9</v>
      </c>
      <c r="B4" s="166"/>
      <c r="C4" s="32">
        <v>2015</v>
      </c>
      <c r="D4" s="64" t="s">
        <v>30</v>
      </c>
      <c r="E4" s="60"/>
    </row>
    <row r="5" spans="1:7" ht="15.75" thickBot="1" x14ac:dyDescent="0.3">
      <c r="A5" s="167" t="s">
        <v>14</v>
      </c>
      <c r="B5" s="168"/>
      <c r="C5" s="57">
        <v>528738</v>
      </c>
      <c r="D5" s="58">
        <f>+D13/C5</f>
        <v>10.85239759578468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27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13</v>
      </c>
      <c r="G8" s="47" t="s">
        <v>31</v>
      </c>
    </row>
    <row r="9" spans="1:7" x14ac:dyDescent="0.25">
      <c r="A9" s="37"/>
      <c r="B9" s="11"/>
      <c r="C9" s="11"/>
      <c r="D9" s="13" t="s">
        <v>7</v>
      </c>
      <c r="E9" s="25" t="s">
        <v>21</v>
      </c>
      <c r="F9" s="18" t="s">
        <v>26</v>
      </c>
      <c r="G9" s="48" t="s">
        <v>13</v>
      </c>
    </row>
    <row r="10" spans="1:7" x14ac:dyDescent="0.25">
      <c r="A10" s="164" t="s">
        <v>5</v>
      </c>
      <c r="B10" s="165"/>
      <c r="C10" s="166"/>
      <c r="D10" s="62">
        <v>2458224</v>
      </c>
      <c r="E10" s="12">
        <f>+D10/D13</f>
        <v>0.42840569354705194</v>
      </c>
      <c r="F10" s="33">
        <v>217417</v>
      </c>
      <c r="G10" s="49">
        <f>+D10/F10</f>
        <v>11.306493972412461</v>
      </c>
    </row>
    <row r="11" spans="1:7" x14ac:dyDescent="0.25">
      <c r="A11" s="164" t="s">
        <v>10</v>
      </c>
      <c r="B11" s="165"/>
      <c r="C11" s="166"/>
      <c r="D11" s="62">
        <v>2223888</v>
      </c>
      <c r="E11" s="12">
        <f>+D11/D13</f>
        <v>0.38756691050570097</v>
      </c>
      <c r="F11" s="27">
        <v>24191</v>
      </c>
      <c r="G11" s="49">
        <f>+D11/F11</f>
        <v>91.930387334132533</v>
      </c>
    </row>
    <row r="12" spans="1:7" x14ac:dyDescent="0.25">
      <c r="A12" s="164" t="s">
        <v>11</v>
      </c>
      <c r="B12" s="165"/>
      <c r="C12" s="166"/>
      <c r="D12" s="62">
        <v>1055963</v>
      </c>
      <c r="E12" s="12">
        <f>+D12/D13</f>
        <v>0.18402739594724712</v>
      </c>
      <c r="F12" s="5"/>
      <c r="G12" s="38"/>
    </row>
    <row r="13" spans="1:7" ht="15.75" thickBot="1" x14ac:dyDescent="0.3">
      <c r="A13" s="39"/>
      <c r="B13" s="169" t="s">
        <v>6</v>
      </c>
      <c r="C13" s="168"/>
      <c r="D13" s="63">
        <f>SUM(D10:D12)</f>
        <v>5738075</v>
      </c>
      <c r="E13" s="40"/>
      <c r="F13" s="41"/>
      <c r="G13" s="42"/>
    </row>
    <row r="15" spans="1:7" ht="19.5" thickBot="1" x14ac:dyDescent="0.35">
      <c r="B15" s="53" t="s">
        <v>28</v>
      </c>
    </row>
    <row r="16" spans="1:7" x14ac:dyDescent="0.25">
      <c r="A16" s="34"/>
      <c r="B16" s="35"/>
      <c r="C16" s="35"/>
      <c r="D16" s="35"/>
      <c r="E16" s="36" t="s">
        <v>22</v>
      </c>
      <c r="F16" s="43" t="s">
        <v>238</v>
      </c>
      <c r="G16" s="44"/>
    </row>
    <row r="17" spans="1:8" ht="18" x14ac:dyDescent="0.35">
      <c r="A17" s="45"/>
      <c r="B17" s="5"/>
      <c r="C17" s="5"/>
      <c r="D17" s="25" t="s">
        <v>12</v>
      </c>
      <c r="E17" s="18" t="s">
        <v>23</v>
      </c>
      <c r="F17" s="14" t="s">
        <v>2</v>
      </c>
      <c r="G17" s="38"/>
    </row>
    <row r="18" spans="1:8" x14ac:dyDescent="0.25">
      <c r="A18" s="164" t="s">
        <v>237</v>
      </c>
      <c r="B18" s="165"/>
      <c r="C18" s="166"/>
      <c r="D18" s="6">
        <f>+'Known Resources'!B41*0.65</f>
        <v>6960229.4277749993</v>
      </c>
      <c r="E18" s="12">
        <f>+D18/(D18+D20)</f>
        <v>1.1416547934488197</v>
      </c>
      <c r="F18" s="6">
        <f>+'Known Resources'!D41*0.65</f>
        <v>2015471.7464518507</v>
      </c>
      <c r="G18" s="38"/>
    </row>
    <row r="19" spans="1:8" ht="15.75" thickBot="1" x14ac:dyDescent="0.3">
      <c r="A19" s="164" t="s">
        <v>236</v>
      </c>
      <c r="B19" s="165"/>
      <c r="C19" s="166"/>
      <c r="D19" s="6"/>
      <c r="E19" s="12"/>
      <c r="F19" s="162"/>
      <c r="G19" s="38"/>
    </row>
    <row r="20" spans="1:8" ht="18" x14ac:dyDescent="0.35">
      <c r="A20" s="164" t="s">
        <v>25</v>
      </c>
      <c r="B20" s="165"/>
      <c r="C20" s="166"/>
      <c r="D20" s="50">
        <f>+('Unknown Resources'!F65)*0.65</f>
        <v>-863614.70000000007</v>
      </c>
      <c r="E20" s="51">
        <f>+D20/(D18+D20)</f>
        <v>-0.14165479344881976</v>
      </c>
      <c r="F20" s="66">
        <f>+'Unknown Resources'!G65*0.65</f>
        <v>-85.884583368997141</v>
      </c>
      <c r="G20" s="68" t="s">
        <v>29</v>
      </c>
    </row>
    <row r="21" spans="1:8" ht="18.75" thickBot="1" x14ac:dyDescent="0.4">
      <c r="A21" s="39"/>
      <c r="B21" s="41"/>
      <c r="C21" s="41"/>
      <c r="D21" s="65">
        <f>+C4</f>
        <v>2015</v>
      </c>
      <c r="E21" s="46" t="s">
        <v>239</v>
      </c>
      <c r="F21" s="67">
        <f>SUM(F18:F20)</f>
        <v>2015385.8618684819</v>
      </c>
      <c r="G21" s="69">
        <f>+F21/G23</f>
        <v>1.9625832390608722</v>
      </c>
    </row>
    <row r="22" spans="1:8" ht="18" x14ac:dyDescent="0.35">
      <c r="A22" t="s">
        <v>260</v>
      </c>
    </row>
    <row r="23" spans="1:8" ht="18" x14ac:dyDescent="0.35">
      <c r="F23" s="17" t="s">
        <v>20</v>
      </c>
      <c r="G23" s="27">
        <f>G28</f>
        <v>1026904.6539054703</v>
      </c>
      <c r="H23" s="24"/>
    </row>
    <row r="25" spans="1:8" x14ac:dyDescent="0.25">
      <c r="B25" s="24" t="s">
        <v>15</v>
      </c>
      <c r="F25" s="19"/>
      <c r="G25" s="19"/>
    </row>
    <row r="26" spans="1:8" x14ac:dyDescent="0.25">
      <c r="E26" s="19"/>
      <c r="F26" s="19"/>
      <c r="G26" s="22" t="s">
        <v>19</v>
      </c>
    </row>
    <row r="27" spans="1:8" ht="18" x14ac:dyDescent="0.35">
      <c r="E27" s="19"/>
      <c r="F27" s="19"/>
      <c r="G27" s="23" t="s">
        <v>239</v>
      </c>
      <c r="H27" s="23" t="s">
        <v>1</v>
      </c>
    </row>
    <row r="28" spans="1:8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opLeftCell="A25" workbookViewId="0">
      <selection activeCell="A44" sqref="A44:A46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3.28515625" bestFit="1" customWidth="1"/>
    <col min="6" max="7" width="25" bestFit="1" customWidth="1"/>
    <col min="8" max="8" width="10.5703125" customWidth="1"/>
    <col min="9" max="9" width="10.85546875" bestFit="1" customWidth="1"/>
    <col min="18" max="18" width="13.28515625" bestFit="1" customWidth="1"/>
    <col min="20" max="20" width="15.42578125" bestFit="1" customWidth="1"/>
    <col min="21" max="21" width="25.7109375" bestFit="1" customWidth="1"/>
  </cols>
  <sheetData>
    <row r="1" spans="1:22" ht="18.75" x14ac:dyDescent="0.3">
      <c r="A1" s="3" t="s">
        <v>3</v>
      </c>
      <c r="B1" s="31">
        <f>+Summary!C4</f>
        <v>2015</v>
      </c>
    </row>
    <row r="2" spans="1:22" ht="18.75" x14ac:dyDescent="0.3">
      <c r="A2" s="3"/>
      <c r="B2" s="7" t="s">
        <v>24</v>
      </c>
      <c r="C2" s="7">
        <f>+Summary!C4</f>
        <v>2015</v>
      </c>
      <c r="D2" s="7" t="s">
        <v>238</v>
      </c>
    </row>
    <row r="3" spans="1:22" ht="19.5" x14ac:dyDescent="0.35">
      <c r="A3" s="4" t="s">
        <v>0</v>
      </c>
      <c r="B3" s="8">
        <f>+Summary!C4</f>
        <v>2015</v>
      </c>
      <c r="C3" s="8" t="s">
        <v>258</v>
      </c>
      <c r="D3" s="8" t="s">
        <v>259</v>
      </c>
      <c r="E3" s="2"/>
      <c r="F3" s="73" t="s">
        <v>83</v>
      </c>
      <c r="G3" s="74">
        <v>222</v>
      </c>
      <c r="H3" s="73" t="s">
        <v>84</v>
      </c>
      <c r="I3" s="75">
        <v>1689986</v>
      </c>
      <c r="K3" t="s">
        <v>174</v>
      </c>
      <c r="L3" t="s">
        <v>175</v>
      </c>
      <c r="M3" t="s">
        <v>176</v>
      </c>
      <c r="N3" t="s">
        <v>177</v>
      </c>
      <c r="O3" t="s">
        <v>178</v>
      </c>
      <c r="P3" t="s">
        <v>179</v>
      </c>
      <c r="Q3" t="s">
        <v>180</v>
      </c>
      <c r="R3" t="s">
        <v>193</v>
      </c>
      <c r="S3" t="s">
        <v>181</v>
      </c>
      <c r="T3" t="s">
        <v>240</v>
      </c>
      <c r="U3" t="s">
        <v>241</v>
      </c>
      <c r="V3" t="s">
        <v>182</v>
      </c>
    </row>
    <row r="4" spans="1:22" x14ac:dyDescent="0.25">
      <c r="A4" s="26" t="s">
        <v>32</v>
      </c>
      <c r="B4" s="27">
        <f>0.15*(R7+R8)</f>
        <v>1842953.4135</v>
      </c>
      <c r="C4" s="144">
        <f>D4/B4</f>
        <v>0.96095301628548713</v>
      </c>
      <c r="D4" s="146">
        <f>U7+U8</f>
        <v>1770991.6415764596</v>
      </c>
      <c r="F4" s="73" t="s">
        <v>85</v>
      </c>
      <c r="G4" s="74">
        <v>149</v>
      </c>
      <c r="H4" s="73" t="s">
        <v>86</v>
      </c>
      <c r="I4" s="75">
        <v>52558</v>
      </c>
      <c r="K4" t="s">
        <v>183</v>
      </c>
      <c r="L4" t="s">
        <v>184</v>
      </c>
      <c r="M4">
        <v>7456</v>
      </c>
      <c r="N4">
        <v>1</v>
      </c>
      <c r="P4">
        <v>2015</v>
      </c>
      <c r="Q4" t="s">
        <v>185</v>
      </c>
      <c r="R4">
        <v>22353.3</v>
      </c>
      <c r="S4">
        <v>13596.114</v>
      </c>
      <c r="T4" s="175">
        <f>S4/1.1023</f>
        <v>12334.313707702076</v>
      </c>
      <c r="U4" s="175">
        <f>T4+Y44</f>
        <v>12367.769039638077</v>
      </c>
      <c r="V4">
        <v>228779.96599999999</v>
      </c>
    </row>
    <row r="5" spans="1:22" x14ac:dyDescent="0.25">
      <c r="A5" s="28" t="s">
        <v>33</v>
      </c>
      <c r="B5" s="27">
        <f>R4+R5</f>
        <v>52718.899999999994</v>
      </c>
      <c r="C5" s="144">
        <f t="shared" ref="C5:C9" si="0">D5/B5</f>
        <v>0.57241727920935315</v>
      </c>
      <c r="D5" s="6">
        <f>U4+U5</f>
        <v>30177.209300909963</v>
      </c>
      <c r="F5" s="73" t="s">
        <v>87</v>
      </c>
      <c r="G5" s="74">
        <v>61.2</v>
      </c>
      <c r="H5" s="73" t="s">
        <v>86</v>
      </c>
      <c r="I5" s="75">
        <v>1073</v>
      </c>
      <c r="K5" t="s">
        <v>183</v>
      </c>
      <c r="L5" t="s">
        <v>184</v>
      </c>
      <c r="M5">
        <v>7456</v>
      </c>
      <c r="N5">
        <v>2</v>
      </c>
      <c r="P5">
        <v>2015</v>
      </c>
      <c r="Q5" t="s">
        <v>185</v>
      </c>
      <c r="R5">
        <v>30365.599999999999</v>
      </c>
      <c r="S5">
        <v>19631.346000000001</v>
      </c>
      <c r="T5" s="175">
        <f t="shared" ref="T5:T9" si="1">S5/1.1023</f>
        <v>17809.440261271888</v>
      </c>
      <c r="U5" s="175">
        <f>T5</f>
        <v>17809.440261271888</v>
      </c>
      <c r="V5">
        <v>330349.755</v>
      </c>
    </row>
    <row r="6" spans="1:22" x14ac:dyDescent="0.25">
      <c r="A6" s="28" t="s">
        <v>34</v>
      </c>
      <c r="B6" s="27">
        <v>1073</v>
      </c>
      <c r="C6" s="144">
        <f t="shared" si="0"/>
        <v>0.69905811765405401</v>
      </c>
      <c r="D6" s="6">
        <f>V29+Y45</f>
        <v>750.08936024280001</v>
      </c>
      <c r="F6" s="73" t="s">
        <v>88</v>
      </c>
      <c r="G6" s="74">
        <v>24</v>
      </c>
      <c r="H6" s="73" t="s">
        <v>86</v>
      </c>
      <c r="I6" s="75">
        <v>22428</v>
      </c>
      <c r="K6" t="s">
        <v>183</v>
      </c>
      <c r="L6" t="s">
        <v>186</v>
      </c>
      <c r="M6">
        <v>55179</v>
      </c>
      <c r="N6" t="s">
        <v>187</v>
      </c>
      <c r="P6">
        <v>2015</v>
      </c>
      <c r="Q6" t="s">
        <v>185</v>
      </c>
      <c r="R6">
        <v>1552559.43</v>
      </c>
      <c r="S6">
        <v>643815.25300000003</v>
      </c>
      <c r="T6" s="175">
        <f t="shared" si="1"/>
        <v>584065.36605279869</v>
      </c>
      <c r="U6" s="175">
        <f>T6+Y50</f>
        <v>584677.78491107072</v>
      </c>
      <c r="V6" s="145">
        <v>10833463.173</v>
      </c>
    </row>
    <row r="7" spans="1:22" x14ac:dyDescent="0.25">
      <c r="A7" s="28" t="s">
        <v>35</v>
      </c>
      <c r="B7" s="27">
        <v>22428</v>
      </c>
      <c r="C7" s="144">
        <f t="shared" si="0"/>
        <v>0.48586140515947029</v>
      </c>
      <c r="D7" s="6">
        <f>V30+Y46</f>
        <v>10896.8995949166</v>
      </c>
      <c r="F7" s="73" t="s">
        <v>89</v>
      </c>
      <c r="G7" s="74">
        <v>278.3</v>
      </c>
      <c r="H7" s="73" t="s">
        <v>86</v>
      </c>
      <c r="I7" s="75">
        <v>1891969</v>
      </c>
      <c r="K7" t="s">
        <v>188</v>
      </c>
      <c r="L7" t="s">
        <v>189</v>
      </c>
      <c r="M7">
        <v>6076</v>
      </c>
      <c r="N7">
        <v>3</v>
      </c>
      <c r="P7">
        <v>2015</v>
      </c>
      <c r="Q7" t="s">
        <v>185</v>
      </c>
      <c r="R7">
        <v>6116257</v>
      </c>
      <c r="S7">
        <v>6391958.1880000001</v>
      </c>
      <c r="T7" s="175">
        <f>(0.15*S7)/1.1023</f>
        <v>869811.96425655449</v>
      </c>
      <c r="U7" s="175">
        <f>T7+Y42+Y43</f>
        <v>882972.78944908956</v>
      </c>
      <c r="V7" s="145">
        <v>60945402.225000001</v>
      </c>
    </row>
    <row r="8" spans="1:22" x14ac:dyDescent="0.25">
      <c r="A8" s="28" t="s">
        <v>36</v>
      </c>
      <c r="B8" s="27">
        <f>R9</f>
        <v>1920332.53</v>
      </c>
      <c r="C8" s="144">
        <f t="shared" si="0"/>
        <v>0.3660698199450596</v>
      </c>
      <c r="D8" s="6">
        <f>U9</f>
        <v>702975.78349174082</v>
      </c>
      <c r="F8" s="73" t="s">
        <v>90</v>
      </c>
      <c r="G8" s="74">
        <v>6.9</v>
      </c>
      <c r="H8" s="73" t="s">
        <v>86</v>
      </c>
      <c r="I8" s="76">
        <v>4000</v>
      </c>
      <c r="K8" t="s">
        <v>188</v>
      </c>
      <c r="L8" t="s">
        <v>189</v>
      </c>
      <c r="M8">
        <v>6076</v>
      </c>
      <c r="N8">
        <v>4</v>
      </c>
      <c r="P8">
        <v>2015</v>
      </c>
      <c r="Q8" t="s">
        <v>185</v>
      </c>
      <c r="R8">
        <v>6170099.0899999999</v>
      </c>
      <c r="S8">
        <v>6525754.5379999997</v>
      </c>
      <c r="T8" s="175">
        <f>(0.15*S8)/1.1023</f>
        <v>888018.85212736996</v>
      </c>
      <c r="U8" s="175">
        <f>T8</f>
        <v>888018.85212736996</v>
      </c>
      <c r="V8" s="145">
        <v>62221138.578000002</v>
      </c>
    </row>
    <row r="9" spans="1:22" x14ac:dyDescent="0.25">
      <c r="A9" s="28" t="s">
        <v>37</v>
      </c>
      <c r="B9" s="27">
        <v>4000</v>
      </c>
      <c r="C9" s="144">
        <f t="shared" si="0"/>
        <v>6.408888418439998E-2</v>
      </c>
      <c r="D9" s="6">
        <f>V32+Y48</f>
        <v>256.35553673759995</v>
      </c>
      <c r="F9" s="73" t="s">
        <v>91</v>
      </c>
      <c r="G9" s="77">
        <v>50</v>
      </c>
      <c r="H9" s="73" t="s">
        <v>92</v>
      </c>
      <c r="I9" s="75">
        <v>320517</v>
      </c>
      <c r="K9" t="s">
        <v>190</v>
      </c>
      <c r="L9" t="s">
        <v>191</v>
      </c>
      <c r="M9">
        <v>7350</v>
      </c>
      <c r="N9" t="s">
        <v>192</v>
      </c>
      <c r="P9">
        <v>2015</v>
      </c>
      <c r="Q9" t="s">
        <v>185</v>
      </c>
      <c r="R9">
        <v>1920332.53</v>
      </c>
      <c r="S9">
        <v>774135.43299999996</v>
      </c>
      <c r="T9" s="175">
        <f t="shared" si="1"/>
        <v>702291.05778826086</v>
      </c>
      <c r="U9" s="175">
        <f>T9+Y47</f>
        <v>702975.78349174082</v>
      </c>
      <c r="V9" s="145">
        <v>13026358.558</v>
      </c>
    </row>
    <row r="10" spans="1:22" x14ac:dyDescent="0.25">
      <c r="A10" s="28" t="s">
        <v>102</v>
      </c>
      <c r="B10" s="27">
        <v>320517</v>
      </c>
      <c r="C10" s="144">
        <v>0</v>
      </c>
      <c r="D10" s="6">
        <f t="shared" ref="D6:D10" si="2">(+B10*C10)/2000</f>
        <v>0</v>
      </c>
      <c r="F10" s="73" t="s">
        <v>93</v>
      </c>
      <c r="G10" s="74">
        <v>15</v>
      </c>
      <c r="H10" s="73" t="s">
        <v>94</v>
      </c>
      <c r="I10" s="75">
        <v>84084</v>
      </c>
    </row>
    <row r="11" spans="1:22" x14ac:dyDescent="0.25">
      <c r="A11" s="28" t="s">
        <v>38</v>
      </c>
      <c r="B11" s="27">
        <v>84084</v>
      </c>
      <c r="C11" s="144">
        <v>0</v>
      </c>
      <c r="D11" s="6">
        <f t="shared" ref="D11:D40" si="3">(+B11*C11)/2000</f>
        <v>0</v>
      </c>
      <c r="F11" s="73" t="s">
        <v>95</v>
      </c>
      <c r="G11" s="74">
        <v>18</v>
      </c>
      <c r="H11" s="73" t="s">
        <v>94</v>
      </c>
      <c r="I11" s="75">
        <v>73223</v>
      </c>
    </row>
    <row r="12" spans="1:22" x14ac:dyDescent="0.25">
      <c r="A12" s="28" t="s">
        <v>39</v>
      </c>
      <c r="B12" s="27">
        <v>73223</v>
      </c>
      <c r="C12" s="144">
        <v>0</v>
      </c>
      <c r="D12" s="6">
        <f t="shared" si="3"/>
        <v>0</v>
      </c>
      <c r="F12" s="73" t="s">
        <v>96</v>
      </c>
      <c r="G12" s="74">
        <v>17.600000000000001</v>
      </c>
      <c r="H12" s="73" t="s">
        <v>94</v>
      </c>
      <c r="I12" s="75">
        <v>66890</v>
      </c>
    </row>
    <row r="13" spans="1:22" x14ac:dyDescent="0.25">
      <c r="A13" s="28" t="s">
        <v>40</v>
      </c>
      <c r="B13" s="27">
        <v>66890</v>
      </c>
      <c r="C13" s="144">
        <v>0</v>
      </c>
      <c r="D13" s="6">
        <f t="shared" si="3"/>
        <v>0</v>
      </c>
      <c r="F13" s="73" t="s">
        <v>97</v>
      </c>
      <c r="G13" s="74">
        <v>34.6</v>
      </c>
      <c r="H13" s="73" t="s">
        <v>94</v>
      </c>
      <c r="I13" s="75">
        <v>147602</v>
      </c>
    </row>
    <row r="14" spans="1:22" x14ac:dyDescent="0.25">
      <c r="A14" s="28" t="s">
        <v>41</v>
      </c>
      <c r="B14" s="27">
        <v>147602</v>
      </c>
      <c r="C14" s="144">
        <v>0</v>
      </c>
      <c r="D14" s="6">
        <f t="shared" si="3"/>
        <v>0</v>
      </c>
      <c r="F14" s="73" t="s">
        <v>98</v>
      </c>
      <c r="G14" s="74">
        <v>87</v>
      </c>
      <c r="H14" s="73" t="s">
        <v>94</v>
      </c>
      <c r="I14" s="75">
        <v>394390</v>
      </c>
    </row>
    <row r="15" spans="1:22" x14ac:dyDescent="0.25">
      <c r="A15" s="28" t="s">
        <v>42</v>
      </c>
      <c r="B15" s="27">
        <v>394390</v>
      </c>
      <c r="C15" s="144">
        <v>0</v>
      </c>
      <c r="D15" s="6">
        <f t="shared" si="3"/>
        <v>0</v>
      </c>
      <c r="F15" s="73" t="s">
        <v>99</v>
      </c>
      <c r="G15" s="74">
        <v>10.199999999999999</v>
      </c>
      <c r="H15" s="73" t="s">
        <v>94</v>
      </c>
      <c r="I15" s="75">
        <v>38374</v>
      </c>
    </row>
    <row r="16" spans="1:22" x14ac:dyDescent="0.25">
      <c r="A16" s="28" t="s">
        <v>43</v>
      </c>
      <c r="B16" s="27">
        <v>38374</v>
      </c>
      <c r="C16" s="144">
        <v>0</v>
      </c>
      <c r="D16" s="6">
        <f t="shared" si="3"/>
        <v>0</v>
      </c>
      <c r="F16" s="73" t="s">
        <v>100</v>
      </c>
      <c r="G16" s="74">
        <v>254.6</v>
      </c>
      <c r="H16" s="73" t="s">
        <v>94</v>
      </c>
      <c r="I16" s="75">
        <v>994875</v>
      </c>
    </row>
    <row r="17" spans="1:22" x14ac:dyDescent="0.25">
      <c r="A17" s="28" t="s">
        <v>44</v>
      </c>
      <c r="B17" s="27">
        <v>994875</v>
      </c>
      <c r="C17" s="144">
        <v>0</v>
      </c>
      <c r="D17" s="6">
        <f t="shared" si="3"/>
        <v>0</v>
      </c>
      <c r="F17" s="73" t="s">
        <v>101</v>
      </c>
      <c r="G17" s="74">
        <v>562.4</v>
      </c>
      <c r="H17" s="73" t="s">
        <v>94</v>
      </c>
      <c r="I17" s="75">
        <v>1635111</v>
      </c>
    </row>
    <row r="18" spans="1:22" x14ac:dyDescent="0.25">
      <c r="A18" s="28" t="s">
        <v>45</v>
      </c>
      <c r="B18" s="27">
        <v>1635111</v>
      </c>
      <c r="C18" s="144">
        <v>0</v>
      </c>
      <c r="D18" s="6">
        <f t="shared" si="3"/>
        <v>0</v>
      </c>
    </row>
    <row r="19" spans="1:22" x14ac:dyDescent="0.25">
      <c r="A19" s="28" t="s">
        <v>75</v>
      </c>
      <c r="B19" s="27">
        <f>R6</f>
        <v>1552559.43</v>
      </c>
      <c r="C19" s="144">
        <f>D19/B19</f>
        <v>0.37658963232800097</v>
      </c>
      <c r="D19" s="6">
        <f>U6</f>
        <v>584677.78491107072</v>
      </c>
    </row>
    <row r="20" spans="1:22" ht="15.75" x14ac:dyDescent="0.25">
      <c r="A20" s="28" t="s">
        <v>163</v>
      </c>
      <c r="B20" s="27">
        <v>0</v>
      </c>
      <c r="C20" s="27">
        <v>0</v>
      </c>
      <c r="D20" s="6">
        <f t="shared" si="3"/>
        <v>0</v>
      </c>
      <c r="F20" s="78" t="s">
        <v>103</v>
      </c>
      <c r="G20" s="79"/>
      <c r="H20" s="80"/>
      <c r="I20" s="80"/>
      <c r="J20" s="170" t="s">
        <v>104</v>
      </c>
      <c r="K20" s="171"/>
      <c r="L20" s="170" t="s">
        <v>105</v>
      </c>
      <c r="M20" s="172"/>
      <c r="N20" s="172"/>
      <c r="O20" s="172"/>
      <c r="P20" s="171"/>
      <c r="Q20" s="170" t="s">
        <v>106</v>
      </c>
      <c r="R20" s="172"/>
      <c r="S20" s="81" t="s">
        <v>107</v>
      </c>
      <c r="T20" s="81" t="s">
        <v>108</v>
      </c>
      <c r="U20" s="170" t="s">
        <v>109</v>
      </c>
      <c r="V20" s="171"/>
    </row>
    <row r="21" spans="1:22" ht="15.75" x14ac:dyDescent="0.25">
      <c r="A21" s="28" t="s">
        <v>173</v>
      </c>
      <c r="B21" s="27">
        <v>348047</v>
      </c>
      <c r="C21" s="27">
        <v>0</v>
      </c>
      <c r="D21" s="6">
        <f t="shared" si="3"/>
        <v>0</v>
      </c>
      <c r="F21" s="82" t="s">
        <v>110</v>
      </c>
      <c r="G21" s="83">
        <v>2015</v>
      </c>
      <c r="H21" s="80"/>
      <c r="I21" s="84"/>
      <c r="J21" s="85" t="s">
        <v>111</v>
      </c>
      <c r="K21" s="85" t="s">
        <v>112</v>
      </c>
      <c r="L21" s="86" t="s">
        <v>113</v>
      </c>
      <c r="M21" s="87" t="s">
        <v>114</v>
      </c>
      <c r="N21" s="86" t="s">
        <v>115</v>
      </c>
      <c r="O21" s="86" t="s">
        <v>116</v>
      </c>
      <c r="P21" s="86" t="s">
        <v>117</v>
      </c>
      <c r="Q21" s="87" t="s">
        <v>118</v>
      </c>
      <c r="R21" s="87" t="s">
        <v>119</v>
      </c>
      <c r="S21" s="88" t="s">
        <v>120</v>
      </c>
      <c r="T21" s="88" t="s">
        <v>121</v>
      </c>
      <c r="U21" s="88" t="s">
        <v>122</v>
      </c>
      <c r="V21" s="89" t="s">
        <v>123</v>
      </c>
    </row>
    <row r="22" spans="1:22" ht="75.75" x14ac:dyDescent="0.25">
      <c r="A22" s="28" t="s">
        <v>164</v>
      </c>
      <c r="B22" s="27">
        <v>318181</v>
      </c>
      <c r="C22" s="27">
        <v>0</v>
      </c>
      <c r="D22" s="6">
        <f t="shared" si="3"/>
        <v>0</v>
      </c>
      <c r="F22" s="90"/>
      <c r="G22" s="91"/>
      <c r="H22" s="92"/>
      <c r="I22" s="93"/>
      <c r="J22" s="94" t="s">
        <v>124</v>
      </c>
      <c r="K22" s="94" t="s">
        <v>125</v>
      </c>
      <c r="L22" s="94" t="s">
        <v>126</v>
      </c>
      <c r="M22" s="94" t="s">
        <v>127</v>
      </c>
      <c r="N22" s="94" t="s">
        <v>128</v>
      </c>
      <c r="O22" s="94" t="s">
        <v>129</v>
      </c>
      <c r="P22" s="94" t="s">
        <v>130</v>
      </c>
      <c r="Q22" s="95" t="s">
        <v>131</v>
      </c>
      <c r="R22" s="95" t="s">
        <v>132</v>
      </c>
      <c r="S22" s="95" t="s">
        <v>133</v>
      </c>
      <c r="T22" s="95" t="s">
        <v>134</v>
      </c>
      <c r="U22" s="95" t="s">
        <v>135</v>
      </c>
      <c r="V22" s="96" t="s">
        <v>136</v>
      </c>
    </row>
    <row r="23" spans="1:22" ht="45" x14ac:dyDescent="0.25">
      <c r="A23" s="28" t="s">
        <v>165</v>
      </c>
      <c r="B23" s="27">
        <v>7619</v>
      </c>
      <c r="C23" s="27">
        <v>0</v>
      </c>
      <c r="D23" s="6">
        <f t="shared" si="3"/>
        <v>0</v>
      </c>
      <c r="F23" s="97"/>
      <c r="G23" s="79"/>
      <c r="H23" s="98"/>
      <c r="I23" s="84"/>
      <c r="J23" s="99"/>
      <c r="K23" s="99"/>
      <c r="L23" s="99"/>
      <c r="M23" s="99"/>
      <c r="N23" s="100" t="s">
        <v>137</v>
      </c>
      <c r="O23" s="100" t="s">
        <v>138</v>
      </c>
      <c r="P23" s="100"/>
      <c r="Q23" s="101"/>
      <c r="R23" s="101"/>
      <c r="S23" s="102"/>
      <c r="T23" s="102"/>
      <c r="U23" s="96" t="s">
        <v>139</v>
      </c>
      <c r="V23" s="103" t="s">
        <v>140</v>
      </c>
    </row>
    <row r="24" spans="1:22" x14ac:dyDescent="0.25">
      <c r="A24" s="28" t="s">
        <v>166</v>
      </c>
      <c r="B24" s="27">
        <v>1009</v>
      </c>
      <c r="C24" s="27">
        <v>0</v>
      </c>
      <c r="D24" s="6">
        <f t="shared" si="3"/>
        <v>0</v>
      </c>
      <c r="F24" s="104">
        <v>0</v>
      </c>
      <c r="G24" s="105" t="s">
        <v>141</v>
      </c>
      <c r="H24" s="106" t="s">
        <v>86</v>
      </c>
      <c r="I24" s="107">
        <v>0.5</v>
      </c>
      <c r="J24" s="108">
        <v>1000</v>
      </c>
      <c r="K24" s="109" t="s">
        <v>142</v>
      </c>
      <c r="L24" s="110">
        <v>5.0999999999999997E-2</v>
      </c>
      <c r="M24" s="111" t="s">
        <v>143</v>
      </c>
      <c r="N24" s="109" t="s">
        <v>144</v>
      </c>
      <c r="O24" s="108">
        <f>J24*L24</f>
        <v>51</v>
      </c>
      <c r="P24" s="112" t="s">
        <v>145</v>
      </c>
      <c r="Q24" s="113">
        <v>14</v>
      </c>
      <c r="R24" s="109" t="s">
        <v>146</v>
      </c>
      <c r="S24" s="114">
        <v>1</v>
      </c>
      <c r="T24" s="115">
        <v>1</v>
      </c>
      <c r="U24" s="116">
        <f>+O24*Q24*S24*T24*3.66666666666667</f>
        <v>2618.0000000000023</v>
      </c>
      <c r="V24" s="117">
        <f>U24/1000</f>
        <v>2.6180000000000021</v>
      </c>
    </row>
    <row r="25" spans="1:22" x14ac:dyDescent="0.25">
      <c r="A25" s="28" t="s">
        <v>169</v>
      </c>
      <c r="B25" s="27">
        <v>293563</v>
      </c>
      <c r="C25" s="27">
        <v>0</v>
      </c>
      <c r="D25" s="6">
        <f t="shared" si="3"/>
        <v>0</v>
      </c>
      <c r="F25" s="118" t="s">
        <v>147</v>
      </c>
      <c r="G25" s="118" t="s">
        <v>148</v>
      </c>
      <c r="H25" s="119" t="s">
        <v>149</v>
      </c>
      <c r="I25" s="119" t="s">
        <v>150</v>
      </c>
      <c r="J25" s="120"/>
      <c r="K25" s="121"/>
      <c r="L25" s="121"/>
      <c r="M25" s="121"/>
      <c r="N25" s="121"/>
      <c r="O25" s="121"/>
      <c r="P25" s="121"/>
      <c r="Q25" s="122"/>
      <c r="R25" s="123"/>
      <c r="S25" s="124"/>
      <c r="T25" s="124"/>
      <c r="U25" s="124"/>
      <c r="V25" s="121"/>
    </row>
    <row r="26" spans="1:22" ht="30" x14ac:dyDescent="0.25">
      <c r="A26" s="28" t="s">
        <v>167</v>
      </c>
      <c r="B26" s="27">
        <v>53</v>
      </c>
      <c r="C26" s="27">
        <v>0</v>
      </c>
      <c r="D26" s="6">
        <f t="shared" si="3"/>
        <v>0</v>
      </c>
      <c r="F26" s="125">
        <v>1</v>
      </c>
      <c r="G26" s="126" t="s">
        <v>32</v>
      </c>
      <c r="H26" s="126" t="s">
        <v>84</v>
      </c>
      <c r="I26" s="127">
        <v>0.15</v>
      </c>
      <c r="J26" s="128">
        <v>1063105</v>
      </c>
      <c r="K26" s="129" t="s">
        <v>151</v>
      </c>
      <c r="L26" s="130">
        <v>17.024999999999999</v>
      </c>
      <c r="M26" s="129" t="s">
        <v>152</v>
      </c>
      <c r="N26" s="129" t="s">
        <v>144</v>
      </c>
      <c r="O26" s="131">
        <f>J26*L26</f>
        <v>18099362.625</v>
      </c>
      <c r="P26" s="132" t="s">
        <v>153</v>
      </c>
      <c r="Q26" s="133">
        <v>93.4</v>
      </c>
      <c r="R26" s="132" t="s">
        <v>154</v>
      </c>
      <c r="S26" s="134">
        <v>0.98</v>
      </c>
      <c r="T26" s="135">
        <v>1</v>
      </c>
      <c r="U26" s="136">
        <f t="shared" ref="U26:U33" si="4">+O26*Q26*S26*T26</f>
        <v>1656670859.7915001</v>
      </c>
      <c r="V26" s="136">
        <f t="shared" ref="V26:V33" si="5">U26/1000</f>
        <v>1656670.8597915</v>
      </c>
    </row>
    <row r="27" spans="1:22" ht="25.5" x14ac:dyDescent="0.25">
      <c r="A27" s="28" t="s">
        <v>168</v>
      </c>
      <c r="B27" s="27">
        <v>218280</v>
      </c>
      <c r="C27" s="27">
        <v>0</v>
      </c>
      <c r="D27" s="6">
        <f t="shared" si="3"/>
        <v>0</v>
      </c>
      <c r="F27" s="125">
        <f t="shared" ref="F27:F34" si="6">F26+1</f>
        <v>2</v>
      </c>
      <c r="G27" s="126" t="s">
        <v>32</v>
      </c>
      <c r="H27" s="126" t="s">
        <v>155</v>
      </c>
      <c r="I27" s="137">
        <v>0.15</v>
      </c>
      <c r="J27" s="128">
        <v>1768</v>
      </c>
      <c r="K27" s="129" t="s">
        <v>156</v>
      </c>
      <c r="L27" s="133">
        <f>140000*42/1000000</f>
        <v>5.88</v>
      </c>
      <c r="M27" s="138" t="s">
        <v>157</v>
      </c>
      <c r="N27" s="129" t="s">
        <v>144</v>
      </c>
      <c r="O27" s="131">
        <f>(J27*L27)</f>
        <v>10395.84</v>
      </c>
      <c r="P27" s="132" t="s">
        <v>153</v>
      </c>
      <c r="Q27" s="133">
        <v>73.959999999999994</v>
      </c>
      <c r="R27" s="132" t="s">
        <v>154</v>
      </c>
      <c r="S27" s="134">
        <v>0.99</v>
      </c>
      <c r="T27" s="135">
        <v>1</v>
      </c>
      <c r="U27" s="136">
        <f t="shared" si="4"/>
        <v>761187.56313599995</v>
      </c>
      <c r="V27" s="136">
        <f t="shared" si="5"/>
        <v>761.18756313599999</v>
      </c>
    </row>
    <row r="28" spans="1:22" x14ac:dyDescent="0.25">
      <c r="A28" s="28" t="s">
        <v>72</v>
      </c>
      <c r="B28" s="27">
        <v>268168</v>
      </c>
      <c r="C28" s="27">
        <v>0</v>
      </c>
      <c r="D28" s="6">
        <f t="shared" si="3"/>
        <v>0</v>
      </c>
      <c r="F28" s="125">
        <f t="shared" si="6"/>
        <v>3</v>
      </c>
      <c r="G28" s="126" t="s">
        <v>158</v>
      </c>
      <c r="H28" s="126" t="s">
        <v>86</v>
      </c>
      <c r="I28" s="137">
        <v>1</v>
      </c>
      <c r="J28" s="128">
        <v>627.06799999999998</v>
      </c>
      <c r="K28" s="129" t="s">
        <v>159</v>
      </c>
      <c r="L28" s="139">
        <v>1026</v>
      </c>
      <c r="M28" s="129" t="s">
        <v>160</v>
      </c>
      <c r="N28" s="129" t="s">
        <v>144</v>
      </c>
      <c r="O28" s="131">
        <f t="shared" ref="O28:O32" si="7">J28*L28</f>
        <v>643371.76800000004</v>
      </c>
      <c r="P28" s="132" t="s">
        <v>153</v>
      </c>
      <c r="Q28" s="133">
        <v>53.06</v>
      </c>
      <c r="R28" s="132" t="s">
        <v>154</v>
      </c>
      <c r="S28" s="134">
        <v>0.995</v>
      </c>
      <c r="T28" s="135">
        <v>1</v>
      </c>
      <c r="U28" s="136">
        <f t="shared" si="4"/>
        <v>33966619.480029605</v>
      </c>
      <c r="V28" s="136">
        <f t="shared" si="5"/>
        <v>33966.619480029607</v>
      </c>
    </row>
    <row r="29" spans="1:22" x14ac:dyDescent="0.25">
      <c r="A29" s="28" t="s">
        <v>72</v>
      </c>
      <c r="B29" s="27">
        <v>14769</v>
      </c>
      <c r="C29" s="27">
        <v>0</v>
      </c>
      <c r="D29" s="6">
        <f t="shared" si="3"/>
        <v>0</v>
      </c>
      <c r="F29" s="125">
        <f t="shared" si="6"/>
        <v>4</v>
      </c>
      <c r="G29" s="126" t="s">
        <v>161</v>
      </c>
      <c r="H29" s="126" t="s">
        <v>86</v>
      </c>
      <c r="I29" s="137">
        <v>1</v>
      </c>
      <c r="J29" s="133">
        <v>13.834</v>
      </c>
      <c r="K29" s="129" t="s">
        <v>159</v>
      </c>
      <c r="L29" s="139">
        <v>1026</v>
      </c>
      <c r="M29" s="129" t="s">
        <v>160</v>
      </c>
      <c r="N29" s="129" t="s">
        <v>144</v>
      </c>
      <c r="O29" s="131">
        <f t="shared" si="7"/>
        <v>14193.683999999999</v>
      </c>
      <c r="P29" s="132" t="s">
        <v>153</v>
      </c>
      <c r="Q29" s="133">
        <v>53.06</v>
      </c>
      <c r="R29" s="132" t="s">
        <v>154</v>
      </c>
      <c r="S29" s="134">
        <v>0.995</v>
      </c>
      <c r="T29" s="135">
        <v>1</v>
      </c>
      <c r="U29" s="136">
        <f t="shared" si="4"/>
        <v>749351.28867479996</v>
      </c>
      <c r="V29" s="136">
        <f t="shared" si="5"/>
        <v>749.3512886748</v>
      </c>
    </row>
    <row r="30" spans="1:22" x14ac:dyDescent="0.25">
      <c r="A30" s="28" t="s">
        <v>170</v>
      </c>
      <c r="B30" s="27">
        <v>8426</v>
      </c>
      <c r="C30" s="27">
        <v>0</v>
      </c>
      <c r="D30" s="6">
        <f t="shared" si="3"/>
        <v>0</v>
      </c>
      <c r="F30" s="125">
        <f t="shared" si="6"/>
        <v>5</v>
      </c>
      <c r="G30" s="126" t="s">
        <v>35</v>
      </c>
      <c r="H30" s="126" t="s">
        <v>86</v>
      </c>
      <c r="I30" s="137">
        <v>1</v>
      </c>
      <c r="J30" s="133">
        <v>200.97300000000001</v>
      </c>
      <c r="K30" s="129" t="s">
        <v>159</v>
      </c>
      <c r="L30" s="139">
        <v>1026</v>
      </c>
      <c r="M30" s="129" t="s">
        <v>160</v>
      </c>
      <c r="N30" s="129" t="s">
        <v>144</v>
      </c>
      <c r="O30" s="131">
        <f t="shared" si="7"/>
        <v>206198.29800000001</v>
      </c>
      <c r="P30" s="132" t="s">
        <v>153</v>
      </c>
      <c r="Q30" s="133">
        <v>53.06</v>
      </c>
      <c r="R30" s="132" t="s">
        <v>154</v>
      </c>
      <c r="S30" s="134">
        <v>0.995</v>
      </c>
      <c r="T30" s="135">
        <v>1</v>
      </c>
      <c r="U30" s="136">
        <f t="shared" si="4"/>
        <v>10886177.2834206</v>
      </c>
      <c r="V30" s="136">
        <f t="shared" si="5"/>
        <v>10886.1772834206</v>
      </c>
    </row>
    <row r="31" spans="1:22" x14ac:dyDescent="0.25">
      <c r="A31" s="28" t="s">
        <v>171</v>
      </c>
      <c r="B31" s="27">
        <v>45476</v>
      </c>
      <c r="C31" s="27">
        <v>0</v>
      </c>
      <c r="D31" s="6">
        <f t="shared" si="3"/>
        <v>0</v>
      </c>
      <c r="F31" s="125">
        <f t="shared" si="6"/>
        <v>6</v>
      </c>
      <c r="G31" s="126" t="s">
        <v>36</v>
      </c>
      <c r="H31" s="126" t="s">
        <v>86</v>
      </c>
      <c r="I31" s="137">
        <v>1</v>
      </c>
      <c r="J31" s="133">
        <v>12834.115</v>
      </c>
      <c r="K31" s="129" t="s">
        <v>159</v>
      </c>
      <c r="L31" s="139">
        <v>1026</v>
      </c>
      <c r="M31" s="129" t="s">
        <v>160</v>
      </c>
      <c r="N31" s="129" t="s">
        <v>144</v>
      </c>
      <c r="O31" s="131">
        <f t="shared" si="7"/>
        <v>13167801.99</v>
      </c>
      <c r="P31" s="132" t="s">
        <v>153</v>
      </c>
      <c r="Q31" s="133">
        <v>53.06</v>
      </c>
      <c r="R31" s="132" t="s">
        <v>154</v>
      </c>
      <c r="S31" s="134">
        <v>0.995</v>
      </c>
      <c r="T31" s="135">
        <v>1</v>
      </c>
      <c r="U31" s="136">
        <f t="shared" si="4"/>
        <v>695190155.72145307</v>
      </c>
      <c r="V31" s="136">
        <f t="shared" si="5"/>
        <v>695190.15572145302</v>
      </c>
    </row>
    <row r="32" spans="1:22" x14ac:dyDescent="0.25">
      <c r="A32" s="28" t="s">
        <v>172</v>
      </c>
      <c r="B32" s="27">
        <v>919</v>
      </c>
      <c r="C32" s="27">
        <v>0</v>
      </c>
      <c r="D32" s="6">
        <f t="shared" si="3"/>
        <v>0</v>
      </c>
      <c r="F32" s="125">
        <f t="shared" si="6"/>
        <v>7</v>
      </c>
      <c r="G32" s="126" t="s">
        <v>37</v>
      </c>
      <c r="H32" s="126" t="s">
        <v>86</v>
      </c>
      <c r="I32" s="137">
        <v>1</v>
      </c>
      <c r="J32" s="133">
        <v>4.7279999999999998</v>
      </c>
      <c r="K32" s="129" t="s">
        <v>159</v>
      </c>
      <c r="L32" s="139">
        <v>1026</v>
      </c>
      <c r="M32" s="129" t="s">
        <v>160</v>
      </c>
      <c r="N32" s="129" t="s">
        <v>144</v>
      </c>
      <c r="O32" s="131">
        <f t="shared" si="7"/>
        <v>4850.9279999999999</v>
      </c>
      <c r="P32" s="132" t="s">
        <v>153</v>
      </c>
      <c r="Q32" s="133">
        <v>53.06</v>
      </c>
      <c r="R32" s="132" t="s">
        <v>154</v>
      </c>
      <c r="S32" s="134">
        <v>0.995</v>
      </c>
      <c r="T32" s="135">
        <v>1</v>
      </c>
      <c r="U32" s="136">
        <f t="shared" si="4"/>
        <v>256103.2884816</v>
      </c>
      <c r="V32" s="136">
        <f t="shared" si="5"/>
        <v>256.10328848159998</v>
      </c>
    </row>
    <row r="33" spans="1:26" x14ac:dyDescent="0.25">
      <c r="A33" s="28" t="s">
        <v>223</v>
      </c>
      <c r="B33" s="27">
        <v>2992</v>
      </c>
      <c r="C33" s="27"/>
      <c r="D33" s="6">
        <f t="shared" si="3"/>
        <v>0</v>
      </c>
      <c r="F33" s="125">
        <f t="shared" si="6"/>
        <v>8</v>
      </c>
      <c r="G33" s="126"/>
      <c r="H33" s="140"/>
      <c r="I33" s="137">
        <v>1</v>
      </c>
      <c r="J33" s="133"/>
      <c r="K33" s="129"/>
      <c r="L33" s="128"/>
      <c r="M33" s="129"/>
      <c r="N33" s="129"/>
      <c r="O33" s="131">
        <f>J51*L33</f>
        <v>0</v>
      </c>
      <c r="P33" s="132"/>
      <c r="Q33" s="128"/>
      <c r="R33" s="132"/>
      <c r="S33" s="141"/>
      <c r="T33" s="135"/>
      <c r="U33" s="136">
        <f t="shared" si="4"/>
        <v>0</v>
      </c>
      <c r="V33" s="136">
        <f t="shared" si="5"/>
        <v>0</v>
      </c>
    </row>
    <row r="34" spans="1:26" x14ac:dyDescent="0.25">
      <c r="A34" s="28" t="s">
        <v>229</v>
      </c>
      <c r="B34" s="27">
        <v>29412</v>
      </c>
      <c r="C34" s="27"/>
      <c r="D34" s="6">
        <f t="shared" si="3"/>
        <v>0</v>
      </c>
      <c r="F34" s="125">
        <f t="shared" si="6"/>
        <v>9</v>
      </c>
      <c r="G34" s="142" t="s">
        <v>162</v>
      </c>
      <c r="H34" s="143" t="s">
        <v>86</v>
      </c>
      <c r="I34" s="137">
        <v>1</v>
      </c>
      <c r="J34" s="133">
        <v>11478.835999999999</v>
      </c>
      <c r="K34" s="129" t="s">
        <v>159</v>
      </c>
      <c r="L34" s="139">
        <v>1026</v>
      </c>
      <c r="M34" s="129" t="s">
        <v>160</v>
      </c>
      <c r="N34" s="129" t="s">
        <v>144</v>
      </c>
      <c r="O34" s="131">
        <f>J34*L34</f>
        <v>11777285.736</v>
      </c>
      <c r="P34" s="132" t="s">
        <v>153</v>
      </c>
      <c r="Q34" s="133">
        <v>53.06</v>
      </c>
      <c r="R34" s="132" t="s">
        <v>154</v>
      </c>
      <c r="S34" s="134">
        <v>0.995</v>
      </c>
      <c r="T34" s="135">
        <v>1</v>
      </c>
      <c r="U34" s="136">
        <f>+O34*Q34*S34*T34</f>
        <v>621778267.24639928</v>
      </c>
      <c r="V34" s="136">
        <f>U34/1000</f>
        <v>621778.26724639931</v>
      </c>
    </row>
    <row r="35" spans="1:26" x14ac:dyDescent="0.25">
      <c r="A35" s="28"/>
      <c r="B35" s="27"/>
      <c r="C35" s="27"/>
      <c r="D35" s="6">
        <f t="shared" si="3"/>
        <v>0</v>
      </c>
    </row>
    <row r="36" spans="1:26" x14ac:dyDescent="0.25">
      <c r="A36" s="28"/>
      <c r="B36" s="27"/>
      <c r="C36" s="27"/>
      <c r="D36" s="6">
        <f t="shared" si="3"/>
        <v>0</v>
      </c>
      <c r="F36" t="s">
        <v>242</v>
      </c>
      <c r="J36" t="s">
        <v>104</v>
      </c>
      <c r="L36" t="s">
        <v>105</v>
      </c>
      <c r="Q36" t="s">
        <v>106</v>
      </c>
      <c r="S36" t="s">
        <v>107</v>
      </c>
      <c r="U36" t="s">
        <v>108</v>
      </c>
      <c r="V36" t="s">
        <v>109</v>
      </c>
    </row>
    <row r="37" spans="1:26" x14ac:dyDescent="0.25">
      <c r="A37" s="28"/>
      <c r="B37" s="27"/>
      <c r="C37" s="27"/>
      <c r="D37" s="6">
        <f t="shared" si="3"/>
        <v>0</v>
      </c>
      <c r="F37" t="s">
        <v>110</v>
      </c>
      <c r="G37">
        <v>2015</v>
      </c>
      <c r="J37" t="s">
        <v>111</v>
      </c>
      <c r="K37" t="s">
        <v>112</v>
      </c>
      <c r="L37" t="s">
        <v>113</v>
      </c>
      <c r="M37" t="s">
        <v>114</v>
      </c>
      <c r="N37" t="s">
        <v>115</v>
      </c>
      <c r="O37" t="s">
        <v>116</v>
      </c>
      <c r="P37" t="s">
        <v>117</v>
      </c>
      <c r="Q37" t="s">
        <v>118</v>
      </c>
      <c r="R37" t="s">
        <v>119</v>
      </c>
      <c r="S37" t="s">
        <v>120</v>
      </c>
      <c r="T37" t="s">
        <v>121</v>
      </c>
      <c r="U37" t="s">
        <v>122</v>
      </c>
      <c r="V37" t="s">
        <v>123</v>
      </c>
      <c r="W37" t="s">
        <v>243</v>
      </c>
    </row>
    <row r="38" spans="1:26" x14ac:dyDescent="0.25">
      <c r="A38" s="28"/>
      <c r="B38" s="27"/>
      <c r="C38" s="27"/>
      <c r="D38" s="6">
        <f t="shared" si="3"/>
        <v>0</v>
      </c>
      <c r="J38" t="s">
        <v>124</v>
      </c>
      <c r="K38" t="s">
        <v>125</v>
      </c>
      <c r="L38" t="s">
        <v>126</v>
      </c>
      <c r="M38" t="s">
        <v>127</v>
      </c>
      <c r="N38" t="s">
        <v>128</v>
      </c>
      <c r="O38" t="s">
        <v>129</v>
      </c>
      <c r="P38" t="s">
        <v>130</v>
      </c>
      <c r="Q38" t="s">
        <v>244</v>
      </c>
      <c r="R38" t="s">
        <v>132</v>
      </c>
      <c r="S38" t="s">
        <v>245</v>
      </c>
      <c r="T38" t="s">
        <v>246</v>
      </c>
      <c r="U38" t="s">
        <v>134</v>
      </c>
      <c r="V38" t="s">
        <v>247</v>
      </c>
      <c r="W38" t="s">
        <v>248</v>
      </c>
      <c r="Y38" s="163" t="s">
        <v>249</v>
      </c>
    </row>
    <row r="39" spans="1:26" x14ac:dyDescent="0.25">
      <c r="A39" s="28"/>
      <c r="B39" s="27"/>
      <c r="C39" s="27"/>
      <c r="D39" s="6">
        <f t="shared" si="3"/>
        <v>0</v>
      </c>
      <c r="N39" t="s">
        <v>137</v>
      </c>
      <c r="O39" t="s">
        <v>138</v>
      </c>
      <c r="V39" t="s">
        <v>250</v>
      </c>
      <c r="W39" t="s">
        <v>251</v>
      </c>
      <c r="Y39" s="163"/>
    </row>
    <row r="40" spans="1:26" ht="15.75" thickBot="1" x14ac:dyDescent="0.3">
      <c r="A40" s="29"/>
      <c r="B40" s="30"/>
      <c r="C40" s="30"/>
      <c r="D40" s="9">
        <f t="shared" si="3"/>
        <v>0</v>
      </c>
      <c r="F40" t="s">
        <v>252</v>
      </c>
      <c r="J40">
        <v>1000</v>
      </c>
      <c r="K40" t="s">
        <v>142</v>
      </c>
      <c r="L40">
        <v>5.0999999999999997E-2</v>
      </c>
      <c r="M40" t="s">
        <v>143</v>
      </c>
      <c r="N40" t="s">
        <v>144</v>
      </c>
      <c r="O40">
        <v>51</v>
      </c>
      <c r="P40" t="s">
        <v>145</v>
      </c>
      <c r="Q40">
        <v>1E-3</v>
      </c>
      <c r="R40" t="s">
        <v>253</v>
      </c>
      <c r="S40">
        <v>2E-3</v>
      </c>
      <c r="T40" t="s">
        <v>254</v>
      </c>
      <c r="U40">
        <v>1</v>
      </c>
      <c r="V40">
        <v>5.1000000000000004E-2</v>
      </c>
      <c r="W40">
        <v>0.10200000000000001</v>
      </c>
      <c r="Y40" s="163"/>
    </row>
    <row r="41" spans="1:26" ht="16.5" thickTop="1" thickBot="1" x14ac:dyDescent="0.3">
      <c r="A41" s="1"/>
      <c r="B41" s="10">
        <f>SUM(B4:B40)</f>
        <v>10708045.273499999</v>
      </c>
      <c r="C41" s="176">
        <f>D41/B41</f>
        <v>0.28956972860823404</v>
      </c>
      <c r="D41" s="10">
        <f>SUM(D4:D40)</f>
        <v>3100725.7637720779</v>
      </c>
      <c r="F41" t="s">
        <v>147</v>
      </c>
      <c r="G41" t="s">
        <v>148</v>
      </c>
      <c r="H41" t="s">
        <v>149</v>
      </c>
      <c r="I41" t="s">
        <v>150</v>
      </c>
      <c r="Y41" s="163"/>
      <c r="Z41" t="s">
        <v>148</v>
      </c>
    </row>
    <row r="42" spans="1:26" x14ac:dyDescent="0.25">
      <c r="F42">
        <v>1</v>
      </c>
      <c r="G42" t="s">
        <v>32</v>
      </c>
      <c r="H42" t="s">
        <v>84</v>
      </c>
      <c r="I42">
        <v>0.15</v>
      </c>
      <c r="J42">
        <v>1063105</v>
      </c>
      <c r="K42" t="s">
        <v>151</v>
      </c>
      <c r="L42">
        <v>17.024999999999999</v>
      </c>
      <c r="M42" t="s">
        <v>152</v>
      </c>
      <c r="N42" t="s">
        <v>144</v>
      </c>
      <c r="O42">
        <v>18099362.625</v>
      </c>
      <c r="P42" t="s">
        <v>153</v>
      </c>
      <c r="Q42">
        <v>1.0999999999999999E-2</v>
      </c>
      <c r="R42" t="s">
        <v>255</v>
      </c>
      <c r="S42">
        <v>1.6000000000000001E-3</v>
      </c>
      <c r="T42" t="s">
        <v>255</v>
      </c>
      <c r="U42">
        <v>1</v>
      </c>
      <c r="V42">
        <v>199092.98887499998</v>
      </c>
      <c r="W42">
        <v>28958.980200000002</v>
      </c>
      <c r="Y42" s="163">
        <v>13158.236628375</v>
      </c>
      <c r="Z42" t="s">
        <v>32</v>
      </c>
    </row>
    <row r="43" spans="1:26" x14ac:dyDescent="0.25">
      <c r="F43">
        <v>2</v>
      </c>
      <c r="G43" t="s">
        <v>32</v>
      </c>
      <c r="H43" t="s">
        <v>155</v>
      </c>
      <c r="I43">
        <v>0.15</v>
      </c>
      <c r="J43">
        <v>1768</v>
      </c>
      <c r="K43" t="s">
        <v>156</v>
      </c>
      <c r="L43">
        <v>5.88</v>
      </c>
      <c r="M43" t="s">
        <v>256</v>
      </c>
      <c r="N43" t="s">
        <v>144</v>
      </c>
      <c r="O43">
        <v>10395.84</v>
      </c>
      <c r="P43" t="s">
        <v>153</v>
      </c>
      <c r="Q43">
        <v>3.0000000000000001E-3</v>
      </c>
      <c r="R43" t="s">
        <v>255</v>
      </c>
      <c r="S43">
        <v>5.9999999999999995E-4</v>
      </c>
      <c r="T43" t="s">
        <v>255</v>
      </c>
      <c r="U43">
        <v>1</v>
      </c>
      <c r="V43">
        <v>31.187520000000003</v>
      </c>
      <c r="W43">
        <v>6.2375039999999995</v>
      </c>
      <c r="Y43" s="163">
        <v>2.5885641599999998</v>
      </c>
      <c r="Z43" t="s">
        <v>32</v>
      </c>
    </row>
    <row r="44" spans="1:26" x14ac:dyDescent="0.25">
      <c r="A44" s="154" t="s">
        <v>224</v>
      </c>
      <c r="C44" s="71"/>
      <c r="D44" s="72"/>
      <c r="F44">
        <v>3</v>
      </c>
      <c r="G44" t="s">
        <v>158</v>
      </c>
      <c r="H44" t="s">
        <v>86</v>
      </c>
      <c r="I44">
        <v>1</v>
      </c>
      <c r="J44">
        <v>627.06799999999998</v>
      </c>
      <c r="K44" t="s">
        <v>159</v>
      </c>
      <c r="L44">
        <v>1026</v>
      </c>
      <c r="M44" t="s">
        <v>160</v>
      </c>
      <c r="N44" t="s">
        <v>144</v>
      </c>
      <c r="O44">
        <v>643371.76800000004</v>
      </c>
      <c r="P44" t="s">
        <v>153</v>
      </c>
      <c r="Q44">
        <v>1E-3</v>
      </c>
      <c r="R44" t="s">
        <v>255</v>
      </c>
      <c r="S44">
        <v>1E-4</v>
      </c>
      <c r="T44" t="s">
        <v>255</v>
      </c>
      <c r="U44">
        <v>1</v>
      </c>
      <c r="V44">
        <v>643.37176800000009</v>
      </c>
      <c r="W44">
        <v>64.337176800000009</v>
      </c>
      <c r="Y44" s="163">
        <v>33.455331936</v>
      </c>
      <c r="Z44" t="s">
        <v>158</v>
      </c>
    </row>
    <row r="45" spans="1:26" x14ac:dyDescent="0.25">
      <c r="A45" s="154" t="s">
        <v>225</v>
      </c>
      <c r="C45" s="71"/>
      <c r="D45" s="72"/>
      <c r="F45">
        <v>4</v>
      </c>
      <c r="G45" t="s">
        <v>161</v>
      </c>
      <c r="H45" t="s">
        <v>86</v>
      </c>
      <c r="I45">
        <v>1</v>
      </c>
      <c r="J45">
        <v>13.834</v>
      </c>
      <c r="K45" t="s">
        <v>159</v>
      </c>
      <c r="L45">
        <v>1026</v>
      </c>
      <c r="M45" t="s">
        <v>160</v>
      </c>
      <c r="N45" t="s">
        <v>144</v>
      </c>
      <c r="O45">
        <v>14193.683999999999</v>
      </c>
      <c r="P45" t="s">
        <v>153</v>
      </c>
      <c r="Q45">
        <v>1E-3</v>
      </c>
      <c r="R45" t="s">
        <v>255</v>
      </c>
      <c r="S45">
        <v>1E-4</v>
      </c>
      <c r="T45" t="s">
        <v>255</v>
      </c>
      <c r="U45">
        <v>1</v>
      </c>
      <c r="V45">
        <v>14.193683999999999</v>
      </c>
      <c r="W45">
        <v>1.4193684</v>
      </c>
      <c r="Y45" s="163">
        <v>0.73807156800000007</v>
      </c>
      <c r="Z45" t="s">
        <v>161</v>
      </c>
    </row>
    <row r="46" spans="1:26" x14ac:dyDescent="0.25">
      <c r="A46" s="154" t="s">
        <v>226</v>
      </c>
      <c r="C46" s="71"/>
      <c r="D46" s="72"/>
      <c r="F46">
        <v>5</v>
      </c>
      <c r="G46" t="s">
        <v>35</v>
      </c>
      <c r="H46" t="s">
        <v>86</v>
      </c>
      <c r="I46">
        <v>1</v>
      </c>
      <c r="J46">
        <v>200.97300000000001</v>
      </c>
      <c r="K46" t="s">
        <v>159</v>
      </c>
      <c r="L46">
        <v>1026</v>
      </c>
      <c r="M46" t="s">
        <v>160</v>
      </c>
      <c r="N46" t="s">
        <v>144</v>
      </c>
      <c r="O46">
        <v>206198.29800000001</v>
      </c>
      <c r="P46" t="s">
        <v>153</v>
      </c>
      <c r="Q46">
        <v>1E-3</v>
      </c>
      <c r="R46" t="s">
        <v>255</v>
      </c>
      <c r="S46">
        <v>1E-4</v>
      </c>
      <c r="T46" t="s">
        <v>255</v>
      </c>
      <c r="U46">
        <v>1</v>
      </c>
      <c r="V46">
        <v>206.19829800000002</v>
      </c>
      <c r="W46">
        <v>20.619829800000002</v>
      </c>
      <c r="Y46" s="163">
        <v>10.722311496000001</v>
      </c>
      <c r="Z46" t="s">
        <v>35</v>
      </c>
    </row>
    <row r="47" spans="1:26" x14ac:dyDescent="0.25">
      <c r="A47" s="154" t="s">
        <v>228</v>
      </c>
      <c r="F47">
        <v>6</v>
      </c>
      <c r="G47" t="s">
        <v>36</v>
      </c>
      <c r="H47" t="s">
        <v>86</v>
      </c>
      <c r="I47">
        <v>1</v>
      </c>
      <c r="J47">
        <v>12834.115</v>
      </c>
      <c r="K47" t="s">
        <v>159</v>
      </c>
      <c r="L47">
        <v>1026</v>
      </c>
      <c r="M47" t="s">
        <v>160</v>
      </c>
      <c r="N47" t="s">
        <v>144</v>
      </c>
      <c r="O47">
        <v>13167801.99</v>
      </c>
      <c r="P47" t="s">
        <v>153</v>
      </c>
      <c r="Q47">
        <v>1E-3</v>
      </c>
      <c r="R47" t="s">
        <v>255</v>
      </c>
      <c r="S47">
        <v>1E-4</v>
      </c>
      <c r="T47" t="s">
        <v>255</v>
      </c>
      <c r="U47">
        <v>1</v>
      </c>
      <c r="V47">
        <v>13167.80199</v>
      </c>
      <c r="W47">
        <v>1316.780199</v>
      </c>
      <c r="Y47" s="163">
        <v>684.72570347999988</v>
      </c>
      <c r="Z47" t="s">
        <v>36</v>
      </c>
    </row>
    <row r="48" spans="1:26" x14ac:dyDescent="0.25">
      <c r="F48">
        <v>7</v>
      </c>
      <c r="G48" t="s">
        <v>37</v>
      </c>
      <c r="H48" t="s">
        <v>86</v>
      </c>
      <c r="I48">
        <v>1</v>
      </c>
      <c r="J48">
        <v>4.7279999999999998</v>
      </c>
      <c r="K48" t="s">
        <v>159</v>
      </c>
      <c r="L48">
        <v>1026</v>
      </c>
      <c r="M48" t="s">
        <v>160</v>
      </c>
      <c r="N48" t="s">
        <v>144</v>
      </c>
      <c r="O48">
        <v>4850.9279999999999</v>
      </c>
      <c r="P48" t="s">
        <v>153</v>
      </c>
      <c r="Q48">
        <v>1E-3</v>
      </c>
      <c r="R48" t="s">
        <v>255</v>
      </c>
      <c r="S48">
        <v>1E-4</v>
      </c>
      <c r="T48" t="s">
        <v>255</v>
      </c>
      <c r="U48">
        <v>1</v>
      </c>
      <c r="V48">
        <v>4.8509279999999997</v>
      </c>
      <c r="W48">
        <v>0.48509279999999999</v>
      </c>
      <c r="Y48" s="163">
        <v>0.252248256</v>
      </c>
      <c r="Z48" t="s">
        <v>37</v>
      </c>
    </row>
    <row r="49" spans="6:26" x14ac:dyDescent="0.25">
      <c r="F49">
        <v>8</v>
      </c>
      <c r="I49">
        <v>1</v>
      </c>
      <c r="J49">
        <v>0</v>
      </c>
      <c r="K49">
        <v>0</v>
      </c>
      <c r="L49">
        <v>0</v>
      </c>
      <c r="V49">
        <v>0</v>
      </c>
      <c r="W49">
        <v>0</v>
      </c>
      <c r="Y49" s="163">
        <v>0</v>
      </c>
    </row>
    <row r="50" spans="6:26" x14ac:dyDescent="0.25">
      <c r="F50">
        <v>9</v>
      </c>
      <c r="G50" t="s">
        <v>162</v>
      </c>
      <c r="I50">
        <v>1</v>
      </c>
      <c r="J50">
        <v>11478.835999999999</v>
      </c>
      <c r="K50" t="s">
        <v>159</v>
      </c>
      <c r="L50">
        <v>1026</v>
      </c>
      <c r="M50" t="s">
        <v>160</v>
      </c>
      <c r="N50" t="s">
        <v>144</v>
      </c>
      <c r="O50">
        <v>11777285.736</v>
      </c>
      <c r="P50" t="e">
        <v>#REF!</v>
      </c>
      <c r="Q50">
        <v>1E-3</v>
      </c>
      <c r="R50" t="s">
        <v>255</v>
      </c>
      <c r="S50">
        <v>1E-4</v>
      </c>
      <c r="T50" t="s">
        <v>255</v>
      </c>
      <c r="U50">
        <v>1</v>
      </c>
      <c r="V50">
        <v>11777.285736</v>
      </c>
      <c r="W50">
        <v>1177.7285736000001</v>
      </c>
      <c r="Y50" s="163">
        <v>612.41885827200008</v>
      </c>
      <c r="Z50" t="s">
        <v>162</v>
      </c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2"/>
  <sheetViews>
    <sheetView workbookViewId="0">
      <selection activeCell="E3" sqref="E3"/>
    </sheetView>
  </sheetViews>
  <sheetFormatPr defaultRowHeight="15" x14ac:dyDescent="0.25"/>
  <cols>
    <col min="1" max="1" width="45.7109375" customWidth="1"/>
    <col min="2" max="2" width="10.5703125" bestFit="1" customWidth="1"/>
    <col min="4" max="4" width="36.140625" bestFit="1" customWidth="1"/>
    <col min="6" max="6" width="16" bestFit="1" customWidth="1"/>
    <col min="7" max="7" width="13.42578125" bestFit="1" customWidth="1"/>
    <col min="8" max="8" width="12.5703125" bestFit="1" customWidth="1"/>
    <col min="9" max="9" width="14" bestFit="1" customWidth="1"/>
  </cols>
  <sheetData>
    <row r="1" spans="1:8" ht="32.25" thickBot="1" x14ac:dyDescent="0.3">
      <c r="A1" s="157" t="s">
        <v>227</v>
      </c>
      <c r="B1" s="155">
        <v>2015</v>
      </c>
      <c r="D1" s="147"/>
      <c r="E1" s="148"/>
    </row>
    <row r="2" spans="1:8" ht="18" x14ac:dyDescent="0.35">
      <c r="B2" s="173" t="s">
        <v>257</v>
      </c>
      <c r="C2" s="173"/>
      <c r="D2" s="174"/>
      <c r="E2" s="161">
        <v>0.437</v>
      </c>
      <c r="F2" t="s">
        <v>235</v>
      </c>
    </row>
    <row r="3" spans="1:8" ht="18" x14ac:dyDescent="0.35">
      <c r="B3" s="173" t="s">
        <v>233</v>
      </c>
      <c r="C3" s="173"/>
      <c r="D3" s="173"/>
      <c r="E3" s="177">
        <f>'Known Resources'!C41</f>
        <v>0.28956972860823404</v>
      </c>
      <c r="F3" t="s">
        <v>235</v>
      </c>
    </row>
    <row r="4" spans="1:8" ht="45" x14ac:dyDescent="0.25">
      <c r="A4" s="156" t="s">
        <v>194</v>
      </c>
      <c r="B4" s="156" t="s">
        <v>195</v>
      </c>
      <c r="C4" s="156"/>
      <c r="D4" s="156" t="s">
        <v>194</v>
      </c>
      <c r="E4" s="156" t="s">
        <v>196</v>
      </c>
      <c r="F4" s="159" t="s">
        <v>232</v>
      </c>
      <c r="G4" s="160" t="s">
        <v>234</v>
      </c>
      <c r="H4" s="160"/>
    </row>
    <row r="5" spans="1:8" x14ac:dyDescent="0.25">
      <c r="A5" s="70" t="s">
        <v>46</v>
      </c>
      <c r="B5" s="72">
        <v>125</v>
      </c>
      <c r="D5" s="149" t="s">
        <v>46</v>
      </c>
      <c r="E5" s="150">
        <v>50</v>
      </c>
      <c r="F5" s="152">
        <f>B5-E5</f>
        <v>75</v>
      </c>
      <c r="G5" s="158">
        <f>IF(F5&gt;0,F5*$E$2,F5*$E$3)</f>
        <v>32.774999999999999</v>
      </c>
      <c r="H5" s="158"/>
    </row>
    <row r="6" spans="1:8" x14ac:dyDescent="0.25">
      <c r="A6" s="70" t="s">
        <v>47</v>
      </c>
      <c r="B6" s="72">
        <v>2200</v>
      </c>
      <c r="D6" s="149"/>
      <c r="E6" s="150"/>
      <c r="F6" s="152">
        <f t="shared" ref="F6:F63" si="0">B6-E6</f>
        <v>2200</v>
      </c>
      <c r="G6" s="158">
        <f t="shared" ref="G6:G63" si="1">IF(F6&gt;0,F6*$E$2,F6*$E$3)</f>
        <v>961.4</v>
      </c>
      <c r="H6" s="158"/>
    </row>
    <row r="7" spans="1:8" x14ac:dyDescent="0.25">
      <c r="A7" s="70" t="s">
        <v>197</v>
      </c>
      <c r="B7" s="72">
        <v>522460</v>
      </c>
      <c r="D7" s="149" t="s">
        <v>197</v>
      </c>
      <c r="E7" s="150">
        <v>115291</v>
      </c>
      <c r="F7" s="152">
        <f t="shared" si="0"/>
        <v>407169</v>
      </c>
      <c r="G7" s="158">
        <f t="shared" si="1"/>
        <v>177932.853</v>
      </c>
      <c r="H7" s="158"/>
    </row>
    <row r="8" spans="1:8" x14ac:dyDescent="0.25">
      <c r="A8" s="70" t="s">
        <v>48</v>
      </c>
      <c r="B8" s="72">
        <v>2800</v>
      </c>
      <c r="D8" s="149" t="s">
        <v>48</v>
      </c>
      <c r="E8" s="150">
        <v>52008</v>
      </c>
      <c r="F8" s="152">
        <f t="shared" si="0"/>
        <v>-49208</v>
      </c>
      <c r="G8" s="158">
        <f t="shared" si="1"/>
        <v>-14249.14720535398</v>
      </c>
      <c r="H8" s="158"/>
    </row>
    <row r="9" spans="1:8" x14ac:dyDescent="0.25">
      <c r="A9" s="70"/>
      <c r="B9" s="72"/>
      <c r="D9" s="149" t="s">
        <v>198</v>
      </c>
      <c r="E9" s="150">
        <v>18</v>
      </c>
      <c r="F9" s="152">
        <f t="shared" si="0"/>
        <v>-18</v>
      </c>
      <c r="G9" s="158">
        <f t="shared" si="1"/>
        <v>-5.2122551149482126</v>
      </c>
      <c r="H9" s="158"/>
    </row>
    <row r="10" spans="1:8" x14ac:dyDescent="0.25">
      <c r="A10" s="70" t="s">
        <v>49</v>
      </c>
      <c r="B10" s="72">
        <v>22664</v>
      </c>
      <c r="D10" s="149" t="s">
        <v>49</v>
      </c>
      <c r="E10" s="150">
        <v>109144</v>
      </c>
      <c r="F10" s="152">
        <f t="shared" si="0"/>
        <v>-86480</v>
      </c>
      <c r="G10" s="158">
        <f t="shared" si="1"/>
        <v>-25041.990130040082</v>
      </c>
      <c r="H10" s="158"/>
    </row>
    <row r="11" spans="1:8" x14ac:dyDescent="0.25">
      <c r="A11" s="70" t="s">
        <v>199</v>
      </c>
      <c r="B11" s="72">
        <v>17408</v>
      </c>
      <c r="D11" s="149" t="s">
        <v>199</v>
      </c>
      <c r="E11" s="150">
        <v>33290</v>
      </c>
      <c r="F11" s="152">
        <f t="shared" si="0"/>
        <v>-15882</v>
      </c>
      <c r="G11" s="158">
        <f t="shared" si="1"/>
        <v>-4598.9464297559734</v>
      </c>
      <c r="H11" s="158"/>
    </row>
    <row r="12" spans="1:8" x14ac:dyDescent="0.25">
      <c r="A12" s="70" t="s">
        <v>200</v>
      </c>
      <c r="B12" s="72">
        <v>10942</v>
      </c>
      <c r="D12" s="149" t="s">
        <v>200</v>
      </c>
      <c r="E12" s="150">
        <v>4405</v>
      </c>
      <c r="F12" s="152">
        <f t="shared" si="0"/>
        <v>6537</v>
      </c>
      <c r="G12" s="158">
        <f t="shared" si="1"/>
        <v>2856.6689999999999</v>
      </c>
      <c r="H12" s="158"/>
    </row>
    <row r="13" spans="1:8" x14ac:dyDescent="0.25">
      <c r="A13" s="70" t="s">
        <v>50</v>
      </c>
      <c r="B13" s="72">
        <v>400</v>
      </c>
      <c r="D13" s="149"/>
      <c r="E13" s="150"/>
      <c r="F13" s="152">
        <f t="shared" si="0"/>
        <v>400</v>
      </c>
      <c r="G13" s="158">
        <f t="shared" si="1"/>
        <v>174.8</v>
      </c>
      <c r="H13" s="158"/>
    </row>
    <row r="14" spans="1:8" x14ac:dyDescent="0.25">
      <c r="A14" s="70" t="s">
        <v>51</v>
      </c>
      <c r="B14" s="72">
        <v>5946</v>
      </c>
      <c r="D14" s="149" t="s">
        <v>51</v>
      </c>
      <c r="E14" s="150">
        <v>3781</v>
      </c>
      <c r="F14" s="152">
        <f t="shared" si="0"/>
        <v>2165</v>
      </c>
      <c r="G14" s="158">
        <f t="shared" si="1"/>
        <v>946.10500000000002</v>
      </c>
      <c r="H14" s="158"/>
    </row>
    <row r="15" spans="1:8" x14ac:dyDescent="0.25">
      <c r="A15" s="70" t="s">
        <v>52</v>
      </c>
      <c r="B15" s="72">
        <v>920</v>
      </c>
      <c r="D15" s="149" t="s">
        <v>52</v>
      </c>
      <c r="E15" s="150">
        <v>2524</v>
      </c>
      <c r="F15" s="152">
        <f t="shared" si="0"/>
        <v>-1604</v>
      </c>
      <c r="G15" s="158">
        <f t="shared" si="1"/>
        <v>-464.46984468760741</v>
      </c>
      <c r="H15" s="158"/>
    </row>
    <row r="16" spans="1:8" x14ac:dyDescent="0.25">
      <c r="A16" s="70"/>
      <c r="B16" s="72"/>
      <c r="D16" s="149" t="s">
        <v>201</v>
      </c>
      <c r="E16" s="150">
        <v>800</v>
      </c>
      <c r="F16" s="152">
        <f t="shared" si="0"/>
        <v>-800</v>
      </c>
      <c r="G16" s="158">
        <f t="shared" si="1"/>
        <v>-231.65578288658725</v>
      </c>
      <c r="H16" s="158"/>
    </row>
    <row r="17" spans="1:9" x14ac:dyDescent="0.25">
      <c r="A17" s="70" t="s">
        <v>53</v>
      </c>
      <c r="B17" s="72">
        <v>23104</v>
      </c>
      <c r="D17" s="149" t="s">
        <v>202</v>
      </c>
      <c r="E17" s="150">
        <v>166123</v>
      </c>
      <c r="F17" s="152">
        <f t="shared" si="0"/>
        <v>-143019</v>
      </c>
      <c r="G17" s="158">
        <f t="shared" si="1"/>
        <v>-41413.973015821022</v>
      </c>
      <c r="H17" s="158"/>
    </row>
    <row r="18" spans="1:9" x14ac:dyDescent="0.25">
      <c r="A18" s="70" t="s">
        <v>203</v>
      </c>
      <c r="B18" s="72">
        <v>1120</v>
      </c>
      <c r="D18" s="149" t="s">
        <v>203</v>
      </c>
      <c r="E18" s="150">
        <v>427515</v>
      </c>
      <c r="F18" s="152">
        <f t="shared" si="0"/>
        <v>-426395</v>
      </c>
      <c r="G18" s="158">
        <f t="shared" si="1"/>
        <v>-123471.08442990796</v>
      </c>
      <c r="H18" s="158"/>
    </row>
    <row r="19" spans="1:9" x14ac:dyDescent="0.25">
      <c r="A19" s="70" t="s">
        <v>54</v>
      </c>
      <c r="B19" s="72">
        <v>2065</v>
      </c>
      <c r="D19" s="149" t="s">
        <v>54</v>
      </c>
      <c r="E19" s="150">
        <v>75</v>
      </c>
      <c r="F19" s="152">
        <f t="shared" si="0"/>
        <v>1990</v>
      </c>
      <c r="G19" s="158">
        <f t="shared" si="1"/>
        <v>869.63</v>
      </c>
      <c r="H19" s="158"/>
    </row>
    <row r="20" spans="1:9" x14ac:dyDescent="0.25">
      <c r="A20" s="70" t="s">
        <v>55</v>
      </c>
      <c r="B20" s="72">
        <v>44448</v>
      </c>
      <c r="D20" s="149" t="s">
        <v>55</v>
      </c>
      <c r="E20" s="150">
        <v>28570</v>
      </c>
      <c r="F20" s="152">
        <f t="shared" si="0"/>
        <v>15878</v>
      </c>
      <c r="G20" s="158">
        <f t="shared" si="1"/>
        <v>6938.6859999999997</v>
      </c>
      <c r="H20" s="158"/>
    </row>
    <row r="21" spans="1:9" x14ac:dyDescent="0.25">
      <c r="A21" s="70" t="s">
        <v>204</v>
      </c>
      <c r="B21" s="72">
        <v>7174</v>
      </c>
      <c r="D21" s="149" t="s">
        <v>204</v>
      </c>
      <c r="E21" s="150">
        <v>16428</v>
      </c>
      <c r="F21" s="152">
        <f t="shared" si="0"/>
        <v>-9254</v>
      </c>
      <c r="G21" s="158">
        <f t="shared" si="1"/>
        <v>-2679.6782685405979</v>
      </c>
      <c r="H21" s="158"/>
    </row>
    <row r="22" spans="1:9" x14ac:dyDescent="0.25">
      <c r="A22" s="70" t="s">
        <v>56</v>
      </c>
      <c r="B22" s="72">
        <v>21116</v>
      </c>
      <c r="D22" s="149" t="s">
        <v>56</v>
      </c>
      <c r="E22" s="150">
        <v>24655</v>
      </c>
      <c r="F22" s="152">
        <f t="shared" si="0"/>
        <v>-3539</v>
      </c>
      <c r="G22" s="158">
        <f t="shared" si="1"/>
        <v>-1024.7872695445403</v>
      </c>
      <c r="H22" s="158"/>
      <c r="I22" s="153"/>
    </row>
    <row r="23" spans="1:9" x14ac:dyDescent="0.25">
      <c r="A23" s="70" t="s">
        <v>57</v>
      </c>
      <c r="B23" s="72">
        <v>13827</v>
      </c>
      <c r="D23" s="149" t="s">
        <v>57</v>
      </c>
      <c r="E23" s="150">
        <v>10768</v>
      </c>
      <c r="F23" s="152">
        <f t="shared" si="0"/>
        <v>3059</v>
      </c>
      <c r="G23" s="158">
        <f t="shared" si="1"/>
        <v>1336.7829999999999</v>
      </c>
      <c r="H23" s="158"/>
    </row>
    <row r="24" spans="1:9" x14ac:dyDescent="0.25">
      <c r="A24" s="70" t="s">
        <v>58</v>
      </c>
      <c r="B24" s="72">
        <v>5</v>
      </c>
      <c r="D24" s="149" t="s">
        <v>58</v>
      </c>
      <c r="E24" s="150">
        <v>52</v>
      </c>
      <c r="F24" s="152">
        <f t="shared" si="0"/>
        <v>-47</v>
      </c>
      <c r="G24" s="158">
        <f t="shared" si="1"/>
        <v>-13.609777244587001</v>
      </c>
      <c r="H24" s="158"/>
    </row>
    <row r="25" spans="1:9" x14ac:dyDescent="0.25">
      <c r="A25" s="70" t="s">
        <v>59</v>
      </c>
      <c r="B25" s="72">
        <v>110095</v>
      </c>
      <c r="D25" s="149" t="s">
        <v>59</v>
      </c>
      <c r="E25" s="150">
        <v>364763</v>
      </c>
      <c r="F25" s="152">
        <f t="shared" si="0"/>
        <v>-254668</v>
      </c>
      <c r="G25" s="158">
        <f t="shared" si="1"/>
        <v>-73744.143645201751</v>
      </c>
      <c r="H25" s="158"/>
    </row>
    <row r="26" spans="1:9" x14ac:dyDescent="0.25">
      <c r="A26" s="70" t="s">
        <v>60</v>
      </c>
      <c r="B26" s="72">
        <v>3175</v>
      </c>
      <c r="D26" s="149"/>
      <c r="E26" s="150"/>
      <c r="F26" s="152">
        <f t="shared" si="0"/>
        <v>3175</v>
      </c>
      <c r="G26" s="158">
        <f t="shared" si="1"/>
        <v>1387.4749999999999</v>
      </c>
      <c r="H26" s="158"/>
    </row>
    <row r="27" spans="1:9" x14ac:dyDescent="0.25">
      <c r="A27" s="70" t="s">
        <v>61</v>
      </c>
      <c r="B27" s="72">
        <v>72780</v>
      </c>
      <c r="D27" s="149" t="s">
        <v>61</v>
      </c>
      <c r="E27" s="150">
        <v>81014</v>
      </c>
      <c r="F27" s="152">
        <f t="shared" si="0"/>
        <v>-8234</v>
      </c>
      <c r="G27" s="158">
        <f t="shared" si="1"/>
        <v>-2384.317145360199</v>
      </c>
      <c r="H27" s="158"/>
    </row>
    <row r="28" spans="1:9" x14ac:dyDescent="0.25">
      <c r="A28" s="70" t="s">
        <v>207</v>
      </c>
      <c r="B28" s="72">
        <v>93</v>
      </c>
      <c r="D28" s="149"/>
      <c r="E28" s="150"/>
      <c r="F28" s="152">
        <f t="shared" si="0"/>
        <v>93</v>
      </c>
      <c r="G28" s="158">
        <f t="shared" si="1"/>
        <v>40.640999999999998</v>
      </c>
      <c r="H28" s="158"/>
    </row>
    <row r="29" spans="1:9" x14ac:dyDescent="0.25">
      <c r="A29" s="70" t="s">
        <v>62</v>
      </c>
      <c r="B29" s="72">
        <v>4000</v>
      </c>
      <c r="D29" s="149" t="s">
        <v>205</v>
      </c>
      <c r="E29" s="150">
        <v>16814</v>
      </c>
      <c r="F29" s="152">
        <f t="shared" si="0"/>
        <v>-12814</v>
      </c>
      <c r="G29" s="158">
        <f t="shared" si="1"/>
        <v>-3710.546502385911</v>
      </c>
      <c r="H29" s="158"/>
    </row>
    <row r="30" spans="1:9" x14ac:dyDescent="0.25">
      <c r="A30" s="70" t="s">
        <v>63</v>
      </c>
      <c r="B30" s="72">
        <v>800</v>
      </c>
      <c r="D30" s="149" t="s">
        <v>63</v>
      </c>
      <c r="E30" s="150">
        <v>400</v>
      </c>
      <c r="F30" s="152">
        <f t="shared" si="0"/>
        <v>400</v>
      </c>
      <c r="G30" s="158">
        <f t="shared" si="1"/>
        <v>174.8</v>
      </c>
      <c r="H30" s="158"/>
    </row>
    <row r="31" spans="1:9" x14ac:dyDescent="0.25">
      <c r="A31" s="70" t="s">
        <v>64</v>
      </c>
      <c r="B31" s="72">
        <v>1584</v>
      </c>
      <c r="D31" s="149" t="s">
        <v>64</v>
      </c>
      <c r="E31" s="150">
        <v>1520</v>
      </c>
      <c r="F31" s="152">
        <f t="shared" si="0"/>
        <v>64</v>
      </c>
      <c r="G31" s="158">
        <f t="shared" si="1"/>
        <v>27.968</v>
      </c>
      <c r="H31" s="158"/>
    </row>
    <row r="32" spans="1:9" x14ac:dyDescent="0.25">
      <c r="A32" s="70" t="s">
        <v>65</v>
      </c>
      <c r="B32" s="72">
        <v>45716</v>
      </c>
      <c r="D32" s="149" t="s">
        <v>65</v>
      </c>
      <c r="E32" s="150">
        <v>103034</v>
      </c>
      <c r="F32" s="152">
        <f t="shared" si="0"/>
        <v>-57318</v>
      </c>
      <c r="G32" s="158">
        <f t="shared" si="1"/>
        <v>-16597.557704366758</v>
      </c>
      <c r="H32" s="158"/>
    </row>
    <row r="33" spans="1:8" x14ac:dyDescent="0.25">
      <c r="A33" s="70"/>
      <c r="B33" s="72"/>
      <c r="D33" s="149" t="s">
        <v>206</v>
      </c>
      <c r="E33" s="150">
        <v>5120</v>
      </c>
      <c r="F33" s="152">
        <f t="shared" si="0"/>
        <v>-5120</v>
      </c>
      <c r="G33" s="158">
        <f t="shared" si="1"/>
        <v>-1482.5970104741582</v>
      </c>
      <c r="H33" s="158"/>
    </row>
    <row r="34" spans="1:8" x14ac:dyDescent="0.25">
      <c r="A34" s="70" t="s">
        <v>66</v>
      </c>
      <c r="B34" s="72">
        <v>54454</v>
      </c>
      <c r="D34" s="149" t="s">
        <v>66</v>
      </c>
      <c r="E34" s="150">
        <v>161377</v>
      </c>
      <c r="F34" s="152">
        <f t="shared" si="0"/>
        <v>-106923</v>
      </c>
      <c r="G34" s="158">
        <f t="shared" si="1"/>
        <v>-30961.664091978208</v>
      </c>
      <c r="H34" s="158"/>
    </row>
    <row r="35" spans="1:8" x14ac:dyDescent="0.25">
      <c r="A35" s="70"/>
      <c r="B35" s="72"/>
      <c r="D35" s="149" t="s">
        <v>208</v>
      </c>
      <c r="E35" s="150">
        <v>6294</v>
      </c>
      <c r="F35" s="152">
        <f t="shared" si="0"/>
        <v>-6294</v>
      </c>
      <c r="G35" s="158">
        <f t="shared" si="1"/>
        <v>-1822.551871860225</v>
      </c>
      <c r="H35" s="158"/>
    </row>
    <row r="36" spans="1:8" x14ac:dyDescent="0.25">
      <c r="A36" s="70"/>
      <c r="B36" s="72"/>
      <c r="D36" s="149" t="s">
        <v>209</v>
      </c>
      <c r="E36" s="150">
        <v>5462</v>
      </c>
      <c r="F36" s="152">
        <f t="shared" si="0"/>
        <v>-5462</v>
      </c>
      <c r="G36" s="158">
        <f t="shared" si="1"/>
        <v>-1581.6298576581744</v>
      </c>
      <c r="H36" s="158"/>
    </row>
    <row r="37" spans="1:8" x14ac:dyDescent="0.25">
      <c r="A37" s="70" t="s">
        <v>67</v>
      </c>
      <c r="B37" s="72">
        <v>2040</v>
      </c>
      <c r="D37" s="149"/>
      <c r="E37" s="150"/>
      <c r="F37" s="152">
        <f t="shared" si="0"/>
        <v>2040</v>
      </c>
      <c r="G37" s="158">
        <f t="shared" si="1"/>
        <v>891.48</v>
      </c>
      <c r="H37" s="158"/>
    </row>
    <row r="38" spans="1:8" x14ac:dyDescent="0.25">
      <c r="A38" s="70" t="s">
        <v>210</v>
      </c>
      <c r="B38" s="72">
        <v>51042</v>
      </c>
      <c r="D38" s="149" t="s">
        <v>210</v>
      </c>
      <c r="E38" s="150">
        <v>60616</v>
      </c>
      <c r="F38" s="152">
        <f t="shared" si="0"/>
        <v>-9574</v>
      </c>
      <c r="G38" s="158">
        <f t="shared" si="1"/>
        <v>-2772.3405816952327</v>
      </c>
      <c r="H38" s="158"/>
    </row>
    <row r="39" spans="1:8" x14ac:dyDescent="0.25">
      <c r="A39" s="70" t="s">
        <v>68</v>
      </c>
      <c r="B39" s="72">
        <v>46865</v>
      </c>
      <c r="D39" s="149" t="s">
        <v>68</v>
      </c>
      <c r="E39" s="150">
        <v>164143</v>
      </c>
      <c r="F39" s="152">
        <f t="shared" si="0"/>
        <v>-117278</v>
      </c>
      <c r="G39" s="158">
        <f t="shared" si="1"/>
        <v>-33960.158631716469</v>
      </c>
      <c r="H39" s="158"/>
    </row>
    <row r="40" spans="1:8" x14ac:dyDescent="0.25">
      <c r="A40" s="70" t="s">
        <v>211</v>
      </c>
      <c r="B40" s="72">
        <v>8732</v>
      </c>
      <c r="D40" s="149" t="s">
        <v>211</v>
      </c>
      <c r="E40" s="150">
        <v>198649</v>
      </c>
      <c r="F40" s="152">
        <f t="shared" si="0"/>
        <v>-189917</v>
      </c>
      <c r="G40" s="158">
        <f t="shared" si="1"/>
        <v>-54994.214148089988</v>
      </c>
      <c r="H40" s="158"/>
    </row>
    <row r="41" spans="1:8" x14ac:dyDescent="0.25">
      <c r="A41" s="70" t="s">
        <v>69</v>
      </c>
      <c r="B41" s="72">
        <v>137333</v>
      </c>
      <c r="D41" s="149" t="s">
        <v>69</v>
      </c>
      <c r="E41" s="150">
        <v>207349</v>
      </c>
      <c r="F41" s="152">
        <f t="shared" si="0"/>
        <v>-70016</v>
      </c>
      <c r="G41" s="158">
        <f t="shared" si="1"/>
        <v>-20274.514118234114</v>
      </c>
      <c r="H41" s="158"/>
    </row>
    <row r="42" spans="1:8" x14ac:dyDescent="0.25">
      <c r="A42" s="70" t="s">
        <v>212</v>
      </c>
      <c r="B42" s="72">
        <v>400</v>
      </c>
      <c r="D42" s="149" t="s">
        <v>212</v>
      </c>
      <c r="E42" s="150">
        <v>1200</v>
      </c>
      <c r="F42" s="152">
        <f t="shared" si="0"/>
        <v>-800</v>
      </c>
      <c r="G42" s="158">
        <f t="shared" si="1"/>
        <v>-231.65578288658725</v>
      </c>
      <c r="H42" s="158"/>
    </row>
    <row r="43" spans="1:8" x14ac:dyDescent="0.25">
      <c r="A43" s="70" t="s">
        <v>70</v>
      </c>
      <c r="B43" s="72">
        <v>29774</v>
      </c>
      <c r="D43" s="149" t="s">
        <v>70</v>
      </c>
      <c r="E43" s="150">
        <v>4880</v>
      </c>
      <c r="F43" s="152">
        <f t="shared" si="0"/>
        <v>24894</v>
      </c>
      <c r="G43" s="158">
        <f t="shared" si="1"/>
        <v>10878.678</v>
      </c>
      <c r="H43" s="158"/>
    </row>
    <row r="44" spans="1:8" x14ac:dyDescent="0.25">
      <c r="A44" s="70" t="s">
        <v>71</v>
      </c>
      <c r="B44" s="72">
        <v>10165</v>
      </c>
      <c r="D44" s="149" t="s">
        <v>71</v>
      </c>
      <c r="E44" s="150">
        <v>18996</v>
      </c>
      <c r="F44" s="152">
        <f t="shared" si="0"/>
        <v>-8831</v>
      </c>
      <c r="G44" s="158">
        <f t="shared" si="1"/>
        <v>-2557.1902733393149</v>
      </c>
      <c r="H44" s="158"/>
    </row>
    <row r="45" spans="1:8" x14ac:dyDescent="0.25">
      <c r="A45" s="70"/>
      <c r="B45" s="72"/>
      <c r="D45" s="149" t="s">
        <v>72</v>
      </c>
      <c r="E45" s="150">
        <v>81511</v>
      </c>
      <c r="F45" s="152">
        <f t="shared" si="0"/>
        <v>-81511</v>
      </c>
      <c r="G45" s="158">
        <f t="shared" si="1"/>
        <v>-23603.118148585767</v>
      </c>
      <c r="H45" s="158"/>
    </row>
    <row r="46" spans="1:8" x14ac:dyDescent="0.25">
      <c r="A46" s="70" t="s">
        <v>73</v>
      </c>
      <c r="B46" s="72">
        <v>59523</v>
      </c>
      <c r="D46" s="149" t="s">
        <v>73</v>
      </c>
      <c r="E46" s="150">
        <v>12341</v>
      </c>
      <c r="F46" s="152">
        <f t="shared" si="0"/>
        <v>47182</v>
      </c>
      <c r="G46" s="158">
        <f t="shared" si="1"/>
        <v>20618.534</v>
      </c>
      <c r="H46" s="158"/>
    </row>
    <row r="47" spans="1:8" x14ac:dyDescent="0.25">
      <c r="A47" s="70" t="s">
        <v>213</v>
      </c>
      <c r="B47" s="72">
        <v>59334</v>
      </c>
      <c r="D47" s="149" t="s">
        <v>213</v>
      </c>
      <c r="E47" s="150">
        <v>150100</v>
      </c>
      <c r="F47" s="152">
        <f t="shared" si="0"/>
        <v>-90766</v>
      </c>
      <c r="G47" s="158">
        <f t="shared" si="1"/>
        <v>-26283.085986854971</v>
      </c>
      <c r="H47" s="158"/>
    </row>
    <row r="48" spans="1:8" x14ac:dyDescent="0.25">
      <c r="A48" s="70" t="s">
        <v>74</v>
      </c>
      <c r="B48" s="72">
        <v>3957</v>
      </c>
      <c r="D48" s="149" t="s">
        <v>74</v>
      </c>
      <c r="E48" s="150">
        <v>9841</v>
      </c>
      <c r="F48" s="152">
        <f t="shared" si="0"/>
        <v>-5884</v>
      </c>
      <c r="G48" s="158">
        <f t="shared" si="1"/>
        <v>-1703.8282831308491</v>
      </c>
      <c r="H48" s="158"/>
    </row>
    <row r="49" spans="1:8" x14ac:dyDescent="0.25">
      <c r="A49" s="70"/>
      <c r="B49" s="72"/>
      <c r="D49" s="149" t="s">
        <v>214</v>
      </c>
      <c r="E49" s="150">
        <v>1280</v>
      </c>
      <c r="F49" s="152">
        <f t="shared" si="0"/>
        <v>-1280</v>
      </c>
      <c r="G49" s="158">
        <f t="shared" si="1"/>
        <v>-370.64925261853955</v>
      </c>
      <c r="H49" s="158"/>
    </row>
    <row r="50" spans="1:8" x14ac:dyDescent="0.25">
      <c r="A50" s="70" t="s">
        <v>76</v>
      </c>
      <c r="B50" s="72">
        <v>33992</v>
      </c>
      <c r="D50" s="149" t="s">
        <v>76</v>
      </c>
      <c r="E50" s="150">
        <v>24362</v>
      </c>
      <c r="F50" s="152">
        <f t="shared" si="0"/>
        <v>9630</v>
      </c>
      <c r="G50" s="158">
        <f t="shared" si="1"/>
        <v>4208.3100000000004</v>
      </c>
      <c r="H50" s="158"/>
    </row>
    <row r="51" spans="1:8" x14ac:dyDescent="0.25">
      <c r="A51" s="70"/>
      <c r="B51" s="72"/>
      <c r="D51" s="149" t="s">
        <v>215</v>
      </c>
      <c r="E51" s="150">
        <v>0</v>
      </c>
      <c r="F51" s="152">
        <f t="shared" si="0"/>
        <v>0</v>
      </c>
      <c r="G51" s="158">
        <f t="shared" si="1"/>
        <v>0</v>
      </c>
      <c r="H51" s="158"/>
    </row>
    <row r="52" spans="1:8" x14ac:dyDescent="0.25">
      <c r="A52" s="70" t="s">
        <v>77</v>
      </c>
      <c r="B52" s="72">
        <v>72873</v>
      </c>
      <c r="D52" s="149" t="s">
        <v>77</v>
      </c>
      <c r="E52" s="150">
        <v>144473</v>
      </c>
      <c r="F52" s="152">
        <f t="shared" si="0"/>
        <v>-71600</v>
      </c>
      <c r="G52" s="158">
        <f t="shared" si="1"/>
        <v>-20733.192568349557</v>
      </c>
      <c r="H52" s="158"/>
    </row>
    <row r="53" spans="1:8" x14ac:dyDescent="0.25">
      <c r="A53" s="70"/>
      <c r="B53" s="72"/>
      <c r="D53" s="149" t="s">
        <v>216</v>
      </c>
      <c r="E53" s="150">
        <v>37</v>
      </c>
      <c r="F53" s="152">
        <f t="shared" si="0"/>
        <v>-37</v>
      </c>
      <c r="G53" s="158">
        <f t="shared" si="1"/>
        <v>-10.71407995850466</v>
      </c>
      <c r="H53" s="158"/>
    </row>
    <row r="54" spans="1:8" x14ac:dyDescent="0.25">
      <c r="A54" s="70" t="s">
        <v>78</v>
      </c>
      <c r="B54" s="72">
        <v>400</v>
      </c>
      <c r="D54" s="149" t="s">
        <v>78</v>
      </c>
      <c r="E54" s="150">
        <v>106710</v>
      </c>
      <c r="F54" s="152">
        <f t="shared" si="0"/>
        <v>-106310</v>
      </c>
      <c r="G54" s="158">
        <f t="shared" si="1"/>
        <v>-30784.157848341361</v>
      </c>
      <c r="H54" s="158"/>
    </row>
    <row r="55" spans="1:8" x14ac:dyDescent="0.25">
      <c r="A55" s="70" t="s">
        <v>217</v>
      </c>
      <c r="B55" s="72">
        <v>3450</v>
      </c>
      <c r="D55" s="149" t="s">
        <v>217</v>
      </c>
      <c r="E55" s="150">
        <v>200</v>
      </c>
      <c r="F55" s="152">
        <f t="shared" si="0"/>
        <v>3250</v>
      </c>
      <c r="G55" s="158">
        <f t="shared" si="1"/>
        <v>1420.25</v>
      </c>
      <c r="H55" s="158"/>
    </row>
    <row r="56" spans="1:8" x14ac:dyDescent="0.25">
      <c r="A56" s="70" t="s">
        <v>79</v>
      </c>
      <c r="B56" s="72">
        <v>7760</v>
      </c>
      <c r="D56" s="149" t="s">
        <v>79</v>
      </c>
      <c r="E56" s="150">
        <v>12631</v>
      </c>
      <c r="F56" s="152">
        <f t="shared" si="0"/>
        <v>-4871</v>
      </c>
      <c r="G56" s="158">
        <f t="shared" si="1"/>
        <v>-1410.494148050708</v>
      </c>
      <c r="H56" s="158"/>
    </row>
    <row r="57" spans="1:8" x14ac:dyDescent="0.25">
      <c r="A57" s="70" t="s">
        <v>218</v>
      </c>
      <c r="B57" s="72">
        <v>110119</v>
      </c>
      <c r="D57" s="149"/>
      <c r="E57" s="150"/>
      <c r="F57" s="152">
        <f t="shared" si="0"/>
        <v>110119</v>
      </c>
      <c r="G57" s="158">
        <f t="shared" si="1"/>
        <v>48122.002999999997</v>
      </c>
      <c r="H57" s="158"/>
    </row>
    <row r="58" spans="1:8" x14ac:dyDescent="0.25">
      <c r="A58" s="70" t="s">
        <v>80</v>
      </c>
      <c r="B58" s="72">
        <v>46401</v>
      </c>
      <c r="D58" s="149" t="s">
        <v>80</v>
      </c>
      <c r="E58" s="150">
        <v>14751</v>
      </c>
      <c r="F58" s="152">
        <f t="shared" si="0"/>
        <v>31650</v>
      </c>
      <c r="G58" s="158">
        <f t="shared" si="1"/>
        <v>13831.05</v>
      </c>
      <c r="H58" s="158"/>
    </row>
    <row r="59" spans="1:8" x14ac:dyDescent="0.25">
      <c r="A59" s="70" t="s">
        <v>81</v>
      </c>
      <c r="B59" s="72">
        <v>236026</v>
      </c>
      <c r="D59" s="149" t="s">
        <v>219</v>
      </c>
      <c r="E59">
        <v>91191</v>
      </c>
      <c r="F59" s="152">
        <f t="shared" si="0"/>
        <v>144835</v>
      </c>
      <c r="G59" s="158">
        <f t="shared" si="1"/>
        <v>63292.894999999997</v>
      </c>
      <c r="H59" s="158"/>
    </row>
    <row r="60" spans="1:8" x14ac:dyDescent="0.25">
      <c r="A60" s="70" t="s">
        <v>82</v>
      </c>
      <c r="B60" s="72">
        <v>449</v>
      </c>
      <c r="D60" s="149" t="s">
        <v>82</v>
      </c>
      <c r="E60" s="150">
        <v>26</v>
      </c>
      <c r="F60" s="152">
        <f t="shared" si="0"/>
        <v>423</v>
      </c>
      <c r="G60" s="158">
        <f t="shared" si="1"/>
        <v>184.851</v>
      </c>
      <c r="H60" s="158"/>
    </row>
    <row r="61" spans="1:8" x14ac:dyDescent="0.25">
      <c r="A61" s="70" t="s">
        <v>220</v>
      </c>
      <c r="B61" s="72">
        <v>85762</v>
      </c>
      <c r="D61" s="149" t="s">
        <v>220</v>
      </c>
      <c r="E61" s="150">
        <v>279398</v>
      </c>
      <c r="F61" s="152">
        <f t="shared" si="0"/>
        <v>-193636</v>
      </c>
      <c r="G61" s="158">
        <f t="shared" si="1"/>
        <v>-56071.123968784006</v>
      </c>
      <c r="H61" s="158"/>
    </row>
    <row r="62" spans="1:8" x14ac:dyDescent="0.25">
      <c r="D62" s="149" t="s">
        <v>221</v>
      </c>
      <c r="E62" s="150">
        <v>400</v>
      </c>
      <c r="F62" s="152">
        <f t="shared" si="0"/>
        <v>-400</v>
      </c>
      <c r="G62" s="158">
        <f t="shared" si="1"/>
        <v>-115.82789144329362</v>
      </c>
      <c r="H62" s="158"/>
    </row>
    <row r="63" spans="1:8" x14ac:dyDescent="0.25">
      <c r="D63" s="149" t="s">
        <v>222</v>
      </c>
      <c r="E63" s="150">
        <v>1</v>
      </c>
      <c r="F63" s="152">
        <f t="shared" si="0"/>
        <v>-1</v>
      </c>
      <c r="G63" s="158">
        <f t="shared" si="1"/>
        <v>-0.28956972860823404</v>
      </c>
      <c r="H63" s="158"/>
    </row>
    <row r="64" spans="1:8" x14ac:dyDescent="0.25">
      <c r="D64" s="149"/>
      <c r="E64" s="150"/>
    </row>
    <row r="65" spans="1:8" x14ac:dyDescent="0.25">
      <c r="D65" s="149"/>
      <c r="E65" s="150"/>
      <c r="F65" s="152">
        <f>SUM(F6:F63)</f>
        <v>-1328638</v>
      </c>
      <c r="G65" s="158">
        <f>SUM(G6:G63)/2000</f>
        <v>-132.13012825999559</v>
      </c>
      <c r="H65" s="158"/>
    </row>
    <row r="66" spans="1:8" ht="60" x14ac:dyDescent="0.25">
      <c r="D66" s="149"/>
      <c r="E66" s="150"/>
      <c r="F66" s="156" t="s">
        <v>230</v>
      </c>
      <c r="G66" s="156" t="s">
        <v>231</v>
      </c>
      <c r="H66" s="156"/>
    </row>
    <row r="67" spans="1:8" x14ac:dyDescent="0.25">
      <c r="B67" s="152"/>
      <c r="D67" s="151"/>
      <c r="E67" s="152"/>
    </row>
    <row r="69" spans="1:8" x14ac:dyDescent="0.25">
      <c r="A69" s="154" t="s">
        <v>224</v>
      </c>
    </row>
    <row r="70" spans="1:8" x14ac:dyDescent="0.25">
      <c r="A70" s="154" t="s">
        <v>225</v>
      </c>
      <c r="B70" s="153"/>
    </row>
    <row r="71" spans="1:8" x14ac:dyDescent="0.25">
      <c r="A71" s="154" t="s">
        <v>226</v>
      </c>
    </row>
    <row r="72" spans="1:8" x14ac:dyDescent="0.25">
      <c r="A72" s="154" t="s">
        <v>228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2021-06-07T07:00:00+00:00</OpenedDate>
    <Date1 xmlns="dc463f71-b30c-4ab2-9473-d307f9d35888">2021-06-07T07:00:00+00:00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210422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CA645F23003C46B84054C42F9D5FA9" ma:contentTypeVersion="44" ma:contentTypeDescription="" ma:contentTypeScope="" ma:versionID="0e1795185b2d8597e0fa603190e8bd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8A54C-C99D-4863-AF5B-E6A954777177}"/>
</file>

<file path=customXml/itemProps3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D04E408-1287-473D-9170-28D567394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0x0101006E56B4D1795A2E4DB2F0B01679ED314A004ECA645F23003C46B84054C42F9D5FA9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