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45 Electric Schedule 62 - Substation and Related Equipment Capacity (UE-20xxxx) (Eff. 01-02-21)\Workpapers\"/>
    </mc:Choice>
  </mc:AlternateContent>
  <bookViews>
    <workbookView xWindow="0" yWindow="60" windowWidth="22980" windowHeight="9276"/>
  </bookViews>
  <sheets>
    <sheet name="UTC Rate Impacts (C)" sheetId="1" r:id="rId1"/>
  </sheets>
  <definedNames>
    <definedName name="_xlnm._FilterDatabase" localSheetId="0" hidden="1">'UTC Rate Impacts (C)'!$A$5:$AJ$36</definedName>
    <definedName name="_Order1">255</definedName>
    <definedName name="_Order2">255</definedName>
    <definedName name="AccessDatabase">"I:\COMTREL\FINICLE\TradeSummary.mdb"</definedName>
    <definedName name="_xlnm.Print_Area" localSheetId="0">'UTC Rate Impacts (C)'!$A$1:$R$45</definedName>
  </definedNames>
  <calcPr calcId="162913"/>
</workbook>
</file>

<file path=xl/calcChain.xml><?xml version="1.0" encoding="utf-8"?>
<calcChain xmlns="http://schemas.openxmlformats.org/spreadsheetml/2006/main">
  <c r="AJ36" i="1" l="1"/>
  <c r="AI36" i="1"/>
  <c r="AI34" i="1"/>
  <c r="AJ33" i="1"/>
  <c r="AI33" i="1"/>
  <c r="AJ32" i="1"/>
  <c r="AI32" i="1"/>
  <c r="AJ31" i="1"/>
  <c r="Z31" i="1"/>
  <c r="AJ30" i="1"/>
  <c r="AI30" i="1"/>
  <c r="AJ29" i="1"/>
  <c r="AI29" i="1"/>
  <c r="AJ28" i="1"/>
  <c r="AI28" i="1"/>
  <c r="AI27" i="1"/>
  <c r="AJ26" i="1"/>
  <c r="AJ24" i="1"/>
  <c r="AI24" i="1"/>
  <c r="AJ23" i="1"/>
  <c r="AI23" i="1"/>
  <c r="AJ22" i="1"/>
  <c r="AI22" i="1"/>
  <c r="AJ21" i="1"/>
  <c r="AI21" i="1"/>
  <c r="T21" i="1"/>
  <c r="AJ20" i="1"/>
  <c r="AI20" i="1"/>
  <c r="Z20" i="1"/>
  <c r="AJ19" i="1"/>
  <c r="AI19" i="1"/>
  <c r="AJ18" i="1"/>
  <c r="AI18" i="1"/>
  <c r="AJ17" i="1"/>
  <c r="AI17" i="1"/>
  <c r="AI16" i="1"/>
  <c r="AI15" i="1"/>
  <c r="AH15" i="1"/>
  <c r="AG15" i="1"/>
  <c r="T15" i="1"/>
  <c r="AJ13" i="1"/>
  <c r="AI13" i="1"/>
  <c r="AJ12" i="1"/>
  <c r="AJ11" i="1"/>
  <c r="AJ10" i="1"/>
  <c r="AI10" i="1"/>
  <c r="AJ9" i="1"/>
  <c r="AI9" i="1"/>
  <c r="AJ8" i="1"/>
  <c r="AI8" i="1"/>
  <c r="AJ7" i="1"/>
  <c r="AI7" i="1"/>
  <c r="W38" i="1"/>
  <c r="X38" i="1" l="1"/>
  <c r="T32" i="1"/>
  <c r="Z32" i="1"/>
  <c r="AF32" i="1" s="1"/>
  <c r="U38" i="1"/>
  <c r="T7" i="1"/>
  <c r="AH7" i="1"/>
  <c r="T26" i="1"/>
  <c r="T31" i="1"/>
  <c r="AI12" i="1"/>
  <c r="AH19" i="1"/>
  <c r="AH23" i="1"/>
  <c r="T30" i="1"/>
  <c r="AG30" i="1"/>
  <c r="V38" i="1"/>
  <c r="AG19" i="1"/>
  <c r="AH21" i="1"/>
  <c r="AJ25" i="1"/>
  <c r="T35" i="1"/>
  <c r="AH11" i="1"/>
  <c r="AJ14" i="1"/>
  <c r="AJ27" i="1"/>
  <c r="AI35" i="1"/>
  <c r="AH10" i="1"/>
  <c r="AI11" i="1"/>
  <c r="AH26" i="1"/>
  <c r="AG33" i="1"/>
  <c r="AJ34" i="1"/>
  <c r="AF31" i="1"/>
  <c r="AJ6" i="1"/>
  <c r="Z7" i="1"/>
  <c r="AF7" i="1" s="1"/>
  <c r="T8" i="1"/>
  <c r="AH8" i="1"/>
  <c r="T11" i="1"/>
  <c r="T12" i="1"/>
  <c r="AH12" i="1"/>
  <c r="AI14" i="1"/>
  <c r="AH16" i="1"/>
  <c r="T17" i="1"/>
  <c r="AH17" i="1"/>
  <c r="AG21" i="1"/>
  <c r="T22" i="1"/>
  <c r="AH22" i="1"/>
  <c r="AI25" i="1"/>
  <c r="Z26" i="1"/>
  <c r="AG26" i="1"/>
  <c r="T28" i="1"/>
  <c r="AH28" i="1"/>
  <c r="AH30" i="1"/>
  <c r="AH35" i="1"/>
  <c r="AH36" i="1"/>
  <c r="AD38" i="1"/>
  <c r="AJ38" i="1" s="1"/>
  <c r="AH6" i="1"/>
  <c r="T10" i="1"/>
  <c r="Z10" i="1"/>
  <c r="AF10" i="1" s="1"/>
  <c r="AG13" i="1"/>
  <c r="T14" i="1"/>
  <c r="AG14" i="1"/>
  <c r="AJ16" i="1"/>
  <c r="T19" i="1"/>
  <c r="T20" i="1"/>
  <c r="AF20" i="1" s="1"/>
  <c r="AH20" i="1"/>
  <c r="AG23" i="1"/>
  <c r="Z24" i="1"/>
  <c r="Z25" i="1"/>
  <c r="AF25" i="1" s="1"/>
  <c r="AG25" i="1"/>
  <c r="AI26" i="1"/>
  <c r="T27" i="1"/>
  <c r="Z27" i="1"/>
  <c r="AG27" i="1"/>
  <c r="Z30" i="1"/>
  <c r="AH31" i="1"/>
  <c r="AH32" i="1"/>
  <c r="T33" i="1"/>
  <c r="AH33" i="1"/>
  <c r="T34" i="1"/>
  <c r="Z34" i="1"/>
  <c r="AF34" i="1" s="1"/>
  <c r="AJ35" i="1"/>
  <c r="AB38" i="1"/>
  <c r="AH38" i="1" s="1"/>
  <c r="AG6" i="1"/>
  <c r="AA38" i="1"/>
  <c r="AG38" i="1" s="1"/>
  <c r="T6" i="1"/>
  <c r="AI6" i="1"/>
  <c r="AG8" i="1"/>
  <c r="T9" i="1"/>
  <c r="AH9" i="1"/>
  <c r="AG11" i="1"/>
  <c r="Z12" i="1"/>
  <c r="T13" i="1"/>
  <c r="AF13" i="1" s="1"/>
  <c r="AH13" i="1"/>
  <c r="Z14" i="1"/>
  <c r="AJ15" i="1"/>
  <c r="T16" i="1"/>
  <c r="Z16" i="1"/>
  <c r="AG16" i="1"/>
  <c r="AG17" i="1"/>
  <c r="T18" i="1"/>
  <c r="AH18" i="1"/>
  <c r="T23" i="1"/>
  <c r="T24" i="1"/>
  <c r="AF24" i="1" s="1"/>
  <c r="AH24" i="1"/>
  <c r="T25" i="1"/>
  <c r="AH25" i="1"/>
  <c r="AH27" i="1"/>
  <c r="T29" i="1"/>
  <c r="AH29" i="1"/>
  <c r="AI31" i="1"/>
  <c r="AH34" i="1"/>
  <c r="AG35" i="1"/>
  <c r="T36" i="1"/>
  <c r="Z36" i="1"/>
  <c r="AF36" i="1" s="1"/>
  <c r="AC38" i="1"/>
  <c r="AI38" i="1" s="1"/>
  <c r="AF26" i="1"/>
  <c r="AG20" i="1"/>
  <c r="AG34" i="1"/>
  <c r="Z8" i="1"/>
  <c r="Z9" i="1"/>
  <c r="Z13" i="1"/>
  <c r="Z15" i="1"/>
  <c r="Z17" i="1"/>
  <c r="Z18" i="1"/>
  <c r="Z21" i="1"/>
  <c r="Z22" i="1"/>
  <c r="AF22" i="1" s="1"/>
  <c r="Z28" i="1"/>
  <c r="AG28" i="1"/>
  <c r="AG31" i="1"/>
  <c r="AG32" i="1"/>
  <c r="Z35" i="1"/>
  <c r="AF35" i="1" s="1"/>
  <c r="AG7" i="1"/>
  <c r="AG12" i="1"/>
  <c r="AH14" i="1"/>
  <c r="AG24" i="1"/>
  <c r="AG36" i="1"/>
  <c r="Z6" i="1"/>
  <c r="AF6" i="1" s="1"/>
  <c r="AG9" i="1"/>
  <c r="AG10" i="1"/>
  <c r="AG18" i="1"/>
  <c r="AG22" i="1"/>
  <c r="Z29" i="1"/>
  <c r="Z33" i="1"/>
  <c r="AF33" i="1" s="1"/>
  <c r="Z11" i="1"/>
  <c r="Z19" i="1"/>
  <c r="Z23" i="1"/>
  <c r="AG29" i="1"/>
  <c r="AF19" i="1"/>
  <c r="AF21" i="1"/>
  <c r="H44" i="1"/>
  <c r="H43" i="1"/>
  <c r="G44" i="1"/>
  <c r="G43" i="1"/>
  <c r="AF27" i="1" l="1"/>
  <c r="AF18" i="1"/>
  <c r="AF9" i="1"/>
  <c r="AF29" i="1"/>
  <c r="AF14" i="1"/>
  <c r="AF30" i="1"/>
  <c r="AF16" i="1"/>
  <c r="AF28" i="1"/>
  <c r="T38" i="1"/>
  <c r="Z38" i="1"/>
  <c r="AF12" i="1"/>
  <c r="AF11" i="1"/>
  <c r="AF17" i="1"/>
  <c r="AF8" i="1"/>
  <c r="AF15" i="1"/>
  <c r="AF23" i="1"/>
  <c r="R27" i="1"/>
  <c r="AF38" i="1" l="1"/>
  <c r="R34" i="1"/>
  <c r="R15" i="1"/>
  <c r="R35" i="1" l="1"/>
  <c r="R10" i="1" l="1"/>
  <c r="R36" i="1" l="1"/>
  <c r="J35" i="1" l="1"/>
  <c r="K35" i="1" s="1"/>
  <c r="J34" i="1" l="1"/>
  <c r="K34" i="1" s="1"/>
  <c r="J36" i="1" l="1"/>
  <c r="K36" i="1" s="1"/>
  <c r="R33" i="1" l="1"/>
  <c r="R32" i="1"/>
  <c r="R30" i="1"/>
  <c r="R29" i="1"/>
  <c r="R28" i="1"/>
  <c r="R25" i="1"/>
  <c r="R31" i="1"/>
  <c r="R26" i="1"/>
  <c r="R24" i="1"/>
  <c r="R23" i="1"/>
  <c r="R22" i="1"/>
  <c r="R21" i="1"/>
  <c r="R20" i="1"/>
  <c r="R19" i="1"/>
  <c r="R18" i="1"/>
  <c r="R17" i="1"/>
  <c r="R14" i="1" l="1"/>
  <c r="R12" i="1" l="1"/>
  <c r="R11" i="1" l="1"/>
  <c r="R13" i="1" l="1"/>
  <c r="R9" i="1" l="1"/>
  <c r="R8" i="1" l="1"/>
  <c r="R7" i="1" l="1"/>
  <c r="R44" i="1" s="1"/>
  <c r="R6" i="1" l="1"/>
  <c r="H38" i="1" l="1"/>
  <c r="Z40" i="1" s="1"/>
  <c r="J9" i="1" l="1"/>
  <c r="K9" i="1" s="1"/>
  <c r="M38" i="1"/>
  <c r="J8" i="1"/>
  <c r="K8" i="1" s="1"/>
  <c r="H40" i="1"/>
  <c r="J7" i="1"/>
  <c r="K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G45" i="1" l="1"/>
  <c r="H45" i="1"/>
  <c r="H47" i="1" s="1"/>
  <c r="J15" i="1" l="1"/>
  <c r="K15" i="1" s="1"/>
  <c r="J29" i="1" l="1"/>
  <c r="K29" i="1" s="1"/>
  <c r="J27" i="1"/>
  <c r="K27" i="1" s="1"/>
  <c r="J12" i="1"/>
  <c r="K12" i="1" s="1"/>
  <c r="J10" i="1"/>
  <c r="K10" i="1" s="1"/>
  <c r="J28" i="1" l="1"/>
  <c r="K28" i="1" s="1"/>
  <c r="J33" i="1"/>
  <c r="K33" i="1" s="1"/>
  <c r="J32" i="1"/>
  <c r="K32" i="1" s="1"/>
  <c r="J25" i="1"/>
  <c r="K25" i="1" s="1"/>
  <c r="J22" i="1"/>
  <c r="K22" i="1" s="1"/>
  <c r="J13" i="1"/>
  <c r="K13" i="1" s="1"/>
  <c r="J6" i="1"/>
  <c r="J31" i="1" l="1"/>
  <c r="K31" i="1" s="1"/>
  <c r="J26" i="1"/>
  <c r="K26" i="1" s="1"/>
  <c r="J24" i="1"/>
  <c r="K24" i="1" s="1"/>
  <c r="J23" i="1"/>
  <c r="K23" i="1" s="1"/>
  <c r="J21" i="1"/>
  <c r="K21" i="1" s="1"/>
  <c r="J14" i="1"/>
  <c r="K14" i="1" s="1"/>
  <c r="K6" i="1"/>
  <c r="J30" i="1" l="1"/>
  <c r="K30" i="1" s="1"/>
  <c r="J20" i="1"/>
  <c r="K20" i="1" s="1"/>
  <c r="J19" i="1"/>
  <c r="K19" i="1" s="1"/>
  <c r="J18" i="1"/>
  <c r="K18" i="1" s="1"/>
  <c r="J17" i="1"/>
  <c r="K17" i="1" s="1"/>
  <c r="J11" i="1"/>
  <c r="I44" i="1" l="1"/>
  <c r="J44" i="1" s="1"/>
  <c r="K44" i="1" s="1"/>
  <c r="K11" i="1"/>
  <c r="O38" i="1" l="1"/>
  <c r="P38" i="1" l="1"/>
  <c r="R16" i="1"/>
  <c r="N38" i="1"/>
  <c r="R43" i="1" l="1"/>
  <c r="R45" i="1" s="1"/>
  <c r="R38" i="1"/>
  <c r="R46" i="1" l="1"/>
  <c r="I38" i="1" l="1"/>
  <c r="T40" i="1" s="1"/>
  <c r="J16" i="1"/>
  <c r="I43" i="1"/>
  <c r="I45" i="1" l="1"/>
  <c r="I47" i="1" s="1"/>
  <c r="J43" i="1"/>
  <c r="J38" i="1"/>
  <c r="K16" i="1"/>
  <c r="I40" i="1"/>
  <c r="J40" i="1" l="1"/>
  <c r="K40" i="1" s="1"/>
  <c r="K38" i="1"/>
  <c r="AF40" i="1" s="1"/>
  <c r="K43" i="1"/>
  <c r="J45" i="1"/>
  <c r="K45" i="1" s="1"/>
  <c r="K47" i="1" l="1"/>
  <c r="J47" i="1"/>
</calcChain>
</file>

<file path=xl/sharedStrings.xml><?xml version="1.0" encoding="utf-8"?>
<sst xmlns="http://schemas.openxmlformats.org/spreadsheetml/2006/main" count="109" uniqueCount="64">
  <si>
    <t>Puget Sound Energy</t>
  </si>
  <si>
    <t>Sch 62 Substation Lease Amounts</t>
  </si>
  <si>
    <t>Customer</t>
  </si>
  <si>
    <t>Substation</t>
  </si>
  <si>
    <t>Lease Type</t>
  </si>
  <si>
    <t>Expiration Year</t>
  </si>
  <si>
    <t>Expiration Date</t>
  </si>
  <si>
    <t>Sub Capacity</t>
  </si>
  <si>
    <t>Customer Take</t>
  </si>
  <si>
    <t>Current Sch 62 Monthly Lease</t>
  </si>
  <si>
    <t>Proposed Sch 62 Monthly Lease</t>
  </si>
  <si>
    <t>Monthly Difference</t>
  </si>
  <si>
    <t>% Difference</t>
  </si>
  <si>
    <t>Unallocated
Original Cost</t>
  </si>
  <si>
    <t>Allocated
Original Cost</t>
  </si>
  <si>
    <t>Allocated
Net Book</t>
  </si>
  <si>
    <t>Allocated
HWRCLD</t>
  </si>
  <si>
    <t>Lease based Plant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</si>
  <si>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</si>
  <si>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</si>
  <si>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</si>
  <si>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</si>
  <si>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</si>
  <si>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</si>
  <si>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</si>
  <si>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</si>
  <si>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</si>
  <si>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</si>
  <si>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</si>
  <si>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</si>
  <si>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</si>
  <si>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</si>
  <si>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</si>
  <si>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</si>
  <si>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</si>
  <si>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</si>
  <si>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</si>
  <si>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</si>
  <si>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</si>
  <si>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</si>
  <si>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</si>
  <si>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</si>
  <si>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</si>
  <si>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</si>
  <si>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Count</t>
  </si>
  <si>
    <t>Replacement</t>
  </si>
  <si>
    <t>Non-Replacement</t>
  </si>
  <si>
    <t xml:space="preserve">Monthly </t>
  </si>
  <si>
    <t xml:space="preserve">Annual </t>
  </si>
  <si>
    <t>AC</t>
  </si>
  <si>
    <t>AD</t>
  </si>
  <si>
    <t>AE</t>
  </si>
  <si>
    <t>AF</t>
  </si>
  <si>
    <t>AG</t>
  </si>
  <si>
    <t>Cross check</t>
  </si>
  <si>
    <t>Total</t>
  </si>
  <si>
    <t>Sub Overhead</t>
  </si>
  <si>
    <t xml:space="preserve">Plant </t>
  </si>
  <si>
    <t>Land</t>
  </si>
  <si>
    <t>Feeder</t>
  </si>
  <si>
    <t>Lease Components</t>
  </si>
  <si>
    <t>Proposed</t>
  </si>
  <si>
    <t>Current</t>
  </si>
  <si>
    <t xml:space="preserve"> Rate Change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</si>
</sst>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1" fillId="0" borderId="2" xfId="0" applyNumberFormat="1" applyFont="1" applyFill="1" applyBorder="1"/>
    <xf numFmtId="0" fontId="1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164" fontId="2" fillId="0" borderId="11" xfId="0" applyNumberFormat="1" applyFont="1" applyFill="1" applyBorder="1"/>
    <xf numFmtId="164" fontId="2" fillId="0" borderId="12" xfId="0" applyNumberFormat="1" applyFont="1" applyFill="1" applyBorder="1"/>
    <xf numFmtId="164" fontId="2" fillId="0" borderId="13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9" fontId="2" fillId="0" borderId="7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right"/>
    </xf>
    <xf numFmtId="9" fontId="4" fillId="0" borderId="0" xfId="2" applyFont="1" applyFill="1"/>
    <xf numFmtId="43" fontId="2" fillId="0" borderId="0" xfId="0" applyNumberFormat="1" applyFont="1" applyFill="1" applyAlignment="1">
      <alignment horizontal="center"/>
    </xf>
    <xf numFmtId="164" fontId="2" fillId="0" borderId="15" xfId="0" applyNumberFormat="1" applyFont="1" applyFill="1" applyBorder="1"/>
    <xf numFmtId="14" fontId="2" fillId="0" borderId="0" xfId="0" quotePrefix="1" applyNumberFormat="1" applyFont="1" applyFill="1" applyAlignment="1">
      <alignment horizontal="center"/>
    </xf>
    <xf numFmtId="0" fontId="1" fillId="0" borderId="14" xfId="0" quotePrefix="1" applyFont="1" applyFill="1" applyBorder="1" applyAlignment="1">
      <alignment horizontal="center" wrapText="1"/>
    </xf>
    <xf numFmtId="164" fontId="4" fillId="0" borderId="15" xfId="0" applyNumberFormat="1" applyFont="1" applyFill="1" applyBorder="1" applyAlignment="1">
      <alignment horizontal="center"/>
    </xf>
    <xf numFmtId="164" fontId="4" fillId="0" borderId="15" xfId="0" applyNumberFormat="1" applyFont="1" applyFill="1" applyBorder="1"/>
    <xf numFmtId="0" fontId="1" fillId="2" borderId="0" xfId="0" applyFont="1" applyFill="1" applyAlignment="1">
      <alignment horizontal="center"/>
    </xf>
    <xf numFmtId="164" fontId="2" fillId="2" borderId="22" xfId="3" applyNumberFormat="1" applyFont="1" applyFill="1" applyBorder="1"/>
    <xf numFmtId="164" fontId="2" fillId="2" borderId="0" xfId="3" applyNumberFormat="1" applyFont="1" applyFill="1" applyBorder="1"/>
    <xf numFmtId="164" fontId="2" fillId="2" borderId="21" xfId="3" applyNumberFormat="1" applyFont="1" applyFill="1" applyBorder="1"/>
    <xf numFmtId="164" fontId="2" fillId="2" borderId="0" xfId="3" applyNumberFormat="1" applyFont="1" applyFill="1"/>
    <xf numFmtId="0" fontId="2" fillId="2" borderId="0" xfId="0" applyFont="1" applyFill="1"/>
    <xf numFmtId="9" fontId="2" fillId="2" borderId="22" xfId="2" applyNumberFormat="1" applyFont="1" applyFill="1" applyBorder="1"/>
    <xf numFmtId="9" fontId="2" fillId="2" borderId="0" xfId="2" applyNumberFormat="1" applyFont="1" applyFill="1" applyBorder="1"/>
    <xf numFmtId="9" fontId="2" fillId="2" borderId="21" xfId="2" applyNumberFormat="1" applyFont="1" applyFill="1" applyBorder="1"/>
    <xf numFmtId="164" fontId="1" fillId="2" borderId="2" xfId="0" applyNumberFormat="1" applyFont="1" applyFill="1" applyBorder="1"/>
    <xf numFmtId="9" fontId="1" fillId="2" borderId="2" xfId="2" applyFont="1" applyFill="1" applyBorder="1"/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9" fontId="1" fillId="2" borderId="18" xfId="2" applyNumberFormat="1" applyFont="1" applyFill="1" applyBorder="1" applyAlignment="1">
      <alignment horizontal="center" wrapText="1"/>
    </xf>
    <xf numFmtId="9" fontId="1" fillId="2" borderId="19" xfId="2" applyNumberFormat="1" applyFont="1" applyFill="1" applyBorder="1" applyAlignment="1">
      <alignment horizontal="center" wrapText="1"/>
    </xf>
    <xf numFmtId="9" fontId="1" fillId="2" borderId="20" xfId="2" applyNumberFormat="1" applyFont="1" applyFill="1" applyBorder="1" applyAlignment="1">
      <alignment horizontal="center" wrapText="1"/>
    </xf>
    <xf numFmtId="0" fontId="1" fillId="2" borderId="16" xfId="0" quotePrefix="1" applyFont="1" applyFill="1" applyBorder="1" applyAlignment="1">
      <alignment horizontal="center" wrapText="1"/>
    </xf>
    <xf numFmtId="0" fontId="1" fillId="2" borderId="2" xfId="0" quotePrefix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1" fillId="2" borderId="14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2" borderId="14" xfId="0" quotePrefix="1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2 2" xfId="1"/>
    <cellStyle name="Percent" xfId="2" builtinId="5"/>
  </cellStyles>
  <dxfs count="0"/>
  <tableStyles count="0" defaultTableStyle="TableStyleMedium2" defaultPivotStyle="PivotStyleLight16"/>
  <colors>
    <mruColors>
      <color rgb="FF0000FF"/>
      <color rgb="FF008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tabSelected="1" zoomScaleNormal="100" workbookViewId="0">
      <pane ySplit="5" topLeftCell="A9" activePane="bottomLeft" state="frozen"/>
      <selection pane="bottomLeft" activeCell="AG38" sqref="AG38"/>
    </sheetView>
  </sheetViews>
  <sheetFormatPr defaultColWidth="16.109375" defaultRowHeight="10.199999999999999" x14ac:dyDescent="0.2"/>
  <cols>
    <col min="1" max="1" width="9" style="8" bestFit="1" customWidth="1"/>
    <col min="2" max="2" width="9.44140625" style="8" bestFit="1" customWidth="1"/>
    <col min="3" max="3" width="14.6640625" style="2" bestFit="1" customWidth="1"/>
    <col min="4" max="4" width="9" style="8" customWidth="1"/>
    <col min="5" max="5" width="11.109375" style="2" customWidth="1"/>
    <col min="6" max="7" width="10.44140625" style="2" customWidth="1"/>
    <col min="8" max="8" width="9.88671875" style="2" customWidth="1"/>
    <col min="9" max="9" width="9.88671875" style="2" bestFit="1" customWidth="1"/>
    <col min="10" max="10" width="10.44140625" style="2" bestFit="1" customWidth="1"/>
    <col min="11" max="11" width="9.109375" style="8" customWidth="1"/>
    <col min="12" max="12" width="0.5546875" style="2" customWidth="1"/>
    <col min="13" max="14" width="11.109375" style="2" bestFit="1" customWidth="1"/>
    <col min="15" max="16" width="10.6640625" style="2" bestFit="1" customWidth="1"/>
    <col min="17" max="17" width="0.5546875" style="2" customWidth="1"/>
    <col min="18" max="18" width="11.109375" style="2" bestFit="1" customWidth="1"/>
    <col min="19" max="19" width="0.6640625" style="2" customWidth="1"/>
    <col min="20" max="22" width="8.5546875" style="2" bestFit="1" customWidth="1"/>
    <col min="23" max="23" width="6.88671875" style="2" bestFit="1" customWidth="1"/>
    <col min="24" max="24" width="7.6640625" style="2" bestFit="1" customWidth="1"/>
    <col min="25" max="25" width="0.6640625" style="2" customWidth="1"/>
    <col min="26" max="28" width="8.5546875" style="2" bestFit="1" customWidth="1"/>
    <col min="29" max="29" width="6.88671875" style="2" bestFit="1" customWidth="1"/>
    <col min="30" max="30" width="7.6640625" style="2" bestFit="1" customWidth="1"/>
    <col min="31" max="31" width="0.6640625" style="2" customWidth="1"/>
    <col min="32" max="32" width="4.88671875" style="2" bestFit="1" customWidth="1"/>
    <col min="33" max="33" width="8.5546875" style="2" bestFit="1" customWidth="1"/>
    <col min="34" max="35" width="4.88671875" style="2" bestFit="1" customWidth="1"/>
    <col min="36" max="36" width="6.5546875" style="2" bestFit="1" customWidth="1"/>
    <col min="37" max="16384" width="16.109375" style="2"/>
  </cols>
  <sheetData>
    <row r="1" spans="1:36" x14ac:dyDescent="0.2">
      <c r="A1" s="64" t="s">
        <v>0</v>
      </c>
      <c r="B1" s="64"/>
      <c r="C1" s="64"/>
      <c r="D1" s="64"/>
      <c r="E1" s="64"/>
      <c r="F1" s="64"/>
      <c r="G1" s="64"/>
      <c r="H1" s="64"/>
      <c r="I1" s="1"/>
      <c r="J1" s="1"/>
      <c r="K1" s="3"/>
      <c r="L1" s="1"/>
      <c r="M1" s="1"/>
      <c r="N1" s="1"/>
      <c r="O1" s="1"/>
      <c r="P1" s="1"/>
      <c r="Q1" s="1"/>
      <c r="R1" s="1"/>
    </row>
    <row r="2" spans="1:36" x14ac:dyDescent="0.2">
      <c r="A2" s="64" t="s">
        <v>1</v>
      </c>
      <c r="B2" s="64"/>
      <c r="C2" s="64"/>
      <c r="D2" s="64"/>
      <c r="E2" s="64"/>
      <c r="F2" s="64"/>
      <c r="G2" s="64"/>
      <c r="H2" s="64"/>
      <c r="I2" s="1"/>
      <c r="J2" s="1"/>
      <c r="K2" s="3"/>
      <c r="L2" s="1"/>
      <c r="M2" s="1"/>
      <c r="N2" s="1"/>
      <c r="O2" s="1"/>
      <c r="P2" s="1"/>
      <c r="Q2" s="1"/>
      <c r="R2" s="1"/>
    </row>
    <row r="3" spans="1:36" ht="14.4" x14ac:dyDescent="0.3">
      <c r="A3" s="65"/>
      <c r="B3" s="64"/>
      <c r="C3" s="64"/>
      <c r="D3" s="64"/>
      <c r="E3" s="64"/>
      <c r="F3" s="64"/>
      <c r="G3" s="64"/>
      <c r="H3" s="64"/>
      <c r="I3" s="1"/>
      <c r="J3" s="1"/>
      <c r="K3" s="3"/>
      <c r="L3" s="1"/>
      <c r="M3" s="1"/>
      <c r="N3" s="1"/>
      <c r="O3" s="1"/>
      <c r="P3" s="1"/>
      <c r="Q3" s="1"/>
      <c r="R3" s="1"/>
      <c r="T3" s="59" t="s">
        <v>60</v>
      </c>
      <c r="U3" s="60"/>
      <c r="V3" s="60"/>
      <c r="W3" s="60"/>
      <c r="X3" s="60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</row>
    <row r="4" spans="1:36" ht="15" customHeight="1" x14ac:dyDescent="0.2">
      <c r="A4" s="3"/>
      <c r="B4" s="3"/>
      <c r="C4" s="1"/>
      <c r="D4" s="3"/>
      <c r="E4" s="1"/>
      <c r="F4" s="1"/>
      <c r="G4" s="1"/>
      <c r="H4" s="30"/>
      <c r="I4" s="1"/>
      <c r="J4" s="1"/>
      <c r="K4" s="3"/>
      <c r="L4" s="1"/>
      <c r="M4" s="1"/>
      <c r="N4" s="1"/>
      <c r="O4" s="1"/>
      <c r="P4" s="1"/>
      <c r="Q4" s="1"/>
      <c r="R4" s="1"/>
      <c r="T4" s="66" t="s">
        <v>61</v>
      </c>
      <c r="U4" s="66"/>
      <c r="V4" s="66"/>
      <c r="W4" s="66"/>
      <c r="X4" s="66"/>
      <c r="Y4" s="41"/>
      <c r="Z4" s="66" t="s">
        <v>62</v>
      </c>
      <c r="AA4" s="66"/>
      <c r="AB4" s="66"/>
      <c r="AC4" s="66"/>
      <c r="AD4" s="66"/>
      <c r="AE4" s="41"/>
      <c r="AF4" s="63" t="s">
        <v>63</v>
      </c>
      <c r="AG4" s="63"/>
      <c r="AH4" s="63"/>
      <c r="AI4" s="63"/>
      <c r="AJ4" s="63"/>
    </row>
    <row r="5" spans="1:36" ht="40.799999999999997" x14ac:dyDescent="0.2">
      <c r="A5" s="4" t="s">
        <v>2</v>
      </c>
      <c r="B5" s="4" t="s">
        <v>3</v>
      </c>
      <c r="C5" s="4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38" t="s">
        <v>9</v>
      </c>
      <c r="I5" s="38" t="s">
        <v>10</v>
      </c>
      <c r="J5" s="4" t="s">
        <v>11</v>
      </c>
      <c r="K5" s="4" t="s">
        <v>12</v>
      </c>
      <c r="L5" s="1"/>
      <c r="M5" s="6" t="s">
        <v>13</v>
      </c>
      <c r="N5" s="6" t="s">
        <v>14</v>
      </c>
      <c r="O5" s="7" t="s">
        <v>15</v>
      </c>
      <c r="P5" s="7" t="s">
        <v>16</v>
      </c>
      <c r="Q5" s="7"/>
      <c r="R5" s="7" t="s">
        <v>17</v>
      </c>
      <c r="T5" s="52" t="s">
        <v>55</v>
      </c>
      <c r="U5" s="53" t="s">
        <v>56</v>
      </c>
      <c r="V5" s="53" t="s">
        <v>57</v>
      </c>
      <c r="W5" s="53" t="s">
        <v>58</v>
      </c>
      <c r="X5" s="54" t="s">
        <v>59</v>
      </c>
      <c r="Y5" s="55"/>
      <c r="Z5" s="52" t="s">
        <v>55</v>
      </c>
      <c r="AA5" s="53" t="s">
        <v>56</v>
      </c>
      <c r="AB5" s="53" t="s">
        <v>57</v>
      </c>
      <c r="AC5" s="53" t="s">
        <v>58</v>
      </c>
      <c r="AD5" s="54" t="s">
        <v>59</v>
      </c>
      <c r="AE5" s="55"/>
      <c r="AF5" s="56" t="s">
        <v>55</v>
      </c>
      <c r="AG5" s="57" t="s">
        <v>56</v>
      </c>
      <c r="AH5" s="57" t="s">
        <v>57</v>
      </c>
      <c r="AI5" s="57" t="s">
        <v>58</v>
      </c>
      <c r="AJ5" s="58" t="s">
        <v>59</v>
      </c>
    </row>
    <row r="6" spans="1:36" x14ac:dyDescent="0.2">
      <c r="A6" s="8">
        <v>1</v>
      </c>
      <c r="B6" s="13" t="s">
        <v>18</v>
      </c>
      <c r="C6" s="9" t="s">
        <v>45</v>
      </c>
      <c r="D6" s="13">
        <v>2025</v>
      </c>
      <c r="E6" s="37">
        <v>45900</v>
      </c>
      <c r="F6" s="35">
        <v>50</v>
      </c>
      <c r="G6" s="35">
        <v>20</v>
      </c>
      <c r="H6" s="36">
        <v>18548</v>
      </c>
      <c r="I6" s="36">
        <v>18240</v>
      </c>
      <c r="J6" s="11">
        <f>+I6-H6</f>
        <v>-308</v>
      </c>
      <c r="K6" s="25">
        <f>+J6/H6</f>
        <v>-1.660556394220401E-2</v>
      </c>
      <c r="M6" s="11">
        <v>4105154.1200000015</v>
      </c>
      <c r="N6" s="11">
        <v>1539736.8520000009</v>
      </c>
      <c r="O6" s="11">
        <v>1187217.816000001</v>
      </c>
      <c r="P6" s="11">
        <v>2103697.4759999998</v>
      </c>
      <c r="Q6" s="11"/>
      <c r="R6" s="11">
        <f>P6</f>
        <v>2103697.4759999998</v>
      </c>
      <c r="T6" s="42">
        <f>SUM(U6:X6)</f>
        <v>18240</v>
      </c>
      <c r="U6" s="43">
        <v>966</v>
      </c>
      <c r="V6" s="43">
        <v>14364</v>
      </c>
      <c r="W6" s="43">
        <v>760</v>
      </c>
      <c r="X6" s="44">
        <v>2150</v>
      </c>
      <c r="Y6" s="45"/>
      <c r="Z6" s="42">
        <f>SUM(AA6:AD6)</f>
        <v>18548</v>
      </c>
      <c r="AA6" s="43">
        <v>778</v>
      </c>
      <c r="AB6" s="43">
        <v>14732</v>
      </c>
      <c r="AC6" s="43">
        <v>779</v>
      </c>
      <c r="AD6" s="44">
        <v>2259</v>
      </c>
      <c r="AE6" s="46"/>
      <c r="AF6" s="47">
        <f>IF(Z6=0,"",(+T6-Z6)/Z6)</f>
        <v>-1.660556394220401E-2</v>
      </c>
      <c r="AG6" s="48">
        <f t="shared" ref="AG6:AJ21" si="0">IF(AA6=0,"",(+U6-AA6)/AA6)</f>
        <v>0.2416452442159383</v>
      </c>
      <c r="AH6" s="48">
        <f t="shared" si="0"/>
        <v>-2.4979636166168884E-2</v>
      </c>
      <c r="AI6" s="48">
        <f t="shared" si="0"/>
        <v>-2.4390243902439025E-2</v>
      </c>
      <c r="AJ6" s="49">
        <f t="shared" si="0"/>
        <v>-4.8251438689685705E-2</v>
      </c>
    </row>
    <row r="7" spans="1:36" x14ac:dyDescent="0.2">
      <c r="A7" s="8">
        <f t="shared" ref="A7:A36" si="1">+A6+1</f>
        <v>2</v>
      </c>
      <c r="B7" s="13" t="s">
        <v>19</v>
      </c>
      <c r="C7" s="9" t="s">
        <v>46</v>
      </c>
      <c r="D7" s="13">
        <v>2025</v>
      </c>
      <c r="E7" s="37">
        <v>45900</v>
      </c>
      <c r="F7" s="35">
        <v>80</v>
      </c>
      <c r="G7" s="35">
        <v>80</v>
      </c>
      <c r="H7" s="36">
        <v>10964</v>
      </c>
      <c r="I7" s="36">
        <v>11590</v>
      </c>
      <c r="J7" s="11">
        <f t="shared" ref="J7:J35" si="2">+I7-H7</f>
        <v>626</v>
      </c>
      <c r="K7" s="25">
        <f t="shared" ref="K7:K35" si="3">+J7/H7</f>
        <v>5.7095950383071872E-2</v>
      </c>
      <c r="M7" s="11">
        <v>1813032.9300000009</v>
      </c>
      <c r="N7" s="11">
        <v>1813032.9300000009</v>
      </c>
      <c r="O7" s="11">
        <v>911029.08000000007</v>
      </c>
      <c r="P7" s="11">
        <v>2910610.3186143534</v>
      </c>
      <c r="Q7" s="11"/>
      <c r="R7" s="11">
        <f t="shared" ref="R7:R9" si="4">O7</f>
        <v>911029.08000000007</v>
      </c>
      <c r="T7" s="42">
        <f t="shared" ref="T7:T36" si="5">SUM(U7:X7)</f>
        <v>11590</v>
      </c>
      <c r="U7" s="43">
        <v>3862</v>
      </c>
      <c r="V7" s="43">
        <v>7728</v>
      </c>
      <c r="W7" s="43">
        <v>0</v>
      </c>
      <c r="X7" s="44">
        <v>0</v>
      </c>
      <c r="Y7" s="45"/>
      <c r="Z7" s="42">
        <f t="shared" ref="Z7:Z36" si="6">SUM(AA7:AD7)</f>
        <v>10964</v>
      </c>
      <c r="AA7" s="43">
        <v>3111</v>
      </c>
      <c r="AB7" s="43">
        <v>7853</v>
      </c>
      <c r="AC7" s="43">
        <v>0</v>
      </c>
      <c r="AD7" s="44">
        <v>0</v>
      </c>
      <c r="AE7" s="46"/>
      <c r="AF7" s="47">
        <f t="shared" ref="AF7:AJ36" si="7">IF(Z7=0,"",(+T7-Z7)/Z7)</f>
        <v>5.7095950383071872E-2</v>
      </c>
      <c r="AG7" s="48">
        <f t="shared" si="0"/>
        <v>0.24140147862423658</v>
      </c>
      <c r="AH7" s="48">
        <f t="shared" si="0"/>
        <v>-1.591748376416656E-2</v>
      </c>
      <c r="AI7" s="48" t="str">
        <f t="shared" si="0"/>
        <v/>
      </c>
      <c r="AJ7" s="49" t="str">
        <f t="shared" si="0"/>
        <v/>
      </c>
    </row>
    <row r="8" spans="1:36" x14ac:dyDescent="0.2">
      <c r="A8" s="8">
        <f t="shared" si="1"/>
        <v>3</v>
      </c>
      <c r="B8" s="13" t="s">
        <v>20</v>
      </c>
      <c r="C8" s="9" t="s">
        <v>46</v>
      </c>
      <c r="D8" s="13">
        <v>2025</v>
      </c>
      <c r="E8" s="37">
        <v>45900</v>
      </c>
      <c r="F8" s="35">
        <v>80</v>
      </c>
      <c r="G8" s="35">
        <v>80</v>
      </c>
      <c r="H8" s="36">
        <v>5509</v>
      </c>
      <c r="I8" s="36">
        <v>6229</v>
      </c>
      <c r="J8" s="11">
        <f t="shared" si="2"/>
        <v>720</v>
      </c>
      <c r="K8" s="25">
        <f t="shared" si="3"/>
        <v>0.13069522599382827</v>
      </c>
      <c r="M8" s="11">
        <v>718772.26</v>
      </c>
      <c r="N8" s="11">
        <v>718772.26</v>
      </c>
      <c r="O8" s="11">
        <v>246005.84999999995</v>
      </c>
      <c r="P8" s="11">
        <v>3472425.4140457152</v>
      </c>
      <c r="Q8" s="11"/>
      <c r="R8" s="11">
        <f t="shared" si="4"/>
        <v>246005.84999999995</v>
      </c>
      <c r="T8" s="42">
        <f t="shared" si="5"/>
        <v>6229</v>
      </c>
      <c r="U8" s="43">
        <v>3862</v>
      </c>
      <c r="V8" s="43">
        <v>2367</v>
      </c>
      <c r="W8" s="43">
        <v>0</v>
      </c>
      <c r="X8" s="44">
        <v>0</v>
      </c>
      <c r="Y8" s="45"/>
      <c r="Z8" s="42">
        <f t="shared" si="6"/>
        <v>5509</v>
      </c>
      <c r="AA8" s="43">
        <v>3111</v>
      </c>
      <c r="AB8" s="43">
        <v>2398</v>
      </c>
      <c r="AC8" s="43">
        <v>0</v>
      </c>
      <c r="AD8" s="44">
        <v>0</v>
      </c>
      <c r="AE8" s="46"/>
      <c r="AF8" s="47">
        <f t="shared" si="7"/>
        <v>0.13069522599382827</v>
      </c>
      <c r="AG8" s="48">
        <f t="shared" si="0"/>
        <v>0.24140147862423658</v>
      </c>
      <c r="AH8" s="48">
        <f t="shared" si="0"/>
        <v>-1.292743953294412E-2</v>
      </c>
      <c r="AI8" s="48" t="str">
        <f t="shared" si="0"/>
        <v/>
      </c>
      <c r="AJ8" s="49" t="str">
        <f t="shared" si="0"/>
        <v/>
      </c>
    </row>
    <row r="9" spans="1:36" x14ac:dyDescent="0.2">
      <c r="A9" s="8">
        <f t="shared" si="1"/>
        <v>4</v>
      </c>
      <c r="B9" s="13" t="s">
        <v>21</v>
      </c>
      <c r="C9" s="9" t="s">
        <v>46</v>
      </c>
      <c r="D9" s="13">
        <v>2025</v>
      </c>
      <c r="E9" s="37">
        <v>45900</v>
      </c>
      <c r="F9" s="35">
        <v>80</v>
      </c>
      <c r="G9" s="35">
        <v>80</v>
      </c>
      <c r="H9" s="36">
        <v>5920</v>
      </c>
      <c r="I9" s="36">
        <v>6630</v>
      </c>
      <c r="J9" s="11">
        <f t="shared" si="2"/>
        <v>710</v>
      </c>
      <c r="K9" s="25">
        <f t="shared" si="3"/>
        <v>0.11993243243243243</v>
      </c>
      <c r="M9" s="11">
        <v>792358.10999999987</v>
      </c>
      <c r="N9" s="11">
        <v>792358.10999999987</v>
      </c>
      <c r="O9" s="11">
        <v>295330.32999999996</v>
      </c>
      <c r="P9" s="11">
        <v>3566637.8901621681</v>
      </c>
      <c r="Q9" s="11"/>
      <c r="R9" s="11">
        <f t="shared" si="4"/>
        <v>295330.32999999996</v>
      </c>
      <c r="T9" s="42">
        <f t="shared" si="5"/>
        <v>6630</v>
      </c>
      <c r="U9" s="43">
        <v>3862</v>
      </c>
      <c r="V9" s="43">
        <v>2768</v>
      </c>
      <c r="W9" s="43">
        <v>0</v>
      </c>
      <c r="X9" s="44">
        <v>0</v>
      </c>
      <c r="Y9" s="45"/>
      <c r="Z9" s="42">
        <f t="shared" si="6"/>
        <v>5920</v>
      </c>
      <c r="AA9" s="43">
        <v>3111</v>
      </c>
      <c r="AB9" s="43">
        <v>2809</v>
      </c>
      <c r="AC9" s="43">
        <v>0</v>
      </c>
      <c r="AD9" s="44">
        <v>0</v>
      </c>
      <c r="AE9" s="46"/>
      <c r="AF9" s="47">
        <f t="shared" si="7"/>
        <v>0.11993243243243243</v>
      </c>
      <c r="AG9" s="48">
        <f t="shared" si="0"/>
        <v>0.24140147862423658</v>
      </c>
      <c r="AH9" s="48">
        <f t="shared" si="0"/>
        <v>-1.4595941616233536E-2</v>
      </c>
      <c r="AI9" s="48" t="str">
        <f t="shared" si="0"/>
        <v/>
      </c>
      <c r="AJ9" s="49" t="str">
        <f t="shared" si="0"/>
        <v/>
      </c>
    </row>
    <row r="10" spans="1:36" x14ac:dyDescent="0.2">
      <c r="A10" s="8">
        <f t="shared" si="1"/>
        <v>5</v>
      </c>
      <c r="B10" s="13" t="s">
        <v>22</v>
      </c>
      <c r="C10" s="9" t="s">
        <v>45</v>
      </c>
      <c r="D10" s="13">
        <v>2030</v>
      </c>
      <c r="E10" s="37">
        <v>47634</v>
      </c>
      <c r="F10" s="35">
        <v>12.5</v>
      </c>
      <c r="G10" s="35">
        <v>12.5</v>
      </c>
      <c r="H10" s="36">
        <v>15494</v>
      </c>
      <c r="I10" s="36">
        <v>15235</v>
      </c>
      <c r="J10" s="11">
        <f t="shared" si="2"/>
        <v>-259</v>
      </c>
      <c r="K10" s="25">
        <f t="shared" si="3"/>
        <v>-1.6716148186394733E-2</v>
      </c>
      <c r="M10" s="11">
        <v>1883157.9100000001</v>
      </c>
      <c r="N10" s="11">
        <v>1883157.9100000001</v>
      </c>
      <c r="O10" s="11">
        <v>1506010.52</v>
      </c>
      <c r="P10" s="11">
        <v>2143006.4632840725</v>
      </c>
      <c r="Q10" s="11"/>
      <c r="R10" s="11">
        <f t="shared" ref="R10:R16" si="8">P10</f>
        <v>2143006.4632840725</v>
      </c>
      <c r="T10" s="42">
        <f t="shared" si="5"/>
        <v>15235</v>
      </c>
      <c r="U10" s="43">
        <v>603</v>
      </c>
      <c r="V10" s="43">
        <v>14632</v>
      </c>
      <c r="W10" s="43">
        <v>0</v>
      </c>
      <c r="X10" s="44">
        <v>0</v>
      </c>
      <c r="Y10" s="45"/>
      <c r="Z10" s="42">
        <f t="shared" si="6"/>
        <v>15494</v>
      </c>
      <c r="AA10" s="43">
        <v>486</v>
      </c>
      <c r="AB10" s="43">
        <v>15008</v>
      </c>
      <c r="AC10" s="43">
        <v>0</v>
      </c>
      <c r="AD10" s="44">
        <v>0</v>
      </c>
      <c r="AE10" s="46"/>
      <c r="AF10" s="47">
        <f t="shared" si="7"/>
        <v>-1.6716148186394733E-2</v>
      </c>
      <c r="AG10" s="48">
        <f t="shared" si="0"/>
        <v>0.24074074074074073</v>
      </c>
      <c r="AH10" s="48">
        <f t="shared" si="0"/>
        <v>-2.5053304904051173E-2</v>
      </c>
      <c r="AI10" s="48" t="str">
        <f t="shared" si="0"/>
        <v/>
      </c>
      <c r="AJ10" s="49" t="str">
        <f t="shared" si="0"/>
        <v/>
      </c>
    </row>
    <row r="11" spans="1:36" x14ac:dyDescent="0.2">
      <c r="A11" s="8">
        <f t="shared" si="1"/>
        <v>6</v>
      </c>
      <c r="B11" s="13" t="s">
        <v>23</v>
      </c>
      <c r="C11" s="9" t="s">
        <v>45</v>
      </c>
      <c r="D11" s="13">
        <v>2022</v>
      </c>
      <c r="E11" s="37">
        <v>44804</v>
      </c>
      <c r="F11" s="35">
        <v>50</v>
      </c>
      <c r="G11" s="35">
        <v>16</v>
      </c>
      <c r="H11" s="36">
        <v>10668</v>
      </c>
      <c r="I11" s="36">
        <v>10566.416666666666</v>
      </c>
      <c r="J11" s="11">
        <f t="shared" si="2"/>
        <v>-101.58333333333394</v>
      </c>
      <c r="K11" s="25">
        <f t="shared" si="3"/>
        <v>-9.5222472190976699E-3</v>
      </c>
      <c r="M11" s="11">
        <v>2927088.95</v>
      </c>
      <c r="N11" s="11">
        <v>1277776.0944000003</v>
      </c>
      <c r="O11" s="11">
        <v>1219577.4147999999</v>
      </c>
      <c r="P11" s="11">
        <v>1429029.6619802616</v>
      </c>
      <c r="Q11" s="11"/>
      <c r="R11" s="11">
        <f t="shared" si="8"/>
        <v>1429029.6619802616</v>
      </c>
      <c r="T11" s="42">
        <f t="shared" si="5"/>
        <v>10566</v>
      </c>
      <c r="U11" s="43">
        <v>772</v>
      </c>
      <c r="V11" s="43">
        <v>9757</v>
      </c>
      <c r="W11" s="43">
        <v>37</v>
      </c>
      <c r="X11" s="44">
        <v>0</v>
      </c>
      <c r="Y11" s="45"/>
      <c r="Z11" s="42">
        <f t="shared" si="6"/>
        <v>10668</v>
      </c>
      <c r="AA11" s="43">
        <v>622</v>
      </c>
      <c r="AB11" s="43">
        <v>10008</v>
      </c>
      <c r="AC11" s="43">
        <v>38</v>
      </c>
      <c r="AD11" s="44">
        <v>0</v>
      </c>
      <c r="AE11" s="46"/>
      <c r="AF11" s="47">
        <f t="shared" si="7"/>
        <v>-9.5613048368953877E-3</v>
      </c>
      <c r="AG11" s="48">
        <f t="shared" si="0"/>
        <v>0.24115755627009647</v>
      </c>
      <c r="AH11" s="48">
        <f t="shared" si="0"/>
        <v>-2.5079936051159074E-2</v>
      </c>
      <c r="AI11" s="48">
        <f t="shared" si="0"/>
        <v>-2.6315789473684209E-2</v>
      </c>
      <c r="AJ11" s="49" t="str">
        <f t="shared" si="0"/>
        <v/>
      </c>
    </row>
    <row r="12" spans="1:36" x14ac:dyDescent="0.2">
      <c r="A12" s="8">
        <f t="shared" si="1"/>
        <v>7</v>
      </c>
      <c r="B12" s="13" t="s">
        <v>24</v>
      </c>
      <c r="C12" s="9" t="s">
        <v>45</v>
      </c>
      <c r="D12" s="13">
        <v>2022</v>
      </c>
      <c r="E12" s="37">
        <v>44804</v>
      </c>
      <c r="F12" s="35">
        <v>50</v>
      </c>
      <c r="G12" s="35">
        <v>13.141999999999999</v>
      </c>
      <c r="H12" s="36">
        <v>5170</v>
      </c>
      <c r="I12" s="36">
        <v>5176</v>
      </c>
      <c r="J12" s="11">
        <f t="shared" si="2"/>
        <v>6</v>
      </c>
      <c r="K12" s="25">
        <f t="shared" si="3"/>
        <v>1.1605415860735009E-3</v>
      </c>
      <c r="M12" s="11">
        <v>2927088.95</v>
      </c>
      <c r="N12" s="11">
        <v>528581.18170000007</v>
      </c>
      <c r="O12" s="11">
        <v>490675.85515000002</v>
      </c>
      <c r="P12" s="11">
        <v>660855.80598396237</v>
      </c>
      <c r="Q12" s="11"/>
      <c r="R12" s="11">
        <f t="shared" si="8"/>
        <v>660855.80598396237</v>
      </c>
      <c r="T12" s="42">
        <f t="shared" si="5"/>
        <v>5176</v>
      </c>
      <c r="U12" s="43">
        <v>634</v>
      </c>
      <c r="V12" s="43">
        <v>4512</v>
      </c>
      <c r="W12" s="43">
        <v>30</v>
      </c>
      <c r="X12" s="44">
        <v>0</v>
      </c>
      <c r="Y12" s="45"/>
      <c r="Z12" s="42">
        <f t="shared" si="6"/>
        <v>5170</v>
      </c>
      <c r="AA12" s="43">
        <v>511</v>
      </c>
      <c r="AB12" s="43">
        <v>4628</v>
      </c>
      <c r="AC12" s="43">
        <v>31</v>
      </c>
      <c r="AD12" s="44">
        <v>0</v>
      </c>
      <c r="AE12" s="46"/>
      <c r="AF12" s="47">
        <f t="shared" si="7"/>
        <v>1.1605415860735009E-3</v>
      </c>
      <c r="AG12" s="48">
        <f t="shared" si="0"/>
        <v>0.24070450097847357</v>
      </c>
      <c r="AH12" s="48">
        <f t="shared" si="0"/>
        <v>-2.5064822817631807E-2</v>
      </c>
      <c r="AI12" s="48">
        <f t="shared" si="0"/>
        <v>-3.2258064516129031E-2</v>
      </c>
      <c r="AJ12" s="49" t="str">
        <f t="shared" si="0"/>
        <v/>
      </c>
    </row>
    <row r="13" spans="1:36" x14ac:dyDescent="0.2">
      <c r="A13" s="8">
        <f t="shared" si="1"/>
        <v>8</v>
      </c>
      <c r="B13" s="13" t="s">
        <v>25</v>
      </c>
      <c r="C13" s="9" t="s">
        <v>45</v>
      </c>
      <c r="D13" s="13">
        <v>2025</v>
      </c>
      <c r="E13" s="37">
        <v>46021</v>
      </c>
      <c r="F13" s="35">
        <v>20</v>
      </c>
      <c r="G13" s="35">
        <v>12</v>
      </c>
      <c r="H13" s="36">
        <v>7534</v>
      </c>
      <c r="I13" s="36">
        <v>7468.8079908404334</v>
      </c>
      <c r="J13" s="11">
        <f t="shared" si="2"/>
        <v>-65.192009159566624</v>
      </c>
      <c r="K13" s="25">
        <f t="shared" si="3"/>
        <v>-8.6530407697858538E-3</v>
      </c>
      <c r="M13" s="11">
        <v>593688.28</v>
      </c>
      <c r="N13" s="11">
        <v>356212.96800000011</v>
      </c>
      <c r="O13" s="11">
        <v>200147.80199999997</v>
      </c>
      <c r="P13" s="11">
        <v>1009079.6107220972</v>
      </c>
      <c r="Q13" s="11"/>
      <c r="R13" s="11">
        <f t="shared" si="8"/>
        <v>1009079.6107220972</v>
      </c>
      <c r="T13" s="42">
        <f t="shared" si="5"/>
        <v>7468.8079908404334</v>
      </c>
      <c r="U13" s="43">
        <v>579</v>
      </c>
      <c r="V13" s="43">
        <v>6889.8079908404334</v>
      </c>
      <c r="W13" s="43">
        <v>0</v>
      </c>
      <c r="X13" s="44">
        <v>0</v>
      </c>
      <c r="Y13" s="45"/>
      <c r="Z13" s="42">
        <f t="shared" si="6"/>
        <v>7533.6599226495391</v>
      </c>
      <c r="AA13" s="43">
        <v>467</v>
      </c>
      <c r="AB13" s="43">
        <v>7066.6599226495391</v>
      </c>
      <c r="AC13" s="43">
        <v>0</v>
      </c>
      <c r="AD13" s="44">
        <v>0</v>
      </c>
      <c r="AE13" s="46"/>
      <c r="AF13" s="47">
        <f t="shared" si="7"/>
        <v>-8.6082903230250574E-3</v>
      </c>
      <c r="AG13" s="48">
        <f t="shared" si="0"/>
        <v>0.2398286937901499</v>
      </c>
      <c r="AH13" s="48">
        <f t="shared" si="0"/>
        <v>-2.5026240649033204E-2</v>
      </c>
      <c r="AI13" s="48" t="str">
        <f t="shared" si="0"/>
        <v/>
      </c>
      <c r="AJ13" s="49" t="str">
        <f t="shared" si="0"/>
        <v/>
      </c>
    </row>
    <row r="14" spans="1:36" x14ac:dyDescent="0.2">
      <c r="A14" s="8">
        <f t="shared" si="1"/>
        <v>9</v>
      </c>
      <c r="B14" s="13" t="s">
        <v>26</v>
      </c>
      <c r="C14" s="9" t="s">
        <v>45</v>
      </c>
      <c r="D14" s="13">
        <v>2027</v>
      </c>
      <c r="E14" s="37">
        <v>46446</v>
      </c>
      <c r="F14" s="35">
        <v>20</v>
      </c>
      <c r="G14" s="35">
        <v>5</v>
      </c>
      <c r="H14" s="36">
        <v>4712</v>
      </c>
      <c r="I14" s="36">
        <v>4643</v>
      </c>
      <c r="J14" s="11">
        <f t="shared" ref="J14" si="9">+I14-H14</f>
        <v>-69</v>
      </c>
      <c r="K14" s="25">
        <f t="shared" ref="K14" si="10">+J14/H14</f>
        <v>-1.464346349745331E-2</v>
      </c>
      <c r="M14" s="11">
        <v>1531911.1300000004</v>
      </c>
      <c r="N14" s="11">
        <v>345906.98750000005</v>
      </c>
      <c r="O14" s="11">
        <v>201023.35250000007</v>
      </c>
      <c r="P14" s="11">
        <v>573529.89716104616</v>
      </c>
      <c r="Q14" s="11"/>
      <c r="R14" s="11">
        <f t="shared" si="8"/>
        <v>573529.89716104616</v>
      </c>
      <c r="T14" s="42">
        <f t="shared" si="5"/>
        <v>4643</v>
      </c>
      <c r="U14" s="43">
        <v>241</v>
      </c>
      <c r="V14" s="43">
        <v>3916</v>
      </c>
      <c r="W14" s="43">
        <v>275</v>
      </c>
      <c r="X14" s="44">
        <v>211</v>
      </c>
      <c r="Y14" s="45"/>
      <c r="Z14" s="42">
        <f t="shared" si="6"/>
        <v>4712</v>
      </c>
      <c r="AA14" s="43">
        <v>195</v>
      </c>
      <c r="AB14" s="43">
        <v>4016</v>
      </c>
      <c r="AC14" s="43">
        <v>282</v>
      </c>
      <c r="AD14" s="44">
        <v>219</v>
      </c>
      <c r="AE14" s="46"/>
      <c r="AF14" s="47">
        <f t="shared" si="7"/>
        <v>-1.464346349745331E-2</v>
      </c>
      <c r="AG14" s="48">
        <f t="shared" si="0"/>
        <v>0.23589743589743589</v>
      </c>
      <c r="AH14" s="48">
        <f t="shared" si="0"/>
        <v>-2.4900398406374501E-2</v>
      </c>
      <c r="AI14" s="48">
        <f t="shared" si="0"/>
        <v>-2.4822695035460994E-2</v>
      </c>
      <c r="AJ14" s="49">
        <f t="shared" si="0"/>
        <v>-3.6529680365296802E-2</v>
      </c>
    </row>
    <row r="15" spans="1:36" x14ac:dyDescent="0.2">
      <c r="A15" s="8">
        <f t="shared" si="1"/>
        <v>10</v>
      </c>
      <c r="B15" s="13" t="s">
        <v>27</v>
      </c>
      <c r="C15" s="9" t="s">
        <v>45</v>
      </c>
      <c r="D15" s="13">
        <v>2029</v>
      </c>
      <c r="E15" s="37">
        <v>47300</v>
      </c>
      <c r="F15" s="35">
        <v>20</v>
      </c>
      <c r="G15" s="35">
        <v>5</v>
      </c>
      <c r="H15" s="39">
        <v>3622</v>
      </c>
      <c r="I15" s="36">
        <v>3450</v>
      </c>
      <c r="J15" s="11">
        <f t="shared" ref="J15" si="11">+I15-H15</f>
        <v>-172</v>
      </c>
      <c r="K15" s="25">
        <f t="shared" ref="K15" si="12">+J15/H15</f>
        <v>-4.7487575924903366E-2</v>
      </c>
      <c r="M15" s="11">
        <v>373419.00744485296</v>
      </c>
      <c r="N15" s="11">
        <v>373419.00744485296</v>
      </c>
      <c r="O15" s="11">
        <v>279501.81190808828</v>
      </c>
      <c r="P15" s="11">
        <v>279501.81190808828</v>
      </c>
      <c r="Q15" s="11"/>
      <c r="R15" s="11">
        <f t="shared" si="8"/>
        <v>279501.81190808828</v>
      </c>
      <c r="T15" s="42">
        <f t="shared" si="5"/>
        <v>3450</v>
      </c>
      <c r="U15" s="43">
        <v>0</v>
      </c>
      <c r="V15" s="43">
        <v>0</v>
      </c>
      <c r="W15" s="43">
        <v>0</v>
      </c>
      <c r="X15" s="44">
        <v>3450</v>
      </c>
      <c r="Y15" s="45"/>
      <c r="Z15" s="42">
        <f t="shared" si="6"/>
        <v>3622</v>
      </c>
      <c r="AA15" s="43">
        <v>0</v>
      </c>
      <c r="AB15" s="43">
        <v>0</v>
      </c>
      <c r="AC15" s="43">
        <v>0</v>
      </c>
      <c r="AD15" s="44">
        <v>3622</v>
      </c>
      <c r="AE15" s="46"/>
      <c r="AF15" s="47">
        <f t="shared" si="7"/>
        <v>-4.7487575924903366E-2</v>
      </c>
      <c r="AG15" s="48" t="str">
        <f t="shared" si="0"/>
        <v/>
      </c>
      <c r="AH15" s="48" t="str">
        <f t="shared" si="0"/>
        <v/>
      </c>
      <c r="AI15" s="48" t="str">
        <f t="shared" si="0"/>
        <v/>
      </c>
      <c r="AJ15" s="49">
        <f t="shared" si="0"/>
        <v>-4.7487575924903366E-2</v>
      </c>
    </row>
    <row r="16" spans="1:36" x14ac:dyDescent="0.2">
      <c r="A16" s="8">
        <f t="shared" si="1"/>
        <v>11</v>
      </c>
      <c r="B16" s="13" t="s">
        <v>28</v>
      </c>
      <c r="C16" s="9" t="s">
        <v>45</v>
      </c>
      <c r="D16" s="13">
        <v>2027</v>
      </c>
      <c r="E16" s="37">
        <v>46730</v>
      </c>
      <c r="F16" s="35">
        <v>25</v>
      </c>
      <c r="G16" s="35">
        <v>10</v>
      </c>
      <c r="H16" s="36">
        <v>18288</v>
      </c>
      <c r="I16" s="36">
        <v>17638</v>
      </c>
      <c r="J16" s="11">
        <f t="shared" si="2"/>
        <v>-650</v>
      </c>
      <c r="K16" s="25">
        <f t="shared" si="3"/>
        <v>-3.5542432195975505E-2</v>
      </c>
      <c r="M16" s="11">
        <v>932010.08</v>
      </c>
      <c r="N16" s="11">
        <v>372804.03200000006</v>
      </c>
      <c r="O16" s="11">
        <v>184810.30800000002</v>
      </c>
      <c r="P16" s="11">
        <v>695182.78297843446</v>
      </c>
      <c r="Q16" s="11"/>
      <c r="R16" s="11">
        <f t="shared" si="8"/>
        <v>695182.78297843446</v>
      </c>
      <c r="T16" s="42">
        <f t="shared" si="5"/>
        <v>17638</v>
      </c>
      <c r="U16" s="43">
        <v>483</v>
      </c>
      <c r="V16" s="43">
        <v>4747</v>
      </c>
      <c r="W16" s="43">
        <v>97</v>
      </c>
      <c r="X16" s="44">
        <v>12311</v>
      </c>
      <c r="Y16" s="45"/>
      <c r="Z16" s="42">
        <f t="shared" si="6"/>
        <v>18288</v>
      </c>
      <c r="AA16" s="43">
        <v>389</v>
      </c>
      <c r="AB16" s="43">
        <v>4868</v>
      </c>
      <c r="AC16" s="43">
        <v>100</v>
      </c>
      <c r="AD16" s="44">
        <v>12931</v>
      </c>
      <c r="AE16" s="46"/>
      <c r="AF16" s="47">
        <f t="shared" si="7"/>
        <v>-3.5542432195975505E-2</v>
      </c>
      <c r="AG16" s="48">
        <f t="shared" si="0"/>
        <v>0.2416452442159383</v>
      </c>
      <c r="AH16" s="48">
        <f t="shared" si="0"/>
        <v>-2.4856203779786361E-2</v>
      </c>
      <c r="AI16" s="48">
        <f t="shared" si="0"/>
        <v>-0.03</v>
      </c>
      <c r="AJ16" s="49">
        <f t="shared" si="0"/>
        <v>-4.7946794524785397E-2</v>
      </c>
    </row>
    <row r="17" spans="1:36" x14ac:dyDescent="0.2">
      <c r="A17" s="8">
        <f t="shared" si="1"/>
        <v>12</v>
      </c>
      <c r="B17" s="13" t="s">
        <v>29</v>
      </c>
      <c r="C17" s="9" t="s">
        <v>46</v>
      </c>
      <c r="D17" s="13">
        <v>2026</v>
      </c>
      <c r="E17" s="37">
        <v>46265</v>
      </c>
      <c r="F17" s="35">
        <v>6.25</v>
      </c>
      <c r="G17" s="35">
        <v>5.25</v>
      </c>
      <c r="H17" s="36">
        <v>1495</v>
      </c>
      <c r="I17" s="36">
        <v>1526</v>
      </c>
      <c r="J17" s="11">
        <f t="shared" si="2"/>
        <v>31</v>
      </c>
      <c r="K17" s="25">
        <f t="shared" si="3"/>
        <v>2.0735785953177259E-2</v>
      </c>
      <c r="M17" s="11">
        <v>382853</v>
      </c>
      <c r="N17" s="11">
        <v>321596</v>
      </c>
      <c r="O17" s="11">
        <v>147545</v>
      </c>
      <c r="P17" s="11">
        <v>1061805</v>
      </c>
      <c r="Q17" s="11"/>
      <c r="R17" s="11">
        <f t="shared" ref="R17:R24" si="13">O17</f>
        <v>147545</v>
      </c>
      <c r="T17" s="42">
        <f t="shared" si="5"/>
        <v>1526</v>
      </c>
      <c r="U17" s="43">
        <v>254</v>
      </c>
      <c r="V17" s="43">
        <v>1272</v>
      </c>
      <c r="W17" s="43">
        <v>0</v>
      </c>
      <c r="X17" s="44">
        <v>0</v>
      </c>
      <c r="Y17" s="45"/>
      <c r="Z17" s="42">
        <f t="shared" si="6"/>
        <v>1495</v>
      </c>
      <c r="AA17" s="43">
        <v>204</v>
      </c>
      <c r="AB17" s="43">
        <v>1291</v>
      </c>
      <c r="AC17" s="43">
        <v>0</v>
      </c>
      <c r="AD17" s="44">
        <v>0</v>
      </c>
      <c r="AE17" s="46"/>
      <c r="AF17" s="47">
        <f t="shared" si="7"/>
        <v>2.0735785953177259E-2</v>
      </c>
      <c r="AG17" s="48">
        <f t="shared" si="0"/>
        <v>0.24509803921568626</v>
      </c>
      <c r="AH17" s="48">
        <f t="shared" si="0"/>
        <v>-1.4717273431448489E-2</v>
      </c>
      <c r="AI17" s="48" t="str">
        <f t="shared" si="0"/>
        <v/>
      </c>
      <c r="AJ17" s="49" t="str">
        <f t="shared" si="0"/>
        <v/>
      </c>
    </row>
    <row r="18" spans="1:36" x14ac:dyDescent="0.2">
      <c r="A18" s="8">
        <f t="shared" si="1"/>
        <v>13</v>
      </c>
      <c r="B18" s="13" t="s">
        <v>30</v>
      </c>
      <c r="C18" s="9" t="s">
        <v>46</v>
      </c>
      <c r="D18" s="13">
        <v>2028</v>
      </c>
      <c r="E18" s="37">
        <v>47057</v>
      </c>
      <c r="F18" s="35">
        <v>6.25</v>
      </c>
      <c r="G18" s="35">
        <v>1</v>
      </c>
      <c r="H18" s="36">
        <v>289</v>
      </c>
      <c r="I18" s="36">
        <v>295</v>
      </c>
      <c r="J18" s="11">
        <f t="shared" si="2"/>
        <v>6</v>
      </c>
      <c r="K18" s="25">
        <f t="shared" si="3"/>
        <v>2.0761245674740483E-2</v>
      </c>
      <c r="M18" s="11">
        <v>382852.67</v>
      </c>
      <c r="N18" s="11">
        <v>61256.427200000006</v>
      </c>
      <c r="O18" s="11">
        <v>27846.3904</v>
      </c>
      <c r="P18" s="11">
        <v>214739.17920000001</v>
      </c>
      <c r="Q18" s="11"/>
      <c r="R18" s="11">
        <f t="shared" si="13"/>
        <v>27846.3904</v>
      </c>
      <c r="T18" s="42">
        <f t="shared" si="5"/>
        <v>295</v>
      </c>
      <c r="U18" s="43">
        <v>48</v>
      </c>
      <c r="V18" s="43">
        <v>247</v>
      </c>
      <c r="W18" s="43">
        <v>0</v>
      </c>
      <c r="X18" s="44">
        <v>0</v>
      </c>
      <c r="Y18" s="45"/>
      <c r="Z18" s="42">
        <f t="shared" si="6"/>
        <v>289</v>
      </c>
      <c r="AA18" s="43">
        <v>39</v>
      </c>
      <c r="AB18" s="43">
        <v>250</v>
      </c>
      <c r="AC18" s="43">
        <v>0</v>
      </c>
      <c r="AD18" s="44">
        <v>0</v>
      </c>
      <c r="AE18" s="46"/>
      <c r="AF18" s="47">
        <f t="shared" si="7"/>
        <v>2.0761245674740483E-2</v>
      </c>
      <c r="AG18" s="48">
        <f t="shared" si="0"/>
        <v>0.23076923076923078</v>
      </c>
      <c r="AH18" s="48">
        <f t="shared" si="0"/>
        <v>-1.2E-2</v>
      </c>
      <c r="AI18" s="48" t="str">
        <f t="shared" si="0"/>
        <v/>
      </c>
      <c r="AJ18" s="49" t="str">
        <f t="shared" si="0"/>
        <v/>
      </c>
    </row>
    <row r="19" spans="1:36" x14ac:dyDescent="0.2">
      <c r="A19" s="8">
        <f t="shared" si="1"/>
        <v>14</v>
      </c>
      <c r="B19" s="13" t="s">
        <v>31</v>
      </c>
      <c r="C19" s="9" t="s">
        <v>46</v>
      </c>
      <c r="D19" s="13">
        <v>2028</v>
      </c>
      <c r="E19" s="37">
        <v>47057</v>
      </c>
      <c r="F19" s="35">
        <v>18.75</v>
      </c>
      <c r="G19" s="35">
        <v>18.75</v>
      </c>
      <c r="H19" s="36">
        <v>1413</v>
      </c>
      <c r="I19" s="36">
        <v>1583</v>
      </c>
      <c r="J19" s="11">
        <f t="shared" si="2"/>
        <v>170</v>
      </c>
      <c r="K19" s="25">
        <f t="shared" si="3"/>
        <v>0.12031139419674451</v>
      </c>
      <c r="M19" s="11">
        <v>238592.69</v>
      </c>
      <c r="N19" s="11">
        <v>238591</v>
      </c>
      <c r="O19" s="11">
        <v>56338</v>
      </c>
      <c r="P19" s="11">
        <v>1215056</v>
      </c>
      <c r="Q19" s="11"/>
      <c r="R19" s="11">
        <f t="shared" si="13"/>
        <v>56338</v>
      </c>
      <c r="T19" s="42">
        <f t="shared" si="5"/>
        <v>1583</v>
      </c>
      <c r="U19" s="43">
        <v>905</v>
      </c>
      <c r="V19" s="43">
        <v>678</v>
      </c>
      <c r="W19" s="43">
        <v>0</v>
      </c>
      <c r="X19" s="44">
        <v>0</v>
      </c>
      <c r="Y19" s="45"/>
      <c r="Z19" s="42">
        <f t="shared" si="6"/>
        <v>1413</v>
      </c>
      <c r="AA19" s="43">
        <v>729</v>
      </c>
      <c r="AB19" s="43">
        <v>684</v>
      </c>
      <c r="AC19" s="43">
        <v>0</v>
      </c>
      <c r="AD19" s="44">
        <v>0</v>
      </c>
      <c r="AE19" s="46"/>
      <c r="AF19" s="47">
        <f t="shared" si="7"/>
        <v>0.12031139419674451</v>
      </c>
      <c r="AG19" s="48">
        <f t="shared" si="0"/>
        <v>0.24142661179698216</v>
      </c>
      <c r="AH19" s="48">
        <f t="shared" si="0"/>
        <v>-8.771929824561403E-3</v>
      </c>
      <c r="AI19" s="48" t="str">
        <f t="shared" si="0"/>
        <v/>
      </c>
      <c r="AJ19" s="49" t="str">
        <f t="shared" si="0"/>
        <v/>
      </c>
    </row>
    <row r="20" spans="1:36" x14ac:dyDescent="0.2">
      <c r="A20" s="8">
        <f t="shared" si="1"/>
        <v>15</v>
      </c>
      <c r="B20" s="13" t="s">
        <v>32</v>
      </c>
      <c r="C20" s="9" t="s">
        <v>46</v>
      </c>
      <c r="D20" s="13">
        <v>2028</v>
      </c>
      <c r="E20" s="37">
        <v>47057</v>
      </c>
      <c r="F20" s="35">
        <v>6.25</v>
      </c>
      <c r="G20" s="35">
        <v>6.25</v>
      </c>
      <c r="H20" s="36">
        <v>2492</v>
      </c>
      <c r="I20" s="36">
        <v>2513</v>
      </c>
      <c r="J20" s="11">
        <f t="shared" si="2"/>
        <v>21</v>
      </c>
      <c r="K20" s="25">
        <f t="shared" si="3"/>
        <v>8.4269662921348312E-3</v>
      </c>
      <c r="M20" s="11">
        <v>459871.37000000005</v>
      </c>
      <c r="N20" s="11">
        <v>459871.37000000005</v>
      </c>
      <c r="O20" s="11">
        <v>271072.60000000003</v>
      </c>
      <c r="P20" s="11">
        <v>996649.98</v>
      </c>
      <c r="Q20" s="11"/>
      <c r="R20" s="11">
        <f t="shared" si="13"/>
        <v>271072.60000000003</v>
      </c>
      <c r="T20" s="42">
        <f t="shared" si="5"/>
        <v>2513</v>
      </c>
      <c r="U20" s="43">
        <v>302</v>
      </c>
      <c r="V20" s="43">
        <v>2211</v>
      </c>
      <c r="W20" s="43">
        <v>0</v>
      </c>
      <c r="X20" s="44">
        <v>0</v>
      </c>
      <c r="Y20" s="45"/>
      <c r="Z20" s="42">
        <f t="shared" si="6"/>
        <v>2492</v>
      </c>
      <c r="AA20" s="43">
        <v>243</v>
      </c>
      <c r="AB20" s="43">
        <v>2249</v>
      </c>
      <c r="AC20" s="43">
        <v>0</v>
      </c>
      <c r="AD20" s="44">
        <v>0</v>
      </c>
      <c r="AE20" s="46"/>
      <c r="AF20" s="47">
        <f t="shared" si="7"/>
        <v>8.4269662921348312E-3</v>
      </c>
      <c r="AG20" s="48">
        <f t="shared" si="0"/>
        <v>0.24279835390946503</v>
      </c>
      <c r="AH20" s="48">
        <f t="shared" si="0"/>
        <v>-1.6896398399288574E-2</v>
      </c>
      <c r="AI20" s="48" t="str">
        <f t="shared" si="0"/>
        <v/>
      </c>
      <c r="AJ20" s="49" t="str">
        <f t="shared" si="0"/>
        <v/>
      </c>
    </row>
    <row r="21" spans="1:36" x14ac:dyDescent="0.2">
      <c r="A21" s="8">
        <f t="shared" si="1"/>
        <v>16</v>
      </c>
      <c r="B21" s="13" t="s">
        <v>33</v>
      </c>
      <c r="C21" s="9" t="s">
        <v>46</v>
      </c>
      <c r="D21" s="13">
        <v>2028</v>
      </c>
      <c r="E21" s="37">
        <v>47057</v>
      </c>
      <c r="F21" s="35">
        <v>9.375</v>
      </c>
      <c r="G21" s="35">
        <v>9.375</v>
      </c>
      <c r="H21" s="36">
        <v>1236</v>
      </c>
      <c r="I21" s="36">
        <v>1311</v>
      </c>
      <c r="J21" s="11">
        <f t="shared" si="2"/>
        <v>75</v>
      </c>
      <c r="K21" s="25">
        <f t="shared" si="3"/>
        <v>6.0679611650485438E-2</v>
      </c>
      <c r="M21" s="11">
        <v>218667.96</v>
      </c>
      <c r="N21" s="11">
        <v>218667.96</v>
      </c>
      <c r="O21" s="11">
        <v>95774.849999999991</v>
      </c>
      <c r="P21" s="11">
        <v>725021.6399999999</v>
      </c>
      <c r="Q21" s="11"/>
      <c r="R21" s="11">
        <f t="shared" si="13"/>
        <v>95774.849999999991</v>
      </c>
      <c r="T21" s="42">
        <f t="shared" si="5"/>
        <v>1311</v>
      </c>
      <c r="U21" s="43">
        <v>453</v>
      </c>
      <c r="V21" s="43">
        <v>858</v>
      </c>
      <c r="W21" s="43">
        <v>0</v>
      </c>
      <c r="X21" s="44">
        <v>0</v>
      </c>
      <c r="Y21" s="45"/>
      <c r="Z21" s="42">
        <f t="shared" si="6"/>
        <v>1236</v>
      </c>
      <c r="AA21" s="43">
        <v>365</v>
      </c>
      <c r="AB21" s="43">
        <v>871</v>
      </c>
      <c r="AC21" s="43">
        <v>0</v>
      </c>
      <c r="AD21" s="44">
        <v>0</v>
      </c>
      <c r="AE21" s="46"/>
      <c r="AF21" s="47">
        <f t="shared" si="7"/>
        <v>6.0679611650485438E-2</v>
      </c>
      <c r="AG21" s="48">
        <f t="shared" si="0"/>
        <v>0.24109589041095891</v>
      </c>
      <c r="AH21" s="48">
        <f t="shared" si="0"/>
        <v>-1.4925373134328358E-2</v>
      </c>
      <c r="AI21" s="48" t="str">
        <f t="shared" si="0"/>
        <v/>
      </c>
      <c r="AJ21" s="49" t="str">
        <f t="shared" si="0"/>
        <v/>
      </c>
    </row>
    <row r="22" spans="1:36" x14ac:dyDescent="0.2">
      <c r="A22" s="8">
        <f t="shared" si="1"/>
        <v>17</v>
      </c>
      <c r="B22" s="13" t="s">
        <v>34</v>
      </c>
      <c r="C22" s="9" t="s">
        <v>46</v>
      </c>
      <c r="D22" s="13">
        <v>2028</v>
      </c>
      <c r="E22" s="37">
        <v>47057</v>
      </c>
      <c r="F22" s="35">
        <v>9.3699999999999992</v>
      </c>
      <c r="G22" s="35">
        <v>9.3699999999999992</v>
      </c>
      <c r="H22" s="36">
        <v>1951</v>
      </c>
      <c r="I22" s="36">
        <v>2014</v>
      </c>
      <c r="J22" s="11">
        <f t="shared" si="2"/>
        <v>63</v>
      </c>
      <c r="K22" s="25">
        <f t="shared" si="3"/>
        <v>3.2291132752434649E-2</v>
      </c>
      <c r="M22" s="11">
        <v>393252</v>
      </c>
      <c r="N22" s="11">
        <v>393253</v>
      </c>
      <c r="O22" s="11">
        <v>174998</v>
      </c>
      <c r="P22" s="11">
        <v>953790</v>
      </c>
      <c r="Q22" s="11"/>
      <c r="R22" s="11">
        <f t="shared" si="13"/>
        <v>174998</v>
      </c>
      <c r="T22" s="42">
        <f t="shared" si="5"/>
        <v>2014</v>
      </c>
      <c r="U22" s="43">
        <v>452</v>
      </c>
      <c r="V22" s="43">
        <v>1562</v>
      </c>
      <c r="W22" s="43">
        <v>0</v>
      </c>
      <c r="X22" s="44">
        <v>0</v>
      </c>
      <c r="Y22" s="45"/>
      <c r="Z22" s="42">
        <f t="shared" si="6"/>
        <v>1951</v>
      </c>
      <c r="AA22" s="43">
        <v>364</v>
      </c>
      <c r="AB22" s="43">
        <v>1587</v>
      </c>
      <c r="AC22" s="43">
        <v>0</v>
      </c>
      <c r="AD22" s="44">
        <v>0</v>
      </c>
      <c r="AE22" s="46"/>
      <c r="AF22" s="47">
        <f t="shared" si="7"/>
        <v>3.2291132752434649E-2</v>
      </c>
      <c r="AG22" s="48">
        <f t="shared" si="7"/>
        <v>0.24175824175824176</v>
      </c>
      <c r="AH22" s="48">
        <f t="shared" si="7"/>
        <v>-1.5752993068683049E-2</v>
      </c>
      <c r="AI22" s="48" t="str">
        <f t="shared" si="7"/>
        <v/>
      </c>
      <c r="AJ22" s="49" t="str">
        <f t="shared" si="7"/>
        <v/>
      </c>
    </row>
    <row r="23" spans="1:36" x14ac:dyDescent="0.2">
      <c r="A23" s="8">
        <f t="shared" si="1"/>
        <v>18</v>
      </c>
      <c r="B23" s="13" t="s">
        <v>35</v>
      </c>
      <c r="C23" s="9" t="s">
        <v>46</v>
      </c>
      <c r="D23" s="13">
        <v>2028</v>
      </c>
      <c r="E23" s="37">
        <v>47057</v>
      </c>
      <c r="F23" s="35">
        <v>6.25</v>
      </c>
      <c r="G23" s="35">
        <v>6.25</v>
      </c>
      <c r="H23" s="36">
        <v>731</v>
      </c>
      <c r="I23" s="36">
        <v>782</v>
      </c>
      <c r="J23" s="11">
        <f t="shared" si="2"/>
        <v>51</v>
      </c>
      <c r="K23" s="25">
        <f t="shared" si="3"/>
        <v>6.9767441860465115E-2</v>
      </c>
      <c r="M23" s="11">
        <v>116800.54000000001</v>
      </c>
      <c r="N23" s="11">
        <v>116800</v>
      </c>
      <c r="O23" s="11">
        <v>52607</v>
      </c>
      <c r="P23" s="11">
        <v>564941</v>
      </c>
      <c r="Q23" s="11"/>
      <c r="R23" s="11">
        <f t="shared" si="13"/>
        <v>52607</v>
      </c>
      <c r="T23" s="42">
        <f t="shared" si="5"/>
        <v>782</v>
      </c>
      <c r="U23" s="43">
        <v>302</v>
      </c>
      <c r="V23" s="43">
        <v>480</v>
      </c>
      <c r="W23" s="43">
        <v>0</v>
      </c>
      <c r="X23" s="44">
        <v>0</v>
      </c>
      <c r="Y23" s="45"/>
      <c r="Z23" s="42">
        <f t="shared" si="6"/>
        <v>731</v>
      </c>
      <c r="AA23" s="43">
        <v>243</v>
      </c>
      <c r="AB23" s="43">
        <v>488</v>
      </c>
      <c r="AC23" s="43">
        <v>0</v>
      </c>
      <c r="AD23" s="44">
        <v>0</v>
      </c>
      <c r="AE23" s="46"/>
      <c r="AF23" s="47">
        <f t="shared" si="7"/>
        <v>6.9767441860465115E-2</v>
      </c>
      <c r="AG23" s="48">
        <f t="shared" si="7"/>
        <v>0.24279835390946503</v>
      </c>
      <c r="AH23" s="48">
        <f t="shared" si="7"/>
        <v>-1.6393442622950821E-2</v>
      </c>
      <c r="AI23" s="48" t="str">
        <f t="shared" si="7"/>
        <v/>
      </c>
      <c r="AJ23" s="49" t="str">
        <f t="shared" si="7"/>
        <v/>
      </c>
    </row>
    <row r="24" spans="1:36" x14ac:dyDescent="0.2">
      <c r="A24" s="8">
        <f t="shared" si="1"/>
        <v>19</v>
      </c>
      <c r="B24" s="13" t="s">
        <v>36</v>
      </c>
      <c r="C24" s="9" t="s">
        <v>46</v>
      </c>
      <c r="D24" s="13">
        <v>2028</v>
      </c>
      <c r="E24" s="37">
        <v>47057</v>
      </c>
      <c r="F24" s="35">
        <v>9.375</v>
      </c>
      <c r="G24" s="35">
        <v>3.75</v>
      </c>
      <c r="H24" s="36">
        <v>1035</v>
      </c>
      <c r="I24" s="36">
        <v>1057</v>
      </c>
      <c r="J24" s="11">
        <f t="shared" si="2"/>
        <v>22</v>
      </c>
      <c r="K24" s="25">
        <f t="shared" si="3"/>
        <v>2.1256038647342997E-2</v>
      </c>
      <c r="M24" s="11">
        <v>509788.60000000003</v>
      </c>
      <c r="N24" s="11">
        <v>203915</v>
      </c>
      <c r="O24" s="11">
        <v>98399</v>
      </c>
      <c r="P24" s="11">
        <v>444328</v>
      </c>
      <c r="Q24" s="11"/>
      <c r="R24" s="11">
        <f t="shared" si="13"/>
        <v>98399</v>
      </c>
      <c r="T24" s="42">
        <f t="shared" si="5"/>
        <v>1057</v>
      </c>
      <c r="U24" s="43">
        <v>181</v>
      </c>
      <c r="V24" s="43">
        <v>876</v>
      </c>
      <c r="W24" s="43">
        <v>0</v>
      </c>
      <c r="X24" s="44">
        <v>0</v>
      </c>
      <c r="Y24" s="45"/>
      <c r="Z24" s="42">
        <f t="shared" si="6"/>
        <v>1035</v>
      </c>
      <c r="AA24" s="43">
        <v>146</v>
      </c>
      <c r="AB24" s="43">
        <v>889</v>
      </c>
      <c r="AC24" s="43">
        <v>0</v>
      </c>
      <c r="AD24" s="44">
        <v>0</v>
      </c>
      <c r="AE24" s="46"/>
      <c r="AF24" s="47">
        <f t="shared" si="7"/>
        <v>2.1256038647342997E-2</v>
      </c>
      <c r="AG24" s="48">
        <f t="shared" si="7"/>
        <v>0.23972602739726026</v>
      </c>
      <c r="AH24" s="48">
        <f t="shared" si="7"/>
        <v>-1.4623172103487065E-2</v>
      </c>
      <c r="AI24" s="48" t="str">
        <f t="shared" si="7"/>
        <v/>
      </c>
      <c r="AJ24" s="49" t="str">
        <f t="shared" si="7"/>
        <v/>
      </c>
    </row>
    <row r="25" spans="1:36" x14ac:dyDescent="0.2">
      <c r="A25" s="8">
        <f t="shared" si="1"/>
        <v>20</v>
      </c>
      <c r="B25" s="13" t="s">
        <v>37</v>
      </c>
      <c r="C25" s="9" t="s">
        <v>45</v>
      </c>
      <c r="D25" s="13">
        <v>2025</v>
      </c>
      <c r="E25" s="37">
        <v>45900</v>
      </c>
      <c r="F25" s="35">
        <v>50</v>
      </c>
      <c r="G25" s="35">
        <v>7.5</v>
      </c>
      <c r="H25" s="36">
        <v>5142</v>
      </c>
      <c r="I25" s="36">
        <v>5091</v>
      </c>
      <c r="J25" s="11">
        <f t="shared" si="2"/>
        <v>-51</v>
      </c>
      <c r="K25" s="25">
        <f t="shared" si="3"/>
        <v>-9.9183197199533262E-3</v>
      </c>
      <c r="M25" s="11">
        <v>3460119.1399999997</v>
      </c>
      <c r="N25" s="11">
        <v>488370.79349999997</v>
      </c>
      <c r="O25" s="11">
        <v>340281.44099999999</v>
      </c>
      <c r="P25" s="11">
        <v>654526.88080315513</v>
      </c>
      <c r="Q25" s="11"/>
      <c r="R25" s="11">
        <f>P25</f>
        <v>654526.88080315513</v>
      </c>
      <c r="T25" s="42">
        <f t="shared" si="5"/>
        <v>5091</v>
      </c>
      <c r="U25" s="43">
        <v>362</v>
      </c>
      <c r="V25" s="43">
        <v>4469</v>
      </c>
      <c r="W25" s="43">
        <v>228</v>
      </c>
      <c r="X25" s="44">
        <v>32</v>
      </c>
      <c r="Y25" s="45"/>
      <c r="Z25" s="42">
        <f t="shared" si="6"/>
        <v>5142</v>
      </c>
      <c r="AA25" s="43">
        <v>292</v>
      </c>
      <c r="AB25" s="43">
        <v>4584</v>
      </c>
      <c r="AC25" s="43">
        <v>233</v>
      </c>
      <c r="AD25" s="44">
        <v>33</v>
      </c>
      <c r="AE25" s="46"/>
      <c r="AF25" s="47">
        <f t="shared" si="7"/>
        <v>-9.9183197199533262E-3</v>
      </c>
      <c r="AG25" s="48">
        <f t="shared" si="7"/>
        <v>0.23972602739726026</v>
      </c>
      <c r="AH25" s="48">
        <f t="shared" si="7"/>
        <v>-2.5087260034904014E-2</v>
      </c>
      <c r="AI25" s="48">
        <f t="shared" si="7"/>
        <v>-2.1459227467811159E-2</v>
      </c>
      <c r="AJ25" s="49">
        <f t="shared" si="7"/>
        <v>-3.0303030303030304E-2</v>
      </c>
    </row>
    <row r="26" spans="1:36" x14ac:dyDescent="0.2">
      <c r="A26" s="8">
        <f t="shared" si="1"/>
        <v>21</v>
      </c>
      <c r="B26" s="13" t="s">
        <v>38</v>
      </c>
      <c r="C26" s="9" t="s">
        <v>46</v>
      </c>
      <c r="D26" s="13">
        <v>2026</v>
      </c>
      <c r="E26" s="37">
        <v>46173</v>
      </c>
      <c r="F26" s="35">
        <v>20</v>
      </c>
      <c r="G26" s="35">
        <v>7</v>
      </c>
      <c r="H26" s="36">
        <v>2947</v>
      </c>
      <c r="I26" s="36">
        <v>2957</v>
      </c>
      <c r="J26" s="11">
        <f t="shared" si="2"/>
        <v>10</v>
      </c>
      <c r="K26" s="25">
        <f t="shared" si="3"/>
        <v>3.3932813030200203E-3</v>
      </c>
      <c r="M26" s="11">
        <v>815448.57</v>
      </c>
      <c r="N26" s="11">
        <v>285407</v>
      </c>
      <c r="O26" s="11">
        <v>185267</v>
      </c>
      <c r="P26" s="11">
        <v>790776</v>
      </c>
      <c r="Q26" s="11"/>
      <c r="R26" s="11">
        <f t="shared" ref="R26" si="14">O26</f>
        <v>185267</v>
      </c>
      <c r="T26" s="42">
        <f t="shared" si="5"/>
        <v>2957</v>
      </c>
      <c r="U26" s="43">
        <v>338</v>
      </c>
      <c r="V26" s="43">
        <v>1527</v>
      </c>
      <c r="W26" s="43">
        <v>863</v>
      </c>
      <c r="X26" s="44">
        <v>229</v>
      </c>
      <c r="Y26" s="45"/>
      <c r="Z26" s="42">
        <f t="shared" si="6"/>
        <v>2947</v>
      </c>
      <c r="AA26" s="43">
        <v>272</v>
      </c>
      <c r="AB26" s="43">
        <v>1555</v>
      </c>
      <c r="AC26" s="43">
        <v>863</v>
      </c>
      <c r="AD26" s="44">
        <v>257</v>
      </c>
      <c r="AE26" s="46"/>
      <c r="AF26" s="47">
        <f t="shared" si="7"/>
        <v>3.3932813030200203E-3</v>
      </c>
      <c r="AG26" s="48">
        <f t="shared" si="7"/>
        <v>0.24264705882352941</v>
      </c>
      <c r="AH26" s="48">
        <f t="shared" si="7"/>
        <v>-1.8006430868167202E-2</v>
      </c>
      <c r="AI26" s="48">
        <f t="shared" si="7"/>
        <v>0</v>
      </c>
      <c r="AJ26" s="49">
        <f t="shared" si="7"/>
        <v>-0.10894941634241245</v>
      </c>
    </row>
    <row r="27" spans="1:36" x14ac:dyDescent="0.2">
      <c r="A27" s="8">
        <f t="shared" si="1"/>
        <v>22</v>
      </c>
      <c r="B27" s="13" t="s">
        <v>39</v>
      </c>
      <c r="C27" s="9" t="s">
        <v>45</v>
      </c>
      <c r="D27" s="13">
        <v>2030</v>
      </c>
      <c r="E27" s="37">
        <v>47573</v>
      </c>
      <c r="F27" s="35">
        <v>50</v>
      </c>
      <c r="G27" s="35">
        <v>50</v>
      </c>
      <c r="H27" s="36">
        <v>52709</v>
      </c>
      <c r="I27" s="36">
        <v>51677</v>
      </c>
      <c r="J27" s="11">
        <f t="shared" si="2"/>
        <v>-1032</v>
      </c>
      <c r="K27" s="25">
        <f t="shared" si="3"/>
        <v>-1.9579198998273539E-2</v>
      </c>
      <c r="M27" s="11">
        <v>3374923.92</v>
      </c>
      <c r="N27" s="11">
        <v>3374923.92</v>
      </c>
      <c r="O27" s="11">
        <v>2791255.03</v>
      </c>
      <c r="P27" s="11">
        <v>3425817.2545769955</v>
      </c>
      <c r="Q27" s="11"/>
      <c r="R27" s="11">
        <f t="shared" ref="R27:R30" si="15">P27</f>
        <v>3425817.2545769955</v>
      </c>
      <c r="T27" s="42">
        <f t="shared" si="5"/>
        <v>51677</v>
      </c>
      <c r="U27" s="43">
        <v>2414</v>
      </c>
      <c r="V27" s="43">
        <v>23391</v>
      </c>
      <c r="W27" s="43">
        <v>2460</v>
      </c>
      <c r="X27" s="44">
        <v>23412</v>
      </c>
      <c r="Y27" s="45"/>
      <c r="Z27" s="42">
        <f t="shared" si="6"/>
        <v>52709</v>
      </c>
      <c r="AA27" s="43">
        <v>1615</v>
      </c>
      <c r="AB27" s="43">
        <v>23991</v>
      </c>
      <c r="AC27" s="43">
        <v>2520</v>
      </c>
      <c r="AD27" s="44">
        <v>24583</v>
      </c>
      <c r="AE27" s="46"/>
      <c r="AF27" s="47">
        <f t="shared" si="7"/>
        <v>-1.9579198998273539E-2</v>
      </c>
      <c r="AG27" s="48">
        <f t="shared" si="7"/>
        <v>0.49473684210526314</v>
      </c>
      <c r="AH27" s="48">
        <f t="shared" si="7"/>
        <v>-2.5009378516943855E-2</v>
      </c>
      <c r="AI27" s="48">
        <f t="shared" si="7"/>
        <v>-2.3809523809523808E-2</v>
      </c>
      <c r="AJ27" s="49">
        <f t="shared" si="7"/>
        <v>-4.7634544197209451E-2</v>
      </c>
    </row>
    <row r="28" spans="1:36" x14ac:dyDescent="0.2">
      <c r="A28" s="8">
        <f t="shared" si="1"/>
        <v>23</v>
      </c>
      <c r="B28" s="13" t="s">
        <v>40</v>
      </c>
      <c r="C28" s="9" t="s">
        <v>45</v>
      </c>
      <c r="D28" s="13">
        <v>2028</v>
      </c>
      <c r="E28" s="37">
        <v>47057</v>
      </c>
      <c r="F28" s="35">
        <v>9.375</v>
      </c>
      <c r="G28" s="35">
        <v>9.375</v>
      </c>
      <c r="H28" s="36">
        <v>9174</v>
      </c>
      <c r="I28" s="36">
        <v>9041</v>
      </c>
      <c r="J28" s="11">
        <f t="shared" si="2"/>
        <v>-133</v>
      </c>
      <c r="K28" s="25">
        <f t="shared" si="3"/>
        <v>-1.4497492914759103E-2</v>
      </c>
      <c r="M28" s="11">
        <v>711077.53</v>
      </c>
      <c r="N28" s="11">
        <v>711077.53</v>
      </c>
      <c r="O28" s="11">
        <v>501806</v>
      </c>
      <c r="P28" s="11">
        <v>1257832</v>
      </c>
      <c r="Q28" s="11"/>
      <c r="R28" s="11">
        <f t="shared" si="15"/>
        <v>1257832</v>
      </c>
      <c r="T28" s="42">
        <f t="shared" si="5"/>
        <v>9041</v>
      </c>
      <c r="U28" s="43">
        <v>453</v>
      </c>
      <c r="V28" s="43">
        <v>8588</v>
      </c>
      <c r="W28" s="43">
        <v>0</v>
      </c>
      <c r="X28" s="44">
        <v>0</v>
      </c>
      <c r="Y28" s="45"/>
      <c r="Z28" s="42">
        <f t="shared" si="6"/>
        <v>9174</v>
      </c>
      <c r="AA28" s="43">
        <v>365</v>
      </c>
      <c r="AB28" s="43">
        <v>8809</v>
      </c>
      <c r="AC28" s="43">
        <v>0</v>
      </c>
      <c r="AD28" s="44">
        <v>0</v>
      </c>
      <c r="AE28" s="46"/>
      <c r="AF28" s="47">
        <f t="shared" si="7"/>
        <v>-1.4497492914759103E-2</v>
      </c>
      <c r="AG28" s="48">
        <f t="shared" si="7"/>
        <v>0.24109589041095891</v>
      </c>
      <c r="AH28" s="48">
        <f t="shared" si="7"/>
        <v>-2.5087978204109435E-2</v>
      </c>
      <c r="AI28" s="48" t="str">
        <f t="shared" si="7"/>
        <v/>
      </c>
      <c r="AJ28" s="49" t="str">
        <f t="shared" si="7"/>
        <v/>
      </c>
    </row>
    <row r="29" spans="1:36" x14ac:dyDescent="0.2">
      <c r="A29" s="8">
        <f t="shared" si="1"/>
        <v>24</v>
      </c>
      <c r="B29" s="13" t="s">
        <v>41</v>
      </c>
      <c r="C29" s="9" t="s">
        <v>45</v>
      </c>
      <c r="D29" s="13">
        <v>2025</v>
      </c>
      <c r="E29" s="37">
        <v>45900</v>
      </c>
      <c r="F29" s="35">
        <v>50</v>
      </c>
      <c r="G29" s="35">
        <v>50</v>
      </c>
      <c r="H29" s="36">
        <v>22799</v>
      </c>
      <c r="I29" s="36">
        <v>22746</v>
      </c>
      <c r="J29" s="11">
        <f t="shared" si="2"/>
        <v>-53</v>
      </c>
      <c r="K29" s="25">
        <f t="shared" si="3"/>
        <v>-2.3246633624281767E-3</v>
      </c>
      <c r="M29" s="11">
        <v>1845030.3200000003</v>
      </c>
      <c r="N29" s="11">
        <v>1845030.3200000003</v>
      </c>
      <c r="O29" s="11">
        <v>1025718.2700000001</v>
      </c>
      <c r="P29" s="11">
        <v>2977769.3663866189</v>
      </c>
      <c r="Q29" s="11"/>
      <c r="R29" s="11">
        <f t="shared" si="15"/>
        <v>2977769.3663866189</v>
      </c>
      <c r="T29" s="42">
        <f t="shared" si="5"/>
        <v>22746</v>
      </c>
      <c r="U29" s="43">
        <v>2414</v>
      </c>
      <c r="V29" s="43">
        <v>20332</v>
      </c>
      <c r="W29" s="43">
        <v>0</v>
      </c>
      <c r="X29" s="44">
        <v>0</v>
      </c>
      <c r="Y29" s="45"/>
      <c r="Z29" s="42">
        <f t="shared" si="6"/>
        <v>22799</v>
      </c>
      <c r="AA29" s="43">
        <v>1945</v>
      </c>
      <c r="AB29" s="43">
        <v>20854</v>
      </c>
      <c r="AC29" s="43">
        <v>0</v>
      </c>
      <c r="AD29" s="44">
        <v>0</v>
      </c>
      <c r="AE29" s="46"/>
      <c r="AF29" s="47">
        <f t="shared" si="7"/>
        <v>-2.3246633624281767E-3</v>
      </c>
      <c r="AG29" s="48">
        <f t="shared" si="7"/>
        <v>0.24113110539845758</v>
      </c>
      <c r="AH29" s="48">
        <f t="shared" si="7"/>
        <v>-2.5031169080272371E-2</v>
      </c>
      <c r="AI29" s="48" t="str">
        <f t="shared" si="7"/>
        <v/>
      </c>
      <c r="AJ29" s="49" t="str">
        <f t="shared" si="7"/>
        <v/>
      </c>
    </row>
    <row r="30" spans="1:36" x14ac:dyDescent="0.2">
      <c r="A30" s="8">
        <f t="shared" si="1"/>
        <v>25</v>
      </c>
      <c r="B30" s="13" t="s">
        <v>42</v>
      </c>
      <c r="C30" s="9" t="s">
        <v>45</v>
      </c>
      <c r="D30" s="13">
        <v>2025</v>
      </c>
      <c r="E30" s="37">
        <v>45900</v>
      </c>
      <c r="F30" s="35">
        <v>80</v>
      </c>
      <c r="G30" s="35">
        <v>80</v>
      </c>
      <c r="H30" s="36">
        <v>22184</v>
      </c>
      <c r="I30" s="36">
        <v>22457.916666666668</v>
      </c>
      <c r="J30" s="11">
        <f t="shared" si="2"/>
        <v>273.91666666666788</v>
      </c>
      <c r="K30" s="25">
        <f t="shared" si="3"/>
        <v>1.2347487678807603E-2</v>
      </c>
      <c r="M30" s="11">
        <v>1706743.2999999998</v>
      </c>
      <c r="N30" s="11">
        <v>1706743.2999999998</v>
      </c>
      <c r="O30" s="11">
        <v>980753.30000000028</v>
      </c>
      <c r="P30" s="11">
        <v>2723537.7435726891</v>
      </c>
      <c r="Q30" s="11"/>
      <c r="R30" s="11">
        <f t="shared" si="15"/>
        <v>2723537.7435726891</v>
      </c>
      <c r="T30" s="42">
        <f t="shared" si="5"/>
        <v>22458</v>
      </c>
      <c r="U30" s="43">
        <v>3862</v>
      </c>
      <c r="V30" s="43">
        <v>18596</v>
      </c>
      <c r="W30" s="43">
        <v>0</v>
      </c>
      <c r="X30" s="44">
        <v>0</v>
      </c>
      <c r="Y30" s="45"/>
      <c r="Z30" s="42">
        <f t="shared" si="6"/>
        <v>22184</v>
      </c>
      <c r="AA30" s="43">
        <v>3111</v>
      </c>
      <c r="AB30" s="43">
        <v>19073</v>
      </c>
      <c r="AC30" s="43">
        <v>0</v>
      </c>
      <c r="AD30" s="44">
        <v>0</v>
      </c>
      <c r="AE30" s="46"/>
      <c r="AF30" s="47">
        <f t="shared" si="7"/>
        <v>1.2351244139920664E-2</v>
      </c>
      <c r="AG30" s="48">
        <f t="shared" si="7"/>
        <v>0.24140147862423658</v>
      </c>
      <c r="AH30" s="48">
        <f t="shared" si="7"/>
        <v>-2.5009175273947463E-2</v>
      </c>
      <c r="AI30" s="48" t="str">
        <f t="shared" si="7"/>
        <v/>
      </c>
      <c r="AJ30" s="49" t="str">
        <f t="shared" si="7"/>
        <v/>
      </c>
    </row>
    <row r="31" spans="1:36" x14ac:dyDescent="0.2">
      <c r="A31" s="8">
        <f t="shared" si="1"/>
        <v>26</v>
      </c>
      <c r="B31" s="13" t="s">
        <v>43</v>
      </c>
      <c r="C31" s="9" t="s">
        <v>46</v>
      </c>
      <c r="D31" s="13">
        <v>2023</v>
      </c>
      <c r="E31" s="37">
        <v>44985</v>
      </c>
      <c r="F31" s="35">
        <v>20</v>
      </c>
      <c r="G31" s="35">
        <v>7.5</v>
      </c>
      <c r="H31" s="36">
        <v>2117</v>
      </c>
      <c r="I31" s="36">
        <v>2150</v>
      </c>
      <c r="J31" s="11">
        <f t="shared" si="2"/>
        <v>33</v>
      </c>
      <c r="K31" s="25">
        <f t="shared" si="3"/>
        <v>1.5588096362777516E-2</v>
      </c>
      <c r="M31" s="11">
        <v>865171.8</v>
      </c>
      <c r="N31" s="11">
        <v>327003.84340000001</v>
      </c>
      <c r="O31" s="11">
        <v>212327.6182</v>
      </c>
      <c r="P31" s="11">
        <v>884333.41653546307</v>
      </c>
      <c r="Q31" s="11"/>
      <c r="R31" s="11">
        <f t="shared" ref="R31" si="16">O31</f>
        <v>212327.6182</v>
      </c>
      <c r="T31" s="42">
        <f t="shared" si="5"/>
        <v>2150</v>
      </c>
      <c r="U31" s="43">
        <v>362</v>
      </c>
      <c r="V31" s="43">
        <v>1775</v>
      </c>
      <c r="W31" s="43">
        <v>13</v>
      </c>
      <c r="X31" s="44">
        <v>0</v>
      </c>
      <c r="Y31" s="45"/>
      <c r="Z31" s="42">
        <f t="shared" si="6"/>
        <v>2117</v>
      </c>
      <c r="AA31" s="43">
        <v>292</v>
      </c>
      <c r="AB31" s="43">
        <v>1812</v>
      </c>
      <c r="AC31" s="43">
        <v>13</v>
      </c>
      <c r="AD31" s="44">
        <v>0</v>
      </c>
      <c r="AE31" s="46"/>
      <c r="AF31" s="47">
        <f t="shared" si="7"/>
        <v>1.5588096362777516E-2</v>
      </c>
      <c r="AG31" s="48">
        <f t="shared" si="7"/>
        <v>0.23972602739726026</v>
      </c>
      <c r="AH31" s="48">
        <f t="shared" si="7"/>
        <v>-2.0419426048565122E-2</v>
      </c>
      <c r="AI31" s="48">
        <f t="shared" si="7"/>
        <v>0</v>
      </c>
      <c r="AJ31" s="49" t="str">
        <f t="shared" si="7"/>
        <v/>
      </c>
    </row>
    <row r="32" spans="1:36" x14ac:dyDescent="0.2">
      <c r="A32" s="8">
        <f t="shared" si="1"/>
        <v>27</v>
      </c>
      <c r="B32" s="13" t="s">
        <v>49</v>
      </c>
      <c r="C32" s="9" t="s">
        <v>45</v>
      </c>
      <c r="D32" s="13">
        <v>2026</v>
      </c>
      <c r="E32" s="37">
        <v>46356</v>
      </c>
      <c r="F32" s="35">
        <v>50</v>
      </c>
      <c r="G32" s="35">
        <v>10</v>
      </c>
      <c r="H32" s="36">
        <v>11223</v>
      </c>
      <c r="I32" s="36">
        <v>10988</v>
      </c>
      <c r="J32" s="11">
        <f t="shared" si="2"/>
        <v>-235</v>
      </c>
      <c r="K32" s="25">
        <f t="shared" si="3"/>
        <v>-2.0939142831684934E-2</v>
      </c>
      <c r="M32" s="11">
        <v>3593806.2499999995</v>
      </c>
      <c r="N32" s="11">
        <v>632173.35200000007</v>
      </c>
      <c r="O32" s="11">
        <v>385651.35200000001</v>
      </c>
      <c r="P32" s="11">
        <v>930828.84000000032</v>
      </c>
      <c r="Q32" s="11"/>
      <c r="R32" s="11">
        <f t="shared" ref="R32:R35" si="17">P32</f>
        <v>930828.84000000032</v>
      </c>
      <c r="T32" s="42">
        <f t="shared" si="5"/>
        <v>10988</v>
      </c>
      <c r="U32" s="43">
        <v>483</v>
      </c>
      <c r="V32" s="43">
        <v>6356</v>
      </c>
      <c r="W32" s="43">
        <v>643</v>
      </c>
      <c r="X32" s="44">
        <v>3506</v>
      </c>
      <c r="Y32" s="45"/>
      <c r="Z32" s="42">
        <f t="shared" si="6"/>
        <v>11223</v>
      </c>
      <c r="AA32" s="43">
        <v>389</v>
      </c>
      <c r="AB32" s="43">
        <v>6519</v>
      </c>
      <c r="AC32" s="43">
        <v>659</v>
      </c>
      <c r="AD32" s="44">
        <v>3656</v>
      </c>
      <c r="AE32" s="46"/>
      <c r="AF32" s="47">
        <f t="shared" si="7"/>
        <v>-2.0939142831684934E-2</v>
      </c>
      <c r="AG32" s="48">
        <f t="shared" si="7"/>
        <v>0.2416452442159383</v>
      </c>
      <c r="AH32" s="48">
        <f t="shared" si="7"/>
        <v>-2.5003834944009817E-2</v>
      </c>
      <c r="AI32" s="48">
        <f t="shared" si="7"/>
        <v>-2.4279210925644917E-2</v>
      </c>
      <c r="AJ32" s="49">
        <f t="shared" si="7"/>
        <v>-4.1028446389496716E-2</v>
      </c>
    </row>
    <row r="33" spans="1:36" x14ac:dyDescent="0.2">
      <c r="A33" s="8">
        <f t="shared" si="1"/>
        <v>28</v>
      </c>
      <c r="B33" s="13" t="s">
        <v>50</v>
      </c>
      <c r="C33" s="9" t="s">
        <v>45</v>
      </c>
      <c r="D33" s="13">
        <v>2027</v>
      </c>
      <c r="E33" s="37">
        <v>46630</v>
      </c>
      <c r="F33" s="35">
        <v>20</v>
      </c>
      <c r="G33" s="35">
        <v>20</v>
      </c>
      <c r="H33" s="36">
        <v>9638</v>
      </c>
      <c r="I33" s="36">
        <v>9604</v>
      </c>
      <c r="J33" s="11">
        <f t="shared" si="2"/>
        <v>-34</v>
      </c>
      <c r="K33" s="25">
        <f t="shared" si="3"/>
        <v>-3.5277028429134675E-3</v>
      </c>
      <c r="M33" s="11">
        <v>311998.59999999992</v>
      </c>
      <c r="N33" s="11">
        <v>311998.59999999992</v>
      </c>
      <c r="O33" s="11">
        <v>95242.959999999977</v>
      </c>
      <c r="P33" s="11">
        <v>1265091.04</v>
      </c>
      <c r="Q33" s="11"/>
      <c r="R33" s="11">
        <f t="shared" si="17"/>
        <v>1265091.04</v>
      </c>
      <c r="T33" s="42">
        <f t="shared" si="5"/>
        <v>9604</v>
      </c>
      <c r="U33" s="43">
        <v>966</v>
      </c>
      <c r="V33" s="43">
        <v>8638</v>
      </c>
      <c r="W33" s="43">
        <v>0</v>
      </c>
      <c r="X33" s="44">
        <v>0</v>
      </c>
      <c r="Y33" s="45"/>
      <c r="Z33" s="42">
        <f t="shared" si="6"/>
        <v>9638</v>
      </c>
      <c r="AA33" s="43">
        <v>778</v>
      </c>
      <c r="AB33" s="43">
        <v>8860</v>
      </c>
      <c r="AC33" s="43">
        <v>0</v>
      </c>
      <c r="AD33" s="44">
        <v>0</v>
      </c>
      <c r="AE33" s="46"/>
      <c r="AF33" s="47">
        <f t="shared" si="7"/>
        <v>-3.5277028429134675E-3</v>
      </c>
      <c r="AG33" s="48">
        <f t="shared" si="7"/>
        <v>0.2416452442159383</v>
      </c>
      <c r="AH33" s="48">
        <f t="shared" si="7"/>
        <v>-2.5056433408577879E-2</v>
      </c>
      <c r="AI33" s="48" t="str">
        <f t="shared" si="7"/>
        <v/>
      </c>
      <c r="AJ33" s="49" t="str">
        <f t="shared" si="7"/>
        <v/>
      </c>
    </row>
    <row r="34" spans="1:36" x14ac:dyDescent="0.2">
      <c r="A34" s="8">
        <f t="shared" si="1"/>
        <v>29</v>
      </c>
      <c r="B34" s="13" t="s">
        <v>51</v>
      </c>
      <c r="C34" s="9" t="s">
        <v>45</v>
      </c>
      <c r="D34" s="13">
        <v>2030</v>
      </c>
      <c r="E34" s="37">
        <v>47664</v>
      </c>
      <c r="F34" s="35">
        <v>25</v>
      </c>
      <c r="G34" s="35">
        <v>8</v>
      </c>
      <c r="H34" s="40">
        <v>8165</v>
      </c>
      <c r="I34" s="36">
        <v>7973.25</v>
      </c>
      <c r="J34" s="11">
        <f t="shared" si="2"/>
        <v>-191.75</v>
      </c>
      <c r="K34" s="25">
        <f t="shared" si="3"/>
        <v>-2.348438456827924E-2</v>
      </c>
      <c r="M34" s="11">
        <v>1145952.8399999999</v>
      </c>
      <c r="N34" s="11">
        <v>366704.90880000003</v>
      </c>
      <c r="O34" s="11">
        <v>222435.83360000001</v>
      </c>
      <c r="P34" s="11">
        <v>690160.12441717088</v>
      </c>
      <c r="Q34" s="11"/>
      <c r="R34" s="11">
        <f t="shared" si="17"/>
        <v>690160.12441717088</v>
      </c>
      <c r="T34" s="42">
        <f t="shared" si="5"/>
        <v>7973.25</v>
      </c>
      <c r="U34" s="43">
        <v>386</v>
      </c>
      <c r="V34" s="43">
        <v>4712</v>
      </c>
      <c r="W34" s="43">
        <v>0</v>
      </c>
      <c r="X34" s="44">
        <v>2875.25</v>
      </c>
      <c r="Y34" s="45"/>
      <c r="Z34" s="42">
        <f t="shared" si="6"/>
        <v>8165.0833333333339</v>
      </c>
      <c r="AA34" s="43">
        <v>311</v>
      </c>
      <c r="AB34" s="43">
        <v>4833</v>
      </c>
      <c r="AC34" s="43">
        <v>0</v>
      </c>
      <c r="AD34" s="44">
        <v>3021.0833333333335</v>
      </c>
      <c r="AE34" s="46"/>
      <c r="AF34" s="47">
        <f t="shared" si="7"/>
        <v>-2.3494350945591564E-2</v>
      </c>
      <c r="AG34" s="48">
        <f t="shared" si="7"/>
        <v>0.24115755627009647</v>
      </c>
      <c r="AH34" s="48">
        <f t="shared" si="7"/>
        <v>-2.5036209393751292E-2</v>
      </c>
      <c r="AI34" s="48" t="str">
        <f t="shared" si="7"/>
        <v/>
      </c>
      <c r="AJ34" s="49">
        <f t="shared" si="7"/>
        <v>-4.8271867155821636E-2</v>
      </c>
    </row>
    <row r="35" spans="1:36" x14ac:dyDescent="0.2">
      <c r="A35" s="8">
        <f t="shared" si="1"/>
        <v>30</v>
      </c>
      <c r="B35" s="13" t="s">
        <v>52</v>
      </c>
      <c r="C35" s="9" t="s">
        <v>45</v>
      </c>
      <c r="D35" s="13">
        <v>2021</v>
      </c>
      <c r="E35" s="37">
        <v>44552</v>
      </c>
      <c r="F35" s="35">
        <v>25</v>
      </c>
      <c r="G35" s="35">
        <v>6</v>
      </c>
      <c r="H35" s="40">
        <v>14420</v>
      </c>
      <c r="I35" s="36">
        <v>13751</v>
      </c>
      <c r="J35" s="11">
        <f t="shared" si="2"/>
        <v>-669</v>
      </c>
      <c r="K35" s="25">
        <f t="shared" si="3"/>
        <v>-4.6393897364771154E-2</v>
      </c>
      <c r="M35" s="11">
        <v>1081669.5400000003</v>
      </c>
      <c r="N35" s="11">
        <v>259600.68960000001</v>
      </c>
      <c r="O35" s="11">
        <v>147058.65840000004</v>
      </c>
      <c r="P35" s="11">
        <v>553290.44442164246</v>
      </c>
      <c r="Q35" s="11"/>
      <c r="R35" s="11">
        <f t="shared" si="17"/>
        <v>553290.44442164246</v>
      </c>
      <c r="T35" s="42">
        <f t="shared" si="5"/>
        <v>13751</v>
      </c>
      <c r="U35" s="43">
        <v>290</v>
      </c>
      <c r="V35" s="43">
        <v>3778</v>
      </c>
      <c r="W35" s="43">
        <v>32</v>
      </c>
      <c r="X35" s="44">
        <v>9651</v>
      </c>
      <c r="Y35" s="45"/>
      <c r="Z35" s="42">
        <f t="shared" si="6"/>
        <v>14420</v>
      </c>
      <c r="AA35" s="43">
        <v>194</v>
      </c>
      <c r="AB35" s="43">
        <v>3875</v>
      </c>
      <c r="AC35" s="43">
        <v>33</v>
      </c>
      <c r="AD35" s="44">
        <v>10318</v>
      </c>
      <c r="AE35" s="46"/>
      <c r="AF35" s="47">
        <f t="shared" si="7"/>
        <v>-4.6393897364771154E-2</v>
      </c>
      <c r="AG35" s="48">
        <f t="shared" si="7"/>
        <v>0.49484536082474229</v>
      </c>
      <c r="AH35" s="48">
        <f t="shared" si="7"/>
        <v>-2.503225806451613E-2</v>
      </c>
      <c r="AI35" s="48">
        <f t="shared" si="7"/>
        <v>-3.0303030303030304E-2</v>
      </c>
      <c r="AJ35" s="49">
        <f t="shared" si="7"/>
        <v>-6.4644310912967629E-2</v>
      </c>
    </row>
    <row r="36" spans="1:36" x14ac:dyDescent="0.2">
      <c r="A36" s="8">
        <f t="shared" si="1"/>
        <v>31</v>
      </c>
      <c r="B36" s="13" t="s">
        <v>53</v>
      </c>
      <c r="C36" s="9" t="s">
        <v>46</v>
      </c>
      <c r="D36" s="13">
        <v>2030</v>
      </c>
      <c r="E36" s="37">
        <v>47689</v>
      </c>
      <c r="F36" s="35">
        <v>50</v>
      </c>
      <c r="G36" s="35">
        <v>37.5</v>
      </c>
      <c r="H36" s="36">
        <v>9501</v>
      </c>
      <c r="I36" s="36">
        <v>9727</v>
      </c>
      <c r="J36" s="11">
        <f t="shared" ref="J36" si="18">+I36-H36</f>
        <v>226</v>
      </c>
      <c r="K36" s="25">
        <f t="shared" ref="K36" si="19">+J36/H36</f>
        <v>2.3786969792653406E-2</v>
      </c>
      <c r="M36" s="11">
        <v>2088939.34</v>
      </c>
      <c r="N36" s="11">
        <v>1566704.5050000001</v>
      </c>
      <c r="O36" s="11">
        <v>902050.86750000017</v>
      </c>
      <c r="P36" s="11">
        <v>3120720.6391256023</v>
      </c>
      <c r="Q36" s="11"/>
      <c r="R36" s="11">
        <f t="shared" ref="R36" si="20">O36</f>
        <v>902050.86750000017</v>
      </c>
      <c r="T36" s="42">
        <f t="shared" si="5"/>
        <v>9727</v>
      </c>
      <c r="U36" s="43">
        <v>1810</v>
      </c>
      <c r="V36" s="43">
        <v>7917</v>
      </c>
      <c r="W36" s="43">
        <v>0</v>
      </c>
      <c r="X36" s="44">
        <v>0</v>
      </c>
      <c r="Y36" s="45"/>
      <c r="Z36" s="42">
        <f t="shared" si="6"/>
        <v>9501</v>
      </c>
      <c r="AA36" s="43">
        <v>1458</v>
      </c>
      <c r="AB36" s="43">
        <v>8043</v>
      </c>
      <c r="AC36" s="43">
        <v>0</v>
      </c>
      <c r="AD36" s="44">
        <v>0</v>
      </c>
      <c r="AE36" s="46"/>
      <c r="AF36" s="47">
        <f t="shared" si="7"/>
        <v>2.3786969792653406E-2</v>
      </c>
      <c r="AG36" s="48">
        <f t="shared" si="7"/>
        <v>0.24142661179698216</v>
      </c>
      <c r="AH36" s="48">
        <f t="shared" si="7"/>
        <v>-1.5665796344647518E-2</v>
      </c>
      <c r="AI36" s="48" t="str">
        <f t="shared" si="7"/>
        <v/>
      </c>
      <c r="AJ36" s="49" t="str">
        <f t="shared" si="7"/>
        <v/>
      </c>
    </row>
    <row r="37" spans="1:36" x14ac:dyDescent="0.2">
      <c r="B37" s="13"/>
      <c r="M37" s="11"/>
      <c r="N37" s="11"/>
      <c r="O37" s="11"/>
      <c r="P37" s="11"/>
      <c r="Q37" s="11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</row>
    <row r="38" spans="1:36" x14ac:dyDescent="0.2">
      <c r="G38" s="2" t="s">
        <v>47</v>
      </c>
      <c r="H38" s="14">
        <f>SUM(H6:H37)</f>
        <v>287090</v>
      </c>
      <c r="I38" s="14">
        <f>SUM(I6:I37)</f>
        <v>286110.39132417378</v>
      </c>
      <c r="J38" s="14">
        <f>SUM(J6:J37)</f>
        <v>-979.60867582623268</v>
      </c>
      <c r="K38" s="26">
        <f>+J38/H38</f>
        <v>-3.4122006194093582E-3</v>
      </c>
      <c r="L38" s="15"/>
      <c r="M38" s="14">
        <f>SUM(M6:M37)</f>
        <v>42301241.707444869</v>
      </c>
      <c r="N38" s="14">
        <f>SUM(N6:N37)</f>
        <v>23891447.852544859</v>
      </c>
      <c r="O38" s="14">
        <f>SUM(O6:O37)</f>
        <v>15435759.311458088</v>
      </c>
      <c r="P38" s="14">
        <f>SUM(P6:P37)</f>
        <v>44294571.681879543</v>
      </c>
      <c r="Q38" s="14"/>
      <c r="R38" s="14">
        <f>SUM(R6:R37)</f>
        <v>27049328.79029623</v>
      </c>
      <c r="T38" s="50">
        <f t="shared" ref="T38:X38" si="21">SUM(T6:T37)</f>
        <v>286110.0579908404</v>
      </c>
      <c r="U38" s="50">
        <f t="shared" si="21"/>
        <v>32901</v>
      </c>
      <c r="V38" s="50">
        <f t="shared" si="21"/>
        <v>189943.80799084043</v>
      </c>
      <c r="W38" s="50">
        <f t="shared" si="21"/>
        <v>5438</v>
      </c>
      <c r="X38" s="50">
        <f t="shared" si="21"/>
        <v>57827.25</v>
      </c>
      <c r="Y38" s="46"/>
      <c r="Z38" s="50">
        <f t="shared" ref="Z38:AD38" si="22">SUM(Z6:Z37)</f>
        <v>287089.74325598287</v>
      </c>
      <c r="AA38" s="50">
        <f t="shared" si="22"/>
        <v>26136</v>
      </c>
      <c r="AB38" s="50">
        <f t="shared" si="22"/>
        <v>194503.65992264953</v>
      </c>
      <c r="AC38" s="50">
        <f t="shared" si="22"/>
        <v>5551</v>
      </c>
      <c r="AD38" s="50">
        <f t="shared" si="22"/>
        <v>60899.083333333336</v>
      </c>
      <c r="AE38" s="46"/>
      <c r="AF38" s="51">
        <f t="shared" ref="AF38" si="23">IF(Z38=0,"",(+T38-Z38)/Z38)</f>
        <v>-3.412470449245331E-3</v>
      </c>
      <c r="AG38" s="51">
        <f t="shared" ref="AG38" si="24">IF(AA38=0,"",(+U38-AA38)/AA38)</f>
        <v>0.25883838383838381</v>
      </c>
      <c r="AH38" s="51">
        <f t="shared" ref="AH38" si="25">IF(AB38=0,"",(+V38-AB38)/AB38)</f>
        <v>-2.3443527662268496E-2</v>
      </c>
      <c r="AI38" s="51">
        <f t="shared" ref="AI38" si="26">IF(AC38=0,"",(+W38-AC38)/AC38)</f>
        <v>-2.0356692487840028E-2</v>
      </c>
      <c r="AJ38" s="51">
        <f t="shared" ref="AJ38" si="27">IF(AD38=0,"",(+X38-AD38)/AD38)</f>
        <v>-5.0441372270244936E-2</v>
      </c>
    </row>
    <row r="39" spans="1:36" x14ac:dyDescent="0.2">
      <c r="C39" s="11"/>
      <c r="D39" s="24"/>
      <c r="E39" s="11"/>
      <c r="H39" s="11"/>
      <c r="I39" s="11"/>
      <c r="J39" s="11"/>
      <c r="T39" s="31" t="s">
        <v>54</v>
      </c>
      <c r="Z39" s="31" t="s">
        <v>54</v>
      </c>
      <c r="AF39" s="31" t="s">
        <v>54</v>
      </c>
    </row>
    <row r="40" spans="1:36" x14ac:dyDescent="0.2">
      <c r="C40" s="11"/>
      <c r="D40" s="24"/>
      <c r="E40" s="11"/>
      <c r="G40" s="2" t="s">
        <v>48</v>
      </c>
      <c r="H40" s="14">
        <f>+H38*12</f>
        <v>3445080</v>
      </c>
      <c r="I40" s="14">
        <f>+I38*12</f>
        <v>3433324.6958900853</v>
      </c>
      <c r="J40" s="14">
        <f>+J38*12</f>
        <v>-11755.304109914792</v>
      </c>
      <c r="K40" s="26">
        <f>+J40/H40</f>
        <v>-3.4122006194093582E-3</v>
      </c>
      <c r="T40" s="32">
        <f>T38-I38</f>
        <v>-0.33333333337213844</v>
      </c>
      <c r="Z40" s="32">
        <f>Z38-H38</f>
        <v>-0.25674401712603867</v>
      </c>
      <c r="AF40" s="32">
        <f>AF38-K38</f>
        <v>-2.6982983597273122E-7</v>
      </c>
    </row>
    <row r="41" spans="1:36" ht="10.8" thickBot="1" x14ac:dyDescent="0.25"/>
    <row r="42" spans="1:36" ht="10.8" thickBot="1" x14ac:dyDescent="0.25">
      <c r="G42" s="16" t="s">
        <v>44</v>
      </c>
      <c r="H42" s="17"/>
      <c r="I42" s="17"/>
      <c r="J42" s="17"/>
      <c r="K42" s="27"/>
    </row>
    <row r="43" spans="1:36" x14ac:dyDescent="0.2">
      <c r="C43" s="9" t="s">
        <v>45</v>
      </c>
      <c r="D43" s="13"/>
      <c r="E43" s="9"/>
      <c r="G43" s="18">
        <f>COUNTIF($C$6:$C$36,C43)</f>
        <v>17</v>
      </c>
      <c r="H43" s="10">
        <f>SUMIF($C$6:$C$36,C43,$H$6:$H$36)</f>
        <v>239490</v>
      </c>
      <c r="I43" s="10">
        <f>SUMIF($C$6:$C$36,C43,$I$6:$I$36)</f>
        <v>235746.39132417375</v>
      </c>
      <c r="J43" s="10">
        <f>+I43-H43</f>
        <v>-3743.6086758262536</v>
      </c>
      <c r="K43" s="28">
        <f>+J43/H43</f>
        <v>-1.5631586604143193E-2</v>
      </c>
      <c r="R43" s="21">
        <f>SUMIF($C$6:$C$36,C43,$R$6:$R$36)</f>
        <v>23372737.204196233</v>
      </c>
    </row>
    <row r="44" spans="1:36" x14ac:dyDescent="0.2">
      <c r="C44" s="12" t="s">
        <v>46</v>
      </c>
      <c r="E44" s="12"/>
      <c r="G44" s="18">
        <f>COUNTIF($C$6:$C$36,C44)</f>
        <v>14</v>
      </c>
      <c r="H44" s="10">
        <f>SUMIF($C$6:$C$36,C44,$H$6:$H$36)</f>
        <v>47600</v>
      </c>
      <c r="I44" s="10">
        <f>SUMIF($C$6:$C$36,C44,$I$6:$I$36)</f>
        <v>50364</v>
      </c>
      <c r="J44" s="10">
        <f>+I44-H44</f>
        <v>2764</v>
      </c>
      <c r="K44" s="28">
        <f>+J44/H44</f>
        <v>5.8067226890756302E-2</v>
      </c>
      <c r="R44" s="22">
        <f>SUMIF($C$6:$C$36,C44,$R$6:$R$36)</f>
        <v>3676591.5861</v>
      </c>
    </row>
    <row r="45" spans="1:36" ht="10.8" thickBot="1" x14ac:dyDescent="0.25">
      <c r="G45" s="18">
        <f>SUM(G43:G44)</f>
        <v>31</v>
      </c>
      <c r="H45" s="10">
        <f>SUM(H43:H44)</f>
        <v>287090</v>
      </c>
      <c r="I45" s="10">
        <f>SUM(I43:I44)</f>
        <v>286110.39132417378</v>
      </c>
      <c r="J45" s="10">
        <f>SUM(J43:J44)</f>
        <v>-979.6086758262536</v>
      </c>
      <c r="K45" s="28">
        <f>+J45/H45</f>
        <v>-3.4122006194094311E-3</v>
      </c>
      <c r="R45" s="23">
        <f>SUM(R43:R44)</f>
        <v>27049328.790296234</v>
      </c>
    </row>
    <row r="46" spans="1:36" ht="10.8" thickBot="1" x14ac:dyDescent="0.25">
      <c r="G46" s="19"/>
      <c r="H46" s="20"/>
      <c r="I46" s="20"/>
      <c r="J46" s="20"/>
      <c r="K46" s="29"/>
      <c r="P46" s="31" t="s">
        <v>54</v>
      </c>
      <c r="Q46" s="31"/>
      <c r="R46" s="32">
        <f>R38-R45</f>
        <v>0</v>
      </c>
    </row>
    <row r="47" spans="1:36" x14ac:dyDescent="0.2">
      <c r="G47" s="33" t="s">
        <v>54</v>
      </c>
      <c r="H47" s="32">
        <f>H38-H45</f>
        <v>0</v>
      </c>
      <c r="I47" s="32">
        <f t="shared" ref="I47:J47" si="28">I38-I45</f>
        <v>0</v>
      </c>
      <c r="J47" s="32">
        <f t="shared" si="28"/>
        <v>2.0918378140777349E-11</v>
      </c>
      <c r="K47" s="34">
        <f>K38-K45</f>
        <v>7.2858385991025898E-17</v>
      </c>
    </row>
  </sheetData>
  <autoFilter ref="A5:AJ36"/>
  <mergeCells count="7">
    <mergeCell ref="T3:AJ3"/>
    <mergeCell ref="AF4:AJ4"/>
    <mergeCell ref="A1:H1"/>
    <mergeCell ref="A2:H2"/>
    <mergeCell ref="A3:H3"/>
    <mergeCell ref="T4:X4"/>
    <mergeCell ref="Z4:AD4"/>
  </mergeCells>
  <printOptions horizontalCentered="1"/>
  <pageMargins left="0.25" right="0.25" top="1" bottom="1" header="0.5" footer="0.5"/>
  <pageSetup paperSize="5" scale="76" orientation="landscape" r:id="rId1"/>
  <headerFooter alignWithMargins="0">
    <oddFooter>&amp;L&amp;F&amp;C&amp;A&amp;RPage &amp;P of &amp;N
Proposed Schedule 62 Tariff Update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734C6C0364064BB10A1197C734B99B" ma:contentTypeVersion="52" ma:contentTypeDescription="" ma:contentTypeScope="" ma:versionID="9de0f1f4648f52ad7a7e2f2c0e7fed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2020-12-02T08:00:00+00:00</OpenedDate>
    <SignificantOrder xmlns="dc463f71-b30c-4ab2-9473-d307f9d35888">false</SignificantOrder>
    <Date1 xmlns="dc463f71-b30c-4ab2-9473-d307f9d35888">2020-12-17T08:00:00+00:00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200970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5766D9F-C45F-4679-B079-875799D7F1D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687D87D-7136-40AD-9D9A-82180301970B}"/>
</file>

<file path=customXml/itemProps3.xml><?xml version="1.0" encoding="utf-8"?>
<ds:datastoreItem xmlns:ds="http://schemas.openxmlformats.org/officeDocument/2006/customXml" ds:itemID="{E6316777-DAB1-4CF3-B002-608A9E11FE17}"/>
</file>

<file path=customXml/itemProps4.xml><?xml version="1.0" encoding="utf-8"?>
<ds:datastoreItem xmlns:ds="http://schemas.openxmlformats.org/officeDocument/2006/customXml" ds:itemID="{E841217F-CEDE-4DCB-85A8-CCBE50716D31}"/>
</file>

<file path=customXml/itemProps5.xml><?xml version="1.0" encoding="utf-8"?>
<ds:datastoreItem xmlns:ds="http://schemas.openxmlformats.org/officeDocument/2006/customXml" ds:itemID="{800570EC-9194-4F9E-95FB-E4C6D1E35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UTC Rate Impacts (C)</vt:lpstr>
      <vt:lpstr>'UTC Rate Impacts (C)'!Print_Area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Cass, Mei</cp:lastModifiedBy>
  <dcterms:created xsi:type="dcterms:W3CDTF">2018-05-21T17:47:02Z</dcterms:created>
  <dcterms:modified xsi:type="dcterms:W3CDTF">2020-12-14T21:38:24Z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0x0101006E56B4D1795A2E4DB2F0B01679ED314A0070734C6C0364064BB10A1197C734B99B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