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charts/chart2.xml" ContentType="application/vnd.openxmlformats-officedocument.drawingml.chart+xml"/>
  <Override PartName="/xl/worksheets/sheet8.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worksheets/sheet16.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7.xml" ContentType="application/vnd.openxmlformats-officedocument.spreadsheetml.worksheet+xml"/>
  <Override PartName="/xl/worksheets/sheet17.xml" ContentType="application/vnd.openxmlformats-officedocument.spreadsheetml.worksheet+xml"/>
  <Override PartName="/xl/drawings/drawing2.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customProperty6.bin" ContentType="application/vnd.openxmlformats-officedocument.spreadsheetml.customProperty"/>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Property1.bin" ContentType="application/vnd.openxmlformats-officedocument.spreadsheetml.customProperty"/>
  <Override PartName="/xl/externalLinks/externalLink2.xml" ContentType="application/vnd.openxmlformats-officedocument.spreadsheetml.externalLink+xml"/>
  <Override PartName="/customXml/itemProps1.xml" ContentType="application/vnd.openxmlformats-officedocument.customXmlProperties+xml"/>
  <Override PartName="/xl/activeX/activeX6.xml" ContentType="application/vnd.ms-office.activeX+xml"/>
  <Override PartName="/xl/customProperty4.bin" ContentType="application/vnd.openxmlformats-officedocument.spreadsheetml.customProperty"/>
  <Override PartName="/xl/activeX/activeX5.bin" ContentType="application/vnd.ms-office.activeX"/>
  <Override PartName="/xl/activeX/activeX5.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ustomProperty3.bin" ContentType="application/vnd.openxmlformats-officedocument.spreadsheetml.customProperty"/>
  <Override PartName="/xl/activeX/activeX8.xml" ContentType="application/vnd.ms-office.activeX+xml"/>
  <Override PartName="/xl/activeX/activeX4.bin" ContentType="application/vnd.ms-office.activeX"/>
  <Override PartName="/xl/activeX/activeX4.xml" ContentType="application/vnd.ms-office.activeX+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ustomProperty5.bin" ContentType="application/vnd.openxmlformats-officedocument.spreadsheetml.customProperty"/>
  <Override PartName="/xl/activeX/activeX3.xml" ContentType="application/vnd.ms-office.activeX+xml"/>
  <Override PartName="/xl/activeX/activeX3.bin" ContentType="application/vnd.ms-office.activeX"/>
  <Override PartName="/xl/activeX/activeX8.bin" ContentType="application/vnd.ms-office.activeX"/>
  <Override PartName="/xl/customProperty8.bin" ContentType="application/vnd.openxmlformats-officedocument.spreadsheetml.customProperty"/>
  <Override PartName="/xl/customProperty7.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xl/activeX/activeX12.bin" ContentType="application/vnd.ms-office.activeX"/>
  <Override PartName="/xl/activeX/activeX12.xml" ContentType="application/vnd.ms-office.activeX+xml"/>
  <Override PartName="/xl/activeX/activeX9.xml" ContentType="application/vnd.ms-office.activeX+xml"/>
  <Override PartName="/xl/activeX/activeX9.bin" ContentType="application/vnd.ms-office.activeX"/>
  <Override PartName="/xl/customProperty2.bin" ContentType="application/vnd.openxmlformats-officedocument.spreadsheetml.customProperty"/>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GrpRates\Public\Schedule 91\For 2020\"/>
    </mc:Choice>
  </mc:AlternateContent>
  <bookViews>
    <workbookView xWindow="0" yWindow="0" windowWidth="23040" windowHeight="8100"/>
  </bookViews>
  <sheets>
    <sheet name="Output - Summary" sheetId="45" r:id="rId1"/>
    <sheet name="Output - 5yr Baseload" sheetId="42" r:id="rId2"/>
    <sheet name="Output - 10yr Baseload" sheetId="39" r:id="rId3"/>
    <sheet name="Output - 15yr Baseload" sheetId="13" r:id="rId4"/>
    <sheet name="Output - 10yr Wind" sheetId="40" r:id="rId5"/>
    <sheet name="Output - 15yr Wind" sheetId="26" r:id="rId6"/>
    <sheet name="Output - 10yr Solar" sheetId="41" r:id="rId7"/>
    <sheet name="Output - 15yr Solar" sheetId="27" r:id="rId8"/>
    <sheet name="Electric EES CE Std Energy" sheetId="5" r:id="rId9"/>
    <sheet name="FlatLoadShapeEnergy_perMWh" sheetId="9" r:id="rId10"/>
    <sheet name="Baseload Avoided Capacity Calcs" sheetId="7" r:id="rId11"/>
    <sheet name="Wind Avoided Capacity Calcs" sheetId="43" r:id="rId12"/>
    <sheet name="Solar Avoided Capacity Calcs" sheetId="44" r:id="rId13"/>
    <sheet name="Inputs-----&gt;" sheetId="38" r:id="rId14"/>
    <sheet name="Energy Prices" sheetId="22" r:id="rId15"/>
    <sheet name="Capacity Delivered" sheetId="23" r:id="rId16"/>
    <sheet name="Cost of Capital" sheetId="37" r:id="rId17"/>
  </sheets>
  <externalReferences>
    <externalReference r:id="rId18"/>
    <externalReference r:id="rId19"/>
  </externalReferences>
  <definedNames>
    <definedName name="_ftn1" localSheetId="10">'Baseload Avoided Capacity Calcs'!#REF!</definedName>
    <definedName name="_ftn1" localSheetId="12">'Solar Avoided Capacity Calcs'!#REF!</definedName>
    <definedName name="_ftn1" localSheetId="11">'Wind Avoided Capacity Calcs'!#REF!</definedName>
    <definedName name="_ftnref1" localSheetId="10">'Baseload Avoided Capacity Calcs'!#REF!</definedName>
    <definedName name="_ftnref1" localSheetId="12">'Solar Avoided Capacity Calcs'!#REF!</definedName>
    <definedName name="_ftnref1" localSheetId="11">'Wind Avoided Capacity Calcs'!#REF!</definedName>
    <definedName name="CaseDescription">[1]Assumptions!$A$2</definedName>
    <definedName name="MeasureList" localSheetId="2">#REF!</definedName>
    <definedName name="MeasureList" localSheetId="6">#REF!</definedName>
    <definedName name="MeasureList" localSheetId="4">#REF!</definedName>
    <definedName name="MeasureList" localSheetId="7">#REF!</definedName>
    <definedName name="MeasureList" localSheetId="5">#REF!</definedName>
    <definedName name="MeasureList" localSheetId="1">#REF!</definedName>
    <definedName name="MeasureList" localSheetId="0">#REF!</definedName>
    <definedName name="MeasureList" localSheetId="12">#REF!</definedName>
    <definedName name="MeasureList" localSheetId="11">#REF!</definedName>
    <definedName name="MeasureList">#REF!</definedName>
    <definedName name="PreTaxWACC">[2]Assumptions!$O$24</definedName>
    <definedName name="_xlnm.Print_Area" localSheetId="10">'Baseload Avoided Capacity Calcs'!$B$4:$K$30</definedName>
    <definedName name="_xlnm.Print_Area" localSheetId="15">'Capacity Delivered'!$B$3:$S$28</definedName>
    <definedName name="_xlnm.Print_Area" localSheetId="8">'Electric EES CE Std Energy'!$B$2:$F$29</definedName>
    <definedName name="_xlnm.Print_Area" localSheetId="9">FlatLoadShapeEnergy_perMWh!$B$4:$P$33</definedName>
    <definedName name="_xlnm.Print_Area" localSheetId="2">'Output - 10yr Baseload'!$B$2:$AC$35</definedName>
    <definedName name="_xlnm.Print_Area" localSheetId="6">'Output - 10yr Solar'!$B$2:$AC$35</definedName>
    <definedName name="_xlnm.Print_Area" localSheetId="4">'Output - 10yr Wind'!$B$2:$AC$35</definedName>
    <definedName name="_xlnm.Print_Area" localSheetId="3">'Output - 15yr Baseload'!$B$2:$AD$35</definedName>
    <definedName name="_xlnm.Print_Area" localSheetId="7">'Output - 15yr Solar'!$B$2:$AD$35</definedName>
    <definedName name="_xlnm.Print_Area" localSheetId="5">'Output - 15yr Wind'!$B$2:$AD$35</definedName>
    <definedName name="_xlnm.Print_Area" localSheetId="1">'Output - 5yr Baseload'!$B$2:$AC$35</definedName>
    <definedName name="_xlnm.Print_Area" localSheetId="0">'Output - Summary'!$B$2:$AB$9</definedName>
    <definedName name="_xlnm.Print_Area" localSheetId="12">'Solar Avoided Capacity Calcs'!$B$4:$K$30</definedName>
    <definedName name="_xlnm.Print_Area" localSheetId="11">'Wind Avoided Capacity Calcs'!$B$4:$K$30</definedName>
    <definedName name="Rate_of_Return">'Cost of Capital'!$F$16</definedName>
    <definedName name="solver_typ" localSheetId="8" hidden="1">2</definedName>
    <definedName name="solver_typ" localSheetId="4" hidden="1">2</definedName>
    <definedName name="solver_typ" localSheetId="5" hidden="1">2</definedName>
    <definedName name="solver_ver" localSheetId="8" hidden="1">10</definedName>
    <definedName name="solver_ver" localSheetId="4" hidden="1">17</definedName>
    <definedName name="solver_ver" localSheetId="5" hidden="1">17</definedName>
    <definedName name="Title">[1]Assumptions!$A$1</definedName>
    <definedName name="wrn.Customer._.Counts._.Electric." localSheetId="13"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3" hidden="1">{#N/A,#N/A,FALSE,"Pg 6b CustCount_Gas";#N/A,#N/A,FALSE,"QA";#N/A,#N/A,FALSE,"Report";#N/A,#N/A,FALSE,"forecast"}</definedName>
    <definedName name="wrn.Customer._.Counts._.Gas." hidden="1">{#N/A,#N/A,FALSE,"Pg 6b CustCount_Gas";#N/A,#N/A,FALSE,"QA";#N/A,#N/A,FALSE,"Report";#N/A,#N/A,FALSE,"forecast"}</definedName>
    <definedName name="wrn.Incentive._.Overhead." localSheetId="13" hidden="1">{#N/A,#N/A,FALSE,"Coversheet";#N/A,#N/A,FALSE,"QA"}</definedName>
    <definedName name="wrn.Incentive._.Overhead." hidden="1">{#N/A,#N/A,FALSE,"Coversheet";#N/A,#N/A,FALSE,"QA"}</definedName>
    <definedName name="wrn.MARGIN_WO_QTR." localSheetId="13" hidden="1">{#N/A,#N/A,FALSE,"Month ";#N/A,#N/A,FALSE,"YTD";#N/A,#N/A,FALSE,"12 mo ended"}</definedName>
    <definedName name="wrn.MARGIN_WO_QTR." hidden="1">{#N/A,#N/A,FALSE,"Month ";#N/A,#N/A,FALSE,"YTD";#N/A,#N/A,FALSE,"12 mo ended"}</definedName>
    <definedName name="wrn.Municipal._.Reports."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3" hidden="1">{#N/A,#N/A,FALSE,"2002 Small Tool OH";#N/A,#N/A,FALSE,"QA"}</definedName>
    <definedName name="wrn.Small._.Tools._.Overhead." hidden="1">{#N/A,#N/A,FALSE,"2002 Small Tool OH";#N/A,#N/A,FALSE,"QA"}</definedName>
  </definedNames>
  <calcPr calcId="162913"/>
</workbook>
</file>

<file path=xl/calcChain.xml><?xml version="1.0" encoding="utf-8"?>
<calcChain xmlns="http://schemas.openxmlformats.org/spreadsheetml/2006/main">
  <c r="P8" i="9" l="1"/>
  <c r="P9" i="9"/>
  <c r="P10" i="9"/>
  <c r="P11" i="9"/>
  <c r="P12" i="9"/>
  <c r="P13" i="9"/>
  <c r="P14" i="9"/>
  <c r="P15" i="9"/>
  <c r="P16" i="9"/>
  <c r="P17" i="9"/>
  <c r="P18" i="9"/>
  <c r="P19" i="9"/>
  <c r="P20" i="9"/>
  <c r="P21" i="9"/>
  <c r="P22" i="9"/>
  <c r="P23" i="9"/>
  <c r="P24" i="9"/>
  <c r="P25" i="9"/>
  <c r="P26" i="9"/>
  <c r="P27" i="9"/>
  <c r="P7" i="9"/>
  <c r="K7" i="7" l="1"/>
  <c r="K27" i="43"/>
  <c r="K10" i="43"/>
  <c r="K11" i="43"/>
  <c r="K12" i="43"/>
  <c r="K13" i="43"/>
  <c r="K14" i="43"/>
  <c r="K15" i="43"/>
  <c r="K16" i="43"/>
  <c r="K17" i="43"/>
  <c r="K18" i="43"/>
  <c r="K19" i="43"/>
  <c r="K20" i="43"/>
  <c r="K21" i="43"/>
  <c r="K22" i="43"/>
  <c r="K23" i="43"/>
  <c r="K24" i="43"/>
  <c r="K25" i="43"/>
  <c r="K26" i="43"/>
  <c r="K9" i="43"/>
  <c r="K8" i="43"/>
  <c r="K7" i="43"/>
  <c r="K27" i="7"/>
  <c r="K26" i="7"/>
  <c r="K25" i="7"/>
  <c r="K24" i="7"/>
  <c r="K23" i="7"/>
  <c r="K22" i="7"/>
  <c r="K21" i="7"/>
  <c r="K20" i="7"/>
  <c r="K19" i="7"/>
  <c r="K18" i="7"/>
  <c r="K17" i="7"/>
  <c r="K16" i="7"/>
  <c r="K15" i="7"/>
  <c r="K14" i="7"/>
  <c r="K13" i="7"/>
  <c r="K12" i="7"/>
  <c r="K11" i="7"/>
  <c r="K10" i="7"/>
  <c r="K9" i="7"/>
  <c r="K8" i="7"/>
  <c r="K27" i="44"/>
  <c r="K26" i="44"/>
  <c r="K25" i="44"/>
  <c r="K24" i="44"/>
  <c r="K23" i="44"/>
  <c r="K22" i="44"/>
  <c r="K21" i="44"/>
  <c r="K20" i="44"/>
  <c r="K19" i="44"/>
  <c r="K18" i="44"/>
  <c r="K17" i="44"/>
  <c r="K16" i="44"/>
  <c r="K15" i="44"/>
  <c r="K14" i="44"/>
  <c r="K13" i="44"/>
  <c r="K12" i="44"/>
  <c r="K11" i="44"/>
  <c r="K10" i="44"/>
  <c r="K9" i="44"/>
  <c r="K8" i="44"/>
  <c r="K7" i="44"/>
  <c r="S8" i="44"/>
  <c r="S9" i="44"/>
  <c r="S10" i="44"/>
  <c r="S11" i="44"/>
  <c r="S12" i="44"/>
  <c r="S13" i="44"/>
  <c r="S14" i="44"/>
  <c r="S15" i="44"/>
  <c r="S16" i="44"/>
  <c r="S17" i="44"/>
  <c r="S18" i="44"/>
  <c r="S19" i="44"/>
  <c r="S20" i="44"/>
  <c r="S21" i="44"/>
  <c r="S22" i="44"/>
  <c r="S23" i="44"/>
  <c r="S24" i="44"/>
  <c r="S25" i="44"/>
  <c r="S26" i="44"/>
  <c r="S27" i="44"/>
  <c r="S7" i="44"/>
  <c r="S8" i="7"/>
  <c r="S9" i="7"/>
  <c r="S10" i="7"/>
  <c r="S11" i="7"/>
  <c r="S12" i="7"/>
  <c r="S13" i="7"/>
  <c r="S14" i="7"/>
  <c r="S15" i="7"/>
  <c r="S16" i="7"/>
  <c r="S17" i="7"/>
  <c r="S18" i="7"/>
  <c r="S19" i="7"/>
  <c r="S20" i="7"/>
  <c r="S21" i="7"/>
  <c r="S22" i="7"/>
  <c r="S23" i="7"/>
  <c r="S24" i="7"/>
  <c r="S25" i="7"/>
  <c r="S26" i="7"/>
  <c r="S27" i="7"/>
  <c r="S7" i="7"/>
  <c r="S8" i="43"/>
  <c r="S9" i="43"/>
  <c r="S10" i="43"/>
  <c r="S11" i="43"/>
  <c r="S12" i="43"/>
  <c r="S13" i="43"/>
  <c r="S14" i="43"/>
  <c r="S15" i="43"/>
  <c r="S16" i="43"/>
  <c r="S17" i="43"/>
  <c r="S18" i="43"/>
  <c r="S19" i="43"/>
  <c r="S20" i="43"/>
  <c r="S21" i="43"/>
  <c r="S22" i="43"/>
  <c r="S23" i="43"/>
  <c r="S24" i="43"/>
  <c r="S25" i="43"/>
  <c r="S26" i="43"/>
  <c r="S27" i="43"/>
  <c r="S7" i="43"/>
  <c r="F5" i="27" l="1"/>
  <c r="F5" i="41"/>
  <c r="F5" i="26"/>
  <c r="F5" i="40"/>
  <c r="F5" i="13"/>
  <c r="F5" i="39"/>
  <c r="F5" i="42"/>
  <c r="B8" i="23"/>
  <c r="B9" i="23"/>
  <c r="B10" i="23" s="1"/>
  <c r="B11" i="23" s="1"/>
  <c r="B12" i="23" s="1"/>
  <c r="B13" i="23" s="1"/>
  <c r="B14" i="23" s="1"/>
  <c r="B15" i="23" s="1"/>
  <c r="B16" i="23" s="1"/>
  <c r="B17" i="23" s="1"/>
  <c r="B18" i="23" s="1"/>
  <c r="B19" i="23" s="1"/>
  <c r="B20" i="23" s="1"/>
  <c r="B21" i="23" s="1"/>
  <c r="B22" i="23" s="1"/>
  <c r="B23" i="23" s="1"/>
  <c r="B24" i="23" s="1"/>
  <c r="B25" i="23" s="1"/>
  <c r="B26" i="23" s="1"/>
  <c r="B27" i="23" s="1"/>
  <c r="B28" i="23" s="1"/>
  <c r="R8" i="23"/>
  <c r="P7" i="23"/>
  <c r="O7" i="23"/>
  <c r="O8" i="23"/>
  <c r="I7" i="23"/>
  <c r="H7" i="44" s="1"/>
  <c r="H7" i="23"/>
  <c r="Q7" i="23" s="1"/>
  <c r="H7" i="43" l="1"/>
  <c r="K7" i="23"/>
  <c r="D15" i="7" l="1"/>
  <c r="F7" i="7" l="1"/>
  <c r="F7" i="44" l="1"/>
  <c r="F7" i="43"/>
  <c r="G7" i="9"/>
  <c r="E27" i="23" l="1"/>
  <c r="C8" i="23"/>
  <c r="P29" i="22"/>
  <c r="P28" i="22"/>
  <c r="E19" i="37"/>
  <c r="C8" i="22"/>
  <c r="C9" i="22" s="1"/>
  <c r="C10" i="22" s="1"/>
  <c r="C11" i="22" s="1"/>
  <c r="C12" i="22" s="1"/>
  <c r="C13" i="22" s="1"/>
  <c r="C14" i="22" s="1"/>
  <c r="C15" i="22" s="1"/>
  <c r="C16" i="22" s="1"/>
  <c r="C17" i="22" s="1"/>
  <c r="C18" i="22" s="1"/>
  <c r="C19" i="22" s="1"/>
  <c r="C20" i="22" s="1"/>
  <c r="C21" i="22" s="1"/>
  <c r="C22" i="22" s="1"/>
  <c r="C23" i="22" s="1"/>
  <c r="C24" i="22" s="1"/>
  <c r="C25" i="22" s="1"/>
  <c r="C26" i="22" s="1"/>
  <c r="C7" i="22"/>
  <c r="C9" i="23" l="1"/>
  <c r="K8" i="23"/>
  <c r="F39" i="45"/>
  <c r="G39" i="45" s="1"/>
  <c r="H39" i="45" s="1"/>
  <c r="I39" i="45" s="1"/>
  <c r="J39" i="45" s="1"/>
  <c r="K39" i="45" s="1"/>
  <c r="L39" i="45" s="1"/>
  <c r="M39" i="45" s="1"/>
  <c r="N39" i="45" s="1"/>
  <c r="O39" i="45" s="1"/>
  <c r="P39" i="45" s="1"/>
  <c r="Q39" i="45" s="1"/>
  <c r="R39" i="45" s="1"/>
  <c r="S39" i="45" s="1"/>
  <c r="T39" i="45" s="1"/>
  <c r="U39" i="45" s="1"/>
  <c r="V39" i="45" s="1"/>
  <c r="F33" i="45"/>
  <c r="G33" i="45" s="1"/>
  <c r="H33" i="45" s="1"/>
  <c r="I33" i="45" s="1"/>
  <c r="J33" i="45" s="1"/>
  <c r="K33" i="45" s="1"/>
  <c r="L33" i="45" s="1"/>
  <c r="M33" i="45" s="1"/>
  <c r="N33" i="45" s="1"/>
  <c r="O33" i="45" s="1"/>
  <c r="P33" i="45" s="1"/>
  <c r="Q33" i="45" s="1"/>
  <c r="R33" i="45" s="1"/>
  <c r="S33" i="45" s="1"/>
  <c r="T33" i="45" s="1"/>
  <c r="U33" i="45" s="1"/>
  <c r="V33" i="45" s="1"/>
  <c r="F26" i="45"/>
  <c r="G26" i="45" s="1"/>
  <c r="H26" i="45" s="1"/>
  <c r="I26" i="45" s="1"/>
  <c r="J26" i="45" s="1"/>
  <c r="K26" i="45" s="1"/>
  <c r="L26" i="45" s="1"/>
  <c r="M26" i="45" s="1"/>
  <c r="N26" i="45" s="1"/>
  <c r="O26" i="45" s="1"/>
  <c r="P26" i="45" s="1"/>
  <c r="Q26" i="45" s="1"/>
  <c r="R26" i="45" s="1"/>
  <c r="S26" i="45" s="1"/>
  <c r="T26" i="45" s="1"/>
  <c r="U26" i="45" s="1"/>
  <c r="V26" i="45" s="1"/>
  <c r="D12" i="44"/>
  <c r="C11" i="44"/>
  <c r="F8" i="44"/>
  <c r="F9" i="44" s="1"/>
  <c r="F10" i="44" s="1"/>
  <c r="F11" i="44" s="1"/>
  <c r="F12" i="44" s="1"/>
  <c r="F13" i="44" s="1"/>
  <c r="F14" i="44" s="1"/>
  <c r="F15" i="44" s="1"/>
  <c r="F16" i="44" s="1"/>
  <c r="F17" i="44" s="1"/>
  <c r="F18" i="44" s="1"/>
  <c r="F19" i="44" s="1"/>
  <c r="F20" i="44" s="1"/>
  <c r="F21" i="44" s="1"/>
  <c r="F22" i="44" s="1"/>
  <c r="F23" i="44" s="1"/>
  <c r="F24" i="44" s="1"/>
  <c r="F25" i="44" s="1"/>
  <c r="F26" i="44" s="1"/>
  <c r="F27" i="44" s="1"/>
  <c r="D12" i="43"/>
  <c r="C11" i="43"/>
  <c r="C10" i="23" l="1"/>
  <c r="K9" i="23"/>
  <c r="N8" i="23"/>
  <c r="N9" i="23"/>
  <c r="N10" i="23"/>
  <c r="N11" i="23"/>
  <c r="N12" i="23"/>
  <c r="N13" i="23"/>
  <c r="N14" i="23"/>
  <c r="N15" i="23"/>
  <c r="N16" i="23"/>
  <c r="N17" i="23"/>
  <c r="N18" i="23"/>
  <c r="N19" i="23"/>
  <c r="N20" i="23"/>
  <c r="N21" i="23"/>
  <c r="N22" i="23"/>
  <c r="N23" i="23"/>
  <c r="N24" i="23"/>
  <c r="N25" i="23"/>
  <c r="N26" i="23"/>
  <c r="N27" i="23"/>
  <c r="N28" i="23"/>
  <c r="N7" i="23"/>
  <c r="R9" i="23"/>
  <c r="R10" i="23"/>
  <c r="R11" i="23"/>
  <c r="R12" i="23"/>
  <c r="R13" i="23"/>
  <c r="R14" i="23"/>
  <c r="R15" i="23"/>
  <c r="R16" i="23"/>
  <c r="R17" i="23"/>
  <c r="R18" i="23"/>
  <c r="R19" i="23"/>
  <c r="R20" i="23"/>
  <c r="R21" i="23"/>
  <c r="R22" i="23"/>
  <c r="R23" i="23"/>
  <c r="R24" i="23"/>
  <c r="R25" i="23"/>
  <c r="R26" i="23"/>
  <c r="R27" i="23"/>
  <c r="R28" i="23"/>
  <c r="R7" i="23"/>
  <c r="P8" i="23"/>
  <c r="P9" i="23"/>
  <c r="P10" i="23"/>
  <c r="P11" i="23"/>
  <c r="P12" i="23"/>
  <c r="P13" i="23"/>
  <c r="P14" i="23"/>
  <c r="P15" i="23"/>
  <c r="P16" i="23"/>
  <c r="P17" i="23"/>
  <c r="P18" i="23"/>
  <c r="P19" i="23"/>
  <c r="P20" i="23"/>
  <c r="P21" i="23"/>
  <c r="P22" i="23"/>
  <c r="P23" i="23"/>
  <c r="P24" i="23"/>
  <c r="P25" i="23"/>
  <c r="P26" i="23"/>
  <c r="P27" i="23"/>
  <c r="P28" i="23"/>
  <c r="C11" i="23" l="1"/>
  <c r="K10" i="23"/>
  <c r="G7" i="23"/>
  <c r="H7" i="7" l="1"/>
  <c r="I7" i="7" s="1"/>
  <c r="C12" i="23"/>
  <c r="K11" i="23"/>
  <c r="S7" i="23"/>
  <c r="C13" i="23" l="1"/>
  <c r="K12" i="23"/>
  <c r="G19" i="42"/>
  <c r="F12" i="42"/>
  <c r="G12" i="42" s="1"/>
  <c r="H12" i="42" s="1"/>
  <c r="I12" i="42" s="1"/>
  <c r="J12" i="42" s="1"/>
  <c r="K12" i="42" s="1"/>
  <c r="L12" i="42" s="1"/>
  <c r="F12" i="27"/>
  <c r="F12" i="41"/>
  <c r="F12" i="26"/>
  <c r="F12" i="40"/>
  <c r="F12" i="13"/>
  <c r="F12" i="39"/>
  <c r="I27" i="9"/>
  <c r="J27" i="9" s="1"/>
  <c r="K27" i="9"/>
  <c r="I8" i="9"/>
  <c r="I7" i="9"/>
  <c r="G8" i="9"/>
  <c r="G9" i="9" s="1"/>
  <c r="G10" i="9" s="1"/>
  <c r="G11" i="9" s="1"/>
  <c r="G12" i="9" s="1"/>
  <c r="G13" i="9" s="1"/>
  <c r="G14" i="9" s="1"/>
  <c r="G15" i="9" s="1"/>
  <c r="G16" i="9" s="1"/>
  <c r="G17" i="9" s="1"/>
  <c r="G18" i="9" s="1"/>
  <c r="G19" i="9" s="1"/>
  <c r="G20" i="9" s="1"/>
  <c r="G21" i="9" s="1"/>
  <c r="G22" i="9" s="1"/>
  <c r="G23" i="9" s="1"/>
  <c r="G24" i="9" s="1"/>
  <c r="G25" i="9" s="1"/>
  <c r="G26" i="9" s="1"/>
  <c r="G27" i="9" s="1"/>
  <c r="F8" i="7"/>
  <c r="F9" i="7" l="1"/>
  <c r="F8" i="43"/>
  <c r="C14" i="23"/>
  <c r="K13" i="23"/>
  <c r="J7" i="9"/>
  <c r="H19" i="42"/>
  <c r="I19" i="9"/>
  <c r="J19" i="9" s="1"/>
  <c r="E28" i="23"/>
  <c r="I13" i="23"/>
  <c r="H13" i="44" s="1"/>
  <c r="G19" i="41"/>
  <c r="H19" i="41" s="1"/>
  <c r="I19" i="41" s="1"/>
  <c r="G12" i="41"/>
  <c r="H12" i="41" s="1"/>
  <c r="I12" i="41" s="1"/>
  <c r="J12" i="41" s="1"/>
  <c r="K12" i="41" s="1"/>
  <c r="L12" i="41" s="1"/>
  <c r="M12" i="41" s="1"/>
  <c r="N12" i="41" s="1"/>
  <c r="O12" i="41" s="1"/>
  <c r="P12" i="41" s="1"/>
  <c r="Q12" i="41" s="1"/>
  <c r="G19" i="40"/>
  <c r="H19" i="40" s="1"/>
  <c r="G12" i="40"/>
  <c r="H12" i="40" s="1"/>
  <c r="I12" i="40" s="1"/>
  <c r="J12" i="40" s="1"/>
  <c r="K12" i="40" s="1"/>
  <c r="L12" i="40" s="1"/>
  <c r="M12" i="40" s="1"/>
  <c r="N12" i="40" s="1"/>
  <c r="O12" i="40" s="1"/>
  <c r="P12" i="40" s="1"/>
  <c r="Q12" i="40" s="1"/>
  <c r="G19" i="39"/>
  <c r="G12" i="39"/>
  <c r="H12" i="39" s="1"/>
  <c r="I12" i="39" s="1"/>
  <c r="J12" i="39" s="1"/>
  <c r="K12" i="39" s="1"/>
  <c r="L12" i="39" s="1"/>
  <c r="M12" i="39" s="1"/>
  <c r="N12" i="39" s="1"/>
  <c r="O12" i="39" s="1"/>
  <c r="P12" i="39" s="1"/>
  <c r="Q12" i="39" s="1"/>
  <c r="F10" i="7" l="1"/>
  <c r="F9" i="43"/>
  <c r="C15" i="23"/>
  <c r="K14" i="23"/>
  <c r="S13" i="23"/>
  <c r="I19" i="42"/>
  <c r="J19" i="41"/>
  <c r="I19" i="40"/>
  <c r="H19" i="39"/>
  <c r="C16" i="23" l="1"/>
  <c r="K15" i="23"/>
  <c r="F11" i="7"/>
  <c r="F10" i="43"/>
  <c r="J19" i="42"/>
  <c r="K19" i="41"/>
  <c r="J19" i="40"/>
  <c r="I19" i="39"/>
  <c r="F12" i="7" l="1"/>
  <c r="F11" i="43"/>
  <c r="C17" i="23"/>
  <c r="K16" i="23"/>
  <c r="L19" i="41"/>
  <c r="K19" i="40"/>
  <c r="J19" i="39"/>
  <c r="F13" i="7" l="1"/>
  <c r="F12" i="43"/>
  <c r="C18" i="23"/>
  <c r="K17" i="23"/>
  <c r="M19" i="41"/>
  <c r="L19" i="40"/>
  <c r="K19" i="39"/>
  <c r="C19" i="23" l="1"/>
  <c r="K18" i="23"/>
  <c r="F14" i="7"/>
  <c r="F13" i="43"/>
  <c r="N19" i="41"/>
  <c r="M19" i="40"/>
  <c r="L19" i="39"/>
  <c r="F15" i="7" l="1"/>
  <c r="F14" i="43"/>
  <c r="C20" i="23"/>
  <c r="K19" i="23"/>
  <c r="O19" i="41"/>
  <c r="N19" i="40"/>
  <c r="M19" i="39"/>
  <c r="F16" i="7" l="1"/>
  <c r="F15" i="43"/>
  <c r="C21" i="23"/>
  <c r="K20" i="23"/>
  <c r="O19" i="40"/>
  <c r="N19" i="39"/>
  <c r="C22" i="23" l="1"/>
  <c r="K21" i="23"/>
  <c r="F17" i="7"/>
  <c r="F16" i="43"/>
  <c r="O19" i="39"/>
  <c r="C23" i="23" l="1"/>
  <c r="K22" i="23"/>
  <c r="F18" i="7"/>
  <c r="F17" i="43"/>
  <c r="G12" i="13"/>
  <c r="H12" i="13" s="1"/>
  <c r="I12" i="13" s="1"/>
  <c r="J12" i="13" s="1"/>
  <c r="K12" i="13" s="1"/>
  <c r="L12" i="13" s="1"/>
  <c r="M12" i="13" s="1"/>
  <c r="N12" i="13" s="1"/>
  <c r="O12" i="13" s="1"/>
  <c r="P12" i="13" s="1"/>
  <c r="Q12" i="13" s="1"/>
  <c r="R12" i="13" s="1"/>
  <c r="S12" i="13" s="1"/>
  <c r="T12" i="13" s="1"/>
  <c r="U12" i="13" s="1"/>
  <c r="V12" i="13" s="1"/>
  <c r="G12" i="26"/>
  <c r="H12" i="26" s="1"/>
  <c r="I12" i="26" s="1"/>
  <c r="J12" i="26" s="1"/>
  <c r="K12" i="26" s="1"/>
  <c r="L12" i="26" s="1"/>
  <c r="M12" i="26" s="1"/>
  <c r="N12" i="26" s="1"/>
  <c r="O12" i="26" s="1"/>
  <c r="P12" i="26" s="1"/>
  <c r="Q12" i="26" s="1"/>
  <c r="R12" i="26" s="1"/>
  <c r="S12" i="26" s="1"/>
  <c r="T12" i="26" s="1"/>
  <c r="U12" i="26" s="1"/>
  <c r="V12" i="26" s="1"/>
  <c r="G12" i="27"/>
  <c r="H12" i="27" s="1"/>
  <c r="I12" i="27" s="1"/>
  <c r="J12" i="27" s="1"/>
  <c r="K12" i="27" s="1"/>
  <c r="L12" i="27" s="1"/>
  <c r="M12" i="27" s="1"/>
  <c r="N12" i="27" s="1"/>
  <c r="O12" i="27" s="1"/>
  <c r="P12" i="27" s="1"/>
  <c r="Q12" i="27" s="1"/>
  <c r="R12" i="27" s="1"/>
  <c r="S12" i="27" s="1"/>
  <c r="T12" i="27" s="1"/>
  <c r="U12" i="27" s="1"/>
  <c r="V12" i="27" s="1"/>
  <c r="K26" i="9"/>
  <c r="I9" i="9"/>
  <c r="I10" i="9"/>
  <c r="I11" i="9"/>
  <c r="I12" i="9"/>
  <c r="I13" i="9"/>
  <c r="I14" i="9"/>
  <c r="I15" i="9"/>
  <c r="I16" i="9"/>
  <c r="I17" i="9"/>
  <c r="I18" i="9"/>
  <c r="I20" i="9"/>
  <c r="I21" i="9"/>
  <c r="I22" i="9"/>
  <c r="I23" i="9"/>
  <c r="I24" i="9"/>
  <c r="I25" i="9"/>
  <c r="I26" i="9"/>
  <c r="J26" i="9" s="1"/>
  <c r="F19" i="7" l="1"/>
  <c r="F18" i="43"/>
  <c r="C24" i="23"/>
  <c r="K23" i="23"/>
  <c r="E18" i="37"/>
  <c r="F18" i="37" s="1"/>
  <c r="F20" i="7" l="1"/>
  <c r="F19" i="43"/>
  <c r="C25" i="23"/>
  <c r="K24" i="23"/>
  <c r="C11" i="7"/>
  <c r="D12" i="7"/>
  <c r="C26" i="23" l="1"/>
  <c r="K25" i="23"/>
  <c r="F21" i="7"/>
  <c r="F20" i="43"/>
  <c r="C13" i="7"/>
  <c r="D4" i="5"/>
  <c r="F19" i="37"/>
  <c r="F20" i="37" s="1"/>
  <c r="F15" i="37"/>
  <c r="F14" i="37"/>
  <c r="F22" i="7" l="1"/>
  <c r="F21" i="43"/>
  <c r="C27" i="23"/>
  <c r="K26" i="23"/>
  <c r="D13" i="7"/>
  <c r="O7" i="7" s="1"/>
  <c r="C13" i="43"/>
  <c r="D13" i="43" s="1"/>
  <c r="O7" i="43" s="1"/>
  <c r="O8" i="43" s="1"/>
  <c r="O9" i="43" s="1"/>
  <c r="O10" i="43" s="1"/>
  <c r="O11" i="43" s="1"/>
  <c r="O12" i="43" s="1"/>
  <c r="O13" i="43" s="1"/>
  <c r="O14" i="43" s="1"/>
  <c r="O15" i="43" s="1"/>
  <c r="O16" i="43" s="1"/>
  <c r="O17" i="43" s="1"/>
  <c r="O18" i="43" s="1"/>
  <c r="O19" i="43" s="1"/>
  <c r="O20" i="43" s="1"/>
  <c r="O21" i="43" s="1"/>
  <c r="O22" i="43" s="1"/>
  <c r="O23" i="43" s="1"/>
  <c r="O24" i="43" s="1"/>
  <c r="O25" i="43" s="1"/>
  <c r="O26" i="43" s="1"/>
  <c r="C13" i="44"/>
  <c r="D13" i="44" s="1"/>
  <c r="O7" i="44" s="1"/>
  <c r="O8" i="44" s="1"/>
  <c r="O9" i="44" s="1"/>
  <c r="O10" i="44" s="1"/>
  <c r="O11" i="44" s="1"/>
  <c r="O12" i="44" s="1"/>
  <c r="F16" i="37"/>
  <c r="D8" i="43"/>
  <c r="D8" i="44"/>
  <c r="O8" i="7"/>
  <c r="O9" i="7" s="1"/>
  <c r="O10" i="7" s="1"/>
  <c r="O11" i="7" s="1"/>
  <c r="O12" i="7" s="1"/>
  <c r="O13" i="7" s="1"/>
  <c r="O14" i="7" s="1"/>
  <c r="O15" i="7" s="1"/>
  <c r="O16" i="7" s="1"/>
  <c r="O17" i="7" s="1"/>
  <c r="O18" i="7" s="1"/>
  <c r="O19" i="7" s="1"/>
  <c r="O20" i="7" s="1"/>
  <c r="O21" i="7" s="1"/>
  <c r="O22" i="7" s="1"/>
  <c r="O23" i="7" s="1"/>
  <c r="O24" i="7" s="1"/>
  <c r="O25" i="7" s="1"/>
  <c r="O26" i="7" s="1"/>
  <c r="O27" i="7" s="1"/>
  <c r="X19" i="40"/>
  <c r="Y19" i="40" s="1"/>
  <c r="X19" i="39"/>
  <c r="Y19" i="39" s="1"/>
  <c r="X19" i="41"/>
  <c r="Y19" i="41" s="1"/>
  <c r="X19" i="42"/>
  <c r="Y19" i="42" s="1"/>
  <c r="C28" i="23" l="1"/>
  <c r="K28" i="23" s="1"/>
  <c r="K27" i="23"/>
  <c r="F23" i="7"/>
  <c r="F22" i="43"/>
  <c r="O13" i="44"/>
  <c r="O14" i="44" s="1"/>
  <c r="O15" i="44" s="1"/>
  <c r="O16" i="44" s="1"/>
  <c r="O17" i="44" s="1"/>
  <c r="O18" i="44" s="1"/>
  <c r="O19" i="44" s="1"/>
  <c r="O20" i="44" s="1"/>
  <c r="O21" i="44" s="1"/>
  <c r="O22" i="44" s="1"/>
  <c r="O23" i="44" s="1"/>
  <c r="O24" i="44" s="1"/>
  <c r="O25" i="44" s="1"/>
  <c r="O26" i="44" s="1"/>
  <c r="O27" i="44" s="1"/>
  <c r="O27" i="43"/>
  <c r="F20" i="42"/>
  <c r="J20" i="42"/>
  <c r="G20" i="42"/>
  <c r="H20" i="42"/>
  <c r="I20" i="42"/>
  <c r="I20" i="41"/>
  <c r="M20" i="41"/>
  <c r="F20" i="41"/>
  <c r="J20" i="41"/>
  <c r="N20" i="41"/>
  <c r="G20" i="41"/>
  <c r="K20" i="41"/>
  <c r="O20" i="41"/>
  <c r="L20" i="41"/>
  <c r="H20" i="41"/>
  <c r="I20" i="39"/>
  <c r="M20" i="39"/>
  <c r="F20" i="39"/>
  <c r="J20" i="39"/>
  <c r="N20" i="39"/>
  <c r="G20" i="39"/>
  <c r="K20" i="39"/>
  <c r="O20" i="39"/>
  <c r="H20" i="39"/>
  <c r="L20" i="39"/>
  <c r="H20" i="40"/>
  <c r="L20" i="40"/>
  <c r="I20" i="40"/>
  <c r="M20" i="40"/>
  <c r="F20" i="40"/>
  <c r="J20" i="40"/>
  <c r="N20" i="40"/>
  <c r="G20" i="40"/>
  <c r="K20" i="40"/>
  <c r="O20" i="40"/>
  <c r="G12" i="23"/>
  <c r="H12" i="7" s="1"/>
  <c r="F24" i="7" l="1"/>
  <c r="F23" i="43"/>
  <c r="X20" i="41"/>
  <c r="Y20" i="41" s="1"/>
  <c r="O12" i="23"/>
  <c r="X20" i="39"/>
  <c r="Y20" i="39" s="1"/>
  <c r="X20" i="40"/>
  <c r="Y20" i="40" s="1"/>
  <c r="X20" i="42"/>
  <c r="Y20" i="42" s="1"/>
  <c r="G8" i="23"/>
  <c r="G9" i="23"/>
  <c r="H9" i="7" s="1"/>
  <c r="G10" i="23"/>
  <c r="G11" i="23"/>
  <c r="H11" i="7" s="1"/>
  <c r="P11" i="7" s="1"/>
  <c r="G13" i="23"/>
  <c r="H13" i="7" s="1"/>
  <c r="G14" i="23"/>
  <c r="H14" i="7" s="1"/>
  <c r="G15" i="23"/>
  <c r="H15" i="7" s="1"/>
  <c r="G16" i="23"/>
  <c r="H16" i="7" s="1"/>
  <c r="G17" i="23"/>
  <c r="H17" i="7" s="1"/>
  <c r="G18" i="23"/>
  <c r="G19" i="23"/>
  <c r="H19" i="7" s="1"/>
  <c r="G20" i="23"/>
  <c r="H20" i="7" s="1"/>
  <c r="G21" i="23"/>
  <c r="H21" i="7" s="1"/>
  <c r="G22" i="23"/>
  <c r="G23" i="23"/>
  <c r="H23" i="7" s="1"/>
  <c r="G24" i="23"/>
  <c r="H24" i="7" s="1"/>
  <c r="G25" i="23"/>
  <c r="H25" i="7" s="1"/>
  <c r="G26" i="23"/>
  <c r="G27" i="23"/>
  <c r="H27" i="7" s="1"/>
  <c r="I8" i="23"/>
  <c r="I9" i="23"/>
  <c r="H9" i="44" s="1"/>
  <c r="I10" i="23"/>
  <c r="H10" i="44" s="1"/>
  <c r="I11" i="23"/>
  <c r="H11" i="44" s="1"/>
  <c r="I12" i="23"/>
  <c r="H12" i="44" s="1"/>
  <c r="I14" i="23"/>
  <c r="H14" i="44" s="1"/>
  <c r="I15" i="23"/>
  <c r="H15" i="44" s="1"/>
  <c r="I16" i="23"/>
  <c r="H16" i="44" s="1"/>
  <c r="I17" i="23"/>
  <c r="H17" i="44" s="1"/>
  <c r="I18" i="23"/>
  <c r="H18" i="44" s="1"/>
  <c r="I19" i="23"/>
  <c r="H19" i="44" s="1"/>
  <c r="I20" i="23"/>
  <c r="H20" i="44" s="1"/>
  <c r="I21" i="23"/>
  <c r="H21" i="44" s="1"/>
  <c r="I22" i="23"/>
  <c r="H22" i="44" s="1"/>
  <c r="I23" i="23"/>
  <c r="H23" i="44" s="1"/>
  <c r="I24" i="23"/>
  <c r="H24" i="44" s="1"/>
  <c r="I25" i="23"/>
  <c r="H25" i="44" s="1"/>
  <c r="I26" i="23"/>
  <c r="H26" i="44" s="1"/>
  <c r="I27" i="23"/>
  <c r="H27" i="44" s="1"/>
  <c r="H9" i="23"/>
  <c r="H9" i="43" s="1"/>
  <c r="H10" i="23"/>
  <c r="H10" i="43" s="1"/>
  <c r="H11" i="23"/>
  <c r="H11" i="43" s="1"/>
  <c r="H12" i="23"/>
  <c r="H12" i="43" s="1"/>
  <c r="H13" i="23"/>
  <c r="H13" i="43" s="1"/>
  <c r="H14" i="23"/>
  <c r="H14" i="43" s="1"/>
  <c r="H15" i="23"/>
  <c r="H15" i="43" s="1"/>
  <c r="H16" i="23"/>
  <c r="H16" i="43" s="1"/>
  <c r="H17" i="23"/>
  <c r="H17" i="43" s="1"/>
  <c r="H18" i="23"/>
  <c r="H18" i="43" s="1"/>
  <c r="H19" i="23"/>
  <c r="H19" i="43" s="1"/>
  <c r="H20" i="23"/>
  <c r="H20" i="43" s="1"/>
  <c r="H21" i="23"/>
  <c r="H21" i="43" s="1"/>
  <c r="H22" i="23"/>
  <c r="H22" i="43" s="1"/>
  <c r="H23" i="23"/>
  <c r="H23" i="43" s="1"/>
  <c r="H24" i="23"/>
  <c r="H24" i="43" s="1"/>
  <c r="H25" i="23"/>
  <c r="H25" i="43" s="1"/>
  <c r="H26" i="23"/>
  <c r="H26" i="43" s="1"/>
  <c r="H27" i="23"/>
  <c r="H27" i="43" s="1"/>
  <c r="H8" i="23"/>
  <c r="H8" i="43" s="1"/>
  <c r="I12" i="44" l="1"/>
  <c r="P12" i="44"/>
  <c r="Q12" i="44" s="1"/>
  <c r="H8" i="44"/>
  <c r="P8" i="44" s="1"/>
  <c r="Q8" i="44" s="1"/>
  <c r="S8" i="23"/>
  <c r="P7" i="7"/>
  <c r="H8" i="7"/>
  <c r="F25" i="7"/>
  <c r="F24" i="43"/>
  <c r="O18" i="23"/>
  <c r="H18" i="7"/>
  <c r="O10" i="23"/>
  <c r="H10" i="7"/>
  <c r="O22" i="23"/>
  <c r="H22" i="7"/>
  <c r="O26" i="23"/>
  <c r="H26" i="7"/>
  <c r="P26" i="7" s="1"/>
  <c r="P25" i="44"/>
  <c r="Q25" i="44" s="1"/>
  <c r="I25" i="44"/>
  <c r="P21" i="44"/>
  <c r="Q21" i="44" s="1"/>
  <c r="I21" i="44"/>
  <c r="P17" i="44"/>
  <c r="Q17" i="44" s="1"/>
  <c r="I17" i="44"/>
  <c r="P13" i="44"/>
  <c r="Q13" i="44" s="1"/>
  <c r="I13" i="44"/>
  <c r="P24" i="44"/>
  <c r="Q24" i="44" s="1"/>
  <c r="I24" i="44"/>
  <c r="P20" i="44"/>
  <c r="Q20" i="44" s="1"/>
  <c r="I20" i="44"/>
  <c r="P16" i="44"/>
  <c r="Q16" i="44" s="1"/>
  <c r="I16" i="44"/>
  <c r="P23" i="44"/>
  <c r="Q23" i="44" s="1"/>
  <c r="I23" i="44"/>
  <c r="P19" i="44"/>
  <c r="Q19" i="44" s="1"/>
  <c r="I19" i="44"/>
  <c r="P15" i="44"/>
  <c r="Q15" i="44" s="1"/>
  <c r="I15" i="44"/>
  <c r="P26" i="44"/>
  <c r="Q26" i="44" s="1"/>
  <c r="I26" i="44"/>
  <c r="P22" i="44"/>
  <c r="Q22" i="44" s="1"/>
  <c r="I22" i="44"/>
  <c r="P18" i="44"/>
  <c r="Q18" i="44" s="1"/>
  <c r="I18" i="44"/>
  <c r="P14" i="44"/>
  <c r="Q14" i="44" s="1"/>
  <c r="I14" i="44"/>
  <c r="I24" i="43"/>
  <c r="P24" i="43"/>
  <c r="Q24" i="43" s="1"/>
  <c r="I23" i="43"/>
  <c r="P23" i="43"/>
  <c r="Q23" i="43" s="1"/>
  <c r="I19" i="43"/>
  <c r="P19" i="43"/>
  <c r="Q19" i="43" s="1"/>
  <c r="I15" i="43"/>
  <c r="P15" i="43"/>
  <c r="Q15" i="43" s="1"/>
  <c r="I16" i="43"/>
  <c r="P16" i="43"/>
  <c r="Q16" i="43" s="1"/>
  <c r="I22" i="43"/>
  <c r="P22" i="43"/>
  <c r="Q22" i="43" s="1"/>
  <c r="I14" i="43"/>
  <c r="P14" i="43"/>
  <c r="Q14" i="43" s="1"/>
  <c r="I20" i="43"/>
  <c r="P20" i="43"/>
  <c r="Q20" i="43" s="1"/>
  <c r="I26" i="43"/>
  <c r="P26" i="43"/>
  <c r="Q26" i="43" s="1"/>
  <c r="I18" i="43"/>
  <c r="P18" i="43"/>
  <c r="Q18" i="43" s="1"/>
  <c r="I25" i="43"/>
  <c r="P25" i="43"/>
  <c r="Q25" i="43" s="1"/>
  <c r="I21" i="43"/>
  <c r="P21" i="43"/>
  <c r="Q21" i="43" s="1"/>
  <c r="I17" i="43"/>
  <c r="P17" i="43"/>
  <c r="Q17" i="43" s="1"/>
  <c r="I13" i="43"/>
  <c r="P13" i="43"/>
  <c r="Q13" i="43" s="1"/>
  <c r="I12" i="43"/>
  <c r="P12" i="43"/>
  <c r="Q12" i="43" s="1"/>
  <c r="I11" i="43"/>
  <c r="P11" i="43"/>
  <c r="Q11" i="43" s="1"/>
  <c r="I11" i="44"/>
  <c r="P11" i="44"/>
  <c r="Q11" i="44" s="1"/>
  <c r="I10" i="44"/>
  <c r="P10" i="44"/>
  <c r="Q10" i="44" s="1"/>
  <c r="I10" i="43"/>
  <c r="P10" i="43"/>
  <c r="Q10" i="43" s="1"/>
  <c r="I9" i="44"/>
  <c r="P9" i="44"/>
  <c r="Q9" i="44" s="1"/>
  <c r="I9" i="43"/>
  <c r="P9" i="43"/>
  <c r="Q9" i="43" s="1"/>
  <c r="I8" i="43"/>
  <c r="P8" i="43"/>
  <c r="Q8" i="43" s="1"/>
  <c r="I8" i="44"/>
  <c r="I7" i="44"/>
  <c r="J7" i="44" s="1"/>
  <c r="L7" i="44" s="1"/>
  <c r="P7" i="44"/>
  <c r="Q7" i="44" s="1"/>
  <c r="R7" i="44" s="1"/>
  <c r="P7" i="43"/>
  <c r="Q7" i="43" s="1"/>
  <c r="R7" i="43" s="1"/>
  <c r="I7" i="43"/>
  <c r="J7" i="43" s="1"/>
  <c r="Q19" i="23"/>
  <c r="S26" i="23"/>
  <c r="S14" i="23"/>
  <c r="O13" i="23"/>
  <c r="Q26" i="23"/>
  <c r="Q18" i="23"/>
  <c r="Q10" i="23"/>
  <c r="S21" i="23"/>
  <c r="S17" i="23"/>
  <c r="S12" i="23"/>
  <c r="O24" i="23"/>
  <c r="O20" i="23"/>
  <c r="O16" i="23"/>
  <c r="O11" i="23"/>
  <c r="Q23" i="23"/>
  <c r="Q11" i="23"/>
  <c r="S18" i="23"/>
  <c r="O25" i="23"/>
  <c r="O17" i="23"/>
  <c r="Q22" i="23"/>
  <c r="Q14" i="23"/>
  <c r="S25" i="23"/>
  <c r="Q25" i="23"/>
  <c r="Q21" i="23"/>
  <c r="Q17" i="23"/>
  <c r="Q13" i="23"/>
  <c r="Q9" i="23"/>
  <c r="S24" i="23"/>
  <c r="S20" i="23"/>
  <c r="S16" i="23"/>
  <c r="S11" i="23"/>
  <c r="O27" i="23"/>
  <c r="O23" i="23"/>
  <c r="O19" i="23"/>
  <c r="O15" i="23"/>
  <c r="Q27" i="23"/>
  <c r="Q15" i="23"/>
  <c r="S22" i="23"/>
  <c r="S9" i="23"/>
  <c r="O21" i="23"/>
  <c r="Q8" i="23"/>
  <c r="Q24" i="23"/>
  <c r="Q20" i="23"/>
  <c r="Q16" i="23"/>
  <c r="Q12" i="23"/>
  <c r="S27" i="23"/>
  <c r="S23" i="23"/>
  <c r="S19" i="23"/>
  <c r="S15" i="23"/>
  <c r="S10" i="23"/>
  <c r="O14" i="23"/>
  <c r="O9" i="23"/>
  <c r="G28" i="23"/>
  <c r="O28" i="23" s="1"/>
  <c r="P16" i="7"/>
  <c r="P10" i="7"/>
  <c r="P18" i="7"/>
  <c r="P8" i="7"/>
  <c r="P24" i="7"/>
  <c r="P14" i="7"/>
  <c r="P9" i="7"/>
  <c r="P25" i="7"/>
  <c r="P15" i="7"/>
  <c r="I28" i="23"/>
  <c r="P21" i="7"/>
  <c r="P13" i="7"/>
  <c r="P19" i="7"/>
  <c r="P17" i="7"/>
  <c r="H28" i="23"/>
  <c r="P23" i="7"/>
  <c r="P22" i="7"/>
  <c r="P20" i="7"/>
  <c r="P12" i="7"/>
  <c r="D8" i="7"/>
  <c r="E7" i="9"/>
  <c r="D5" i="5"/>
  <c r="F26" i="7" l="1"/>
  <c r="F25" i="43"/>
  <c r="I27" i="44"/>
  <c r="P27" i="44"/>
  <c r="Q27" i="44" s="1"/>
  <c r="I27" i="43"/>
  <c r="P27" i="43"/>
  <c r="Q27" i="43" s="1"/>
  <c r="T7" i="43"/>
  <c r="U7" i="43" s="1"/>
  <c r="R8" i="43"/>
  <c r="T7" i="44"/>
  <c r="U7" i="44" s="1"/>
  <c r="R8" i="44"/>
  <c r="L7" i="43"/>
  <c r="J8" i="43"/>
  <c r="J8" i="44"/>
  <c r="Q8" i="7"/>
  <c r="Q12" i="7"/>
  <c r="Q16" i="7"/>
  <c r="Q20" i="7"/>
  <c r="Q24" i="7"/>
  <c r="Q9" i="7"/>
  <c r="Q13" i="7"/>
  <c r="Q17" i="7"/>
  <c r="Q21" i="7"/>
  <c r="Q25" i="7"/>
  <c r="Q10" i="7"/>
  <c r="Q14" i="7"/>
  <c r="Q18" i="7"/>
  <c r="Q22" i="7"/>
  <c r="Q26" i="7"/>
  <c r="Q11" i="7"/>
  <c r="Q15" i="7"/>
  <c r="Q19" i="7"/>
  <c r="Q23" i="7"/>
  <c r="Q7" i="7"/>
  <c r="R7" i="7" s="1"/>
  <c r="I8" i="7"/>
  <c r="I12" i="7"/>
  <c r="I16" i="7"/>
  <c r="I20" i="7"/>
  <c r="I24" i="7"/>
  <c r="I14" i="7"/>
  <c r="I26" i="7"/>
  <c r="I15" i="7"/>
  <c r="I19" i="7"/>
  <c r="I9" i="7"/>
  <c r="I13" i="7"/>
  <c r="I17" i="7"/>
  <c r="I21" i="7"/>
  <c r="I25" i="7"/>
  <c r="I10" i="7"/>
  <c r="I18" i="7"/>
  <c r="I22" i="7"/>
  <c r="I11" i="7"/>
  <c r="I23" i="7"/>
  <c r="Q28" i="23"/>
  <c r="S28" i="23"/>
  <c r="N7" i="9"/>
  <c r="P27" i="7"/>
  <c r="Q27" i="7" s="1"/>
  <c r="N26" i="9"/>
  <c r="N27" i="9"/>
  <c r="B2" i="5"/>
  <c r="B4" i="5"/>
  <c r="F27" i="7" l="1"/>
  <c r="F27" i="43" s="1"/>
  <c r="F26" i="43"/>
  <c r="M7" i="43"/>
  <c r="W7" i="43"/>
  <c r="X7" i="43" s="1"/>
  <c r="J9" i="44"/>
  <c r="L8" i="44"/>
  <c r="T8" i="44"/>
  <c r="U8" i="44" s="1"/>
  <c r="R9" i="44"/>
  <c r="M7" i="44"/>
  <c r="W7" i="44"/>
  <c r="X7" i="44" s="1"/>
  <c r="L8" i="43"/>
  <c r="J9" i="43"/>
  <c r="T8" i="43"/>
  <c r="U8" i="43" s="1"/>
  <c r="R9" i="43"/>
  <c r="R8" i="7"/>
  <c r="I27" i="7"/>
  <c r="G19" i="27"/>
  <c r="G19" i="26"/>
  <c r="T9" i="43" l="1"/>
  <c r="U9" i="43" s="1"/>
  <c r="R10" i="43"/>
  <c r="M8" i="44"/>
  <c r="W8" i="44"/>
  <c r="X8" i="44" s="1"/>
  <c r="M8" i="43"/>
  <c r="W8" i="43"/>
  <c r="X8" i="43" s="1"/>
  <c r="J10" i="44"/>
  <c r="L9" i="44"/>
  <c r="J10" i="43"/>
  <c r="L9" i="43"/>
  <c r="T9" i="44"/>
  <c r="U9" i="44" s="1"/>
  <c r="R10" i="44"/>
  <c r="T7" i="7"/>
  <c r="U7" i="7" s="1"/>
  <c r="R9" i="7"/>
  <c r="H19" i="26"/>
  <c r="H19" i="27"/>
  <c r="I19" i="26"/>
  <c r="L10" i="43" l="1"/>
  <c r="J11" i="43"/>
  <c r="T10" i="44"/>
  <c r="U10" i="44" s="1"/>
  <c r="R11" i="44"/>
  <c r="M9" i="44"/>
  <c r="W9" i="44"/>
  <c r="X9" i="44" s="1"/>
  <c r="L10" i="44"/>
  <c r="J11" i="44"/>
  <c r="M9" i="43"/>
  <c r="W9" i="43"/>
  <c r="X9" i="43" s="1"/>
  <c r="T10" i="43"/>
  <c r="U10" i="43" s="1"/>
  <c r="R11" i="43"/>
  <c r="T8" i="7"/>
  <c r="U8" i="7" s="1"/>
  <c r="R10" i="7"/>
  <c r="I19" i="27"/>
  <c r="J19" i="26"/>
  <c r="T11" i="43" l="1"/>
  <c r="U11" i="43" s="1"/>
  <c r="R12" i="43"/>
  <c r="L11" i="44"/>
  <c r="J12" i="44"/>
  <c r="T11" i="44"/>
  <c r="U11" i="44" s="1"/>
  <c r="R12" i="44"/>
  <c r="M10" i="44"/>
  <c r="W10" i="44"/>
  <c r="X10" i="44" s="1"/>
  <c r="J12" i="43"/>
  <c r="L11" i="43"/>
  <c r="M10" i="43"/>
  <c r="W10" i="43"/>
  <c r="X10" i="43" s="1"/>
  <c r="T9" i="7"/>
  <c r="U9" i="7" s="1"/>
  <c r="R11" i="7"/>
  <c r="J19" i="27"/>
  <c r="K19" i="26"/>
  <c r="L12" i="43" l="1"/>
  <c r="J13" i="43"/>
  <c r="J13" i="44"/>
  <c r="L12" i="44"/>
  <c r="M11" i="44"/>
  <c r="W11" i="44"/>
  <c r="X11" i="44" s="1"/>
  <c r="W11" i="43"/>
  <c r="X11" i="43" s="1"/>
  <c r="M11" i="43"/>
  <c r="T12" i="44"/>
  <c r="U12" i="44" s="1"/>
  <c r="R13" i="44"/>
  <c r="T12" i="43"/>
  <c r="U12" i="43" s="1"/>
  <c r="R13" i="43"/>
  <c r="T10" i="7"/>
  <c r="U10" i="7" s="1"/>
  <c r="R12" i="7"/>
  <c r="L19" i="26"/>
  <c r="K19" i="27"/>
  <c r="M12" i="44" l="1"/>
  <c r="W12" i="44"/>
  <c r="X12" i="44" s="1"/>
  <c r="L13" i="44"/>
  <c r="J14" i="44"/>
  <c r="T13" i="43"/>
  <c r="U13" i="43" s="1"/>
  <c r="R14" i="43"/>
  <c r="T13" i="44"/>
  <c r="U13" i="44" s="1"/>
  <c r="R14" i="44"/>
  <c r="J14" i="43"/>
  <c r="L13" i="43"/>
  <c r="W12" i="43"/>
  <c r="X12" i="43" s="1"/>
  <c r="M12" i="43"/>
  <c r="T11" i="7"/>
  <c r="R13" i="7"/>
  <c r="L19" i="27"/>
  <c r="M19" i="26"/>
  <c r="U11" i="7" l="1"/>
  <c r="T14" i="44"/>
  <c r="U14" i="44" s="1"/>
  <c r="R15" i="44"/>
  <c r="J15" i="44"/>
  <c r="L14" i="44"/>
  <c r="W13" i="44"/>
  <c r="X13" i="44" s="1"/>
  <c r="M13" i="44"/>
  <c r="M13" i="43"/>
  <c r="W13" i="43"/>
  <c r="X13" i="43" s="1"/>
  <c r="T14" i="43"/>
  <c r="U14" i="43" s="1"/>
  <c r="R15" i="43"/>
  <c r="J15" i="43"/>
  <c r="L14" i="43"/>
  <c r="T12" i="7"/>
  <c r="U12" i="7" s="1"/>
  <c r="R14" i="7"/>
  <c r="M19" i="27"/>
  <c r="N19" i="26"/>
  <c r="W14" i="44" l="1"/>
  <c r="X14" i="44" s="1"/>
  <c r="M14" i="44"/>
  <c r="L15" i="44"/>
  <c r="J16" i="44"/>
  <c r="M14" i="43"/>
  <c r="W14" i="43"/>
  <c r="X14" i="43" s="1"/>
  <c r="L15" i="43"/>
  <c r="J16" i="43"/>
  <c r="T15" i="43"/>
  <c r="U15" i="43" s="1"/>
  <c r="R16" i="43"/>
  <c r="T15" i="44"/>
  <c r="U15" i="44" s="1"/>
  <c r="R16" i="44"/>
  <c r="T13" i="7"/>
  <c r="U13" i="7" s="1"/>
  <c r="R15" i="7"/>
  <c r="N19" i="27"/>
  <c r="O19" i="26"/>
  <c r="T16" i="44" l="1"/>
  <c r="U16" i="44" s="1"/>
  <c r="R17" i="44"/>
  <c r="L16" i="43"/>
  <c r="J17" i="43"/>
  <c r="J17" i="44"/>
  <c r="L16" i="44"/>
  <c r="M15" i="44"/>
  <c r="W15" i="44"/>
  <c r="X15" i="44" s="1"/>
  <c r="M15" i="43"/>
  <c r="W15" i="43"/>
  <c r="X15" i="43" s="1"/>
  <c r="T16" i="43"/>
  <c r="U16" i="43" s="1"/>
  <c r="R17" i="43"/>
  <c r="T14" i="7"/>
  <c r="U14" i="7" s="1"/>
  <c r="R16" i="7"/>
  <c r="O19" i="27"/>
  <c r="P19" i="26"/>
  <c r="T17" i="43" l="1"/>
  <c r="U17" i="43" s="1"/>
  <c r="R18" i="43"/>
  <c r="L17" i="43"/>
  <c r="J18" i="43"/>
  <c r="M16" i="43"/>
  <c r="W16" i="43"/>
  <c r="X16" i="43" s="1"/>
  <c r="I5" i="40" s="1"/>
  <c r="W16" i="44"/>
  <c r="X16" i="44" s="1"/>
  <c r="I5" i="41" s="1"/>
  <c r="M16" i="44"/>
  <c r="T17" i="44"/>
  <c r="U17" i="44" s="1"/>
  <c r="R18" i="44"/>
  <c r="J18" i="44"/>
  <c r="L17" i="44"/>
  <c r="T15" i="7"/>
  <c r="U15" i="7" s="1"/>
  <c r="R17" i="7"/>
  <c r="P19" i="27"/>
  <c r="Q19" i="26"/>
  <c r="J25" i="9"/>
  <c r="K24" i="9"/>
  <c r="K25" i="9"/>
  <c r="M17" i="44" l="1"/>
  <c r="W17" i="44"/>
  <c r="X17" i="44" s="1"/>
  <c r="J19" i="43"/>
  <c r="L18" i="43"/>
  <c r="M17" i="43"/>
  <c r="W17" i="43"/>
  <c r="X17" i="43" s="1"/>
  <c r="J19" i="44"/>
  <c r="L18" i="44"/>
  <c r="T18" i="44"/>
  <c r="U18" i="44" s="1"/>
  <c r="R19" i="44"/>
  <c r="T18" i="43"/>
  <c r="U18" i="43" s="1"/>
  <c r="R19" i="43"/>
  <c r="T16" i="7"/>
  <c r="U16" i="7" s="1"/>
  <c r="R18" i="7"/>
  <c r="Q19" i="27"/>
  <c r="R19" i="26"/>
  <c r="N25" i="9"/>
  <c r="J24" i="9"/>
  <c r="W18" i="43" l="1"/>
  <c r="X18" i="43" s="1"/>
  <c r="M18" i="43"/>
  <c r="M18" i="44"/>
  <c r="W18" i="44"/>
  <c r="X18" i="44" s="1"/>
  <c r="L19" i="43"/>
  <c r="J20" i="43"/>
  <c r="T19" i="43"/>
  <c r="U19" i="43" s="1"/>
  <c r="R20" i="43"/>
  <c r="T19" i="44"/>
  <c r="U19" i="44" s="1"/>
  <c r="R20" i="44"/>
  <c r="L19" i="44"/>
  <c r="J20" i="44"/>
  <c r="T17" i="7"/>
  <c r="U17" i="7" s="1"/>
  <c r="R19" i="7"/>
  <c r="R19" i="27"/>
  <c r="S19" i="26"/>
  <c r="N24" i="9"/>
  <c r="J23" i="9"/>
  <c r="J20" i="9"/>
  <c r="J16" i="9"/>
  <c r="J14" i="9"/>
  <c r="J12" i="9"/>
  <c r="J11" i="9"/>
  <c r="J8" i="9"/>
  <c r="J9" i="9"/>
  <c r="J17" i="9"/>
  <c r="K8" i="9"/>
  <c r="K9" i="9"/>
  <c r="K10" i="9"/>
  <c r="K11" i="9"/>
  <c r="K12" i="9"/>
  <c r="J13" i="9"/>
  <c r="K13" i="9"/>
  <c r="K14" i="9"/>
  <c r="K15" i="9"/>
  <c r="K16" i="9"/>
  <c r="K17" i="9"/>
  <c r="K18" i="9"/>
  <c r="K19" i="9"/>
  <c r="K20" i="9"/>
  <c r="K21" i="9"/>
  <c r="K22" i="9"/>
  <c r="K23" i="9"/>
  <c r="G19" i="13"/>
  <c r="J18" i="9"/>
  <c r="J21" i="9"/>
  <c r="J21" i="44" l="1"/>
  <c r="L20" i="44"/>
  <c r="T20" i="43"/>
  <c r="U20" i="43" s="1"/>
  <c r="R21" i="43"/>
  <c r="W19" i="44"/>
  <c r="X19" i="44" s="1"/>
  <c r="M19" i="44"/>
  <c r="T20" i="44"/>
  <c r="U20" i="44" s="1"/>
  <c r="R21" i="44"/>
  <c r="L20" i="43"/>
  <c r="J21" i="43"/>
  <c r="M19" i="43"/>
  <c r="W19" i="43"/>
  <c r="X19" i="43" s="1"/>
  <c r="T18" i="7"/>
  <c r="U18" i="7" s="1"/>
  <c r="R20" i="7"/>
  <c r="N12" i="9"/>
  <c r="N14" i="9"/>
  <c r="N21" i="9"/>
  <c r="H19" i="13"/>
  <c r="I19" i="13" s="1"/>
  <c r="J19" i="13" s="1"/>
  <c r="K19" i="13" s="1"/>
  <c r="S19" i="27"/>
  <c r="T19" i="26"/>
  <c r="J7" i="7"/>
  <c r="N17" i="9"/>
  <c r="N13" i="9"/>
  <c r="N19" i="9"/>
  <c r="N9" i="9"/>
  <c r="J10" i="9"/>
  <c r="J15" i="9"/>
  <c r="O7" i="9"/>
  <c r="N11" i="9"/>
  <c r="N23" i="9"/>
  <c r="N8" i="9"/>
  <c r="N20" i="9"/>
  <c r="N18" i="9"/>
  <c r="J22" i="9"/>
  <c r="N16" i="9"/>
  <c r="J22" i="44" l="1"/>
  <c r="L21" i="44"/>
  <c r="T21" i="44"/>
  <c r="U21" i="44" s="1"/>
  <c r="R22" i="44"/>
  <c r="T21" i="43"/>
  <c r="R22" i="43"/>
  <c r="J22" i="43"/>
  <c r="L21" i="43"/>
  <c r="M20" i="44"/>
  <c r="W20" i="44"/>
  <c r="X20" i="44" s="1"/>
  <c r="W20" i="43"/>
  <c r="X20" i="43" s="1"/>
  <c r="M20" i="43"/>
  <c r="T19" i="7"/>
  <c r="U19" i="7" s="1"/>
  <c r="R21" i="7"/>
  <c r="C9" i="5"/>
  <c r="D9" i="5" s="1"/>
  <c r="X19" i="26"/>
  <c r="Y19" i="26" s="1"/>
  <c r="F20" i="26" s="1"/>
  <c r="T19" i="27"/>
  <c r="X19" i="27" s="1"/>
  <c r="Y19" i="27" s="1"/>
  <c r="F20" i="27" s="1"/>
  <c r="L19" i="13"/>
  <c r="J8" i="7"/>
  <c r="N15" i="9"/>
  <c r="O8" i="9"/>
  <c r="N10" i="9"/>
  <c r="N22" i="9"/>
  <c r="C10" i="5" l="1"/>
  <c r="D10" i="5" s="1"/>
  <c r="L8" i="7"/>
  <c r="U21" i="43"/>
  <c r="W21" i="43"/>
  <c r="X21" i="43" s="1"/>
  <c r="I5" i="26" s="1"/>
  <c r="J23" i="44"/>
  <c r="L22" i="44"/>
  <c r="M21" i="43"/>
  <c r="T22" i="44"/>
  <c r="U22" i="44" s="1"/>
  <c r="R23" i="44"/>
  <c r="L22" i="43"/>
  <c r="J23" i="43"/>
  <c r="T22" i="43"/>
  <c r="U22" i="43" s="1"/>
  <c r="R23" i="43"/>
  <c r="M21" i="44"/>
  <c r="W21" i="44"/>
  <c r="X21" i="44" s="1"/>
  <c r="I5" i="27" s="1"/>
  <c r="L7" i="7"/>
  <c r="T20" i="7"/>
  <c r="U20" i="7" s="1"/>
  <c r="R22" i="7"/>
  <c r="G20" i="26"/>
  <c r="H20" i="26"/>
  <c r="I20" i="26"/>
  <c r="J20" i="26"/>
  <c r="K20" i="26"/>
  <c r="L20" i="26"/>
  <c r="M20" i="26"/>
  <c r="N20" i="26"/>
  <c r="O20" i="26"/>
  <c r="P20" i="26"/>
  <c r="Q20" i="26"/>
  <c r="R20" i="26"/>
  <c r="S20" i="26"/>
  <c r="T20" i="26"/>
  <c r="M19" i="13"/>
  <c r="J9" i="7"/>
  <c r="O9" i="9"/>
  <c r="O10" i="9" l="1"/>
  <c r="W8" i="7"/>
  <c r="X8" i="7" s="1"/>
  <c r="M8" i="7"/>
  <c r="L9" i="7"/>
  <c r="J24" i="44"/>
  <c r="L23" i="44"/>
  <c r="J24" i="43"/>
  <c r="L23" i="43"/>
  <c r="W22" i="43"/>
  <c r="X22" i="43" s="1"/>
  <c r="M22" i="43"/>
  <c r="T23" i="43"/>
  <c r="U23" i="43" s="1"/>
  <c r="R24" i="43"/>
  <c r="T23" i="44"/>
  <c r="U23" i="44" s="1"/>
  <c r="R24" i="44"/>
  <c r="M22" i="44"/>
  <c r="W22" i="44"/>
  <c r="X22" i="44" s="1"/>
  <c r="M7" i="7"/>
  <c r="W7" i="7"/>
  <c r="X7" i="7" s="1"/>
  <c r="T21" i="7"/>
  <c r="U21" i="7" s="1"/>
  <c r="I6" i="40"/>
  <c r="R23" i="7"/>
  <c r="I6" i="41"/>
  <c r="X20" i="26"/>
  <c r="Y20" i="26" s="1"/>
  <c r="J10" i="7"/>
  <c r="G20" i="27"/>
  <c r="H20" i="27"/>
  <c r="I20" i="27"/>
  <c r="J20" i="27"/>
  <c r="K20" i="27"/>
  <c r="L20" i="27"/>
  <c r="M20" i="27"/>
  <c r="N20" i="27"/>
  <c r="O20" i="27"/>
  <c r="P20" i="27"/>
  <c r="Q20" i="27"/>
  <c r="R20" i="27"/>
  <c r="S20" i="27"/>
  <c r="T20" i="27"/>
  <c r="N19" i="13"/>
  <c r="O11" i="9"/>
  <c r="W9" i="7" l="1"/>
  <c r="X9" i="7" s="1"/>
  <c r="M9" i="7"/>
  <c r="L10" i="7"/>
  <c r="T24" i="43"/>
  <c r="U24" i="43" s="1"/>
  <c r="R25" i="43"/>
  <c r="M23" i="43"/>
  <c r="W23" i="43"/>
  <c r="X23" i="43" s="1"/>
  <c r="J25" i="43"/>
  <c r="L24" i="43"/>
  <c r="T24" i="44"/>
  <c r="U24" i="44" s="1"/>
  <c r="R25" i="44"/>
  <c r="M23" i="44"/>
  <c r="W23" i="44"/>
  <c r="X23" i="44" s="1"/>
  <c r="J25" i="44"/>
  <c r="L24" i="44"/>
  <c r="T22" i="7"/>
  <c r="U22" i="7" s="1"/>
  <c r="R24" i="7"/>
  <c r="X20" i="27"/>
  <c r="Y20" i="27" s="1"/>
  <c r="C12" i="5"/>
  <c r="D12" i="5" s="1"/>
  <c r="C11" i="5"/>
  <c r="D11" i="5" s="1"/>
  <c r="J11" i="7"/>
  <c r="O19" i="13"/>
  <c r="O12" i="9"/>
  <c r="W10" i="7" l="1"/>
  <c r="X10" i="7" s="1"/>
  <c r="M10" i="7"/>
  <c r="L11" i="7"/>
  <c r="W24" i="44"/>
  <c r="X24" i="44" s="1"/>
  <c r="M24" i="44"/>
  <c r="T25" i="44"/>
  <c r="U25" i="44" s="1"/>
  <c r="R26" i="44"/>
  <c r="L25" i="44"/>
  <c r="J26" i="44"/>
  <c r="M24" i="43"/>
  <c r="W24" i="43"/>
  <c r="X24" i="43" s="1"/>
  <c r="T25" i="43"/>
  <c r="U25" i="43" s="1"/>
  <c r="R26" i="43"/>
  <c r="L25" i="43"/>
  <c r="J26" i="43"/>
  <c r="T23" i="7"/>
  <c r="U23" i="7" s="1"/>
  <c r="R25" i="7"/>
  <c r="C13" i="5"/>
  <c r="D13" i="5" s="1"/>
  <c r="H5" i="42" s="1"/>
  <c r="H6" i="42" s="1"/>
  <c r="J12" i="7"/>
  <c r="P19" i="13"/>
  <c r="O13" i="9"/>
  <c r="C15" i="5" l="1"/>
  <c r="M11" i="7"/>
  <c r="W11" i="7"/>
  <c r="X11" i="7" s="1"/>
  <c r="I5" i="42" s="1"/>
  <c r="I6" i="42" s="1"/>
  <c r="L26" i="43"/>
  <c r="J27" i="43"/>
  <c r="T26" i="44"/>
  <c r="U26" i="44" s="1"/>
  <c r="R27" i="44"/>
  <c r="M25" i="43"/>
  <c r="W25" i="43"/>
  <c r="X25" i="43" s="1"/>
  <c r="T26" i="43"/>
  <c r="U26" i="43" s="1"/>
  <c r="R27" i="43"/>
  <c r="J27" i="44"/>
  <c r="L26" i="44"/>
  <c r="W25" i="44"/>
  <c r="X25" i="44" s="1"/>
  <c r="M25" i="44"/>
  <c r="T24" i="7"/>
  <c r="U24" i="7" s="1"/>
  <c r="R26" i="7"/>
  <c r="I6" i="27"/>
  <c r="L12" i="7"/>
  <c r="W12" i="7" s="1"/>
  <c r="X12" i="7" s="1"/>
  <c r="J13" i="7"/>
  <c r="C14" i="5"/>
  <c r="D14" i="5" s="1"/>
  <c r="Q19" i="13"/>
  <c r="O14" i="9"/>
  <c r="L27" i="44" l="1"/>
  <c r="T27" i="43"/>
  <c r="U27" i="43" s="1"/>
  <c r="L13" i="7"/>
  <c r="T27" i="44"/>
  <c r="U27" i="44" s="1"/>
  <c r="L27" i="43"/>
  <c r="M26" i="44"/>
  <c r="W26" i="44"/>
  <c r="X26" i="44" s="1"/>
  <c r="M26" i="43"/>
  <c r="W26" i="43"/>
  <c r="X26" i="43" s="1"/>
  <c r="T25" i="7"/>
  <c r="U25" i="7" s="1"/>
  <c r="R27" i="7"/>
  <c r="M12" i="7"/>
  <c r="J14" i="7"/>
  <c r="D15" i="5"/>
  <c r="R19" i="13"/>
  <c r="O15" i="9"/>
  <c r="M27" i="43" l="1"/>
  <c r="W27" i="43"/>
  <c r="X27" i="43" s="1"/>
  <c r="W13" i="7"/>
  <c r="X13" i="7" s="1"/>
  <c r="M13" i="7"/>
  <c r="M27" i="44"/>
  <c r="W27" i="44"/>
  <c r="X27" i="44" s="1"/>
  <c r="L14" i="7"/>
  <c r="T27" i="7"/>
  <c r="U27" i="7" s="1"/>
  <c r="T26" i="7"/>
  <c r="U26" i="7" s="1"/>
  <c r="I6" i="26"/>
  <c r="J15" i="7"/>
  <c r="C16" i="5"/>
  <c r="D16" i="5" s="1"/>
  <c r="S19" i="13"/>
  <c r="O16" i="9"/>
  <c r="W14" i="7" l="1"/>
  <c r="X14" i="7" s="1"/>
  <c r="M14" i="7"/>
  <c r="L15" i="7"/>
  <c r="J16" i="7"/>
  <c r="C17" i="5"/>
  <c r="D17" i="5" s="1"/>
  <c r="T19" i="13"/>
  <c r="X19" i="13" s="1"/>
  <c r="Y19" i="13" s="1"/>
  <c r="F20" i="13" s="1"/>
  <c r="O17" i="9"/>
  <c r="W15" i="7" l="1"/>
  <c r="X15" i="7" s="1"/>
  <c r="M15" i="7"/>
  <c r="L16" i="7"/>
  <c r="J17" i="7"/>
  <c r="C18" i="5"/>
  <c r="D18" i="5" s="1"/>
  <c r="O18" i="9"/>
  <c r="W16" i="7" l="1"/>
  <c r="X16" i="7" s="1"/>
  <c r="I5" i="39" s="1"/>
  <c r="I6" i="39" s="1"/>
  <c r="M16" i="7"/>
  <c r="L17" i="7"/>
  <c r="J18" i="7"/>
  <c r="L18" i="7" s="1"/>
  <c r="W18" i="7" s="1"/>
  <c r="X18" i="7" s="1"/>
  <c r="H5" i="41"/>
  <c r="H6" i="41" s="1"/>
  <c r="H5" i="39"/>
  <c r="H6" i="39" s="1"/>
  <c r="H5" i="40"/>
  <c r="H6" i="40" s="1"/>
  <c r="C19" i="5"/>
  <c r="D19" i="5" s="1"/>
  <c r="O19" i="9"/>
  <c r="W17" i="7" l="1"/>
  <c r="X17" i="7" s="1"/>
  <c r="M17" i="7"/>
  <c r="M18" i="7"/>
  <c r="J19" i="7"/>
  <c r="L19" i="7" s="1"/>
  <c r="W19" i="7" s="1"/>
  <c r="X19" i="7" s="1"/>
  <c r="J5" i="42"/>
  <c r="C20" i="5"/>
  <c r="D20" i="5" s="1"/>
  <c r="H20" i="13"/>
  <c r="I20" i="13"/>
  <c r="J20" i="13"/>
  <c r="G20" i="13"/>
  <c r="K20" i="13"/>
  <c r="L20" i="13"/>
  <c r="M20" i="13"/>
  <c r="N20" i="13"/>
  <c r="O20" i="13"/>
  <c r="P20" i="13"/>
  <c r="Q20" i="13"/>
  <c r="R20" i="13"/>
  <c r="S20" i="13"/>
  <c r="T20" i="13"/>
  <c r="C21" i="5"/>
  <c r="O20" i="9"/>
  <c r="O21" i="9" l="1"/>
  <c r="K5" i="42"/>
  <c r="L5" i="42" s="1"/>
  <c r="J6" i="42"/>
  <c r="M19" i="7"/>
  <c r="J20" i="7"/>
  <c r="X20" i="13"/>
  <c r="Y20" i="13" s="1"/>
  <c r="D21" i="5"/>
  <c r="C23" i="5" l="1"/>
  <c r="D23" i="5" s="1"/>
  <c r="J21" i="7"/>
  <c r="L20" i="7"/>
  <c r="W20" i="7" s="1"/>
  <c r="X20" i="7" s="1"/>
  <c r="L6" i="42"/>
  <c r="F9" i="42" s="1"/>
  <c r="K6" i="42"/>
  <c r="J5" i="40"/>
  <c r="J5" i="41"/>
  <c r="L21" i="7"/>
  <c r="W21" i="7" s="1"/>
  <c r="X21" i="7" s="1"/>
  <c r="C22" i="5"/>
  <c r="D22" i="5" s="1"/>
  <c r="J22" i="7"/>
  <c r="O22" i="9"/>
  <c r="H5" i="27" l="1"/>
  <c r="H5" i="13"/>
  <c r="H6" i="13" s="1"/>
  <c r="H5" i="26"/>
  <c r="H6" i="26" s="1"/>
  <c r="F6" i="45"/>
  <c r="F13" i="42"/>
  <c r="F27" i="45" s="1"/>
  <c r="M20" i="7"/>
  <c r="I5" i="13"/>
  <c r="K5" i="41"/>
  <c r="J6" i="41"/>
  <c r="K5" i="40"/>
  <c r="J6" i="40"/>
  <c r="M21" i="7"/>
  <c r="G9" i="42"/>
  <c r="J5" i="39"/>
  <c r="L22" i="7"/>
  <c r="W22" i="7" s="1"/>
  <c r="X22" i="7" s="1"/>
  <c r="J23" i="7"/>
  <c r="O23" i="9"/>
  <c r="O24" i="9" l="1"/>
  <c r="H6" i="27"/>
  <c r="J5" i="27"/>
  <c r="J6" i="27" s="1"/>
  <c r="L5" i="40"/>
  <c r="L6" i="40" s="1"/>
  <c r="F9" i="40" s="1"/>
  <c r="F13" i="45" s="1"/>
  <c r="K6" i="40"/>
  <c r="L5" i="41"/>
  <c r="L6" i="41" s="1"/>
  <c r="F9" i="41" s="1"/>
  <c r="F19" i="45" s="1"/>
  <c r="K6" i="41"/>
  <c r="H9" i="42"/>
  <c r="G13" i="42"/>
  <c r="G27" i="45" s="1"/>
  <c r="M22" i="7"/>
  <c r="K5" i="39"/>
  <c r="J6" i="39"/>
  <c r="J5" i="13"/>
  <c r="I6" i="13"/>
  <c r="J5" i="26"/>
  <c r="J6" i="26" s="1"/>
  <c r="C24" i="5"/>
  <c r="D24" i="5" s="1"/>
  <c r="L23" i="7"/>
  <c r="W23" i="7" s="1"/>
  <c r="X23" i="7" s="1"/>
  <c r="J24" i="7"/>
  <c r="C26" i="5"/>
  <c r="O25" i="9"/>
  <c r="G9" i="41" l="1"/>
  <c r="F13" i="41"/>
  <c r="F40" i="45" s="1"/>
  <c r="G9" i="40"/>
  <c r="F13" i="40"/>
  <c r="F34" i="45" s="1"/>
  <c r="M23" i="7"/>
  <c r="K5" i="13"/>
  <c r="J6" i="13"/>
  <c r="L5" i="39"/>
  <c r="L6" i="39" s="1"/>
  <c r="F9" i="39" s="1"/>
  <c r="F7" i="45" s="1"/>
  <c r="K6" i="39"/>
  <c r="I9" i="42"/>
  <c r="H13" i="42"/>
  <c r="H27" i="45" s="1"/>
  <c r="C27" i="5"/>
  <c r="O26" i="9"/>
  <c r="C25" i="5"/>
  <c r="D25" i="5" s="1"/>
  <c r="K5" i="26"/>
  <c r="K5" i="27"/>
  <c r="J25" i="7"/>
  <c r="L24" i="7"/>
  <c r="W24" i="7" s="1"/>
  <c r="X24" i="7" s="1"/>
  <c r="D26" i="5"/>
  <c r="L5" i="26" l="1"/>
  <c r="L6" i="26" s="1"/>
  <c r="F9" i="26" s="1"/>
  <c r="F14" i="45" s="1"/>
  <c r="K6" i="26"/>
  <c r="G13" i="40"/>
  <c r="G34" i="45" s="1"/>
  <c r="H9" i="40"/>
  <c r="L5" i="27"/>
  <c r="K6" i="27"/>
  <c r="H9" i="41"/>
  <c r="G13" i="41"/>
  <c r="G40" i="45" s="1"/>
  <c r="I13" i="42"/>
  <c r="I27" i="45" s="1"/>
  <c r="J9" i="42"/>
  <c r="J13" i="42" s="1"/>
  <c r="K6" i="13"/>
  <c r="L5" i="13"/>
  <c r="L6" i="13" s="1"/>
  <c r="F9" i="13" s="1"/>
  <c r="M24" i="7"/>
  <c r="F13" i="39"/>
  <c r="F28" i="45" s="1"/>
  <c r="G9" i="39"/>
  <c r="C28" i="5"/>
  <c r="D28" i="5" s="1"/>
  <c r="O27" i="9"/>
  <c r="L25" i="7"/>
  <c r="W25" i="7" s="1"/>
  <c r="X25" i="7" s="1"/>
  <c r="J26" i="7"/>
  <c r="D27" i="5"/>
  <c r="C29" i="5" l="1"/>
  <c r="D29" i="5" s="1"/>
  <c r="L6" i="27"/>
  <c r="F9" i="27" s="1"/>
  <c r="F13" i="13"/>
  <c r="F29" i="45" s="1"/>
  <c r="F8" i="45"/>
  <c r="K13" i="42"/>
  <c r="J27" i="45"/>
  <c r="I9" i="40"/>
  <c r="H13" i="40"/>
  <c r="H34" i="45" s="1"/>
  <c r="H13" i="41"/>
  <c r="H40" i="45" s="1"/>
  <c r="I9" i="41"/>
  <c r="G9" i="13"/>
  <c r="G13" i="13" s="1"/>
  <c r="G29" i="45" s="1"/>
  <c r="H9" i="39"/>
  <c r="G13" i="39"/>
  <c r="G28" i="45" s="1"/>
  <c r="M25" i="7"/>
  <c r="J27" i="7"/>
  <c r="F13" i="26"/>
  <c r="F35" i="45" s="1"/>
  <c r="G9" i="26"/>
  <c r="G13" i="26" s="1"/>
  <c r="G35" i="45" s="1"/>
  <c r="L26" i="7"/>
  <c r="W26" i="7" s="1"/>
  <c r="X26" i="7" s="1"/>
  <c r="F20" i="45" l="1"/>
  <c r="G9" i="27"/>
  <c r="F13" i="27"/>
  <c r="F41" i="45" s="1"/>
  <c r="L27" i="7"/>
  <c r="L13" i="42"/>
  <c r="L27" i="45" s="1"/>
  <c r="K27" i="45"/>
  <c r="H9" i="13"/>
  <c r="H13" i="13" s="1"/>
  <c r="H29" i="45" s="1"/>
  <c r="I13" i="41"/>
  <c r="I40" i="45" s="1"/>
  <c r="J9" i="41"/>
  <c r="I13" i="40"/>
  <c r="I34" i="45" s="1"/>
  <c r="J9" i="40"/>
  <c r="M26" i="7"/>
  <c r="H13" i="39"/>
  <c r="H28" i="45" s="1"/>
  <c r="I9" i="39"/>
  <c r="H9" i="27"/>
  <c r="H13" i="27" s="1"/>
  <c r="H41" i="45" s="1"/>
  <c r="G13" i="27"/>
  <c r="G41" i="45" s="1"/>
  <c r="H9" i="26"/>
  <c r="H13" i="26" s="1"/>
  <c r="H35" i="45" s="1"/>
  <c r="I9" i="13" l="1"/>
  <c r="I13" i="13" s="1"/>
  <c r="I29" i="45" s="1"/>
  <c r="W27" i="7"/>
  <c r="X27" i="7" s="1"/>
  <c r="M27" i="7"/>
  <c r="K9" i="40"/>
  <c r="J13" i="40"/>
  <c r="J34" i="45" s="1"/>
  <c r="J13" i="41"/>
  <c r="J40" i="45" s="1"/>
  <c r="K9" i="41"/>
  <c r="J9" i="39"/>
  <c r="I13" i="39"/>
  <c r="I28" i="45" s="1"/>
  <c r="I9" i="27"/>
  <c r="I13" i="27" s="1"/>
  <c r="I41" i="45" s="1"/>
  <c r="I9" i="26"/>
  <c r="J9" i="13"/>
  <c r="L9" i="41" l="1"/>
  <c r="K13" i="41"/>
  <c r="K40" i="45" s="1"/>
  <c r="L9" i="40"/>
  <c r="K13" i="40"/>
  <c r="K34" i="45" s="1"/>
  <c r="J13" i="39"/>
  <c r="J28" i="45" s="1"/>
  <c r="K9" i="39"/>
  <c r="J9" i="27"/>
  <c r="K9" i="27" s="1"/>
  <c r="X9" i="42"/>
  <c r="Y9" i="42" s="1"/>
  <c r="I13" i="26"/>
  <c r="I35" i="45" s="1"/>
  <c r="J9" i="26"/>
  <c r="K9" i="26" s="1"/>
  <c r="L9" i="26" s="1"/>
  <c r="J13" i="13"/>
  <c r="J29" i="45" s="1"/>
  <c r="J13" i="27"/>
  <c r="J41" i="45" s="1"/>
  <c r="K9" i="13"/>
  <c r="M9" i="40" l="1"/>
  <c r="L13" i="40"/>
  <c r="L34" i="45" s="1"/>
  <c r="M9" i="41"/>
  <c r="L13" i="41"/>
  <c r="L40" i="45" s="1"/>
  <c r="K13" i="39"/>
  <c r="K28" i="45" s="1"/>
  <c r="L9" i="39"/>
  <c r="X13" i="42"/>
  <c r="Y13" i="42" s="1"/>
  <c r="J13" i="26"/>
  <c r="J35" i="45" s="1"/>
  <c r="K13" i="26"/>
  <c r="K35" i="45" s="1"/>
  <c r="K13" i="13"/>
  <c r="K29" i="45" s="1"/>
  <c r="K13" i="27"/>
  <c r="K41" i="45" s="1"/>
  <c r="L13" i="26"/>
  <c r="L35" i="45" s="1"/>
  <c r="L9" i="27"/>
  <c r="L9" i="13"/>
  <c r="M9" i="26"/>
  <c r="N9" i="41" l="1"/>
  <c r="M13" i="41"/>
  <c r="M40" i="45" s="1"/>
  <c r="N9" i="40"/>
  <c r="M13" i="40"/>
  <c r="M34" i="45" s="1"/>
  <c r="M9" i="39"/>
  <c r="L13" i="39"/>
  <c r="L28" i="45" s="1"/>
  <c r="L13" i="13"/>
  <c r="L29" i="45" s="1"/>
  <c r="L13" i="27"/>
  <c r="L41" i="45" s="1"/>
  <c r="M13" i="26"/>
  <c r="M35" i="45" s="1"/>
  <c r="M9" i="27"/>
  <c r="M13" i="27" s="1"/>
  <c r="M41" i="45" s="1"/>
  <c r="M9" i="13"/>
  <c r="N9" i="26"/>
  <c r="O9" i="40" l="1"/>
  <c r="N13" i="40"/>
  <c r="N34" i="45" s="1"/>
  <c r="N13" i="41"/>
  <c r="N40" i="45" s="1"/>
  <c r="O9" i="41"/>
  <c r="N9" i="39"/>
  <c r="M13" i="39"/>
  <c r="M28" i="45" s="1"/>
  <c r="M13" i="13"/>
  <c r="M29" i="45" s="1"/>
  <c r="N13" i="26"/>
  <c r="N35" i="45" s="1"/>
  <c r="N9" i="27"/>
  <c r="N9" i="13"/>
  <c r="O9" i="26"/>
  <c r="X9" i="41" l="1"/>
  <c r="Y9" i="41" s="1"/>
  <c r="O13" i="41"/>
  <c r="O40" i="45" s="1"/>
  <c r="X9" i="40"/>
  <c r="O13" i="40"/>
  <c r="N13" i="39"/>
  <c r="N28" i="45" s="1"/>
  <c r="O9" i="39"/>
  <c r="N13" i="13"/>
  <c r="N29" i="45" s="1"/>
  <c r="N13" i="27"/>
  <c r="N41" i="45" s="1"/>
  <c r="O13" i="26"/>
  <c r="O35" i="45" s="1"/>
  <c r="O9" i="27"/>
  <c r="O9" i="13"/>
  <c r="P9" i="26"/>
  <c r="P13" i="40" l="1"/>
  <c r="O34" i="45"/>
  <c r="X13" i="40"/>
  <c r="P13" i="41"/>
  <c r="X13" i="41"/>
  <c r="Y13" i="41" s="1"/>
  <c r="X9" i="39"/>
  <c r="Y9" i="39" s="1"/>
  <c r="O13" i="39"/>
  <c r="O28" i="45" s="1"/>
  <c r="O13" i="13"/>
  <c r="O29" i="45" s="1"/>
  <c r="O13" i="27"/>
  <c r="O41" i="45" s="1"/>
  <c r="P13" i="26"/>
  <c r="P35" i="45" s="1"/>
  <c r="P9" i="27"/>
  <c r="P9" i="13"/>
  <c r="Q9" i="26"/>
  <c r="Q13" i="41" l="1"/>
  <c r="Q40" i="45" s="1"/>
  <c r="P40" i="45"/>
  <c r="Q13" i="40"/>
  <c r="Q34" i="45" s="1"/>
  <c r="P34" i="45"/>
  <c r="X13" i="39"/>
  <c r="Y13" i="39" s="1"/>
  <c r="P13" i="39"/>
  <c r="Y9" i="40"/>
  <c r="P13" i="13"/>
  <c r="P29" i="45" s="1"/>
  <c r="P13" i="27"/>
  <c r="P41" i="45" s="1"/>
  <c r="Q13" i="26"/>
  <c r="Q35" i="45" s="1"/>
  <c r="Q9" i="27"/>
  <c r="Q9" i="13"/>
  <c r="R9" i="26"/>
  <c r="Q13" i="39" l="1"/>
  <c r="Q28" i="45" s="1"/>
  <c r="P28" i="45"/>
  <c r="Y13" i="40"/>
  <c r="Q13" i="13"/>
  <c r="Q29" i="45" s="1"/>
  <c r="Q13" i="27"/>
  <c r="Q41" i="45" s="1"/>
  <c r="R13" i="26"/>
  <c r="R35" i="45" s="1"/>
  <c r="R9" i="27"/>
  <c r="R9" i="13"/>
  <c r="S9" i="26"/>
  <c r="R13" i="13" l="1"/>
  <c r="R29" i="45" s="1"/>
  <c r="R13" i="27"/>
  <c r="R41" i="45" s="1"/>
  <c r="S13" i="26"/>
  <c r="S35" i="45" s="1"/>
  <c r="S9" i="27"/>
  <c r="S9" i="13"/>
  <c r="T9" i="26"/>
  <c r="X9" i="26" s="1"/>
  <c r="Y9" i="26" s="1"/>
  <c r="S13" i="13" l="1"/>
  <c r="S29" i="45" s="1"/>
  <c r="S13" i="27"/>
  <c r="S41" i="45" s="1"/>
  <c r="T13" i="26"/>
  <c r="T35" i="45" s="1"/>
  <c r="T9" i="27"/>
  <c r="X9" i="27" s="1"/>
  <c r="Y9" i="27" s="1"/>
  <c r="T9" i="13"/>
  <c r="X9" i="13" s="1"/>
  <c r="Y9" i="13" s="1"/>
  <c r="X13" i="26" l="1"/>
  <c r="Y13" i="26" s="1"/>
  <c r="U13" i="26"/>
  <c r="T13" i="13"/>
  <c r="T13" i="27"/>
  <c r="T41" i="45" s="1"/>
  <c r="X13" i="13" l="1"/>
  <c r="Y13" i="13" s="1"/>
  <c r="T29" i="45"/>
  <c r="V13" i="26"/>
  <c r="V35" i="45" s="1"/>
  <c r="U35" i="45"/>
  <c r="X13" i="27"/>
  <c r="Y13" i="27" s="1"/>
  <c r="U13" i="27"/>
  <c r="U13" i="13"/>
  <c r="V13" i="27" l="1"/>
  <c r="V41" i="45" s="1"/>
  <c r="U41" i="45"/>
  <c r="V13" i="13"/>
  <c r="V29" i="45" s="1"/>
  <c r="U29" i="45"/>
</calcChain>
</file>

<file path=xl/sharedStrings.xml><?xml version="1.0" encoding="utf-8"?>
<sst xmlns="http://schemas.openxmlformats.org/spreadsheetml/2006/main" count="535" uniqueCount="144">
  <si>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</si>
  <si>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</si>
  <si>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</si>
  <si>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</si>
  <si>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</si>
  <si>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</si>
  <si>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</si>
  <si>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</si>
  <si>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</si>
  <si>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</si>
  <si>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</si>
  <si>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</si>
  <si>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</si>
  <si>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</si>
  <si>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</si>
  <si>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</si>
  <si>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</si>
  <si>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</si>
  <si>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</si>
  <si>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</si>
  <si>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</si>
  <si>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</si>
  <si>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</si>
  <si>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</si>
  <si>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</si>
  <si>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</si>
  <si>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</si>
  <si>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</si>
  <si>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</si>
  <si>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</si>
  <si>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</si>
  <si>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</si>
  <si>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</si>
  <si>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</si>
  <si>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r>
      <t>GDP Inflation</t>
    </r>
    <r>
      <rPr>
        <b/>
        <sz val="10"/>
        <rFont val="Arial"/>
        <family val="2"/>
      </rPr>
      <t xml:space="preserve"> (**)</t>
    </r>
    <r>
      <rPr>
        <b/>
        <sz val="12"/>
        <rFont val="Arial"/>
        <family val="2"/>
      </rPr>
      <t>:</t>
    </r>
  </si>
  <si>
    <t>($/kw-yr)</t>
  </si>
  <si>
    <t xml:space="preserve">Present Value-Energy </t>
  </si>
  <si>
    <t>Cumulative Present Value -Energy</t>
  </si>
  <si>
    <t>$ / MWh</t>
  </si>
  <si>
    <t>$ / kWh</t>
  </si>
  <si>
    <t>[9]</t>
  </si>
  <si>
    <t xml:space="preserve"> "Contingency Reserves" per WECC 10/1/2014</t>
  </si>
  <si>
    <t>Ave</t>
  </si>
  <si>
    <t>MONTHS</t>
  </si>
  <si>
    <t>Indicative Avoided Capacity Costs for Resources Delivered to PSE's System</t>
  </si>
  <si>
    <t>Capacity Resource Addition</t>
  </si>
  <si>
    <t>Frame Peaker</t>
  </si>
  <si>
    <t>Wind</t>
  </si>
  <si>
    <t>Solar</t>
  </si>
  <si>
    <t>This model accounts for both avoided energy costs and avoided capacity costs.</t>
  </si>
  <si>
    <t>Note 1</t>
  </si>
  <si>
    <t>Note 2</t>
  </si>
  <si>
    <t>Nominal Discount Rate</t>
  </si>
  <si>
    <t>GDP Inflation</t>
  </si>
  <si>
    <t>T&amp;D Line Loss Reduction</t>
  </si>
  <si>
    <t>Planning Adjustment</t>
  </si>
  <si>
    <t>Avoided Renewable Benefits</t>
  </si>
  <si>
    <t>Conservation Credit</t>
  </si>
  <si>
    <t>PSE currently makes no deduction for balancing related costs as such costs could not be currently identified.</t>
  </si>
  <si>
    <t>Including</t>
  </si>
  <si>
    <t>($/MWh)</t>
  </si>
  <si>
    <t>20-year levelized</t>
  </si>
  <si>
    <t>15-year levelized</t>
  </si>
  <si>
    <t>Escalated Rate @ 2.5%</t>
  </si>
  <si>
    <t>1</t>
  </si>
  <si>
    <t>PUGET SOUND ENERGY-ELECTRIC</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</si>
  <si>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</si>
  <si>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</si>
  <si>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</si>
  <si>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</si>
  <si>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</si>
  <si>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</si>
  <si>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</si>
  <si>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</si>
  <si>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</si>
  <si>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</si>
  <si>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</si>
  <si>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</si>
  <si>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</si>
  <si>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</si>
  <si>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</si>
  <si>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 xml:space="preserve"> T&amp;D Line Loss Reduction [4]</t>
  </si>
  <si>
    <t xml:space="preserve">Transmission losses updated as per section 15.7 Real Power Losses, PSE Current Effective OATT 8.7.18.
 </t>
  </si>
  <si>
    <t>http://www.oatioasis.com/webSmartOASIS/HomePage?ProviderName=PSEI&amp;Homepage=1</t>
  </si>
  <si>
    <t>checksum</t>
  </si>
  <si>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</si>
  <si>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</si>
  <si>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</si>
  <si>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</si>
  <si>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</si>
  <si>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</si>
  <si>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</si>
  <si>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</si>
  <si>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</si>
  <si>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</si>
  <si>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</si>
  <si>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($/kW-yr)</t>
  </si>
  <si>
    <t>Delivered to PSE Capacity Value ($/MWh)</t>
  </si>
  <si>
    <t>(a)
Levelized Net $/kW-yr  Delivered To PSE</t>
  </si>
  <si>
    <t>Hours 
Available</t>
  </si>
  <si>
    <t>$/kW-yr</t>
  </si>
  <si>
    <t xml:space="preserve">- "Hours Available" are calculated as the total hours in a year for which the resource type is projected to operate, as determined by the Net Capacity Factor (NCF) for the generic resource for which the ELCC is based multiplied by the Total Hours in the Year. </t>
  </si>
  <si>
    <t>- Solar Resouce NCF is based on the generic resource "Central Station Solar Tracking PV"</t>
  </si>
  <si>
    <t>- Wind Resource NCF is based on the generic resource "Wind Plant - Washington"</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</si>
  <si>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</si>
  <si>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</si>
  <si>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</si>
  <si>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</si>
  <si>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</si>
  <si>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</si>
  <si>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</si>
  <si>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</si>
  <si>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</si>
  <si>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</si>
  <si>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</si>
  <si>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t>An additional two years are added to the strip to accommodate projects that sign the PPA in the year following the "current year."</t>
  </si>
  <si>
    <t>Schedule 91 -- Purchases from Qualifying Facilities of Five Megawatts or Less - Net Output Delivered to PSE's Distribution System</t>
  </si>
  <si>
    <t>Flow Battery-4 hr</t>
  </si>
  <si>
    <r>
      <t>Note 1: The 7</t>
    </r>
    <r>
      <rPr>
        <vertAlign val="superscript"/>
        <sz val="12"/>
        <rFont val="Arial"/>
        <family val="2"/>
      </rPr>
      <t>th</t>
    </r>
    <r>
      <rPr>
        <sz val="12"/>
        <rFont val="Arial"/>
        <family val="2"/>
      </rPr>
      <t xml:space="preserve"> Northwest Power Plan used monetary values of avoided transmission and distribution capacity which were recommended by the Regional Technical Forum. The values of transmission and distribution in the 7th Northwest Power Plan are in 2012 prices.  To obtain a current year value, the price in 2012 was inflated using 2.5% per year, consistent with EES methodology.</t>
    </r>
  </si>
  <si>
    <t>Power prices have been updated to be consistent with PSE's 2021 IRP using the Mid-C prices for the “Base” scenario, and includes the 2020 power price forecast from Aurora.</t>
  </si>
  <si>
    <t>There are separate calculations for Baseload, Wind and Solar resources which have different capacity values as provided in the 2018 RFP (2020-2022 firm peaker and ELCC) and the 2017 IRP (2023-2040 firm resources, NCF, and hours of operation)</t>
  </si>
  <si>
    <t>As Used in UE-190529 and UG-190530</t>
  </si>
  <si>
    <t>PRO FORMA COST OF CAPITAL APPROVED IN UE-190529/UG-190530</t>
  </si>
  <si>
    <t>FOR THE TWELVE MONTHS ENDED DECEMBER 31, 2018</t>
  </si>
  <si>
    <t>- The source table provided cost from 2023 to 2037 so additional years and capacity costs were added for 2038-2041 in order to align with the current energy price forecast table. It is assumed that either a Frame Peaker or a Flow Battery is the incremental capacity resource in these years, therefore the "projected fixed costs of a simple-cycle combustion turbine" is used for cost.</t>
  </si>
  <si>
    <t>- 2020-2022 represents the capacity cost from the 2018 RFP results.</t>
  </si>
  <si>
    <r>
      <t xml:space="preserve">Forecast Mid-C Power Prices for Base Scenario (Nominal $/MWh) - The 2020-2040 Avoided Energy Costs are based on PSE’s current forecast of market prices for the Mid-C Market in PSE’s 2021 Integrated Resource Plan ("IRP"), pursuant to </t>
    </r>
    <r>
      <rPr>
        <b/>
        <i/>
        <sz val="12"/>
        <color rgb="FF7030A0"/>
        <rFont val="Arial"/>
        <family val="2"/>
      </rPr>
      <t>WAC 480-106-040(a)</t>
    </r>
  </si>
  <si>
    <r>
      <t xml:space="preserve">(b)=(a)*1.000                   
</t>
    </r>
    <r>
      <rPr>
        <u/>
        <sz val="10"/>
        <color theme="1"/>
        <rFont val="Arial"/>
        <family val="2"/>
      </rPr>
      <t>Baseload Resource</t>
    </r>
    <r>
      <rPr>
        <sz val="10"/>
        <rFont val="Arial"/>
        <family val="2"/>
      </rPr>
      <t xml:space="preserve"> ELCC=100.0%</t>
    </r>
  </si>
  <si>
    <t>(e)
Year</t>
  </si>
  <si>
    <t xml:space="preserve">(f)
Total Hours in Year
</t>
  </si>
  <si>
    <r>
      <t xml:space="preserve">(g)=(f)*1.000
</t>
    </r>
    <r>
      <rPr>
        <u/>
        <sz val="10"/>
        <color theme="1"/>
        <rFont val="Arial"/>
        <family val="2"/>
      </rPr>
      <t>Baseload 
Resource</t>
    </r>
    <r>
      <rPr>
        <sz val="10"/>
        <color theme="1"/>
        <rFont val="Arial"/>
        <family val="2"/>
      </rPr>
      <t xml:space="preserve"> NCF=100%</t>
    </r>
  </si>
  <si>
    <t>(h)=(b)*(g)
Baseload 
Resource</t>
  </si>
  <si>
    <r>
      <t xml:space="preserve">(i)=(f)*0.300
</t>
    </r>
    <r>
      <rPr>
        <u/>
        <sz val="10"/>
        <color theme="1"/>
        <rFont val="Arial"/>
        <family val="2"/>
      </rPr>
      <t>Wind 
Resource</t>
    </r>
    <r>
      <rPr>
        <sz val="10"/>
        <color theme="1"/>
        <rFont val="Arial"/>
        <family val="2"/>
      </rPr>
      <t xml:space="preserve">
NCF=30.0%</t>
    </r>
  </si>
  <si>
    <t>(j)=(c)*(i)
Wind 
Resource</t>
  </si>
  <si>
    <r>
      <t xml:space="preserve">(k)=(f)*0.260
</t>
    </r>
    <r>
      <rPr>
        <u/>
        <sz val="10"/>
        <color theme="1"/>
        <rFont val="Arial"/>
        <family val="2"/>
      </rPr>
      <t>Solar 
Resource</t>
    </r>
    <r>
      <rPr>
        <sz val="10"/>
        <color theme="1"/>
        <rFont val="Arial"/>
        <family val="2"/>
      </rPr>
      <t xml:space="preserve">
NCF=26.0%</t>
    </r>
  </si>
  <si>
    <t>(l)=(d)*(k)
Wind 
Resource</t>
  </si>
  <si>
    <t>- Basis for table is PSE's 2017 IRP and 2018 RFP</t>
  </si>
  <si>
    <t xml:space="preserve">- Highlighted cells in yellow Source: 2018 RFP </t>
  </si>
  <si>
    <t xml:space="preserve">The Wind and Solar ELCC of 6.4% and 1.0% is based in the assumption used in the 2018 RFP.   </t>
  </si>
  <si>
    <t>- Not highlighted in Yellow Source: 2017 PSE IRP; Appendix N: Electical Analysis; Page N-67; Figure N-37: Indicative Avoided Capacity Resource Costs for Resources Delivered to PSE (Base + CAR Only Scenario)</t>
  </si>
  <si>
    <t>- Source: 2017 PSE IRP; Appendix N: Electical Analysis; Page N-67; Figure N-18: New Resource Cost Assumptions</t>
  </si>
  <si>
    <t>This Schedule 91 standard rate model is based upon the cost effectiveness standard model that has been used for evaluating individual measures of PSE's Energy Efficiency Services program.</t>
  </si>
  <si>
    <r>
      <t xml:space="preserve">(c)=(a)*0.16         
</t>
    </r>
    <r>
      <rPr>
        <u/>
        <sz val="10"/>
        <color theme="1"/>
        <rFont val="Arial"/>
        <family val="2"/>
      </rPr>
      <t>Wind Resource</t>
    </r>
    <r>
      <rPr>
        <sz val="10"/>
        <rFont val="Arial"/>
        <family val="2"/>
      </rPr>
      <t xml:space="preserve"> ELCC=16%</t>
    </r>
  </si>
  <si>
    <r>
      <t xml:space="preserve">(d)=(a)*0.020      
</t>
    </r>
    <r>
      <rPr>
        <u/>
        <sz val="10"/>
        <color theme="1"/>
        <rFont val="Arial"/>
        <family val="2"/>
      </rPr>
      <t>Solar Resource</t>
    </r>
    <r>
      <rPr>
        <sz val="10"/>
        <rFont val="Arial"/>
        <family val="2"/>
      </rPr>
      <t xml:space="preserve"> ELCC=2.0%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</si>
</sst>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s>
  <fonts count="5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vertAlign val="superscript"/>
      <sz val="12"/>
      <name val="Arial"/>
      <family val="2"/>
    </font>
    <font>
      <u/>
      <sz val="12"/>
      <color indexed="12"/>
      <name val="Arial"/>
      <family val="2"/>
    </font>
    <font>
      <sz val="12"/>
      <color theme="1"/>
      <name val="Arial"/>
      <family val="2"/>
    </font>
    <font>
      <b/>
      <i/>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0"/>
      <color theme="1"/>
      <name val="Arial"/>
      <family val="2"/>
    </font>
    <font>
      <u/>
      <sz val="10"/>
      <color theme="1"/>
      <name val="Arial"/>
      <family val="2"/>
    </font>
    <font>
      <b/>
      <i/>
      <sz val="12"/>
      <color rgb="FF7030A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92D050"/>
        <bgColor indexed="64"/>
      </patternFill>
    </fill>
    <fill>
      <patternFill patternType="solid">
        <fgColor rgb="FFFFFF00"/>
        <bgColor indexed="64"/>
      </patternFill>
    </fill>
    <fill>
      <patternFill patternType="solid">
        <fgColor theme="7" tint="0.79998168889431442"/>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style="medium">
        <color rgb="FF000000"/>
      </top>
      <bottom style="thin">
        <color indexed="64"/>
      </bottom>
      <diagonal/>
    </border>
    <border>
      <left/>
      <right/>
      <top style="medium">
        <color rgb="FF000000"/>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style="thin">
        <color rgb="FF000000"/>
      </top>
      <bottom style="medium">
        <color rgb="FF000000"/>
      </bottom>
      <diagonal/>
    </border>
    <border>
      <left/>
      <right style="medium">
        <color indexed="64"/>
      </right>
      <top style="thin">
        <color indexed="64"/>
      </top>
      <bottom/>
      <diagonal/>
    </border>
    <border>
      <left style="medium">
        <color indexed="64"/>
      </left>
      <right style="medium">
        <color rgb="FF000000"/>
      </right>
      <top style="thin">
        <color indexed="64"/>
      </top>
      <bottom style="medium">
        <color indexed="64"/>
      </bottom>
      <diagonal/>
    </border>
  </borders>
  <cellStyleXfs count="6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6" fillId="0" borderId="0" applyNumberFormat="0" applyFill="0" applyBorder="0" applyAlignment="0" applyProtection="0">
      <alignment vertical="top"/>
      <protection locked="0"/>
    </xf>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9" fillId="0" borderId="0"/>
    <xf numFmtId="0" fontId="13" fillId="0" borderId="0"/>
    <xf numFmtId="0" fontId="9" fillId="0" borderId="0"/>
    <xf numFmtId="0" fontId="13" fillId="0" borderId="0"/>
    <xf numFmtId="0" fontId="13" fillId="23" borderId="7" applyNumberFormat="0" applyFont="0" applyAlignment="0" applyProtection="0"/>
    <xf numFmtId="0" fontId="26"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6" fontId="5" fillId="0" borderId="0">
      <alignment horizontal="left" wrapText="1"/>
    </xf>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349">
    <xf numFmtId="0" fontId="0" fillId="0" borderId="0" xfId="0"/>
    <xf numFmtId="8" fontId="0" fillId="0" borderId="0" xfId="0" applyNumberFormat="1"/>
    <xf numFmtId="0" fontId="0" fillId="0" borderId="0" xfId="0" applyAlignment="1">
      <alignment horizontal="center"/>
    </xf>
    <xf numFmtId="0" fontId="8" fillId="0" borderId="0" xfId="0" applyFont="1" applyAlignment="1">
      <alignment horizontal="center" wrapText="1"/>
    </xf>
    <xf numFmtId="0" fontId="8" fillId="0" borderId="11" xfId="0" applyFont="1" applyBorder="1" applyAlignment="1">
      <alignment horizontal="center"/>
    </xf>
    <xf numFmtId="0" fontId="8" fillId="0" borderId="0" xfId="0" applyFont="1"/>
    <xf numFmtId="0" fontId="11" fillId="0" borderId="10" xfId="0" applyFont="1" applyBorder="1" applyAlignment="1">
      <alignment horizontal="center" wrapText="1"/>
    </xf>
    <xf numFmtId="0" fontId="11"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9"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0" fillId="0" borderId="0" xfId="47" applyFont="1"/>
    <xf numFmtId="0" fontId="8" fillId="0" borderId="0" xfId="47" applyFont="1" applyAlignment="1">
      <alignment horizontal="center"/>
    </xf>
    <xf numFmtId="0" fontId="8" fillId="0" borderId="0" xfId="47" applyFont="1" applyAlignment="1">
      <alignment horizontal="center" wrapText="1"/>
    </xf>
    <xf numFmtId="0" fontId="8" fillId="0" borderId="0" xfId="47" applyFont="1" applyFill="1" applyAlignment="1">
      <alignment horizontal="center" wrapText="1"/>
    </xf>
    <xf numFmtId="0" fontId="8" fillId="0" borderId="11" xfId="47" applyFont="1" applyBorder="1" applyAlignment="1">
      <alignment horizontal="center"/>
    </xf>
    <xf numFmtId="0" fontId="8" fillId="0" borderId="11" xfId="47" applyFont="1" applyFill="1" applyBorder="1" applyAlignment="1">
      <alignment horizontal="center"/>
    </xf>
    <xf numFmtId="0" fontId="8" fillId="0" borderId="0" xfId="47" applyFont="1" applyBorder="1" applyAlignment="1">
      <alignment horizontal="right"/>
    </xf>
    <xf numFmtId="0" fontId="12" fillId="0" borderId="0" xfId="47" applyFont="1" applyFill="1"/>
    <xf numFmtId="0" fontId="8" fillId="0" borderId="0" xfId="46" applyFont="1" applyFill="1" applyAlignment="1">
      <alignment horizontal="right"/>
    </xf>
    <xf numFmtId="0" fontId="8" fillId="0" borderId="0" xfId="46" applyFont="1" applyFill="1" applyAlignment="1">
      <alignment horizontal="center"/>
    </xf>
    <xf numFmtId="0" fontId="8" fillId="0" borderId="0" xfId="46" applyFont="1" applyFill="1" applyAlignment="1">
      <alignment horizontal="center" wrapText="1"/>
    </xf>
    <xf numFmtId="0" fontId="8" fillId="0" borderId="0" xfId="46" applyFont="1" applyFill="1" applyBorder="1" applyAlignment="1">
      <alignment horizontal="center" wrapText="1"/>
    </xf>
    <xf numFmtId="0" fontId="8" fillId="0" borderId="11" xfId="46" applyFont="1" applyFill="1" applyBorder="1" applyAlignment="1">
      <alignment horizontal="center"/>
    </xf>
    <xf numFmtId="0" fontId="8" fillId="0" borderId="0" xfId="46" applyFont="1" applyFill="1" applyBorder="1" applyAlignment="1">
      <alignment horizontal="center"/>
    </xf>
    <xf numFmtId="0" fontId="8" fillId="0" borderId="0" xfId="46" applyFont="1" applyFill="1" applyBorder="1" applyAlignment="1">
      <alignment horizontal="right"/>
    </xf>
    <xf numFmtId="0" fontId="0" fillId="0" borderId="0" xfId="0" quotePrefix="1"/>
    <xf numFmtId="44" fontId="11" fillId="0" borderId="10" xfId="31" applyFont="1" applyFill="1" applyBorder="1" applyAlignment="1">
      <alignment horizontal="center" wrapText="1"/>
    </xf>
    <xf numFmtId="0" fontId="4" fillId="0" borderId="0" xfId="47" applyFont="1" applyFill="1" applyAlignment="1">
      <alignment horizontal="left"/>
    </xf>
    <xf numFmtId="44" fontId="4" fillId="0" borderId="0" xfId="31" applyFont="1" applyBorder="1"/>
    <xf numFmtId="0" fontId="4" fillId="0" borderId="0" xfId="47" applyFont="1"/>
    <xf numFmtId="0" fontId="8" fillId="0" borderId="0" xfId="46" applyFont="1" applyFill="1" applyBorder="1"/>
    <xf numFmtId="0" fontId="0" fillId="0" borderId="0" xfId="0" applyBorder="1"/>
    <xf numFmtId="44" fontId="0" fillId="0" borderId="10" xfId="31" applyFont="1" applyBorder="1"/>
    <xf numFmtId="0" fontId="4" fillId="0" borderId="0" xfId="47" applyFont="1" applyFill="1" applyAlignment="1">
      <alignment horizontal="center"/>
    </xf>
    <xf numFmtId="0" fontId="4" fillId="0" borderId="0" xfId="46" applyFont="1" applyFill="1" applyAlignment="1">
      <alignment horizontal="center"/>
    </xf>
    <xf numFmtId="0" fontId="4" fillId="0" borderId="0" xfId="47" applyFont="1" applyAlignment="1">
      <alignment horizontal="center"/>
    </xf>
    <xf numFmtId="44" fontId="4" fillId="0" borderId="0" xfId="31" applyFont="1"/>
    <xf numFmtId="44" fontId="4" fillId="0" borderId="0" xfId="31" applyFont="1" applyAlignment="1">
      <alignment horizontal="center"/>
    </xf>
    <xf numFmtId="0" fontId="8" fillId="0" borderId="0" xfId="0" applyFont="1" applyAlignment="1">
      <alignment horizontal="center"/>
    </xf>
    <xf numFmtId="8" fontId="0" fillId="0" borderId="0" xfId="0" applyNumberFormat="1" applyBorder="1"/>
    <xf numFmtId="0" fontId="4" fillId="0" borderId="0" xfId="47" applyFont="1" applyFill="1"/>
    <xf numFmtId="168" fontId="4" fillId="0" borderId="0" xfId="32" applyNumberFormat="1" applyFont="1" applyFill="1" applyAlignment="1">
      <alignment horizontal="right"/>
    </xf>
    <xf numFmtId="10" fontId="4" fillId="0" borderId="10" xfId="50" applyNumberFormat="1" applyFont="1" applyFill="1" applyBorder="1" applyAlignment="1">
      <alignment horizontal="right"/>
    </xf>
    <xf numFmtId="167" fontId="4" fillId="0" borderId="0" xfId="51" applyNumberFormat="1" applyFont="1" applyAlignment="1">
      <alignment horizontal="right"/>
    </xf>
    <xf numFmtId="8" fontId="4" fillId="0" borderId="0" xfId="31" applyNumberFormat="1" applyFont="1" applyAlignment="1">
      <alignment horizontal="center"/>
    </xf>
    <xf numFmtId="0" fontId="4" fillId="0" borderId="0" xfId="47" applyFont="1" applyAlignment="1">
      <alignment horizontal="right"/>
    </xf>
    <xf numFmtId="0" fontId="4" fillId="0" borderId="0" xfId="47" applyFont="1" applyBorder="1"/>
    <xf numFmtId="168" fontId="4" fillId="0" borderId="0" xfId="32" applyNumberFormat="1" applyFont="1" applyFill="1" applyBorder="1" applyAlignment="1">
      <alignment horizontal="right"/>
    </xf>
    <xf numFmtId="167" fontId="4" fillId="0" borderId="0" xfId="51" applyNumberFormat="1" applyFont="1" applyBorder="1"/>
    <xf numFmtId="0" fontId="4" fillId="0" borderId="0" xfId="0" applyFont="1"/>
    <xf numFmtId="44" fontId="4" fillId="0" borderId="0" xfId="47" applyNumberFormat="1" applyFont="1" applyFill="1"/>
    <xf numFmtId="172" fontId="4" fillId="0" borderId="0" xfId="47" applyNumberFormat="1" applyFont="1" applyFill="1"/>
    <xf numFmtId="172" fontId="4" fillId="0" borderId="0" xfId="32" applyNumberFormat="1" applyFont="1" applyFill="1" applyAlignment="1">
      <alignment horizontal="center"/>
    </xf>
    <xf numFmtId="0" fontId="34" fillId="0" borderId="0" xfId="40" applyFont="1" applyAlignment="1" applyProtection="1">
      <alignment vertical="center"/>
    </xf>
    <xf numFmtId="0" fontId="36" fillId="0" borderId="0" xfId="0" applyFont="1"/>
    <xf numFmtId="0" fontId="35" fillId="0" borderId="0" xfId="59" applyFont="1"/>
    <xf numFmtId="0" fontId="37" fillId="26" borderId="14" xfId="0" applyFont="1" applyFill="1" applyBorder="1" applyAlignment="1">
      <alignment vertical="center"/>
    </xf>
    <xf numFmtId="0" fontId="40" fillId="0" borderId="20" xfId="0" applyFont="1" applyBorder="1" applyAlignment="1">
      <alignment horizontal="right" vertical="center"/>
    </xf>
    <xf numFmtId="2" fontId="40" fillId="0" borderId="19" xfId="0" applyNumberFormat="1" applyFont="1" applyBorder="1" applyAlignment="1">
      <alignment horizontal="right" vertical="center"/>
    </xf>
    <xf numFmtId="0" fontId="40" fillId="0" borderId="0" xfId="0" applyFont="1" applyBorder="1" applyAlignment="1">
      <alignment horizontal="right" vertical="center"/>
    </xf>
    <xf numFmtId="2" fontId="40" fillId="0" borderId="0" xfId="0" applyNumberFormat="1" applyFont="1" applyBorder="1" applyAlignment="1">
      <alignment horizontal="right" vertical="center"/>
    </xf>
    <xf numFmtId="2" fontId="40" fillId="0" borderId="0" xfId="0" applyNumberFormat="1" applyFont="1" applyFill="1" applyBorder="1" applyAlignment="1">
      <alignment horizontal="right" vertical="center"/>
    </xf>
    <xf numFmtId="0" fontId="35" fillId="0" borderId="0" xfId="59" applyFont="1" applyAlignment="1">
      <alignment horizontal="right"/>
    </xf>
    <xf numFmtId="8" fontId="35" fillId="0" borderId="31" xfId="59" applyNumberFormat="1" applyFont="1" applyBorder="1"/>
    <xf numFmtId="0" fontId="38" fillId="26" borderId="15" xfId="0" applyFont="1" applyFill="1" applyBorder="1" applyAlignment="1">
      <alignment horizontal="center" vertical="center"/>
    </xf>
    <xf numFmtId="0" fontId="38" fillId="26" borderId="16" xfId="0" applyFont="1" applyFill="1" applyBorder="1" applyAlignment="1">
      <alignment horizontal="center" vertical="center"/>
    </xf>
    <xf numFmtId="0" fontId="39" fillId="27" borderId="17" xfId="0" applyFont="1" applyFill="1" applyBorder="1" applyAlignment="1">
      <alignment horizontal="centerContinuous" vertical="center"/>
    </xf>
    <xf numFmtId="0" fontId="39" fillId="27" borderId="18" xfId="0" applyFont="1" applyFill="1" applyBorder="1" applyAlignment="1">
      <alignment horizontal="centerContinuous" vertical="center"/>
    </xf>
    <xf numFmtId="0" fontId="39" fillId="27" borderId="19" xfId="0" applyFont="1" applyFill="1" applyBorder="1" applyAlignment="1">
      <alignment horizontal="centerContinuous" vertical="center"/>
    </xf>
    <xf numFmtId="0" fontId="35" fillId="0" borderId="0" xfId="59" applyFont="1" applyAlignment="1">
      <alignment horizontal="right" indent="1"/>
    </xf>
    <xf numFmtId="0" fontId="35" fillId="0" borderId="0" xfId="59" applyFont="1" applyBorder="1" applyAlignment="1">
      <alignment horizontal="right" indent="1"/>
    </xf>
    <xf numFmtId="177" fontId="35" fillId="0" borderId="0" xfId="50" applyNumberFormat="1" applyFont="1" applyAlignment="1">
      <alignment horizontal="right"/>
    </xf>
    <xf numFmtId="0" fontId="1" fillId="0" borderId="0" xfId="63"/>
    <xf numFmtId="0" fontId="41" fillId="0" borderId="14" xfId="63" applyFont="1" applyBorder="1" applyAlignment="1">
      <alignment vertical="center"/>
    </xf>
    <xf numFmtId="0" fontId="42" fillId="0" borderId="15" xfId="63" applyFont="1" applyBorder="1" applyAlignment="1">
      <alignment vertical="center"/>
    </xf>
    <xf numFmtId="0" fontId="41" fillId="0" borderId="16" xfId="63" applyFont="1" applyBorder="1" applyAlignment="1">
      <alignment horizontal="right" vertical="center"/>
    </xf>
    <xf numFmtId="0" fontId="43" fillId="0" borderId="41" xfId="63" applyFont="1" applyBorder="1" applyAlignment="1">
      <alignment vertical="center"/>
    </xf>
    <xf numFmtId="0" fontId="42" fillId="0" borderId="0" xfId="63" applyFont="1"/>
    <xf numFmtId="0" fontId="41" fillId="0" borderId="42" xfId="63" applyFont="1" applyBorder="1" applyAlignment="1">
      <alignment horizontal="right" vertical="center"/>
    </xf>
    <xf numFmtId="0" fontId="42" fillId="0" borderId="41" xfId="63" applyFont="1" applyBorder="1" applyAlignment="1">
      <alignment vertical="center"/>
    </xf>
    <xf numFmtId="0" fontId="41" fillId="0" borderId="41" xfId="63" applyFont="1" applyBorder="1" applyAlignment="1">
      <alignment horizontal="center" vertical="center"/>
    </xf>
    <xf numFmtId="0" fontId="41" fillId="0" borderId="42" xfId="63" applyFont="1" applyBorder="1" applyAlignment="1">
      <alignment vertical="center"/>
    </xf>
    <xf numFmtId="0" fontId="42" fillId="0" borderId="42" xfId="63" applyFont="1" applyBorder="1" applyAlignment="1">
      <alignment vertical="center"/>
    </xf>
    <xf numFmtId="0" fontId="42" fillId="0" borderId="0" xfId="63" applyFont="1" applyAlignment="1">
      <alignment horizontal="center" vertical="center"/>
    </xf>
    <xf numFmtId="0" fontId="42" fillId="0" borderId="42" xfId="63" applyFont="1" applyBorder="1" applyAlignment="1">
      <alignment horizontal="center" vertical="center"/>
    </xf>
    <xf numFmtId="0" fontId="41" fillId="0" borderId="43" xfId="63" applyFont="1" applyBorder="1" applyAlignment="1">
      <alignment horizontal="center" vertical="center"/>
    </xf>
    <xf numFmtId="0" fontId="41" fillId="0" borderId="21" xfId="63" applyFont="1" applyBorder="1" applyAlignment="1">
      <alignment vertical="center"/>
    </xf>
    <xf numFmtId="0" fontId="42" fillId="0" borderId="21" xfId="63" applyFont="1" applyBorder="1" applyAlignment="1">
      <alignment horizontal="center" vertical="center"/>
    </xf>
    <xf numFmtId="0" fontId="42" fillId="0" borderId="44" xfId="63" applyFont="1" applyBorder="1" applyAlignment="1">
      <alignment horizontal="center" vertical="center"/>
    </xf>
    <xf numFmtId="0" fontId="42" fillId="0" borderId="41" xfId="63" applyFont="1" applyBorder="1" applyAlignment="1">
      <alignment horizontal="center" vertical="center"/>
    </xf>
    <xf numFmtId="0" fontId="42" fillId="0" borderId="0" xfId="63" applyFont="1" applyAlignment="1">
      <alignment vertical="center"/>
    </xf>
    <xf numFmtId="10" fontId="42" fillId="29" borderId="0" xfId="63" applyNumberFormat="1" applyFont="1" applyFill="1" applyAlignment="1">
      <alignment horizontal="right" vertical="center"/>
    </xf>
    <xf numFmtId="10" fontId="42" fillId="29" borderId="42" xfId="63" applyNumberFormat="1" applyFont="1" applyFill="1" applyBorder="1" applyAlignment="1">
      <alignment horizontal="right" vertical="center"/>
    </xf>
    <xf numFmtId="10" fontId="42" fillId="29" borderId="21" xfId="63" applyNumberFormat="1" applyFont="1" applyFill="1" applyBorder="1" applyAlignment="1">
      <alignment horizontal="right" vertical="center"/>
    </xf>
    <xf numFmtId="10" fontId="42" fillId="29" borderId="15" xfId="63" applyNumberFormat="1" applyFont="1" applyFill="1" applyBorder="1" applyAlignment="1">
      <alignment horizontal="right" vertical="center"/>
    </xf>
    <xf numFmtId="0" fontId="42" fillId="29" borderId="0" xfId="63" applyFont="1" applyFill="1"/>
    <xf numFmtId="10" fontId="42" fillId="0" borderId="0" xfId="63" applyNumberFormat="1" applyFont="1" applyAlignment="1">
      <alignment horizontal="right" vertical="center"/>
    </xf>
    <xf numFmtId="10" fontId="42" fillId="0" borderId="42" xfId="63" applyNumberFormat="1" applyFont="1" applyBorder="1" applyAlignment="1">
      <alignment horizontal="right" vertical="center"/>
    </xf>
    <xf numFmtId="0" fontId="44" fillId="0" borderId="0" xfId="63" applyFont="1"/>
    <xf numFmtId="10" fontId="42" fillId="0" borderId="21" xfId="63" applyNumberFormat="1" applyFont="1" applyBorder="1" applyAlignment="1">
      <alignment horizontal="right" vertical="center"/>
    </xf>
    <xf numFmtId="10" fontId="42" fillId="0" borderId="15" xfId="63" applyNumberFormat="1" applyFont="1" applyBorder="1" applyAlignment="1">
      <alignment horizontal="right" vertical="center"/>
    </xf>
    <xf numFmtId="10" fontId="42" fillId="0" borderId="16" xfId="63" applyNumberFormat="1" applyFont="1" applyBorder="1" applyAlignment="1">
      <alignment horizontal="right" vertical="center"/>
    </xf>
    <xf numFmtId="0" fontId="42" fillId="0" borderId="43" xfId="63" applyFont="1" applyBorder="1" applyAlignment="1">
      <alignment horizontal="center" vertical="center"/>
    </xf>
    <xf numFmtId="0" fontId="42" fillId="0" borderId="21" xfId="63" applyFont="1" applyBorder="1" applyAlignment="1">
      <alignment vertical="center"/>
    </xf>
    <xf numFmtId="0" fontId="42" fillId="0" borderId="44" xfId="63" applyFont="1" applyBorder="1" applyAlignment="1">
      <alignment vertical="center"/>
    </xf>
    <xf numFmtId="10" fontId="42" fillId="29" borderId="45" xfId="63" applyNumberFormat="1" applyFont="1" applyFill="1" applyBorder="1" applyAlignment="1">
      <alignment horizontal="right" vertical="center"/>
    </xf>
    <xf numFmtId="2" fontId="4" fillId="0" borderId="0" xfId="0" applyNumberFormat="1" applyFont="1" applyAlignment="1">
      <alignment horizontal="center" wrapText="1"/>
    </xf>
    <xf numFmtId="2" fontId="4" fillId="0" borderId="0" xfId="0" applyNumberFormat="1" applyFont="1" applyAlignment="1">
      <alignment wrapText="1"/>
    </xf>
    <xf numFmtId="0" fontId="4" fillId="0" borderId="0" xfId="0" applyFont="1" applyAlignment="1">
      <alignment horizontal="center"/>
    </xf>
    <xf numFmtId="44" fontId="4" fillId="0" borderId="0" xfId="0" applyNumberFormat="1" applyFont="1"/>
    <xf numFmtId="0" fontId="4" fillId="0" borderId="0" xfId="0" applyFont="1" applyBorder="1"/>
    <xf numFmtId="173" fontId="4" fillId="0" borderId="0" xfId="0" applyNumberFormat="1" applyFont="1"/>
    <xf numFmtId="44" fontId="4" fillId="0" borderId="0" xfId="0" applyNumberFormat="1" applyFont="1" applyBorder="1"/>
    <xf numFmtId="0" fontId="45" fillId="0" borderId="0" xfId="0" applyFont="1" applyBorder="1"/>
    <xf numFmtId="174" fontId="4" fillId="0" borderId="0" xfId="0" applyNumberFormat="1" applyFont="1"/>
    <xf numFmtId="8" fontId="4" fillId="0" borderId="0" xfId="0" applyNumberFormat="1" applyFont="1" applyBorder="1"/>
    <xf numFmtId="8" fontId="4" fillId="0" borderId="0" xfId="0" applyNumberFormat="1" applyFont="1"/>
    <xf numFmtId="0" fontId="4" fillId="0" borderId="36" xfId="0" applyFont="1" applyFill="1" applyBorder="1"/>
    <xf numFmtId="44" fontId="4" fillId="0" borderId="36" xfId="31" applyFont="1" applyFill="1" applyBorder="1"/>
    <xf numFmtId="175" fontId="4" fillId="0" borderId="0" xfId="31" applyNumberFormat="1" applyFont="1" applyBorder="1"/>
    <xf numFmtId="0" fontId="4" fillId="24" borderId="10" xfId="0" applyFont="1" applyFill="1" applyBorder="1" applyAlignment="1">
      <alignment horizontal="center"/>
    </xf>
    <xf numFmtId="0" fontId="4" fillId="0" borderId="0" xfId="0" applyFont="1" applyFill="1" applyBorder="1"/>
    <xf numFmtId="8" fontId="4" fillId="0" borderId="0" xfId="0" applyNumberFormat="1" applyFont="1" applyFill="1" applyBorder="1"/>
    <xf numFmtId="9" fontId="4" fillId="0" borderId="0" xfId="50" applyFont="1"/>
    <xf numFmtId="0" fontId="46" fillId="0" borderId="0" xfId="0" applyFont="1"/>
    <xf numFmtId="0" fontId="4" fillId="0" borderId="0" xfId="0" applyFont="1" applyFill="1"/>
    <xf numFmtId="2" fontId="4" fillId="0" borderId="0" xfId="0" applyNumberFormat="1" applyFont="1"/>
    <xf numFmtId="40" fontId="4" fillId="0" borderId="0" xfId="0" applyNumberFormat="1" applyFont="1"/>
    <xf numFmtId="17" fontId="47" fillId="0" borderId="0" xfId="0" applyNumberFormat="1" applyFont="1" applyAlignment="1">
      <alignment horizontal="left" vertical="top"/>
    </xf>
    <xf numFmtId="17" fontId="4" fillId="0" borderId="0" xfId="0" applyNumberFormat="1" applyFont="1" applyAlignment="1">
      <alignment horizontal="left" vertical="top"/>
    </xf>
    <xf numFmtId="0" fontId="4" fillId="0" borderId="0" xfId="0" applyFont="1" applyAlignment="1">
      <alignment horizontal="left" vertical="top"/>
    </xf>
    <xf numFmtId="0" fontId="4" fillId="0" borderId="0" xfId="0" applyFont="1" applyFill="1" applyAlignment="1">
      <alignment horizontal="center" vertical="top"/>
    </xf>
    <xf numFmtId="0" fontId="4" fillId="0" borderId="0" xfId="0" applyFont="1" applyFill="1" applyBorder="1" applyAlignment="1">
      <alignment horizontal="center" vertical="top"/>
    </xf>
    <xf numFmtId="0" fontId="8" fillId="0" borderId="0" xfId="0" applyFont="1" applyFill="1" applyAlignment="1">
      <alignment horizontal="left" vertical="top"/>
    </xf>
    <xf numFmtId="176" fontId="4" fillId="0" borderId="0" xfId="0" applyNumberFormat="1" applyFont="1"/>
    <xf numFmtId="0" fontId="4" fillId="0" borderId="34" xfId="0" applyFont="1" applyFill="1" applyBorder="1"/>
    <xf numFmtId="2" fontId="4" fillId="0" borderId="36" xfId="0" applyNumberFormat="1" applyFont="1" applyFill="1" applyBorder="1"/>
    <xf numFmtId="2" fontId="4" fillId="0" borderId="0" xfId="0" applyNumberFormat="1" applyFont="1" applyBorder="1"/>
    <xf numFmtId="164" fontId="4" fillId="0" borderId="0" xfId="0" applyNumberFormat="1" applyFont="1" applyBorder="1"/>
    <xf numFmtId="0" fontId="4" fillId="0" borderId="33" xfId="0" applyFont="1" applyFill="1" applyBorder="1"/>
    <xf numFmtId="40" fontId="4" fillId="0" borderId="33" xfId="0" applyNumberFormat="1" applyFont="1" applyFill="1" applyBorder="1"/>
    <xf numFmtId="2" fontId="4" fillId="0" borderId="0" xfId="0" applyNumberFormat="1" applyFont="1" applyBorder="1" applyAlignment="1">
      <alignment horizontal="center" wrapText="1"/>
    </xf>
    <xf numFmtId="2" fontId="4" fillId="0" borderId="0" xfId="0" applyNumberFormat="1" applyFont="1" applyBorder="1" applyAlignment="1">
      <alignment wrapText="1"/>
    </xf>
    <xf numFmtId="173" fontId="4" fillId="0" borderId="0" xfId="0" applyNumberFormat="1" applyFont="1" applyBorder="1"/>
    <xf numFmtId="171" fontId="4" fillId="0" borderId="36" xfId="28" applyNumberFormat="1" applyFont="1" applyFill="1" applyBorder="1"/>
    <xf numFmtId="173" fontId="4" fillId="0" borderId="36" xfId="28" applyNumberFormat="1" applyFont="1" applyFill="1" applyBorder="1"/>
    <xf numFmtId="1" fontId="4" fillId="0" borderId="36" xfId="0" applyNumberFormat="1" applyFont="1" applyFill="1" applyBorder="1" applyAlignment="1">
      <alignment horizontal="center"/>
    </xf>
    <xf numFmtId="0" fontId="4" fillId="0" borderId="36" xfId="0" applyFont="1" applyFill="1" applyBorder="1" applyAlignment="1">
      <alignment horizontal="center"/>
    </xf>
    <xf numFmtId="170" fontId="4" fillId="0" borderId="36" xfId="31" applyNumberFormat="1" applyFont="1" applyFill="1" applyBorder="1"/>
    <xf numFmtId="169" fontId="4" fillId="0" borderId="36" xfId="31" applyNumberFormat="1" applyFont="1" applyFill="1" applyBorder="1"/>
    <xf numFmtId="169" fontId="4" fillId="0" borderId="36" xfId="0" applyNumberFormat="1" applyFont="1" applyFill="1" applyBorder="1"/>
    <xf numFmtId="44" fontId="4" fillId="0" borderId="36" xfId="0" applyNumberFormat="1" applyFont="1" applyFill="1" applyBorder="1"/>
    <xf numFmtId="44" fontId="4" fillId="28" borderId="35" xfId="0" applyNumberFormat="1" applyFont="1" applyFill="1" applyBorder="1"/>
    <xf numFmtId="44" fontId="4" fillId="28" borderId="23" xfId="0" applyNumberFormat="1" applyFont="1" applyFill="1" applyBorder="1"/>
    <xf numFmtId="44" fontId="4" fillId="28" borderId="26" xfId="0" applyNumberFormat="1" applyFont="1" applyFill="1" applyBorder="1"/>
    <xf numFmtId="178" fontId="4" fillId="0" borderId="36" xfId="0" applyNumberFormat="1" applyFont="1" applyFill="1" applyBorder="1"/>
    <xf numFmtId="178" fontId="4" fillId="0" borderId="34" xfId="31" applyNumberFormat="1" applyFont="1" applyFill="1" applyBorder="1"/>
    <xf numFmtId="170" fontId="9" fillId="0" borderId="10" xfId="31" applyNumberFormat="1" applyFont="1" applyFill="1" applyBorder="1"/>
    <xf numFmtId="10" fontId="0" fillId="0" borderId="32" xfId="0" applyNumberFormat="1" applyFill="1" applyBorder="1"/>
    <xf numFmtId="10" fontId="0" fillId="0" borderId="37" xfId="50" applyNumberFormat="1" applyFont="1" applyFill="1" applyBorder="1"/>
    <xf numFmtId="0" fontId="8" fillId="0" borderId="33" xfId="46" applyFont="1" applyFill="1" applyBorder="1" applyAlignment="1">
      <alignment horizontal="center"/>
    </xf>
    <xf numFmtId="0" fontId="8" fillId="0" borderId="0" xfId="47" applyFont="1" applyFill="1" applyBorder="1" applyAlignment="1">
      <alignment horizontal="right"/>
    </xf>
    <xf numFmtId="0" fontId="8" fillId="0" borderId="33" xfId="47" applyNumberFormat="1" applyFont="1" applyFill="1" applyBorder="1" applyAlignment="1">
      <alignment horizontal="center"/>
    </xf>
    <xf numFmtId="0" fontId="45" fillId="0" borderId="0" xfId="47" applyFont="1" applyFill="1" applyAlignment="1">
      <alignment horizontal="center"/>
    </xf>
    <xf numFmtId="0" fontId="4" fillId="0" borderId="0" xfId="47" applyFont="1" applyBorder="1" applyAlignment="1">
      <alignment horizontal="center"/>
    </xf>
    <xf numFmtId="44" fontId="4" fillId="0" borderId="0" xfId="31" applyFont="1" applyBorder="1" applyAlignment="1">
      <alignment horizontal="center"/>
    </xf>
    <xf numFmtId="0" fontId="8" fillId="0" borderId="33" xfId="47" applyFont="1" applyFill="1" applyBorder="1" applyAlignment="1">
      <alignment horizontal="center"/>
    </xf>
    <xf numFmtId="0" fontId="5" fillId="0" borderId="0" xfId="47" applyFont="1" applyFill="1"/>
    <xf numFmtId="0" fontId="4" fillId="0" borderId="0" xfId="47" applyFont="1" applyFill="1" applyBorder="1"/>
    <xf numFmtId="0" fontId="4" fillId="0" borderId="0" xfId="46" applyFont="1" applyFill="1" applyBorder="1" applyAlignment="1">
      <alignment horizontal="center"/>
    </xf>
    <xf numFmtId="44" fontId="31" fillId="0" borderId="0" xfId="31" applyFont="1" applyFill="1" applyBorder="1"/>
    <xf numFmtId="0" fontId="48" fillId="0" borderId="0" xfId="47" applyFont="1"/>
    <xf numFmtId="0" fontId="5" fillId="0" borderId="0" xfId="0" applyFont="1"/>
    <xf numFmtId="44" fontId="5" fillId="0" borderId="0" xfId="0" applyNumberFormat="1" applyFont="1" applyFill="1"/>
    <xf numFmtId="8" fontId="48" fillId="0" borderId="0" xfId="47" applyNumberFormat="1" applyFont="1" applyFill="1" applyBorder="1"/>
    <xf numFmtId="44" fontId="31" fillId="0" borderId="0" xfId="31" applyNumberFormat="1" applyFont="1" applyFill="1" applyBorder="1"/>
    <xf numFmtId="0" fontId="4" fillId="0" borderId="0" xfId="46" applyFont="1" applyFill="1" applyBorder="1"/>
    <xf numFmtId="10" fontId="4" fillId="0" borderId="32" xfId="51" applyNumberFormat="1" applyFont="1" applyFill="1" applyBorder="1" applyAlignment="1">
      <alignment horizontal="right"/>
    </xf>
    <xf numFmtId="10" fontId="4" fillId="0" borderId="37" xfId="51" applyNumberFormat="1" applyFont="1" applyFill="1" applyBorder="1" applyAlignment="1">
      <alignment horizontal="right"/>
    </xf>
    <xf numFmtId="167" fontId="4" fillId="0" borderId="0" xfId="51" applyNumberFormat="1" applyFont="1" applyFill="1" applyBorder="1" applyAlignment="1">
      <alignment horizontal="right"/>
    </xf>
    <xf numFmtId="2" fontId="4" fillId="0" borderId="0" xfId="46" applyNumberFormat="1" applyFont="1" applyFill="1" applyBorder="1" applyAlignment="1">
      <alignment horizontal="center"/>
    </xf>
    <xf numFmtId="8" fontId="4" fillId="0" borderId="0" xfId="46" applyNumberFormat="1" applyFont="1" applyFill="1"/>
    <xf numFmtId="44" fontId="4" fillId="0" borderId="0" xfId="32" applyFont="1" applyFill="1"/>
    <xf numFmtId="44" fontId="4" fillId="0" borderId="0" xfId="46" applyNumberFormat="1" applyFont="1" applyFill="1"/>
    <xf numFmtId="44" fontId="4" fillId="0" borderId="0" xfId="32" applyFont="1" applyFill="1" applyAlignment="1">
      <alignment horizontal="center"/>
    </xf>
    <xf numFmtId="2" fontId="4" fillId="0" borderId="0" xfId="46" applyNumberFormat="1" applyFont="1" applyFill="1" applyAlignment="1">
      <alignment horizontal="center"/>
    </xf>
    <xf numFmtId="0" fontId="4" fillId="0" borderId="0" xfId="46" applyFont="1" applyFill="1" applyBorder="1" applyAlignment="1">
      <alignment horizontal="right"/>
    </xf>
    <xf numFmtId="0" fontId="4" fillId="0" borderId="0" xfId="46" applyFont="1" applyFill="1" applyBorder="1" applyAlignment="1"/>
    <xf numFmtId="167" fontId="4" fillId="0" borderId="0" xfId="51" applyNumberFormat="1" applyFont="1" applyFill="1" applyBorder="1"/>
    <xf numFmtId="0" fontId="30" fillId="0" borderId="0" xfId="47" applyFont="1" applyFill="1"/>
    <xf numFmtId="0" fontId="30" fillId="0" borderId="0" xfId="46" applyFont="1" applyFill="1"/>
    <xf numFmtId="0" fontId="49" fillId="0" borderId="0" xfId="46" applyFont="1" applyFill="1" applyAlignment="1">
      <alignment horizontal="right"/>
    </xf>
    <xf numFmtId="0" fontId="49" fillId="0" borderId="0" xfId="46" applyFont="1" applyFill="1"/>
    <xf numFmtId="0" fontId="4" fillId="0" borderId="0" xfId="46" applyFont="1" applyFill="1"/>
    <xf numFmtId="0" fontId="8" fillId="0" borderId="0" xfId="46" applyFont="1" applyFill="1"/>
    <xf numFmtId="0" fontId="31" fillId="0" borderId="0" xfId="47" applyFont="1" applyFill="1"/>
    <xf numFmtId="0" fontId="30" fillId="0" borderId="0" xfId="46" applyFont="1" applyFill="1" applyAlignment="1">
      <alignment wrapText="1"/>
    </xf>
    <xf numFmtId="8" fontId="4" fillId="0" borderId="36" xfId="31" applyNumberFormat="1" applyFont="1" applyFill="1" applyBorder="1"/>
    <xf numFmtId="8" fontId="45" fillId="0" borderId="0" xfId="0" applyNumberFormat="1" applyFont="1"/>
    <xf numFmtId="44" fontId="4" fillId="0" borderId="10" xfId="31" applyFont="1" applyFill="1" applyBorder="1" applyAlignment="1">
      <alignment horizontal="right"/>
    </xf>
    <xf numFmtId="44" fontId="4" fillId="0" borderId="33" xfId="31" applyFont="1" applyFill="1" applyBorder="1"/>
    <xf numFmtId="0" fontId="8" fillId="0" borderId="34" xfId="47" applyNumberFormat="1" applyFont="1" applyFill="1" applyBorder="1" applyAlignment="1">
      <alignment horizontal="center"/>
    </xf>
    <xf numFmtId="168" fontId="4" fillId="0" borderId="33" xfId="32" applyNumberFormat="1" applyFont="1" applyFill="1" applyBorder="1" applyAlignment="1">
      <alignment horizontal="center"/>
    </xf>
    <xf numFmtId="8" fontId="4" fillId="0" borderId="10" xfId="0" applyNumberFormat="1" applyFont="1" applyFill="1" applyBorder="1"/>
    <xf numFmtId="0" fontId="4" fillId="0" borderId="0" xfId="0" applyFont="1" applyFill="1" applyBorder="1" applyAlignment="1">
      <alignment horizontal="center"/>
    </xf>
    <xf numFmtId="0" fontId="50" fillId="0" borderId="0" xfId="0" applyFont="1" applyAlignment="1">
      <alignment vertical="center"/>
    </xf>
    <xf numFmtId="0" fontId="4" fillId="0" borderId="0" xfId="31" applyNumberFormat="1" applyFont="1" applyBorder="1" applyAlignment="1">
      <alignment horizontal="center"/>
    </xf>
    <xf numFmtId="0" fontId="4" fillId="25" borderId="32" xfId="0" applyFont="1" applyFill="1" applyBorder="1" applyAlignment="1">
      <alignment vertical="center" wrapText="1"/>
    </xf>
    <xf numFmtId="0" fontId="4" fillId="25" borderId="32" xfId="0" applyFont="1" applyFill="1" applyBorder="1" applyAlignment="1">
      <alignment horizontal="left" vertical="center" wrapText="1"/>
    </xf>
    <xf numFmtId="0" fontId="35" fillId="0" borderId="0" xfId="59" applyFont="1" applyAlignment="1">
      <alignment wrapText="1"/>
    </xf>
    <xf numFmtId="44" fontId="4" fillId="0" borderId="0" xfId="0" applyNumberFormat="1" applyFont="1" applyFill="1" applyBorder="1"/>
    <xf numFmtId="0" fontId="8" fillId="0" borderId="0" xfId="0" applyFont="1" applyAlignment="1">
      <alignment horizontal="left"/>
    </xf>
    <xf numFmtId="0" fontId="51" fillId="0" borderId="50" xfId="0" applyFont="1" applyBorder="1" applyAlignment="1">
      <alignment horizontal="center" vertical="center"/>
    </xf>
    <xf numFmtId="0" fontId="51" fillId="0" borderId="49" xfId="0" applyFont="1" applyBorder="1" applyAlignment="1">
      <alignment horizontal="center" vertical="center"/>
    </xf>
    <xf numFmtId="0" fontId="51" fillId="0" borderId="12" xfId="0" applyFont="1" applyBorder="1" applyAlignment="1">
      <alignment horizontal="center" vertical="center"/>
    </xf>
    <xf numFmtId="0" fontId="51" fillId="0" borderId="13" xfId="0" applyFont="1" applyBorder="1" applyAlignment="1">
      <alignment horizontal="center" vertical="center"/>
    </xf>
    <xf numFmtId="0" fontId="51" fillId="0" borderId="51" xfId="0" applyFont="1" applyBorder="1" applyAlignment="1">
      <alignment horizontal="center" vertical="center"/>
    </xf>
    <xf numFmtId="1" fontId="51" fillId="0" borderId="12" xfId="0" applyNumberFormat="1" applyFont="1" applyBorder="1" applyAlignment="1">
      <alignment horizontal="center" vertical="center"/>
    </xf>
    <xf numFmtId="8" fontId="51" fillId="0" borderId="13" xfId="0" applyNumberFormat="1" applyFont="1" applyBorder="1" applyAlignment="1">
      <alignment horizontal="right" vertical="center"/>
    </xf>
    <xf numFmtId="1" fontId="51" fillId="0" borderId="50" xfId="0" applyNumberFormat="1" applyFont="1" applyBorder="1" applyAlignment="1">
      <alignment horizontal="center" vertical="center"/>
    </xf>
    <xf numFmtId="8" fontId="51" fillId="0" borderId="51" xfId="0" applyNumberFormat="1" applyFont="1" applyBorder="1" applyAlignment="1">
      <alignment horizontal="right" vertical="center"/>
    </xf>
    <xf numFmtId="1" fontId="51" fillId="0" borderId="25" xfId="0" applyNumberFormat="1" applyFont="1" applyBorder="1" applyAlignment="1">
      <alignment horizontal="center" vertical="center"/>
    </xf>
    <xf numFmtId="8" fontId="51" fillId="0" borderId="27" xfId="0" applyNumberFormat="1" applyFont="1" applyBorder="1" applyAlignment="1">
      <alignment horizontal="right" vertical="center"/>
    </xf>
    <xf numFmtId="0" fontId="51" fillId="0" borderId="0" xfId="59" applyFont="1"/>
    <xf numFmtId="0" fontId="5" fillId="0" borderId="0" xfId="0" applyFont="1" applyBorder="1"/>
    <xf numFmtId="0" fontId="5" fillId="0" borderId="0" xfId="0" applyFont="1" applyFill="1" applyBorder="1"/>
    <xf numFmtId="0" fontId="51" fillId="0" borderId="0" xfId="59" applyFont="1" applyBorder="1"/>
    <xf numFmtId="0" fontId="51" fillId="0" borderId="11" xfId="59" applyFont="1" applyBorder="1" applyAlignment="1">
      <alignment horizontal="center"/>
    </xf>
    <xf numFmtId="179" fontId="51" fillId="0" borderId="0" xfId="59" applyNumberFormat="1" applyFont="1"/>
    <xf numFmtId="44" fontId="5" fillId="0" borderId="0" xfId="60" applyNumberFormat="1" applyFont="1"/>
    <xf numFmtId="0" fontId="51" fillId="0" borderId="22" xfId="59" applyFont="1" applyFill="1" applyBorder="1"/>
    <xf numFmtId="0" fontId="51" fillId="0" borderId="25" xfId="0" applyFont="1" applyBorder="1" applyAlignment="1">
      <alignment horizontal="center" vertical="center"/>
    </xf>
    <xf numFmtId="169" fontId="51" fillId="0" borderId="60" xfId="31" applyNumberFormat="1" applyFont="1" applyBorder="1"/>
    <xf numFmtId="169" fontId="51" fillId="0" borderId="59" xfId="31" applyNumberFormat="1" applyFont="1" applyBorder="1"/>
    <xf numFmtId="169" fontId="5" fillId="0" borderId="29" xfId="31" applyNumberFormat="1" applyFont="1" applyBorder="1"/>
    <xf numFmtId="169" fontId="5" fillId="0" borderId="62" xfId="31" applyNumberFormat="1" applyFont="1" applyBorder="1"/>
    <xf numFmtId="1" fontId="51" fillId="0" borderId="23" xfId="0" applyNumberFormat="1" applyFont="1" applyBorder="1" applyAlignment="1">
      <alignment horizontal="center" vertical="center"/>
    </xf>
    <xf numFmtId="1" fontId="51" fillId="0" borderId="46" xfId="0" applyNumberFormat="1" applyFont="1" applyBorder="1" applyAlignment="1">
      <alignment horizontal="center" vertical="center"/>
    </xf>
    <xf numFmtId="1" fontId="51" fillId="0" borderId="58" xfId="0" applyNumberFormat="1" applyFont="1" applyBorder="1" applyAlignment="1">
      <alignment horizontal="center" vertical="center"/>
    </xf>
    <xf numFmtId="0" fontId="51" fillId="0" borderId="0" xfId="59" applyNumberFormat="1" applyFont="1"/>
    <xf numFmtId="0" fontId="51" fillId="0" borderId="0" xfId="59" quotePrefix="1" applyNumberFormat="1" applyFont="1" applyAlignment="1">
      <alignment vertical="top" wrapText="1"/>
    </xf>
    <xf numFmtId="9" fontId="4" fillId="0" borderId="32" xfId="0" applyNumberFormat="1" applyFont="1" applyFill="1" applyBorder="1" applyAlignment="1">
      <alignment horizontal="center"/>
    </xf>
    <xf numFmtId="0" fontId="4" fillId="0" borderId="0" xfId="0" applyFont="1" applyAlignment="1">
      <alignment horizontal="left" vertical="center" wrapText="1"/>
    </xf>
    <xf numFmtId="169" fontId="4" fillId="0" borderId="0" xfId="31" applyNumberFormat="1" applyFont="1" applyBorder="1" applyAlignment="1">
      <alignment horizontal="center"/>
    </xf>
    <xf numFmtId="169" fontId="4" fillId="0" borderId="0" xfId="31" applyNumberFormat="1" applyFont="1" applyAlignment="1">
      <alignment horizontal="center"/>
    </xf>
    <xf numFmtId="0" fontId="8" fillId="0" borderId="14" xfId="0" applyFont="1" applyBorder="1" applyAlignment="1">
      <alignment horizontal="center" wrapText="1"/>
    </xf>
    <xf numFmtId="0" fontId="8" fillId="0" borderId="16" xfId="0" applyFont="1" applyBorder="1" applyAlignment="1">
      <alignment horizontal="center" wrapText="1"/>
    </xf>
    <xf numFmtId="0" fontId="8" fillId="0" borderId="63" xfId="0" applyFont="1" applyBorder="1" applyAlignment="1">
      <alignment horizontal="center"/>
    </xf>
    <xf numFmtId="0" fontId="8" fillId="0" borderId="29" xfId="0" applyFont="1" applyBorder="1" applyAlignment="1">
      <alignment horizontal="center"/>
    </xf>
    <xf numFmtId="0" fontId="8" fillId="0" borderId="64" xfId="47" applyFont="1" applyFill="1" applyBorder="1" applyAlignment="1">
      <alignment horizontal="center"/>
    </xf>
    <xf numFmtId="0" fontId="8" fillId="0" borderId="65" xfId="47" applyFont="1" applyFill="1" applyBorder="1" applyAlignment="1">
      <alignment horizontal="center"/>
    </xf>
    <xf numFmtId="44" fontId="4" fillId="0" borderId="41" xfId="31" applyFont="1" applyBorder="1" applyAlignment="1">
      <alignment horizontal="center"/>
    </xf>
    <xf numFmtId="169" fontId="4" fillId="0" borderId="42" xfId="31" applyNumberFormat="1" applyFont="1" applyBorder="1" applyAlignment="1">
      <alignment horizontal="center"/>
    </xf>
    <xf numFmtId="44" fontId="4" fillId="0" borderId="43" xfId="31" applyFont="1" applyBorder="1" applyAlignment="1">
      <alignment horizontal="center"/>
    </xf>
    <xf numFmtId="169" fontId="4" fillId="0" borderId="44" xfId="31" applyNumberFormat="1" applyFont="1" applyBorder="1" applyAlignment="1">
      <alignment horizontal="center"/>
    </xf>
    <xf numFmtId="8" fontId="4" fillId="0" borderId="0" xfId="47" applyNumberFormat="1" applyFont="1"/>
    <xf numFmtId="2" fontId="51" fillId="0" borderId="0" xfId="59" applyNumberFormat="1" applyFont="1"/>
    <xf numFmtId="8" fontId="5" fillId="0" borderId="0" xfId="0" applyNumberFormat="1" applyFont="1"/>
    <xf numFmtId="8" fontId="35" fillId="0" borderId="24" xfId="31" applyNumberFormat="1" applyFont="1" applyBorder="1"/>
    <xf numFmtId="0" fontId="51" fillId="0" borderId="18" xfId="59" applyFont="1" applyBorder="1" applyAlignment="1">
      <alignment horizontal="center"/>
    </xf>
    <xf numFmtId="169" fontId="51" fillId="0" borderId="54" xfId="31" applyNumberFormat="1" applyFont="1" applyBorder="1"/>
    <xf numFmtId="169" fontId="51" fillId="0" borderId="68" xfId="31" applyNumberFormat="1" applyFont="1" applyBorder="1"/>
    <xf numFmtId="169" fontId="5" fillId="0" borderId="47" xfId="31" applyNumberFormat="1" applyFont="1" applyBorder="1"/>
    <xf numFmtId="167" fontId="4" fillId="0" borderId="0" xfId="51" applyNumberFormat="1" applyFont="1" applyFill="1" applyAlignment="1">
      <alignment horizontal="right"/>
    </xf>
    <xf numFmtId="44" fontId="4" fillId="0" borderId="0" xfId="31" applyFont="1" applyFill="1"/>
    <xf numFmtId="44" fontId="4" fillId="0" borderId="0" xfId="31" applyFont="1" applyFill="1" applyAlignment="1">
      <alignment horizontal="center"/>
    </xf>
    <xf numFmtId="169" fontId="4" fillId="0" borderId="0" xfId="31" applyNumberFormat="1" applyFont="1" applyFill="1" applyAlignment="1">
      <alignment horizontal="center"/>
    </xf>
    <xf numFmtId="44" fontId="4" fillId="0" borderId="41" xfId="31" applyFont="1" applyFill="1" applyBorder="1" applyAlignment="1">
      <alignment horizontal="center"/>
    </xf>
    <xf numFmtId="169" fontId="4" fillId="0" borderId="42" xfId="31" applyNumberFormat="1" applyFont="1" applyFill="1" applyBorder="1" applyAlignment="1">
      <alignment horizontal="center"/>
    </xf>
    <xf numFmtId="0" fontId="4" fillId="0" borderId="0" xfId="47" applyFont="1" applyFill="1" applyAlignment="1">
      <alignment horizontal="right"/>
    </xf>
    <xf numFmtId="9" fontId="4" fillId="0" borderId="0" xfId="50" applyFont="1" applyFill="1" applyBorder="1"/>
    <xf numFmtId="44" fontId="4" fillId="0" borderId="0" xfId="31" applyFont="1" applyFill="1" applyBorder="1"/>
    <xf numFmtId="0" fontId="48" fillId="0" borderId="0" xfId="47" applyFont="1" applyFill="1" applyBorder="1"/>
    <xf numFmtId="0" fontId="48" fillId="0" borderId="0" xfId="47" applyFont="1" applyFill="1"/>
    <xf numFmtId="44" fontId="48" fillId="0" borderId="0" xfId="47" applyNumberFormat="1" applyFont="1" applyFill="1"/>
    <xf numFmtId="0" fontId="5" fillId="0" borderId="0" xfId="0" applyFont="1" applyFill="1"/>
    <xf numFmtId="0" fontId="4" fillId="0" borderId="0" xfId="47" applyFont="1" applyFill="1" applyBorder="1" applyAlignment="1">
      <alignment horizontal="center"/>
    </xf>
    <xf numFmtId="44" fontId="4" fillId="0" borderId="0" xfId="31" applyFont="1" applyFill="1" applyBorder="1" applyAlignment="1">
      <alignment horizontal="center"/>
    </xf>
    <xf numFmtId="169" fontId="4" fillId="0" borderId="0" xfId="31" applyNumberFormat="1" applyFont="1" applyFill="1" applyBorder="1" applyAlignment="1">
      <alignment horizontal="center"/>
    </xf>
    <xf numFmtId="0" fontId="51" fillId="0" borderId="14" xfId="59" applyFont="1" applyFill="1" applyBorder="1" applyAlignment="1">
      <alignment horizontal="center" vertical="top" wrapText="1"/>
    </xf>
    <xf numFmtId="0" fontId="51" fillId="0" borderId="67" xfId="59" applyFont="1" applyBorder="1" applyAlignment="1">
      <alignment horizontal="center"/>
    </xf>
    <xf numFmtId="0" fontId="51" fillId="0" borderId="41" xfId="59" applyFont="1" applyFill="1" applyBorder="1" applyAlignment="1">
      <alignment horizontal="center" wrapText="1"/>
    </xf>
    <xf numFmtId="0" fontId="51" fillId="0" borderId="70" xfId="59" applyFont="1" applyFill="1" applyBorder="1" applyAlignment="1">
      <alignment horizontal="center" wrapText="1"/>
    </xf>
    <xf numFmtId="0" fontId="51" fillId="0" borderId="17" xfId="59" applyFont="1" applyFill="1" applyBorder="1" applyAlignment="1">
      <alignment horizontal="center" wrapText="1"/>
    </xf>
    <xf numFmtId="0" fontId="51" fillId="0" borderId="71" xfId="59" applyFont="1" applyFill="1" applyBorder="1" applyAlignment="1">
      <alignment horizontal="center" wrapText="1"/>
    </xf>
    <xf numFmtId="44" fontId="5" fillId="30" borderId="66" xfId="60" applyFont="1" applyFill="1" applyBorder="1"/>
    <xf numFmtId="44" fontId="5" fillId="30" borderId="62" xfId="60" applyFont="1" applyFill="1" applyBorder="1"/>
    <xf numFmtId="44" fontId="5" fillId="0" borderId="62" xfId="60" applyFont="1" applyBorder="1"/>
    <xf numFmtId="44" fontId="5" fillId="0" borderId="72" xfId="60" applyFont="1" applyBorder="1"/>
    <xf numFmtId="0" fontId="51" fillId="0" borderId="73" xfId="59" applyFont="1" applyFill="1" applyBorder="1"/>
    <xf numFmtId="44" fontId="5" fillId="0" borderId="47" xfId="60" applyFont="1" applyBorder="1"/>
    <xf numFmtId="44" fontId="0" fillId="0" borderId="0" xfId="60" quotePrefix="1" applyNumberFormat="1" applyFont="1" applyAlignment="1"/>
    <xf numFmtId="0" fontId="51" fillId="0" borderId="0" xfId="59" quotePrefix="1" applyFont="1" applyAlignment="1"/>
    <xf numFmtId="0" fontId="51" fillId="0" borderId="69" xfId="59" applyFont="1" applyFill="1" applyBorder="1" applyAlignment="1">
      <alignment horizontal="center" vertical="top" wrapText="1"/>
    </xf>
    <xf numFmtId="0" fontId="51" fillId="31" borderId="40" xfId="59" applyFont="1" applyFill="1" applyBorder="1" applyAlignment="1">
      <alignment horizontal="center"/>
    </xf>
    <xf numFmtId="0" fontId="51" fillId="31" borderId="39" xfId="59" applyFont="1" applyFill="1" applyBorder="1" applyAlignment="1">
      <alignment horizontal="center"/>
    </xf>
    <xf numFmtId="0" fontId="51" fillId="31" borderId="30" xfId="59" applyFont="1" applyFill="1" applyBorder="1" applyAlignment="1">
      <alignment horizontal="center"/>
    </xf>
    <xf numFmtId="0" fontId="4" fillId="0" borderId="0" xfId="0" applyFont="1" applyFill="1" applyAlignment="1">
      <alignment horizontal="left" vertical="top"/>
    </xf>
    <xf numFmtId="0" fontId="0" fillId="0" borderId="10" xfId="0" applyFill="1" applyBorder="1" applyAlignment="1">
      <alignment horizontal="center"/>
    </xf>
    <xf numFmtId="44" fontId="0" fillId="0" borderId="10" xfId="31" applyFont="1" applyFill="1" applyBorder="1"/>
    <xf numFmtId="10" fontId="4" fillId="0" borderId="36" xfId="0" applyNumberFormat="1" applyFont="1" applyFill="1" applyBorder="1" applyAlignment="1">
      <alignment horizontal="right"/>
    </xf>
    <xf numFmtId="0" fontId="51" fillId="0" borderId="0" xfId="59" applyFont="1" applyFill="1"/>
    <xf numFmtId="0" fontId="51" fillId="0" borderId="53" xfId="59" applyFont="1" applyFill="1" applyBorder="1" applyAlignment="1">
      <alignment horizontal="center" vertical="top" wrapText="1"/>
    </xf>
    <xf numFmtId="0" fontId="51" fillId="0" borderId="61" xfId="59" applyFont="1" applyFill="1" applyBorder="1" applyAlignment="1">
      <alignment horizontal="center" vertical="top" wrapText="1"/>
    </xf>
    <xf numFmtId="0" fontId="51" fillId="0" borderId="48" xfId="59" applyFont="1" applyFill="1" applyBorder="1" applyAlignment="1">
      <alignment horizontal="centerContinuous" vertical="top" wrapText="1"/>
    </xf>
    <xf numFmtId="0" fontId="51" fillId="0" borderId="28" xfId="59" applyFont="1" applyFill="1" applyBorder="1" applyAlignment="1">
      <alignment horizontal="centerContinuous" vertical="top" wrapText="1"/>
    </xf>
    <xf numFmtId="0" fontId="51" fillId="0" borderId="52" xfId="59" applyFont="1" applyFill="1" applyBorder="1" applyAlignment="1">
      <alignment horizontal="centerContinuous" vertical="top" wrapText="1"/>
    </xf>
    <xf numFmtId="0" fontId="51" fillId="0" borderId="0" xfId="59" applyFont="1" applyFill="1" applyBorder="1"/>
    <xf numFmtId="179" fontId="51" fillId="0" borderId="12" xfId="59" applyNumberFormat="1" applyFont="1" applyFill="1" applyBorder="1" applyAlignment="1">
      <alignment horizontal="center"/>
    </xf>
    <xf numFmtId="0" fontId="51" fillId="0" borderId="27" xfId="59" applyFont="1" applyFill="1" applyBorder="1"/>
    <xf numFmtId="179" fontId="51" fillId="0" borderId="46" xfId="59" applyNumberFormat="1" applyFont="1" applyFill="1" applyBorder="1" applyAlignment="1">
      <alignment horizontal="center"/>
    </xf>
    <xf numFmtId="0" fontId="51" fillId="0" borderId="27" xfId="0" applyFont="1" applyFill="1" applyBorder="1" applyAlignment="1">
      <alignment horizontal="center" wrapText="1"/>
    </xf>
    <xf numFmtId="0" fontId="51" fillId="0" borderId="18" xfId="59" applyFont="1" applyFill="1" applyBorder="1"/>
    <xf numFmtId="0" fontId="51" fillId="0" borderId="54" xfId="59" applyFont="1" applyFill="1" applyBorder="1" applyAlignment="1">
      <alignment horizontal="centerContinuous"/>
    </xf>
    <xf numFmtId="0" fontId="51" fillId="0" borderId="47" xfId="59" applyFont="1" applyFill="1" applyBorder="1" applyAlignment="1">
      <alignment horizontal="centerContinuous"/>
    </xf>
    <xf numFmtId="0" fontId="51" fillId="0" borderId="50" xfId="59" applyFont="1" applyFill="1" applyBorder="1" applyAlignment="1">
      <alignment horizontal="center" wrapText="1"/>
    </xf>
    <xf numFmtId="0" fontId="51" fillId="0" borderId="51" xfId="59" applyFont="1" applyFill="1" applyBorder="1" applyAlignment="1">
      <alignment horizontal="center"/>
    </xf>
    <xf numFmtId="0" fontId="51" fillId="0" borderId="58" xfId="59" applyFont="1" applyFill="1" applyBorder="1" applyAlignment="1">
      <alignment horizontal="center" wrapText="1"/>
    </xf>
    <xf numFmtId="43" fontId="4" fillId="0" borderId="0" xfId="28" applyFont="1"/>
    <xf numFmtId="9" fontId="51" fillId="0" borderId="59" xfId="59" applyNumberFormat="1" applyFont="1" applyFill="1" applyBorder="1" applyAlignment="1">
      <alignment horizontal="center" wrapText="1"/>
    </xf>
    <xf numFmtId="167" fontId="51" fillId="0" borderId="59" xfId="59" applyNumberFormat="1" applyFont="1" applyFill="1" applyBorder="1" applyAlignment="1">
      <alignment horizontal="center" wrapText="1"/>
    </xf>
    <xf numFmtId="167" fontId="51" fillId="0" borderId="62" xfId="59" applyNumberFormat="1" applyFont="1" applyFill="1" applyBorder="1" applyAlignment="1">
      <alignment horizontal="center" wrapText="1"/>
    </xf>
    <xf numFmtId="8" fontId="31" fillId="0" borderId="0" xfId="31" applyNumberFormat="1" applyFont="1" applyFill="1" applyBorder="1"/>
    <xf numFmtId="8" fontId="4" fillId="0" borderId="0" xfId="31" applyNumberFormat="1" applyFont="1" applyBorder="1" applyAlignment="1">
      <alignment horizontal="center"/>
    </xf>
    <xf numFmtId="0" fontId="32" fillId="0" borderId="0" xfId="0" applyFont="1" applyAlignment="1">
      <alignment horizontal="right"/>
    </xf>
    <xf numFmtId="0" fontId="11" fillId="0" borderId="0" xfId="0" applyFont="1" applyAlignment="1">
      <alignment horizontal="right"/>
    </xf>
    <xf numFmtId="0" fontId="11" fillId="0" borderId="0" xfId="0" applyFont="1" applyBorder="1" applyAlignment="1">
      <alignment horizontal="right"/>
    </xf>
    <xf numFmtId="0" fontId="11" fillId="0" borderId="0" xfId="46" applyFont="1" applyFill="1" applyBorder="1" applyAlignment="1">
      <alignment horizontal="right"/>
    </xf>
    <xf numFmtId="0" fontId="4" fillId="0" borderId="0" xfId="0" applyFont="1" applyAlignment="1">
      <alignment horizontal="left" vertical="top" wrapText="1"/>
    </xf>
    <xf numFmtId="0" fontId="36" fillId="0" borderId="0" xfId="0" applyFont="1" applyAlignment="1">
      <alignment wrapText="1"/>
    </xf>
    <xf numFmtId="0" fontId="52" fillId="0" borderId="0" xfId="59" applyFont="1" applyFill="1" applyBorder="1" applyAlignment="1">
      <alignment horizontal="center"/>
    </xf>
    <xf numFmtId="0" fontId="51" fillId="0" borderId="14" xfId="59" applyFont="1" applyFill="1" applyBorder="1" applyAlignment="1">
      <alignment horizontal="center" vertical="top" wrapText="1"/>
    </xf>
    <xf numFmtId="0" fontId="51" fillId="0" borderId="41" xfId="59" applyFont="1" applyFill="1" applyBorder="1" applyAlignment="1">
      <alignment horizontal="center" vertical="top" wrapText="1"/>
    </xf>
    <xf numFmtId="0" fontId="51" fillId="0" borderId="43" xfId="59" applyFont="1" applyFill="1" applyBorder="1" applyAlignment="1">
      <alignment horizontal="center" vertical="top" wrapText="1"/>
    </xf>
    <xf numFmtId="0" fontId="51" fillId="0" borderId="55" xfId="59" applyFont="1" applyFill="1" applyBorder="1" applyAlignment="1">
      <alignment horizontal="center" vertical="top" wrapText="1"/>
    </xf>
    <xf numFmtId="0" fontId="51" fillId="0" borderId="56" xfId="59" applyFont="1" applyFill="1" applyBorder="1" applyAlignment="1">
      <alignment horizontal="center" vertical="top" wrapText="1"/>
    </xf>
    <xf numFmtId="0" fontId="51" fillId="0" borderId="57" xfId="59" applyFont="1" applyFill="1" applyBorder="1" applyAlignment="1">
      <alignment horizontal="center" vertical="top" wrapText="1"/>
    </xf>
    <xf numFmtId="0" fontId="52" fillId="0" borderId="21" xfId="59" applyFont="1" applyFill="1" applyBorder="1" applyAlignment="1">
      <alignment horizontal="center" wrapText="1"/>
    </xf>
    <xf numFmtId="0" fontId="0" fillId="0" borderId="0" xfId="60" quotePrefix="1" applyNumberFormat="1" applyFont="1" applyAlignment="1">
      <alignment horizontal="left" vertical="top" wrapText="1"/>
    </xf>
    <xf numFmtId="0" fontId="51" fillId="0" borderId="0" xfId="59" quotePrefix="1" applyNumberFormat="1" applyFont="1" applyAlignment="1">
      <alignment horizontal="left" vertical="top" wrapText="1"/>
    </xf>
    <xf numFmtId="0" fontId="51" fillId="0" borderId="0" xfId="59" quotePrefix="1" applyNumberFormat="1" applyFont="1" applyAlignment="1">
      <alignment horizontal="left" vertical="top"/>
    </xf>
    <xf numFmtId="0" fontId="41" fillId="0" borderId="41" xfId="63" applyFont="1" applyBorder="1" applyAlignment="1">
      <alignment horizontal="center" vertical="center"/>
    </xf>
    <xf numFmtId="0" fontId="41" fillId="0" borderId="0" xfId="63" applyFont="1" applyBorder="1" applyAlignment="1">
      <alignment horizontal="center" vertical="center"/>
    </xf>
    <xf numFmtId="0" fontId="41" fillId="0" borderId="38" xfId="63" applyFont="1" applyBorder="1" applyAlignment="1">
      <alignment horizontal="center" vertical="center"/>
    </xf>
    <xf numFmtId="0" fontId="41" fillId="0" borderId="42" xfId="63" applyFont="1" applyBorder="1" applyAlignment="1">
      <alignment horizontal="center" vertical="center"/>
    </xf>
  </cellXfs>
  <cellStyles count="6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5.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12.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10-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A-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7.emf"/><Relationship Id="rId1" Type="http://schemas.openxmlformats.org/officeDocument/2006/relationships/image" Target="../media/image1.emf"/><Relationship Id="rId4"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10.emf"/><Relationship Id="rId1" Type="http://schemas.openxmlformats.org/officeDocument/2006/relationships/image" Target="../media/image1.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6</xdr:col>
          <xdr:colOff>792480</xdr:colOff>
          <xdr:row>3</xdr:row>
          <xdr:rowOff>68580</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7</xdr:col>
          <xdr:colOff>167640</xdr:colOff>
          <xdr:row>3</xdr:row>
          <xdr:rowOff>68580</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7</xdr:col>
          <xdr:colOff>167640</xdr:colOff>
          <xdr:row>3</xdr:row>
          <xdr:rowOff>68580</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7</xdr:col>
          <xdr:colOff>228600</xdr:colOff>
          <xdr:row>3</xdr:row>
          <xdr:rowOff>152400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6</xdr:col>
          <xdr:colOff>792480</xdr:colOff>
          <xdr:row>3</xdr:row>
          <xdr:rowOff>91440</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167640</xdr:colOff>
          <xdr:row>3</xdr:row>
          <xdr:rowOff>91440</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167640</xdr:colOff>
          <xdr:row>3</xdr:row>
          <xdr:rowOff>91440</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228600</xdr:colOff>
          <xdr:row>3</xdr:row>
          <xdr:rowOff>175260</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6</xdr:col>
          <xdr:colOff>792480</xdr:colOff>
          <xdr:row>3</xdr:row>
          <xdr:rowOff>91440</xdr:rowOff>
        </xdr:to>
        <xdr:sp macro="" textlink="">
          <xdr:nvSpPr>
            <xdr:cNvPr id="28673" name="Control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167640</xdr:colOff>
          <xdr:row>3</xdr:row>
          <xdr:rowOff>91440</xdr:rowOff>
        </xdr:to>
        <xdr:sp macro="" textlink="">
          <xdr:nvSpPr>
            <xdr:cNvPr id="28674" name="Control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167640</xdr:colOff>
          <xdr:row>3</xdr:row>
          <xdr:rowOff>91440</xdr:rowOff>
        </xdr:to>
        <xdr:sp macro="" textlink="">
          <xdr:nvSpPr>
            <xdr:cNvPr id="28675" name="Control 3" hidden="1">
              <a:extLst>
                <a:ext uri="{63B3BB69-23CF-44E3-9099-C40C66FF867C}">
                  <a14:compatExt spid="_x0000_s2867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228600</xdr:colOff>
          <xdr:row>3</xdr:row>
          <xdr:rowOff>175260</xdr:rowOff>
        </xdr:to>
        <xdr:sp macro="" textlink="">
          <xdr:nvSpPr>
            <xdr:cNvPr id="28676" name="Control 4" hidden="1">
              <a:extLst>
                <a:ext uri="{63B3BB69-23CF-44E3-9099-C40C66FF867C}">
                  <a14:compatExt spid="_x0000_s2867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10.bin"/><Relationship Id="rId1" Type="http://schemas.openxmlformats.org/officeDocument/2006/relationships/hyperlink" Target="http://www.oatioasis.com/webSmartOASIS/HomePage?ProviderName=PSEI&amp;Homepage=1" TargetMode="External"/></Relationships>
</file>

<file path=xl/worksheets/_rels/sheet1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2.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customProperty" Target="../customProperty6.bin"/><Relationship Id="rId1" Type="http://schemas.openxmlformats.org/officeDocument/2006/relationships/printerSettings" Target="../printerSettings/printerSettings11.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control" Target="../activeX/activeX6.xml"/><Relationship Id="rId11" Type="http://schemas.openxmlformats.org/officeDocument/2006/relationships/image" Target="../media/image1.emf"/><Relationship Id="rId5" Type="http://schemas.openxmlformats.org/officeDocument/2006/relationships/image" Target="../media/image5.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7.emf"/></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11.xml"/><Relationship Id="rId3" Type="http://schemas.openxmlformats.org/officeDocument/2006/relationships/vmlDrawing" Target="../drawings/vmlDrawing3.vml"/><Relationship Id="rId7" Type="http://schemas.openxmlformats.org/officeDocument/2006/relationships/image" Target="../media/image9.emf"/><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ontrol" Target="../activeX/activeX10.xml"/><Relationship Id="rId11" Type="http://schemas.openxmlformats.org/officeDocument/2006/relationships/image" Target="../media/image1.emf"/><Relationship Id="rId5" Type="http://schemas.openxmlformats.org/officeDocument/2006/relationships/image" Target="../media/image8.emf"/><Relationship Id="rId10" Type="http://schemas.openxmlformats.org/officeDocument/2006/relationships/control" Target="../activeX/activeX12.xml"/><Relationship Id="rId4" Type="http://schemas.openxmlformats.org/officeDocument/2006/relationships/control" Target="../activeX/activeX9.xml"/><Relationship Id="rId9" Type="http://schemas.openxmlformats.org/officeDocument/2006/relationships/image" Target="../media/image10.emf"/></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1"/>
  <sheetViews>
    <sheetView tabSelected="1" topLeftCell="A22" workbookViewId="0">
      <selection activeCell="F31" sqref="F31"/>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8" width="12.33203125" style="53" customWidth="1"/>
    <col min="29" max="16384" width="9.109375" style="53"/>
  </cols>
  <sheetData>
    <row r="2" spans="2:29" ht="19.5" customHeight="1" x14ac:dyDescent="0.3">
      <c r="C2" s="215" t="s">
        <v>116</v>
      </c>
      <c r="D2" s="215"/>
      <c r="E2" s="215"/>
      <c r="F2" s="215"/>
      <c r="G2" s="215"/>
      <c r="H2" s="215"/>
      <c r="I2" s="215"/>
      <c r="J2" s="215"/>
      <c r="K2" s="215"/>
      <c r="L2" s="215"/>
    </row>
    <row r="3" spans="2:29" ht="15.6" x14ac:dyDescent="0.3">
      <c r="C3" s="42"/>
    </row>
    <row r="4" spans="2:29" ht="15.6" x14ac:dyDescent="0.3">
      <c r="C4" s="5" t="s">
        <v>114</v>
      </c>
      <c r="W4" s="40"/>
      <c r="X4" s="40"/>
      <c r="Y4" s="40"/>
      <c r="Z4" s="40"/>
    </row>
    <row r="5" spans="2:29" x14ac:dyDescent="0.25">
      <c r="B5" s="114"/>
      <c r="C5" s="114"/>
      <c r="D5" s="112"/>
      <c r="E5" s="114"/>
      <c r="F5" s="124" t="s">
        <v>112</v>
      </c>
      <c r="Y5" s="126"/>
      <c r="Z5" s="126"/>
      <c r="AC5" s="127"/>
    </row>
    <row r="6" spans="2:29" x14ac:dyDescent="0.25">
      <c r="B6" s="114"/>
      <c r="C6" s="211" t="s">
        <v>106</v>
      </c>
      <c r="D6" s="114"/>
      <c r="F6" s="156">
        <f>'Output - 5yr Baseload'!F9</f>
        <v>34.574850223871444</v>
      </c>
      <c r="H6" s="322"/>
      <c r="Y6" s="126"/>
      <c r="Z6" s="126"/>
      <c r="AC6" s="127"/>
    </row>
    <row r="7" spans="2:29" x14ac:dyDescent="0.25">
      <c r="B7" s="114"/>
      <c r="C7" s="211" t="s">
        <v>107</v>
      </c>
      <c r="D7" s="114"/>
      <c r="F7" s="156">
        <f>'Output - 10yr Baseload'!F9</f>
        <v>34.962735753941146</v>
      </c>
      <c r="H7" s="322"/>
      <c r="Y7" s="126"/>
      <c r="Z7" s="126"/>
      <c r="AC7" s="127"/>
    </row>
    <row r="8" spans="2:29" x14ac:dyDescent="0.25">
      <c r="C8" s="211" t="s">
        <v>105</v>
      </c>
      <c r="D8" s="114"/>
      <c r="F8" s="156">
        <f>'Output - 15yr Baseload'!F9</f>
        <v>36.071755147627265</v>
      </c>
      <c r="H8" s="322"/>
      <c r="Y8" s="120"/>
      <c r="Z8" s="120"/>
      <c r="AA8" s="119"/>
      <c r="AB8" s="114"/>
    </row>
    <row r="9" spans="2:29" x14ac:dyDescent="0.25">
      <c r="C9" s="125"/>
      <c r="E9" s="128"/>
      <c r="F9" s="126"/>
      <c r="H9" s="322"/>
      <c r="Y9" s="120"/>
      <c r="Z9" s="120"/>
      <c r="AA9" s="120"/>
    </row>
    <row r="10" spans="2:29" x14ac:dyDescent="0.25">
      <c r="C10" s="129"/>
      <c r="E10" s="128"/>
      <c r="F10" s="126"/>
      <c r="H10" s="322"/>
    </row>
    <row r="11" spans="2:29" x14ac:dyDescent="0.25">
      <c r="F11" s="210"/>
      <c r="H11" s="322"/>
    </row>
    <row r="12" spans="2:29" x14ac:dyDescent="0.25">
      <c r="C12" s="114"/>
      <c r="D12" s="112"/>
      <c r="E12" s="114"/>
      <c r="F12" s="124" t="s">
        <v>112</v>
      </c>
      <c r="H12" s="322"/>
    </row>
    <row r="13" spans="2:29" x14ac:dyDescent="0.25">
      <c r="C13" s="211" t="s">
        <v>108</v>
      </c>
      <c r="D13" s="114"/>
      <c r="F13" s="156">
        <f>'Output - 10yr Wind'!F9</f>
        <v>30.506077433206741</v>
      </c>
      <c r="H13" s="322"/>
    </row>
    <row r="14" spans="2:29" x14ac:dyDescent="0.25">
      <c r="C14" s="211" t="s">
        <v>109</v>
      </c>
      <c r="D14" s="114"/>
      <c r="F14" s="156">
        <f>'Output - 15yr Wind'!F9</f>
        <v>31.640728519778268</v>
      </c>
      <c r="H14" s="322"/>
    </row>
    <row r="15" spans="2:29" x14ac:dyDescent="0.25">
      <c r="H15" s="322"/>
    </row>
    <row r="16" spans="2:29" x14ac:dyDescent="0.25">
      <c r="H16" s="322"/>
    </row>
    <row r="17" spans="3:22" x14ac:dyDescent="0.25">
      <c r="F17" s="210"/>
      <c r="H17" s="322"/>
    </row>
    <row r="18" spans="3:22" x14ac:dyDescent="0.25">
      <c r="C18" s="114"/>
      <c r="D18" s="112"/>
      <c r="E18" s="114"/>
      <c r="F18" s="124" t="s">
        <v>112</v>
      </c>
      <c r="H18" s="322"/>
    </row>
    <row r="19" spans="3:22" x14ac:dyDescent="0.25">
      <c r="C19" s="211" t="s">
        <v>110</v>
      </c>
      <c r="D19" s="114"/>
      <c r="F19" s="156">
        <f>'Output - 10yr Solar'!F9</f>
        <v>26.147367646993974</v>
      </c>
      <c r="H19" s="322"/>
    </row>
    <row r="20" spans="3:22" x14ac:dyDescent="0.25">
      <c r="C20" s="211" t="s">
        <v>111</v>
      </c>
      <c r="D20" s="114"/>
      <c r="F20" s="156">
        <f>'Output - 15yr Solar'!F9</f>
        <v>27.307087092541337</v>
      </c>
      <c r="H20" s="322"/>
    </row>
    <row r="24" spans="3:22" ht="15.6" x14ac:dyDescent="0.3">
      <c r="C24" s="5" t="s">
        <v>113</v>
      </c>
    </row>
    <row r="25" spans="3:22" x14ac:dyDescent="0.25">
      <c r="F25" s="210">
        <v>1</v>
      </c>
      <c r="G25" s="210">
        <v>2</v>
      </c>
      <c r="H25" s="210">
        <v>3</v>
      </c>
      <c r="I25" s="210">
        <v>4</v>
      </c>
      <c r="J25" s="210">
        <v>5</v>
      </c>
      <c r="K25" s="210">
        <v>6</v>
      </c>
      <c r="L25" s="210">
        <v>7</v>
      </c>
      <c r="M25" s="210">
        <v>8</v>
      </c>
      <c r="N25" s="210">
        <v>9</v>
      </c>
      <c r="O25" s="210">
        <v>10</v>
      </c>
      <c r="P25" s="210">
        <v>11</v>
      </c>
      <c r="Q25" s="210">
        <v>12</v>
      </c>
      <c r="R25" s="210">
        <v>13</v>
      </c>
      <c r="S25" s="210">
        <v>14</v>
      </c>
      <c r="T25" s="210">
        <v>15</v>
      </c>
      <c r="U25" s="210">
        <v>16</v>
      </c>
      <c r="V25" s="210">
        <v>17</v>
      </c>
    </row>
    <row r="26" spans="3:22" x14ac:dyDescent="0.25">
      <c r="C26" s="114"/>
      <c r="D26" s="112"/>
      <c r="E26" s="114"/>
      <c r="F26" s="124">
        <f>'Energy Prices'!$C$6</f>
        <v>2020</v>
      </c>
      <c r="G26" s="124">
        <f>F26+1</f>
        <v>2021</v>
      </c>
      <c r="H26" s="124">
        <f>G26+1</f>
        <v>2022</v>
      </c>
      <c r="I26" s="124">
        <f t="shared" ref="I26:T26" si="0">H26+1</f>
        <v>2023</v>
      </c>
      <c r="J26" s="124">
        <f t="shared" si="0"/>
        <v>2024</v>
      </c>
      <c r="K26" s="124">
        <f t="shared" si="0"/>
        <v>2025</v>
      </c>
      <c r="L26" s="124">
        <f t="shared" si="0"/>
        <v>2026</v>
      </c>
      <c r="M26" s="124">
        <f t="shared" si="0"/>
        <v>2027</v>
      </c>
      <c r="N26" s="124">
        <f t="shared" si="0"/>
        <v>2028</v>
      </c>
      <c r="O26" s="124">
        <f t="shared" si="0"/>
        <v>2029</v>
      </c>
      <c r="P26" s="124">
        <f t="shared" si="0"/>
        <v>2030</v>
      </c>
      <c r="Q26" s="124">
        <f t="shared" si="0"/>
        <v>2031</v>
      </c>
      <c r="R26" s="124">
        <f t="shared" si="0"/>
        <v>2032</v>
      </c>
      <c r="S26" s="124">
        <f t="shared" si="0"/>
        <v>2033</v>
      </c>
      <c r="T26" s="124">
        <f t="shared" si="0"/>
        <v>2034</v>
      </c>
      <c r="U26" s="124">
        <f>T26+1</f>
        <v>2035</v>
      </c>
      <c r="V26" s="124">
        <f>U26+1</f>
        <v>2036</v>
      </c>
    </row>
    <row r="27" spans="3:22" x14ac:dyDescent="0.25">
      <c r="C27" s="211" t="s">
        <v>106</v>
      </c>
      <c r="D27" s="114"/>
      <c r="F27" s="156">
        <f>'Output - 5yr Baseload'!F13</f>
        <v>33.004636178739844</v>
      </c>
      <c r="G27" s="156">
        <f>'Output - 5yr Baseload'!G13</f>
        <v>33.829752083208334</v>
      </c>
      <c r="H27" s="156">
        <f>'Output - 5yr Baseload'!H13</f>
        <v>34.675495885288534</v>
      </c>
      <c r="I27" s="156">
        <f>'Output - 5yr Baseload'!I13</f>
        <v>35.542383282420744</v>
      </c>
      <c r="J27" s="156">
        <f>'Output - 5yr Baseload'!J13</f>
        <v>36.430942864481267</v>
      </c>
      <c r="K27" s="207">
        <f>'Output - 5yr Baseload'!K13</f>
        <v>37.341716436093293</v>
      </c>
      <c r="L27" s="207">
        <f>'Output - 5yr Baseload'!L13</f>
        <v>38.275259346995625</v>
      </c>
      <c r="M27" s="207"/>
      <c r="N27" s="207"/>
      <c r="O27" s="207"/>
      <c r="P27" s="207"/>
      <c r="Q27" s="207"/>
      <c r="R27" s="207"/>
      <c r="S27" s="207"/>
      <c r="T27" s="207"/>
      <c r="U27" s="207"/>
      <c r="V27" s="207"/>
    </row>
    <row r="28" spans="3:22" x14ac:dyDescent="0.25">
      <c r="C28" s="211" t="s">
        <v>107</v>
      </c>
      <c r="D28" s="114"/>
      <c r="F28" s="156">
        <f>'Output - 10yr Baseload'!F13</f>
        <v>31.661531720737727</v>
      </c>
      <c r="G28" s="156">
        <f>'Output - 10yr Baseload'!G13</f>
        <v>32.453070013756168</v>
      </c>
      <c r="H28" s="156">
        <f>'Output - 10yr Baseload'!H13</f>
        <v>33.264396764100063</v>
      </c>
      <c r="I28" s="156">
        <f>'Output - 10yr Baseload'!I13</f>
        <v>34.096006683202567</v>
      </c>
      <c r="J28" s="156">
        <f>'Output - 10yr Baseload'!J13</f>
        <v>34.94840685028263</v>
      </c>
      <c r="K28" s="156">
        <f>'Output - 10yr Baseload'!K13</f>
        <v>35.82211702153969</v>
      </c>
      <c r="L28" s="156">
        <f>'Output - 10yr Baseload'!L13</f>
        <v>36.717669947078178</v>
      </c>
      <c r="M28" s="156">
        <f>'Output - 10yr Baseload'!M13</f>
        <v>37.635611695755124</v>
      </c>
      <c r="N28" s="156">
        <f>'Output - 10yr Baseload'!N13</f>
        <v>38.576501988149005</v>
      </c>
      <c r="O28" s="156">
        <f>'Output - 10yr Baseload'!O13</f>
        <v>39.540914537852721</v>
      </c>
      <c r="P28" s="207">
        <f>'Output - 10yr Baseload'!P13</f>
        <v>40.529437401299035</v>
      </c>
      <c r="Q28" s="207">
        <f>'Output - 10yr Baseload'!Q13</f>
        <v>41.542673336331504</v>
      </c>
      <c r="R28" s="207"/>
      <c r="S28" s="207"/>
      <c r="T28" s="207"/>
      <c r="U28" s="207"/>
      <c r="V28" s="207"/>
    </row>
    <row r="29" spans="3:22" x14ac:dyDescent="0.25">
      <c r="C29" s="211" t="s">
        <v>105</v>
      </c>
      <c r="D29" s="114"/>
      <c r="F29" s="156">
        <f>'Output - 15yr Baseload'!F13</f>
        <v>31.170434688822887</v>
      </c>
      <c r="G29" s="157">
        <f>'Output - 15yr Baseload'!G13</f>
        <v>31.949695556043459</v>
      </c>
      <c r="H29" s="158">
        <f>'Output - 15yr Baseload'!H13</f>
        <v>32.748437944944541</v>
      </c>
      <c r="I29" s="158">
        <f>'Output - 15yr Baseload'!I13</f>
        <v>33.567148893568152</v>
      </c>
      <c r="J29" s="158">
        <f>'Output - 15yr Baseload'!J13</f>
        <v>34.406327615907351</v>
      </c>
      <c r="K29" s="158">
        <f>'Output - 15yr Baseload'!K13</f>
        <v>35.266485806305035</v>
      </c>
      <c r="L29" s="158">
        <f>'Output - 15yr Baseload'!L13</f>
        <v>36.148147951462654</v>
      </c>
      <c r="M29" s="158">
        <f>'Output - 15yr Baseload'!M13</f>
        <v>37.051851650249219</v>
      </c>
      <c r="N29" s="158">
        <f>'Output - 15yr Baseload'!N13</f>
        <v>37.978147941505448</v>
      </c>
      <c r="O29" s="158">
        <f>'Output - 15yr Baseload'!O13</f>
        <v>38.927601640043079</v>
      </c>
      <c r="P29" s="158">
        <f>'Output - 15yr Baseload'!P13</f>
        <v>39.900791681044154</v>
      </c>
      <c r="Q29" s="158">
        <f>'Output - 15yr Baseload'!Q13</f>
        <v>40.898311473070244</v>
      </c>
      <c r="R29" s="158">
        <f>'Output - 15yr Baseload'!R13</f>
        <v>41.920769259897</v>
      </c>
      <c r="S29" s="158">
        <f>'Output - 15yr Baseload'!S13</f>
        <v>42.96878849139442</v>
      </c>
      <c r="T29" s="158">
        <f>'Output - 15yr Baseload'!T13</f>
        <v>44.043008203679271</v>
      </c>
      <c r="U29" s="207">
        <f>'Output - 15yr Baseload'!U13</f>
        <v>45.144083408771252</v>
      </c>
      <c r="V29" s="207">
        <f>'Output - 15yr Baseload'!V13</f>
        <v>46.272685493990529</v>
      </c>
    </row>
    <row r="30" spans="3:22" x14ac:dyDescent="0.25">
      <c r="C30" s="125"/>
      <c r="E30" s="128"/>
      <c r="F30" s="126"/>
      <c r="G30" s="126"/>
      <c r="H30" s="126"/>
      <c r="I30" s="126"/>
      <c r="J30" s="126"/>
      <c r="K30" s="126"/>
      <c r="L30" s="126"/>
      <c r="M30" s="126"/>
      <c r="N30" s="126"/>
      <c r="O30" s="126"/>
      <c r="P30" s="126"/>
      <c r="Q30" s="126"/>
      <c r="R30" s="126"/>
      <c r="S30" s="126"/>
      <c r="T30" s="126"/>
      <c r="U30" s="126"/>
      <c r="V30" s="126"/>
    </row>
    <row r="31" spans="3:22" x14ac:dyDescent="0.25">
      <c r="C31" s="129"/>
      <c r="E31" s="128"/>
      <c r="F31" s="126"/>
      <c r="G31" s="126"/>
      <c r="H31" s="126"/>
      <c r="I31" s="126"/>
      <c r="J31" s="126"/>
      <c r="K31" s="126"/>
      <c r="L31" s="126"/>
      <c r="M31" s="126"/>
      <c r="N31" s="126"/>
      <c r="O31" s="126"/>
      <c r="P31" s="126"/>
      <c r="Q31" s="126"/>
      <c r="R31" s="126"/>
      <c r="S31" s="126"/>
      <c r="T31" s="126"/>
      <c r="U31" s="126"/>
      <c r="V31" s="126"/>
    </row>
    <row r="32" spans="3:22" x14ac:dyDescent="0.25">
      <c r="F32" s="210">
        <v>1</v>
      </c>
      <c r="G32" s="210">
        <v>2</v>
      </c>
      <c r="H32" s="210">
        <v>3</v>
      </c>
      <c r="I32" s="210">
        <v>4</v>
      </c>
      <c r="J32" s="210">
        <v>5</v>
      </c>
      <c r="K32" s="210">
        <v>6</v>
      </c>
      <c r="L32" s="210">
        <v>7</v>
      </c>
      <c r="M32" s="210">
        <v>8</v>
      </c>
      <c r="N32" s="210">
        <v>9</v>
      </c>
      <c r="O32" s="210">
        <v>10</v>
      </c>
      <c r="P32" s="210">
        <v>11</v>
      </c>
      <c r="Q32" s="210">
        <v>12</v>
      </c>
      <c r="R32" s="210">
        <v>13</v>
      </c>
      <c r="S32" s="210">
        <v>14</v>
      </c>
      <c r="T32" s="210">
        <v>15</v>
      </c>
      <c r="U32" s="210">
        <v>16</v>
      </c>
      <c r="V32" s="210">
        <v>17</v>
      </c>
    </row>
    <row r="33" spans="3:22" x14ac:dyDescent="0.25">
      <c r="C33" s="114"/>
      <c r="D33" s="112"/>
      <c r="E33" s="114"/>
      <c r="F33" s="124">
        <f>'Energy Prices'!$C$6</f>
        <v>2020</v>
      </c>
      <c r="G33" s="124">
        <f>F33+1</f>
        <v>2021</v>
      </c>
      <c r="H33" s="124">
        <f>G33+1</f>
        <v>2022</v>
      </c>
      <c r="I33" s="124">
        <f t="shared" ref="I33" si="1">H33+1</f>
        <v>2023</v>
      </c>
      <c r="J33" s="124">
        <f t="shared" ref="J33" si="2">I33+1</f>
        <v>2024</v>
      </c>
      <c r="K33" s="124">
        <f t="shared" ref="K33" si="3">J33+1</f>
        <v>2025</v>
      </c>
      <c r="L33" s="124">
        <f t="shared" ref="L33" si="4">K33+1</f>
        <v>2026</v>
      </c>
      <c r="M33" s="124">
        <f t="shared" ref="M33" si="5">L33+1</f>
        <v>2027</v>
      </c>
      <c r="N33" s="124">
        <f t="shared" ref="N33" si="6">M33+1</f>
        <v>2028</v>
      </c>
      <c r="O33" s="124">
        <f t="shared" ref="O33" si="7">N33+1</f>
        <v>2029</v>
      </c>
      <c r="P33" s="124">
        <f t="shared" ref="P33" si="8">O33+1</f>
        <v>2030</v>
      </c>
      <c r="Q33" s="124">
        <f t="shared" ref="Q33" si="9">P33+1</f>
        <v>2031</v>
      </c>
      <c r="R33" s="124">
        <f t="shared" ref="R33" si="10">Q33+1</f>
        <v>2032</v>
      </c>
      <c r="S33" s="124">
        <f t="shared" ref="S33" si="11">R33+1</f>
        <v>2033</v>
      </c>
      <c r="T33" s="124">
        <f t="shared" ref="T33" si="12">S33+1</f>
        <v>2034</v>
      </c>
      <c r="U33" s="124">
        <f>T33+1</f>
        <v>2035</v>
      </c>
      <c r="V33" s="124">
        <f>U33+1</f>
        <v>2036</v>
      </c>
    </row>
    <row r="34" spans="3:22" x14ac:dyDescent="0.25">
      <c r="C34" s="211" t="s">
        <v>108</v>
      </c>
      <c r="D34" s="114"/>
      <c r="F34" s="156">
        <f>'Output - 10yr Wind'!F13</f>
        <v>27.625673949667391</v>
      </c>
      <c r="G34" s="156">
        <f>'Output - 10yr Wind'!G13</f>
        <v>28.316315798409072</v>
      </c>
      <c r="H34" s="156">
        <f>'Output - 10yr Wind'!H13</f>
        <v>29.024223693369294</v>
      </c>
      <c r="I34" s="156">
        <f>'Output - 10yr Wind'!I13</f>
        <v>29.749829285703523</v>
      </c>
      <c r="J34" s="156">
        <f>'Output - 10yr Wind'!J13</f>
        <v>30.493575017846112</v>
      </c>
      <c r="K34" s="156">
        <f>'Output - 10yr Wind'!K13</f>
        <v>31.255914393292262</v>
      </c>
      <c r="L34" s="156">
        <f>'Output - 10yr Wind'!L13</f>
        <v>32.037312253124568</v>
      </c>
      <c r="M34" s="156">
        <f>'Output - 10yr Wind'!M13</f>
        <v>32.838245059452667</v>
      </c>
      <c r="N34" s="156">
        <f>'Output - 10yr Wind'!N13</f>
        <v>33.65920118593899</v>
      </c>
      <c r="O34" s="156">
        <f>'Output - 10yr Wind'!O13</f>
        <v>34.500681215587456</v>
      </c>
      <c r="P34" s="207">
        <f>'Output - 10yr Wind'!P13</f>
        <v>35.363198245977138</v>
      </c>
      <c r="Q34" s="207">
        <f>'Output - 10yr Wind'!Q13</f>
        <v>36.247278202126566</v>
      </c>
      <c r="R34" s="207"/>
      <c r="S34" s="207"/>
      <c r="T34" s="207"/>
      <c r="U34" s="207"/>
      <c r="V34" s="207"/>
    </row>
    <row r="35" spans="3:22" x14ac:dyDescent="0.25">
      <c r="C35" s="211" t="s">
        <v>109</v>
      </c>
      <c r="D35" s="114"/>
      <c r="F35" s="156">
        <f>'Output - 15yr Wind'!F13</f>
        <v>27.341482492220738</v>
      </c>
      <c r="G35" s="157">
        <f>'Output - 15yr Wind'!G13</f>
        <v>28.025019554526256</v>
      </c>
      <c r="H35" s="158">
        <f>'Output - 15yr Wind'!H13</f>
        <v>28.725645043389409</v>
      </c>
      <c r="I35" s="158">
        <f>'Output - 15yr Wind'!I13</f>
        <v>29.443786169474141</v>
      </c>
      <c r="J35" s="158">
        <f>'Output - 15yr Wind'!J13</f>
        <v>30.179880823710995</v>
      </c>
      <c r="K35" s="158">
        <f>'Output - 15yr Wind'!K13</f>
        <v>30.934377844303764</v>
      </c>
      <c r="L35" s="158">
        <f>'Output - 15yr Wind'!L13</f>
        <v>31.707737290411355</v>
      </c>
      <c r="M35" s="158">
        <f>'Output - 15yr Wind'!M13</f>
        <v>32.500430722671638</v>
      </c>
      <c r="N35" s="158">
        <f>'Output - 15yr Wind'!N13</f>
        <v>33.312941490738424</v>
      </c>
      <c r="O35" s="158">
        <f>'Output - 15yr Wind'!O13</f>
        <v>34.145765028006885</v>
      </c>
      <c r="P35" s="158">
        <f>'Output - 15yr Wind'!P13</f>
        <v>34.999409153707049</v>
      </c>
      <c r="Q35" s="158">
        <f>'Output - 15yr Wind'!Q13</f>
        <v>35.874394382549717</v>
      </c>
      <c r="R35" s="158">
        <f>'Output - 15yr Wind'!R13</f>
        <v>36.771254242113457</v>
      </c>
      <c r="S35" s="158">
        <f>'Output - 15yr Wind'!S13</f>
        <v>37.690535598166292</v>
      </c>
      <c r="T35" s="158">
        <f>'Output - 15yr Wind'!T13</f>
        <v>38.632798988120442</v>
      </c>
      <c r="U35" s="207">
        <f>'Output - 15yr Wind'!U13</f>
        <v>39.598618962823451</v>
      </c>
      <c r="V35" s="207">
        <f>'Output - 15yr Wind'!V13</f>
        <v>40.588584436894031</v>
      </c>
    </row>
    <row r="38" spans="3:22" x14ac:dyDescent="0.25">
      <c r="F38" s="210">
        <v>1</v>
      </c>
      <c r="G38" s="210">
        <v>2</v>
      </c>
      <c r="H38" s="210">
        <v>3</v>
      </c>
      <c r="I38" s="210">
        <v>4</v>
      </c>
      <c r="J38" s="210">
        <v>5</v>
      </c>
      <c r="K38" s="210">
        <v>6</v>
      </c>
      <c r="L38" s="210">
        <v>7</v>
      </c>
      <c r="M38" s="210">
        <v>8</v>
      </c>
      <c r="N38" s="210">
        <v>9</v>
      </c>
      <c r="O38" s="210">
        <v>10</v>
      </c>
      <c r="P38" s="210">
        <v>11</v>
      </c>
      <c r="Q38" s="210">
        <v>12</v>
      </c>
      <c r="R38" s="210">
        <v>13</v>
      </c>
      <c r="S38" s="210">
        <v>14</v>
      </c>
      <c r="T38" s="210">
        <v>15</v>
      </c>
      <c r="U38" s="210">
        <v>16</v>
      </c>
      <c r="V38" s="210">
        <v>17</v>
      </c>
    </row>
    <row r="39" spans="3:22" x14ac:dyDescent="0.25">
      <c r="C39" s="114"/>
      <c r="D39" s="112"/>
      <c r="E39" s="114"/>
      <c r="F39" s="124">
        <f>'Energy Prices'!$C$6</f>
        <v>2020</v>
      </c>
      <c r="G39" s="124">
        <f>F39+1</f>
        <v>2021</v>
      </c>
      <c r="H39" s="124">
        <f>G39+1</f>
        <v>2022</v>
      </c>
      <c r="I39" s="124">
        <f t="shared" ref="I39" si="13">H39+1</f>
        <v>2023</v>
      </c>
      <c r="J39" s="124">
        <f t="shared" ref="J39" si="14">I39+1</f>
        <v>2024</v>
      </c>
      <c r="K39" s="124">
        <f t="shared" ref="K39" si="15">J39+1</f>
        <v>2025</v>
      </c>
      <c r="L39" s="124">
        <f t="shared" ref="L39" si="16">K39+1</f>
        <v>2026</v>
      </c>
      <c r="M39" s="124">
        <f t="shared" ref="M39" si="17">L39+1</f>
        <v>2027</v>
      </c>
      <c r="N39" s="124">
        <f t="shared" ref="N39" si="18">M39+1</f>
        <v>2028</v>
      </c>
      <c r="O39" s="124">
        <f t="shared" ref="O39" si="19">N39+1</f>
        <v>2029</v>
      </c>
      <c r="P39" s="124">
        <f t="shared" ref="P39" si="20">O39+1</f>
        <v>2030</v>
      </c>
      <c r="Q39" s="124">
        <f t="shared" ref="Q39" si="21">P39+1</f>
        <v>2031</v>
      </c>
      <c r="R39" s="124">
        <f t="shared" ref="R39" si="22">Q39+1</f>
        <v>2032</v>
      </c>
      <c r="S39" s="124">
        <f t="shared" ref="S39" si="23">R39+1</f>
        <v>2033</v>
      </c>
      <c r="T39" s="124">
        <f t="shared" ref="T39" si="24">S39+1</f>
        <v>2034</v>
      </c>
      <c r="U39" s="124">
        <f>T39+1</f>
        <v>2035</v>
      </c>
      <c r="V39" s="124">
        <f>U39+1</f>
        <v>2036</v>
      </c>
    </row>
    <row r="40" spans="3:22" x14ac:dyDescent="0.25">
      <c r="C40" s="211" t="s">
        <v>110</v>
      </c>
      <c r="D40" s="114"/>
      <c r="F40" s="156">
        <f>'Output - 10yr Solar'!F13</f>
        <v>23.67851634938981</v>
      </c>
      <c r="G40" s="156">
        <f>'Output - 10yr Solar'!G13</f>
        <v>24.270479258124553</v>
      </c>
      <c r="H40" s="156">
        <f>'Output - 10yr Solar'!H13</f>
        <v>24.877241239577661</v>
      </c>
      <c r="I40" s="156">
        <f>'Output - 10yr Solar'!I13</f>
        <v>25.499172270567101</v>
      </c>
      <c r="J40" s="156">
        <f>'Output - 10yr Solar'!J13</f>
        <v>26.136651577331278</v>
      </c>
      <c r="K40" s="156">
        <f>'Output - 10yr Solar'!K13</f>
        <v>26.790067866764559</v>
      </c>
      <c r="L40" s="156">
        <f>'Output - 10yr Solar'!L13</f>
        <v>27.459819563433669</v>
      </c>
      <c r="M40" s="156">
        <f>'Output - 10yr Solar'!M13</f>
        <v>28.146315052519505</v>
      </c>
      <c r="N40" s="156">
        <f>'Output - 10yr Solar'!N13</f>
        <v>28.849972928832493</v>
      </c>
      <c r="O40" s="156">
        <f>'Output - 10yr Solar'!O13</f>
        <v>29.5712222520533</v>
      </c>
      <c r="P40" s="207">
        <f>'Output - 10yr Solar'!P13</f>
        <v>30.310502808354631</v>
      </c>
      <c r="Q40" s="207">
        <f>'Output - 10yr Solar'!Q13</f>
        <v>31.068265378563495</v>
      </c>
      <c r="R40" s="207"/>
      <c r="S40" s="207"/>
      <c r="T40" s="207"/>
      <c r="U40" s="207"/>
      <c r="V40" s="207"/>
    </row>
    <row r="41" spans="3:22" x14ac:dyDescent="0.25">
      <c r="C41" s="211" t="s">
        <v>111</v>
      </c>
      <c r="D41" s="114"/>
      <c r="F41" s="156">
        <f>'Output - 15yr Solar'!F13</f>
        <v>23.596683091148311</v>
      </c>
      <c r="G41" s="157">
        <f>'Output - 15yr Solar'!G13</f>
        <v>24.186600168427013</v>
      </c>
      <c r="H41" s="158">
        <f>'Output - 15yr Solar'!H13</f>
        <v>24.791265172637686</v>
      </c>
      <c r="I41" s="158">
        <f>'Output - 15yr Solar'!I13</f>
        <v>25.411046801953628</v>
      </c>
      <c r="J41" s="158">
        <f>'Output - 15yr Solar'!J13</f>
        <v>26.046322972002468</v>
      </c>
      <c r="K41" s="158">
        <f>'Output - 15yr Solar'!K13</f>
        <v>26.697481046302524</v>
      </c>
      <c r="L41" s="158">
        <f>'Output - 15yr Solar'!L13</f>
        <v>27.364918072460085</v>
      </c>
      <c r="M41" s="158">
        <f>'Output - 15yr Solar'!M13</f>
        <v>28.049041024271588</v>
      </c>
      <c r="N41" s="158">
        <f>'Output - 15yr Solar'!N13</f>
        <v>28.750267049878371</v>
      </c>
      <c r="O41" s="158">
        <f>'Output - 15yr Solar'!O13</f>
        <v>29.469023726125332</v>
      </c>
      <c r="P41" s="158">
        <f>'Output - 15yr Solar'!P13</f>
        <v>30.205749319278461</v>
      </c>
      <c r="Q41" s="158">
        <f>'Output - 15yr Solar'!Q13</f>
        <v>30.960893052260413</v>
      </c>
      <c r="R41" s="158">
        <f>'Output - 15yr Solar'!R13</f>
        <v>31.734915378566921</v>
      </c>
      <c r="S41" s="158">
        <f>'Output - 15yr Solar'!S13</f>
        <v>32.528288263031087</v>
      </c>
      <c r="T41" s="158">
        <f>'Output - 15yr Solar'!T13</f>
        <v>33.341495469606862</v>
      </c>
      <c r="U41" s="207">
        <f>'Output - 15yr Solar'!U13</f>
        <v>34.17503285634703</v>
      </c>
      <c r="V41" s="207">
        <f>'Output - 15yr Solar'!V13</f>
        <v>35.029408677755704</v>
      </c>
    </row>
  </sheetData>
  <pageMargins left="0.75" right="0.5" top="0.76" bottom="0.79" header="0.5" footer="0.26"/>
  <pageSetup scale="36" orientation="landscape" r:id="rId1"/>
  <headerFooter alignWithMargins="0">
    <oddFooter>&amp;L&amp;F&amp;C&amp;A&amp;RPSE Advice No. 2018-48 &amp;D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workbookViewId="0">
      <selection activeCell="P8" sqref="P8"/>
    </sheetView>
  </sheetViews>
  <sheetFormatPr defaultColWidth="14.44140625" defaultRowHeight="15" x14ac:dyDescent="0.25"/>
  <cols>
    <col min="1" max="1" width="2.6640625" style="199" customWidth="1"/>
    <col min="2" max="2" width="4" style="199" bestFit="1" customWidth="1"/>
    <col min="3" max="3" width="30.88671875" style="199" customWidth="1"/>
    <col min="4" max="4" width="2.6640625" style="199" customWidth="1"/>
    <col min="5" max="5" width="10.44140625" style="199" customWidth="1"/>
    <col min="6" max="6" width="2.6640625" style="199" customWidth="1"/>
    <col min="7" max="7" width="9.44140625" style="199" customWidth="1"/>
    <col min="8" max="8" width="12.5546875" style="199" customWidth="1"/>
    <col min="9" max="9" width="17.6640625" style="199" customWidth="1"/>
    <col min="10" max="10" width="14.44140625" style="199" customWidth="1"/>
    <col min="11" max="11" width="17" style="199" customWidth="1"/>
    <col min="12" max="12" width="14.44140625" style="199" customWidth="1"/>
    <col min="13" max="13" width="16.33203125" style="199" bestFit="1" customWidth="1"/>
    <col min="14" max="14" width="15.6640625" style="199" customWidth="1"/>
    <col min="15" max="16" width="16.109375" style="199" customWidth="1"/>
    <col min="17" max="16384" width="14.44140625" style="199"/>
  </cols>
  <sheetData>
    <row r="1" spans="2:21" s="193" customFormat="1" x14ac:dyDescent="0.25"/>
    <row r="2" spans="2:21" s="193" customFormat="1" ht="15.6" x14ac:dyDescent="0.3">
      <c r="B2" s="194"/>
      <c r="C2" s="194"/>
      <c r="D2" s="194"/>
      <c r="E2" s="194"/>
      <c r="F2" s="194"/>
      <c r="G2" s="194"/>
      <c r="H2" s="194"/>
      <c r="I2" s="194"/>
      <c r="J2" s="195"/>
      <c r="K2" s="194"/>
      <c r="L2" s="194"/>
      <c r="M2" s="196"/>
      <c r="N2" s="194"/>
      <c r="O2" s="194"/>
      <c r="P2" s="194"/>
      <c r="Q2" s="194"/>
      <c r="R2" s="194"/>
      <c r="S2" s="194"/>
      <c r="T2" s="194"/>
      <c r="U2" s="194"/>
    </row>
    <row r="3" spans="2:21" ht="15.6" x14ac:dyDescent="0.3">
      <c r="B3" s="197"/>
      <c r="C3" s="197"/>
      <c r="D3" s="197"/>
      <c r="E3" s="197"/>
      <c r="F3" s="197"/>
      <c r="G3" s="197"/>
      <c r="H3" s="197"/>
      <c r="I3" s="197"/>
      <c r="J3" s="22"/>
      <c r="K3" s="194"/>
      <c r="L3" s="194"/>
      <c r="M3" s="198"/>
      <c r="N3" s="197"/>
      <c r="O3" s="197"/>
      <c r="P3" s="197"/>
      <c r="Q3" s="197"/>
      <c r="R3" s="197"/>
      <c r="S3" s="197"/>
      <c r="T3" s="197"/>
      <c r="U3" s="197"/>
    </row>
    <row r="4" spans="2:21" ht="66" customHeight="1" x14ac:dyDescent="0.3">
      <c r="B4" s="197"/>
      <c r="C4" s="197"/>
      <c r="D4" s="197"/>
      <c r="E4" s="197"/>
      <c r="F4" s="197"/>
      <c r="G4" s="23" t="s">
        <v>15</v>
      </c>
      <c r="H4" s="24" t="s">
        <v>1</v>
      </c>
      <c r="I4" s="25" t="s">
        <v>30</v>
      </c>
      <c r="J4" s="24" t="s">
        <v>54</v>
      </c>
      <c r="K4" s="25" t="s">
        <v>55</v>
      </c>
      <c r="L4" s="25" t="s">
        <v>56</v>
      </c>
      <c r="M4" s="24" t="s">
        <v>57</v>
      </c>
      <c r="N4" s="24" t="s">
        <v>36</v>
      </c>
      <c r="O4" s="24" t="s">
        <v>37</v>
      </c>
      <c r="P4" s="24" t="s">
        <v>31</v>
      </c>
      <c r="Q4" s="24"/>
      <c r="R4" s="23"/>
      <c r="S4" s="24"/>
      <c r="T4" s="24"/>
      <c r="U4" s="24"/>
    </row>
    <row r="5" spans="2:21" ht="15.6" x14ac:dyDescent="0.3">
      <c r="B5" s="180"/>
      <c r="C5" s="180"/>
      <c r="D5" s="180"/>
      <c r="E5" s="180"/>
      <c r="F5" s="180"/>
      <c r="G5" s="26"/>
      <c r="H5" s="26" t="s">
        <v>20</v>
      </c>
      <c r="I5" s="26" t="s">
        <v>60</v>
      </c>
      <c r="J5" s="26" t="s">
        <v>60</v>
      </c>
      <c r="K5" s="26" t="s">
        <v>60</v>
      </c>
      <c r="L5" s="26" t="s">
        <v>60</v>
      </c>
      <c r="M5" s="26" t="s">
        <v>60</v>
      </c>
      <c r="N5" s="26" t="s">
        <v>60</v>
      </c>
      <c r="O5" s="26" t="s">
        <v>60</v>
      </c>
      <c r="P5" s="26" t="s">
        <v>60</v>
      </c>
      <c r="Q5" s="23"/>
      <c r="R5" s="23"/>
      <c r="S5" s="23"/>
      <c r="T5" s="23"/>
      <c r="U5" s="23"/>
    </row>
    <row r="6" spans="2:21" ht="15.6" x14ac:dyDescent="0.3">
      <c r="B6" s="180"/>
      <c r="C6" s="28" t="s">
        <v>81</v>
      </c>
      <c r="D6" s="28"/>
      <c r="E6" s="181">
        <v>2.7E-2</v>
      </c>
      <c r="F6" s="51"/>
      <c r="G6" s="164" t="s">
        <v>22</v>
      </c>
      <c r="H6" s="164" t="s">
        <v>23</v>
      </c>
      <c r="I6" s="164" t="s">
        <v>24</v>
      </c>
      <c r="J6" s="164" t="s">
        <v>25</v>
      </c>
      <c r="K6" s="164" t="s">
        <v>26</v>
      </c>
      <c r="L6" s="164" t="s">
        <v>32</v>
      </c>
      <c r="M6" s="164" t="s">
        <v>27</v>
      </c>
      <c r="N6" s="164" t="s">
        <v>28</v>
      </c>
      <c r="O6" s="164" t="s">
        <v>40</v>
      </c>
      <c r="P6" s="164" t="s">
        <v>79</v>
      </c>
      <c r="Q6" s="27"/>
      <c r="R6" s="23"/>
      <c r="S6" s="197"/>
      <c r="T6" s="27"/>
      <c r="U6" s="23"/>
    </row>
    <row r="7" spans="2:21" ht="15.6" x14ac:dyDescent="0.3">
      <c r="B7" s="34"/>
      <c r="C7" s="28" t="s">
        <v>52</v>
      </c>
      <c r="D7" s="28"/>
      <c r="E7" s="182">
        <f>Rate_of_Return</f>
        <v>7.3899999999999993E-2</v>
      </c>
      <c r="F7" s="183"/>
      <c r="G7" s="173">
        <f>'Energy Prices'!C6</f>
        <v>2020</v>
      </c>
      <c r="H7" s="168">
        <v>1</v>
      </c>
      <c r="I7" s="184">
        <f>'Energy Prices'!P6</f>
        <v>19.48</v>
      </c>
      <c r="J7" s="184">
        <f>I7*$E$6</f>
        <v>0.52595999999999998</v>
      </c>
      <c r="K7" s="184">
        <v>0</v>
      </c>
      <c r="L7" s="184">
        <v>0</v>
      </c>
      <c r="M7" s="184">
        <v>0</v>
      </c>
      <c r="N7" s="184">
        <f>(I7+J7+K7+L7+M7)/((1+$E$7)^H7)</f>
        <v>18.629257845236985</v>
      </c>
      <c r="O7" s="184">
        <f>N7</f>
        <v>18.629257845236985</v>
      </c>
      <c r="P7" s="184">
        <f>(-PMT($E$7,H7,(O7)))</f>
        <v>20.005959999999995</v>
      </c>
      <c r="Q7" s="185"/>
      <c r="R7" s="186"/>
      <c r="S7" s="187"/>
      <c r="T7" s="188"/>
      <c r="U7" s="188"/>
    </row>
    <row r="8" spans="2:21" ht="15.6" x14ac:dyDescent="0.3">
      <c r="B8" s="180"/>
      <c r="C8" s="28" t="s">
        <v>53</v>
      </c>
      <c r="D8" s="28"/>
      <c r="E8" s="182">
        <v>2.5000000000000001E-2</v>
      </c>
      <c r="F8" s="183"/>
      <c r="G8" s="38">
        <f>G7+1</f>
        <v>2021</v>
      </c>
      <c r="H8" s="39">
        <v>2</v>
      </c>
      <c r="I8" s="189">
        <f>'Energy Prices'!P7</f>
        <v>22.85</v>
      </c>
      <c r="J8" s="189">
        <f t="shared" ref="J8:J25" si="0">I8*$E$6</f>
        <v>0.61695</v>
      </c>
      <c r="K8" s="189">
        <f>+$K$7</f>
        <v>0</v>
      </c>
      <c r="L8" s="189">
        <v>0</v>
      </c>
      <c r="M8" s="189">
        <v>0</v>
      </c>
      <c r="N8" s="189">
        <f t="shared" ref="N8:N25" si="1">(I8+J8+K8+L8+M8)/((1+$E$7)^H8)</f>
        <v>20.348338950895606</v>
      </c>
      <c r="O8" s="189">
        <f t="shared" ref="O8:O25" si="2">N8+O7</f>
        <v>38.977596796132588</v>
      </c>
      <c r="P8" s="184">
        <f t="shared" ref="P8:P27" si="3">(-PMT($E$7,H8,(O8)))</f>
        <v>21.674791669800854</v>
      </c>
      <c r="Q8" s="185"/>
      <c r="R8" s="186"/>
      <c r="S8" s="187"/>
      <c r="T8" s="188"/>
      <c r="U8" s="188"/>
    </row>
    <row r="9" spans="2:21" ht="15.6" x14ac:dyDescent="0.3">
      <c r="B9" s="180"/>
      <c r="C9" s="28"/>
      <c r="D9" s="28"/>
      <c r="E9" s="183"/>
      <c r="F9" s="190"/>
      <c r="G9" s="38">
        <f t="shared" ref="G9:G27" si="4">G8+1</f>
        <v>2022</v>
      </c>
      <c r="H9" s="39">
        <v>3</v>
      </c>
      <c r="I9" s="189">
        <f>'Energy Prices'!P8</f>
        <v>21.19</v>
      </c>
      <c r="J9" s="189">
        <f t="shared" si="0"/>
        <v>0.57213000000000003</v>
      </c>
      <c r="K9" s="189">
        <f t="shared" ref="K9:K27" si="5">+$K$7</f>
        <v>0</v>
      </c>
      <c r="L9" s="189">
        <v>0</v>
      </c>
      <c r="M9" s="189">
        <v>0</v>
      </c>
      <c r="N9" s="189">
        <f t="shared" si="1"/>
        <v>17.571541929708662</v>
      </c>
      <c r="O9" s="189">
        <f t="shared" si="2"/>
        <v>56.549138725841246</v>
      </c>
      <c r="P9" s="184">
        <f t="shared" si="3"/>
        <v>21.701855186159595</v>
      </c>
      <c r="Q9" s="185"/>
      <c r="R9" s="186"/>
      <c r="S9" s="187"/>
      <c r="T9" s="188"/>
      <c r="U9" s="188"/>
    </row>
    <row r="10" spans="2:21" x14ac:dyDescent="0.25">
      <c r="B10" s="180"/>
      <c r="C10" s="180"/>
      <c r="D10" s="180"/>
      <c r="E10" s="180"/>
      <c r="F10" s="183"/>
      <c r="G10" s="38">
        <f t="shared" si="4"/>
        <v>2023</v>
      </c>
      <c r="H10" s="39">
        <v>4</v>
      </c>
      <c r="I10" s="189">
        <f>'Energy Prices'!P9</f>
        <v>20.53</v>
      </c>
      <c r="J10" s="189">
        <f t="shared" si="0"/>
        <v>0.55430999999999997</v>
      </c>
      <c r="K10" s="189">
        <f t="shared" si="5"/>
        <v>0</v>
      </c>
      <c r="L10" s="189">
        <v>0</v>
      </c>
      <c r="M10" s="189">
        <v>0</v>
      </c>
      <c r="N10" s="189">
        <f t="shared" si="1"/>
        <v>15.852728560727012</v>
      </c>
      <c r="O10" s="189">
        <f t="shared" si="2"/>
        <v>72.401867286568262</v>
      </c>
      <c r="P10" s="184">
        <f t="shared" si="3"/>
        <v>21.563567276408119</v>
      </c>
      <c r="Q10" s="185"/>
      <c r="R10" s="186"/>
      <c r="S10" s="187"/>
      <c r="T10" s="188"/>
      <c r="U10" s="188"/>
    </row>
    <row r="11" spans="2:21" x14ac:dyDescent="0.25">
      <c r="B11" s="180"/>
      <c r="C11" s="180"/>
      <c r="D11" s="180"/>
      <c r="E11" s="180"/>
      <c r="F11" s="183"/>
      <c r="G11" s="38">
        <f t="shared" si="4"/>
        <v>2024</v>
      </c>
      <c r="H11" s="39">
        <v>5</v>
      </c>
      <c r="I11" s="189">
        <f>'Energy Prices'!P10</f>
        <v>19.79</v>
      </c>
      <c r="J11" s="189">
        <f t="shared" si="0"/>
        <v>0.53432999999999997</v>
      </c>
      <c r="K11" s="189">
        <f t="shared" si="5"/>
        <v>0</v>
      </c>
      <c r="L11" s="189">
        <v>0</v>
      </c>
      <c r="M11" s="189">
        <v>0</v>
      </c>
      <c r="N11" s="189">
        <f t="shared" si="1"/>
        <v>14.229741998905688</v>
      </c>
      <c r="O11" s="189">
        <f t="shared" si="2"/>
        <v>86.631609285473957</v>
      </c>
      <c r="P11" s="184">
        <f t="shared" si="3"/>
        <v>21.349745673655153</v>
      </c>
      <c r="Q11" s="185"/>
      <c r="R11" s="186"/>
      <c r="S11" s="187"/>
      <c r="T11" s="188"/>
      <c r="U11" s="188"/>
    </row>
    <row r="12" spans="2:21" x14ac:dyDescent="0.25">
      <c r="B12" s="197"/>
      <c r="C12" s="197"/>
      <c r="D12" s="197"/>
      <c r="E12" s="197"/>
      <c r="F12" s="180"/>
      <c r="G12" s="38">
        <f t="shared" si="4"/>
        <v>2025</v>
      </c>
      <c r="H12" s="39">
        <v>6</v>
      </c>
      <c r="I12" s="189">
        <f>'Energy Prices'!P11</f>
        <v>19.75</v>
      </c>
      <c r="J12" s="189">
        <f t="shared" si="0"/>
        <v>0.53325</v>
      </c>
      <c r="K12" s="189">
        <f t="shared" si="5"/>
        <v>0</v>
      </c>
      <c r="L12" s="189">
        <v>0</v>
      </c>
      <c r="M12" s="189">
        <v>0</v>
      </c>
      <c r="N12" s="189">
        <f>(I12+J12+K12+L12+M12)/((1+$E$7)^H12)</f>
        <v>13.223745711307179</v>
      </c>
      <c r="O12" s="189">
        <f t="shared" si="2"/>
        <v>99.855354996781131</v>
      </c>
      <c r="P12" s="184">
        <f t="shared" si="3"/>
        <v>21.202112546409023</v>
      </c>
      <c r="Q12" s="185"/>
      <c r="R12" s="186"/>
      <c r="S12" s="187"/>
      <c r="T12" s="188"/>
      <c r="U12" s="188"/>
    </row>
    <row r="13" spans="2:21" x14ac:dyDescent="0.25">
      <c r="B13" s="197"/>
      <c r="C13" s="197"/>
      <c r="D13" s="197"/>
      <c r="E13" s="197"/>
      <c r="F13" s="180"/>
      <c r="G13" s="38">
        <f t="shared" si="4"/>
        <v>2026</v>
      </c>
      <c r="H13" s="39">
        <v>7</v>
      </c>
      <c r="I13" s="189">
        <f>'Energy Prices'!P12</f>
        <v>19.97</v>
      </c>
      <c r="J13" s="189">
        <f t="shared" si="0"/>
        <v>0.53918999999999995</v>
      </c>
      <c r="K13" s="189">
        <f t="shared" si="5"/>
        <v>0</v>
      </c>
      <c r="L13" s="189">
        <v>0</v>
      </c>
      <c r="M13" s="189">
        <v>0</v>
      </c>
      <c r="N13" s="189">
        <f t="shared" si="1"/>
        <v>12.450924848849956</v>
      </c>
      <c r="O13" s="189">
        <f t="shared" si="2"/>
        <v>112.30627984563108</v>
      </c>
      <c r="P13" s="184">
        <f t="shared" si="3"/>
        <v>21.122992016097555</v>
      </c>
      <c r="Q13" s="185"/>
      <c r="R13" s="186"/>
      <c r="S13" s="187"/>
      <c r="T13" s="188"/>
      <c r="U13" s="188"/>
    </row>
    <row r="14" spans="2:21" x14ac:dyDescent="0.25">
      <c r="B14" s="197"/>
      <c r="C14" s="197"/>
      <c r="D14" s="197"/>
      <c r="E14" s="197"/>
      <c r="F14" s="183"/>
      <c r="G14" s="38">
        <f t="shared" si="4"/>
        <v>2027</v>
      </c>
      <c r="H14" s="39">
        <v>8</v>
      </c>
      <c r="I14" s="189">
        <f>'Energy Prices'!P13</f>
        <v>23.19</v>
      </c>
      <c r="J14" s="189">
        <f t="shared" si="0"/>
        <v>0.62613000000000008</v>
      </c>
      <c r="K14" s="189">
        <f t="shared" si="5"/>
        <v>0</v>
      </c>
      <c r="L14" s="189">
        <v>0</v>
      </c>
      <c r="M14" s="189">
        <v>0</v>
      </c>
      <c r="N14" s="189">
        <f>(I14+J14+K14+L14+M14)/((1+$E$7)^H14)</f>
        <v>13.463576836752964</v>
      </c>
      <c r="O14" s="189">
        <f t="shared" si="2"/>
        <v>125.76985668238405</v>
      </c>
      <c r="P14" s="184">
        <f t="shared" si="3"/>
        <v>21.381822859457564</v>
      </c>
      <c r="Q14" s="185"/>
      <c r="R14" s="186"/>
      <c r="S14" s="187"/>
      <c r="T14" s="188"/>
      <c r="U14" s="188"/>
    </row>
    <row r="15" spans="2:21" x14ac:dyDescent="0.25">
      <c r="B15" s="197"/>
      <c r="C15" s="197"/>
      <c r="D15" s="197"/>
      <c r="E15" s="197"/>
      <c r="F15" s="180"/>
      <c r="G15" s="38">
        <f t="shared" si="4"/>
        <v>2028</v>
      </c>
      <c r="H15" s="39">
        <v>9</v>
      </c>
      <c r="I15" s="189">
        <f>'Energy Prices'!P14</f>
        <v>24.42</v>
      </c>
      <c r="J15" s="189">
        <f t="shared" si="0"/>
        <v>0.65934000000000004</v>
      </c>
      <c r="K15" s="189">
        <f t="shared" si="5"/>
        <v>0</v>
      </c>
      <c r="L15" s="189">
        <v>0</v>
      </c>
      <c r="M15" s="189">
        <v>0</v>
      </c>
      <c r="N15" s="189">
        <f t="shared" si="1"/>
        <v>13.202054516769483</v>
      </c>
      <c r="O15" s="189">
        <f t="shared" si="2"/>
        <v>138.97191119915354</v>
      </c>
      <c r="P15" s="184">
        <f t="shared" si="3"/>
        <v>21.685546754526044</v>
      </c>
      <c r="Q15" s="185"/>
      <c r="R15" s="186"/>
      <c r="S15" s="187"/>
      <c r="T15" s="188"/>
      <c r="U15" s="188"/>
    </row>
    <row r="16" spans="2:21" x14ac:dyDescent="0.25">
      <c r="B16" s="197"/>
      <c r="C16" s="197"/>
      <c r="D16" s="197"/>
      <c r="E16" s="197"/>
      <c r="F16" s="191"/>
      <c r="G16" s="38">
        <f t="shared" si="4"/>
        <v>2029</v>
      </c>
      <c r="H16" s="39">
        <v>10</v>
      </c>
      <c r="I16" s="189">
        <f>'Energy Prices'!P15</f>
        <v>25.44</v>
      </c>
      <c r="J16" s="189">
        <f t="shared" si="0"/>
        <v>0.68688000000000005</v>
      </c>
      <c r="K16" s="189">
        <f t="shared" si="5"/>
        <v>0</v>
      </c>
      <c r="L16" s="189">
        <v>0</v>
      </c>
      <c r="M16" s="189">
        <v>0</v>
      </c>
      <c r="N16" s="189">
        <f t="shared" si="1"/>
        <v>12.807050640951292</v>
      </c>
      <c r="O16" s="189">
        <f t="shared" si="2"/>
        <v>151.77896184010484</v>
      </c>
      <c r="P16" s="184">
        <f t="shared" si="3"/>
        <v>22.001125877428763</v>
      </c>
      <c r="Q16" s="185"/>
      <c r="R16" s="186"/>
      <c r="S16" s="187"/>
      <c r="T16" s="188"/>
      <c r="U16" s="188"/>
    </row>
    <row r="17" spans="2:21" x14ac:dyDescent="0.25">
      <c r="B17" s="197"/>
      <c r="C17" s="197"/>
      <c r="D17" s="197"/>
      <c r="E17" s="197"/>
      <c r="F17" s="192"/>
      <c r="G17" s="38">
        <f t="shared" si="4"/>
        <v>2030</v>
      </c>
      <c r="H17" s="39">
        <v>11</v>
      </c>
      <c r="I17" s="189">
        <f>'Energy Prices'!P16</f>
        <v>25.05</v>
      </c>
      <c r="J17" s="189">
        <f t="shared" si="0"/>
        <v>0.67635000000000001</v>
      </c>
      <c r="K17" s="189">
        <f t="shared" si="5"/>
        <v>0</v>
      </c>
      <c r="L17" s="189">
        <v>0</v>
      </c>
      <c r="M17" s="189">
        <v>0</v>
      </c>
      <c r="N17" s="189">
        <f t="shared" si="1"/>
        <v>11.742914738989533</v>
      </c>
      <c r="O17" s="189">
        <f t="shared" si="2"/>
        <v>163.52187657909437</v>
      </c>
      <c r="P17" s="184">
        <f t="shared" si="3"/>
        <v>22.232310464449156</v>
      </c>
      <c r="Q17" s="185"/>
      <c r="R17" s="186"/>
      <c r="S17" s="187"/>
      <c r="T17" s="188"/>
      <c r="U17" s="188"/>
    </row>
    <row r="18" spans="2:21" x14ac:dyDescent="0.25">
      <c r="B18" s="197"/>
      <c r="C18" s="197"/>
      <c r="D18" s="197"/>
      <c r="E18" s="197"/>
      <c r="F18" s="192"/>
      <c r="G18" s="38">
        <f t="shared" si="4"/>
        <v>2031</v>
      </c>
      <c r="H18" s="39">
        <v>12</v>
      </c>
      <c r="I18" s="189">
        <f>'Energy Prices'!P17</f>
        <v>24.78</v>
      </c>
      <c r="J18" s="189">
        <f t="shared" si="0"/>
        <v>0.66905999999999999</v>
      </c>
      <c r="K18" s="189">
        <f t="shared" si="5"/>
        <v>0</v>
      </c>
      <c r="L18" s="189">
        <v>0</v>
      </c>
      <c r="M18" s="189">
        <v>0</v>
      </c>
      <c r="N18" s="189">
        <f t="shared" si="1"/>
        <v>10.81697029563782</v>
      </c>
      <c r="O18" s="189">
        <f t="shared" si="2"/>
        <v>174.33884687473218</v>
      </c>
      <c r="P18" s="184">
        <f t="shared" si="3"/>
        <v>22.408046557683559</v>
      </c>
      <c r="Q18" s="185"/>
      <c r="R18" s="186"/>
      <c r="S18" s="187"/>
      <c r="T18" s="188"/>
      <c r="U18" s="188"/>
    </row>
    <row r="19" spans="2:21" x14ac:dyDescent="0.25">
      <c r="B19" s="197"/>
      <c r="C19" s="197"/>
      <c r="D19" s="197"/>
      <c r="E19" s="197"/>
      <c r="F19" s="192"/>
      <c r="G19" s="38">
        <f t="shared" si="4"/>
        <v>2032</v>
      </c>
      <c r="H19" s="39">
        <v>13</v>
      </c>
      <c r="I19" s="189">
        <f>'Energy Prices'!P18</f>
        <v>25.38</v>
      </c>
      <c r="J19" s="189">
        <f>I19*$E$6</f>
        <v>0.68525999999999998</v>
      </c>
      <c r="K19" s="189">
        <f t="shared" si="5"/>
        <v>0</v>
      </c>
      <c r="L19" s="189">
        <v>0</v>
      </c>
      <c r="M19" s="189">
        <v>0</v>
      </c>
      <c r="N19" s="189">
        <f t="shared" si="1"/>
        <v>10.316493536952832</v>
      </c>
      <c r="O19" s="189">
        <f t="shared" si="2"/>
        <v>184.65534041168502</v>
      </c>
      <c r="P19" s="184">
        <f t="shared" si="3"/>
        <v>22.585090190839583</v>
      </c>
      <c r="Q19" s="185"/>
      <c r="R19" s="186"/>
      <c r="S19" s="187"/>
      <c r="T19" s="188"/>
      <c r="U19" s="188"/>
    </row>
    <row r="20" spans="2:21" x14ac:dyDescent="0.25">
      <c r="B20" s="197"/>
      <c r="C20" s="197"/>
      <c r="D20" s="197"/>
      <c r="E20" s="197"/>
      <c r="F20" s="192"/>
      <c r="G20" s="38">
        <f t="shared" si="4"/>
        <v>2033</v>
      </c>
      <c r="H20" s="39">
        <v>14</v>
      </c>
      <c r="I20" s="189">
        <f>'Energy Prices'!P19</f>
        <v>26.69</v>
      </c>
      <c r="J20" s="189">
        <f t="shared" si="0"/>
        <v>0.72062999999999999</v>
      </c>
      <c r="K20" s="189">
        <f t="shared" si="5"/>
        <v>0</v>
      </c>
      <c r="L20" s="189">
        <v>0</v>
      </c>
      <c r="M20" s="189">
        <v>0</v>
      </c>
      <c r="N20" s="189">
        <f t="shared" si="1"/>
        <v>10.102415442872259</v>
      </c>
      <c r="O20" s="189">
        <f t="shared" si="2"/>
        <v>194.75775585455727</v>
      </c>
      <c r="P20" s="184">
        <f t="shared" si="3"/>
        <v>22.793233902662163</v>
      </c>
      <c r="Q20" s="185"/>
      <c r="R20" s="186"/>
      <c r="S20" s="187"/>
      <c r="T20" s="188"/>
      <c r="U20" s="188"/>
    </row>
    <row r="21" spans="2:21" x14ac:dyDescent="0.25">
      <c r="B21" s="197"/>
      <c r="C21" s="197"/>
      <c r="D21" s="197"/>
      <c r="E21" s="197"/>
      <c r="F21" s="192"/>
      <c r="G21" s="37">
        <f t="shared" si="4"/>
        <v>2034</v>
      </c>
      <c r="H21" s="37">
        <v>15</v>
      </c>
      <c r="I21" s="189">
        <f>'Energy Prices'!P20</f>
        <v>27.4</v>
      </c>
      <c r="J21" s="189">
        <f t="shared" si="0"/>
        <v>0.7397999999999999</v>
      </c>
      <c r="K21" s="189">
        <f t="shared" si="5"/>
        <v>0</v>
      </c>
      <c r="L21" s="189">
        <v>0</v>
      </c>
      <c r="M21" s="189">
        <v>0</v>
      </c>
      <c r="N21" s="189">
        <f>(I21+J21+K21+L21+M21)/((1+$E$7)^H21)</f>
        <v>9.6574700671238425</v>
      </c>
      <c r="O21" s="189">
        <f>N21+O20</f>
        <v>204.41522592168113</v>
      </c>
      <c r="P21" s="184">
        <f t="shared" si="3"/>
        <v>22.999689199971915</v>
      </c>
      <c r="Q21" s="185"/>
      <c r="R21" s="186"/>
      <c r="S21" s="187"/>
      <c r="T21" s="188"/>
      <c r="U21" s="188"/>
    </row>
    <row r="22" spans="2:21" x14ac:dyDescent="0.25">
      <c r="B22" s="197"/>
      <c r="C22" s="197"/>
      <c r="D22" s="197"/>
      <c r="E22" s="197"/>
      <c r="F22" s="192"/>
      <c r="G22" s="38">
        <f t="shared" si="4"/>
        <v>2035</v>
      </c>
      <c r="H22" s="39">
        <v>16</v>
      </c>
      <c r="I22" s="189">
        <f>'Energy Prices'!P21</f>
        <v>28.25</v>
      </c>
      <c r="J22" s="189">
        <f t="shared" si="0"/>
        <v>0.76275000000000004</v>
      </c>
      <c r="K22" s="189">
        <f t="shared" si="5"/>
        <v>0</v>
      </c>
      <c r="L22" s="189">
        <v>0</v>
      </c>
      <c r="M22" s="189">
        <v>0</v>
      </c>
      <c r="N22" s="189">
        <f t="shared" si="1"/>
        <v>9.2718717912761033</v>
      </c>
      <c r="O22" s="189">
        <f t="shared" si="2"/>
        <v>213.68709771295724</v>
      </c>
      <c r="P22" s="184">
        <f t="shared" si="3"/>
        <v>23.208398106210581</v>
      </c>
      <c r="Q22" s="185"/>
      <c r="R22" s="186"/>
      <c r="S22" s="187"/>
      <c r="T22" s="188"/>
      <c r="U22" s="188"/>
    </row>
    <row r="23" spans="2:21" x14ac:dyDescent="0.25">
      <c r="B23" s="197"/>
      <c r="C23" s="197"/>
      <c r="D23" s="197"/>
      <c r="E23" s="197"/>
      <c r="F23" s="192"/>
      <c r="G23" s="38">
        <f t="shared" si="4"/>
        <v>2036</v>
      </c>
      <c r="H23" s="39">
        <v>17</v>
      </c>
      <c r="I23" s="189">
        <f>'Energy Prices'!P22</f>
        <v>29.71</v>
      </c>
      <c r="J23" s="189">
        <f t="shared" si="0"/>
        <v>0.80217000000000005</v>
      </c>
      <c r="K23" s="189">
        <f t="shared" si="5"/>
        <v>0</v>
      </c>
      <c r="L23" s="189">
        <v>0</v>
      </c>
      <c r="M23" s="189">
        <v>0</v>
      </c>
      <c r="N23" s="189">
        <f t="shared" si="1"/>
        <v>9.080040277272829</v>
      </c>
      <c r="O23" s="189">
        <f t="shared" si="2"/>
        <v>222.76713799023008</v>
      </c>
      <c r="P23" s="184">
        <f t="shared" si="3"/>
        <v>23.437070682805043</v>
      </c>
      <c r="Q23" s="185"/>
      <c r="R23" s="186"/>
      <c r="S23" s="187"/>
      <c r="T23" s="188"/>
      <c r="U23" s="188"/>
    </row>
    <row r="24" spans="2:21" x14ac:dyDescent="0.25">
      <c r="B24" s="197"/>
      <c r="C24" s="197"/>
      <c r="D24" s="197"/>
      <c r="E24" s="197"/>
      <c r="F24" s="192"/>
      <c r="G24" s="38">
        <f t="shared" si="4"/>
        <v>2037</v>
      </c>
      <c r="H24" s="39">
        <v>18</v>
      </c>
      <c r="I24" s="189">
        <f>'Energy Prices'!P23</f>
        <v>29.43</v>
      </c>
      <c r="J24" s="189">
        <f t="shared" si="0"/>
        <v>0.79461000000000004</v>
      </c>
      <c r="K24" s="189">
        <f t="shared" si="5"/>
        <v>0</v>
      </c>
      <c r="L24" s="189">
        <v>0</v>
      </c>
      <c r="M24" s="189">
        <v>0</v>
      </c>
      <c r="N24" s="189">
        <f t="shared" si="1"/>
        <v>8.3755154267939655</v>
      </c>
      <c r="O24" s="189">
        <f t="shared" si="2"/>
        <v>231.14265341702404</v>
      </c>
      <c r="P24" s="184">
        <f t="shared" si="3"/>
        <v>23.629351028849676</v>
      </c>
      <c r="Q24" s="185"/>
      <c r="R24" s="186"/>
      <c r="S24" s="187"/>
      <c r="T24" s="188"/>
      <c r="U24" s="188"/>
    </row>
    <row r="25" spans="2:21" x14ac:dyDescent="0.25">
      <c r="B25" s="197"/>
      <c r="C25" s="197"/>
      <c r="D25" s="197"/>
      <c r="E25" s="197"/>
      <c r="F25" s="192"/>
      <c r="G25" s="38">
        <f t="shared" si="4"/>
        <v>2038</v>
      </c>
      <c r="H25" s="39">
        <v>19</v>
      </c>
      <c r="I25" s="189">
        <f>'Energy Prices'!P24</f>
        <v>29.33</v>
      </c>
      <c r="J25" s="189">
        <f t="shared" si="0"/>
        <v>0.79190999999999989</v>
      </c>
      <c r="K25" s="189">
        <f t="shared" si="5"/>
        <v>0</v>
      </c>
      <c r="L25" s="189">
        <v>0</v>
      </c>
      <c r="M25" s="189">
        <v>0</v>
      </c>
      <c r="N25" s="189">
        <f t="shared" si="1"/>
        <v>7.7726569689819405</v>
      </c>
      <c r="O25" s="189">
        <f t="shared" si="2"/>
        <v>238.91531038600598</v>
      </c>
      <c r="P25" s="184">
        <f t="shared" si="3"/>
        <v>23.796216634950248</v>
      </c>
      <c r="Q25" s="185"/>
      <c r="R25" s="186"/>
      <c r="S25" s="187"/>
      <c r="T25" s="188"/>
      <c r="U25" s="188"/>
    </row>
    <row r="26" spans="2:21" x14ac:dyDescent="0.25">
      <c r="B26" s="197"/>
      <c r="C26" s="197"/>
      <c r="D26" s="197"/>
      <c r="E26" s="197"/>
      <c r="F26" s="192"/>
      <c r="G26" s="38">
        <f t="shared" si="4"/>
        <v>2039</v>
      </c>
      <c r="H26" s="39">
        <v>20</v>
      </c>
      <c r="I26" s="189">
        <f>'Energy Prices'!P25</f>
        <v>29.12</v>
      </c>
      <c r="J26" s="189">
        <f t="shared" ref="J26" si="6">I26*$E$6</f>
        <v>0.78624000000000005</v>
      </c>
      <c r="K26" s="189">
        <f t="shared" si="5"/>
        <v>0</v>
      </c>
      <c r="L26" s="189">
        <v>0</v>
      </c>
      <c r="M26" s="189">
        <v>0</v>
      </c>
      <c r="N26" s="189">
        <f t="shared" ref="N26" si="7">(I26+J26+K26+L26+M26)/((1+$E$7)^H26)</f>
        <v>7.1859628336938153</v>
      </c>
      <c r="O26" s="189">
        <f t="shared" ref="O26" si="8">N26+O25</f>
        <v>246.10127321969981</v>
      </c>
      <c r="P26" s="184">
        <f t="shared" si="3"/>
        <v>23.939026645427798</v>
      </c>
      <c r="Q26" s="185"/>
      <c r="R26" s="186"/>
      <c r="S26" s="187"/>
      <c r="T26" s="188"/>
      <c r="U26" s="188"/>
    </row>
    <row r="27" spans="2:21" x14ac:dyDescent="0.25">
      <c r="C27" s="197"/>
      <c r="D27" s="197"/>
      <c r="E27" s="200"/>
      <c r="F27" s="197"/>
      <c r="G27" s="38">
        <f t="shared" si="4"/>
        <v>2040</v>
      </c>
      <c r="H27" s="37">
        <v>21</v>
      </c>
      <c r="I27" s="189">
        <f>'Energy Prices'!P26</f>
        <v>29.38</v>
      </c>
      <c r="J27" s="189">
        <f>I27*$E$6</f>
        <v>0.79325999999999997</v>
      </c>
      <c r="K27" s="189">
        <f t="shared" si="5"/>
        <v>0</v>
      </c>
      <c r="L27" s="189">
        <v>0</v>
      </c>
      <c r="M27" s="189">
        <v>0</v>
      </c>
      <c r="N27" s="189">
        <f>(I27+J27+K27+L27+M27)/((1+$E$7)^H27)</f>
        <v>6.75120887991201</v>
      </c>
      <c r="O27" s="189">
        <f>N27+O26</f>
        <v>252.85248209961182</v>
      </c>
      <c r="P27" s="184">
        <f t="shared" si="3"/>
        <v>24.071822376255298</v>
      </c>
      <c r="Q27" s="185"/>
      <c r="R27" s="186"/>
      <c r="S27" s="187"/>
      <c r="T27" s="188"/>
      <c r="U27" s="188"/>
    </row>
    <row r="28" spans="2:21" x14ac:dyDescent="0.25">
      <c r="C28" s="197"/>
      <c r="D28" s="197"/>
      <c r="E28" s="200"/>
      <c r="F28" s="197"/>
      <c r="G28" s="38"/>
      <c r="H28" s="37"/>
      <c r="I28" s="197"/>
      <c r="J28" s="197"/>
      <c r="K28" s="197"/>
      <c r="L28" s="197"/>
      <c r="M28" s="197"/>
      <c r="N28" s="197"/>
      <c r="O28" s="197"/>
      <c r="P28" s="197"/>
      <c r="Q28" s="185"/>
      <c r="R28" s="186"/>
      <c r="S28" s="187"/>
      <c r="T28" s="188"/>
      <c r="U28" s="188"/>
    </row>
    <row r="29" spans="2:21" ht="15.6" x14ac:dyDescent="0.3">
      <c r="B29" s="28" t="s">
        <v>25</v>
      </c>
      <c r="C29" s="53" t="s">
        <v>82</v>
      </c>
      <c r="D29" s="197"/>
      <c r="E29" s="200"/>
      <c r="F29" s="197"/>
      <c r="H29" s="197"/>
      <c r="I29" s="197"/>
      <c r="J29" s="197"/>
      <c r="K29" s="197"/>
      <c r="L29" s="197"/>
      <c r="M29" s="197"/>
      <c r="N29" s="197"/>
      <c r="O29" s="197"/>
      <c r="P29" s="197"/>
      <c r="Q29" s="185"/>
      <c r="R29" s="186"/>
      <c r="S29" s="187"/>
      <c r="T29" s="188"/>
      <c r="U29" s="188"/>
    </row>
    <row r="30" spans="2:21" ht="15.6" x14ac:dyDescent="0.3">
      <c r="B30" s="28"/>
      <c r="C30" s="57" t="s">
        <v>83</v>
      </c>
      <c r="D30" s="197"/>
      <c r="E30" s="200"/>
      <c r="F30" s="197"/>
      <c r="H30" s="197"/>
      <c r="I30" s="197"/>
      <c r="J30" s="197"/>
      <c r="K30" s="197"/>
      <c r="L30" s="197"/>
      <c r="M30" s="197"/>
      <c r="N30" s="197"/>
      <c r="O30" s="197"/>
      <c r="P30" s="197"/>
      <c r="Q30" s="185"/>
      <c r="R30" s="186"/>
      <c r="S30" s="187"/>
      <c r="T30" s="188"/>
      <c r="U30" s="188"/>
    </row>
    <row r="31" spans="2:21" ht="15.6" x14ac:dyDescent="0.3">
      <c r="B31" s="28"/>
      <c r="C31" s="53"/>
      <c r="D31" s="53"/>
      <c r="F31" s="197"/>
      <c r="Q31" s="197"/>
      <c r="R31" s="197"/>
      <c r="S31" s="197"/>
      <c r="T31" s="197"/>
      <c r="U31" s="197"/>
    </row>
    <row r="32" spans="2:21" ht="15.6" x14ac:dyDescent="0.3">
      <c r="B32" s="22"/>
    </row>
    <row r="33" spans="2:2" ht="15.6" x14ac:dyDescent="0.3">
      <c r="B33" s="28"/>
    </row>
  </sheetData>
  <phoneticPr fontId="13" type="noConversion"/>
  <hyperlinks>
    <hyperlink ref="C30" r:id="rId1"/>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X30"/>
  <sheetViews>
    <sheetView topLeftCell="K1" workbookViewId="0">
      <selection activeCell="S7" sqref="S7"/>
    </sheetView>
  </sheetViews>
  <sheetFormatPr defaultColWidth="9.109375" defaultRowHeight="15" x14ac:dyDescent="0.25"/>
  <cols>
    <col min="1" max="1" width="2.6640625" style="33" customWidth="1"/>
    <col min="2" max="2" width="25.6640625" style="33" customWidth="1"/>
    <col min="3" max="3" width="17.44140625" style="33" customWidth="1"/>
    <col min="4" max="4" width="15.5546875" style="33" customWidth="1"/>
    <col min="5" max="5" width="2.6640625" style="33" customWidth="1"/>
    <col min="6" max="6" width="9.6640625" style="33" customWidth="1"/>
    <col min="7" max="7" width="16.6640625" style="33" customWidth="1"/>
    <col min="8" max="8" width="16.44140625" style="44" customWidth="1"/>
    <col min="9" max="9" width="18.5546875" style="33" customWidth="1"/>
    <col min="10" max="10" width="19" style="33" customWidth="1"/>
    <col min="11" max="13" width="22.33203125" style="33" customWidth="1"/>
    <col min="14" max="14" width="2.6640625" style="33" customWidth="1"/>
    <col min="15" max="15" width="16.44140625" style="44" customWidth="1"/>
    <col min="16" max="16" width="16.6640625" style="171" customWidth="1"/>
    <col min="17" max="17" width="18.5546875" style="33" customWidth="1"/>
    <col min="18" max="18" width="19" style="33" customWidth="1"/>
    <col min="19" max="21" width="22.33203125" style="33" customWidth="1"/>
    <col min="22" max="22" width="2.6640625" style="33" customWidth="1"/>
    <col min="23" max="24" width="22.33203125" style="33" customWidth="1"/>
    <col min="25" max="16384" width="9.109375" style="33"/>
  </cols>
  <sheetData>
    <row r="1" spans="1:24" x14ac:dyDescent="0.25">
      <c r="B1" s="14"/>
    </row>
    <row r="3" spans="1:24" ht="16.2" thickBot="1" x14ac:dyDescent="0.35">
      <c r="H3" s="167"/>
    </row>
    <row r="4" spans="1:24" ht="62.4" x14ac:dyDescent="0.3">
      <c r="F4" s="15" t="s">
        <v>15</v>
      </c>
      <c r="G4" s="16" t="s">
        <v>1</v>
      </c>
      <c r="H4" s="17" t="s">
        <v>16</v>
      </c>
      <c r="I4" s="16" t="s">
        <v>17</v>
      </c>
      <c r="J4" s="16" t="s">
        <v>18</v>
      </c>
      <c r="K4" s="3" t="s">
        <v>19</v>
      </c>
      <c r="L4" s="3" t="s">
        <v>19</v>
      </c>
      <c r="M4" s="3" t="s">
        <v>19</v>
      </c>
      <c r="O4" s="17" t="s">
        <v>80</v>
      </c>
      <c r="P4" s="17" t="s">
        <v>57</v>
      </c>
      <c r="Q4" s="16" t="s">
        <v>17</v>
      </c>
      <c r="R4" s="16" t="s">
        <v>18</v>
      </c>
      <c r="S4" s="3" t="s">
        <v>19</v>
      </c>
      <c r="T4" s="3" t="s">
        <v>19</v>
      </c>
      <c r="U4" s="3" t="s">
        <v>19</v>
      </c>
      <c r="W4" s="249" t="s">
        <v>19</v>
      </c>
      <c r="X4" s="250" t="s">
        <v>19</v>
      </c>
    </row>
    <row r="5" spans="1:24" ht="15.6" x14ac:dyDescent="0.3">
      <c r="B5" s="50"/>
      <c r="C5" s="50"/>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251" t="s">
        <v>38</v>
      </c>
      <c r="X5" s="252" t="s">
        <v>39</v>
      </c>
    </row>
    <row r="6" spans="1:24" ht="15.6" x14ac:dyDescent="0.3">
      <c r="A6" s="172"/>
      <c r="B6" s="172"/>
      <c r="C6" s="165" t="s">
        <v>21</v>
      </c>
      <c r="D6" s="203">
        <v>27.33</v>
      </c>
      <c r="E6" s="45"/>
      <c r="F6" s="170" t="s">
        <v>22</v>
      </c>
      <c r="G6" s="170" t="s">
        <v>23</v>
      </c>
      <c r="H6" s="170" t="s">
        <v>24</v>
      </c>
      <c r="I6" s="170" t="s">
        <v>32</v>
      </c>
      <c r="J6" s="170" t="s">
        <v>27</v>
      </c>
      <c r="K6" s="170" t="s">
        <v>28</v>
      </c>
      <c r="L6" s="170" t="s">
        <v>40</v>
      </c>
      <c r="M6" s="170" t="s">
        <v>79</v>
      </c>
      <c r="O6" s="170" t="s">
        <v>25</v>
      </c>
      <c r="P6" s="170" t="s">
        <v>26</v>
      </c>
      <c r="Q6" s="170" t="s">
        <v>32</v>
      </c>
      <c r="R6" s="170" t="s">
        <v>27</v>
      </c>
      <c r="S6" s="170" t="s">
        <v>28</v>
      </c>
      <c r="T6" s="170" t="s">
        <v>40</v>
      </c>
      <c r="U6" s="170" t="s">
        <v>79</v>
      </c>
      <c r="W6" s="253" t="s">
        <v>40</v>
      </c>
      <c r="X6" s="254" t="s">
        <v>79</v>
      </c>
    </row>
    <row r="7" spans="1:24" ht="15.6" x14ac:dyDescent="0.3">
      <c r="A7" s="172"/>
      <c r="B7" s="50"/>
      <c r="C7" s="20" t="s">
        <v>29</v>
      </c>
      <c r="D7" s="46">
        <v>0</v>
      </c>
      <c r="E7" s="47"/>
      <c r="F7" s="173">
        <f>'Capacity Delivered'!C7</f>
        <v>2020</v>
      </c>
      <c r="G7" s="168">
        <v>1</v>
      </c>
      <c r="H7" s="174">
        <f>'Capacity Delivered'!G7</f>
        <v>89</v>
      </c>
      <c r="I7" s="32">
        <f>SUM(H7)/((1+$D$8)^G7)</f>
        <v>82.875500512151959</v>
      </c>
      <c r="J7" s="169">
        <f>I7</f>
        <v>82.875500512151959</v>
      </c>
      <c r="K7" s="327">
        <f>(-PMT($D$8,G7,(J7)))</f>
        <v>88.999999999999972</v>
      </c>
      <c r="L7" s="169">
        <f>+K7/'Capacity Delivered'!N8*1000</f>
        <v>10.159817351598171</v>
      </c>
      <c r="M7" s="247">
        <f t="shared" ref="M7:M27" si="0">L7/1000</f>
        <v>1.0159817351598171E-2</v>
      </c>
      <c r="O7" s="179">
        <f>D13</f>
        <v>33.298951188946049</v>
      </c>
      <c r="P7" s="179">
        <f t="shared" ref="P7:P27" si="1">(H7+O7)*$D$7</f>
        <v>0</v>
      </c>
      <c r="Q7" s="179">
        <f t="shared" ref="Q7:Q27" si="2">SUM(O7:P7)/((1+$D$8)^G7)</f>
        <v>31.007497149591252</v>
      </c>
      <c r="R7" s="179">
        <f>Q7</f>
        <v>31.007497149591252</v>
      </c>
      <c r="S7" s="326">
        <f>(-PMT($D$8,G7,(R7)))</f>
        <v>33.298951188946042</v>
      </c>
      <c r="T7" s="169">
        <f>+S7/'Capacity Delivered'!L7*1000</f>
        <v>3.7908642063918534</v>
      </c>
      <c r="U7" s="247">
        <f t="shared" ref="U7:U20" si="3">T7/1000</f>
        <v>3.7908642063918534E-3</v>
      </c>
      <c r="W7" s="255">
        <f>L7+T7</f>
        <v>13.950681557990025</v>
      </c>
      <c r="X7" s="256">
        <f t="shared" ref="X7:X20" si="4">W7/1000</f>
        <v>1.3950681557990025E-2</v>
      </c>
    </row>
    <row r="8" spans="1:24" ht="15.6" x14ac:dyDescent="0.3">
      <c r="A8" s="172"/>
      <c r="B8" s="50"/>
      <c r="C8" s="20" t="s">
        <v>33</v>
      </c>
      <c r="D8" s="46">
        <f>Rate_of_Return</f>
        <v>7.3899999999999993E-2</v>
      </c>
      <c r="E8" s="47"/>
      <c r="F8" s="38">
        <f>F7+1</f>
        <v>2021</v>
      </c>
      <c r="G8" s="39">
        <v>2</v>
      </c>
      <c r="H8" s="174">
        <f>'Capacity Delivered'!G8</f>
        <v>89</v>
      </c>
      <c r="I8" s="40">
        <f t="shared" ref="I8:I27" si="5">SUM(H8)/((1+$D$8)^G8)</f>
        <v>77.172456012805625</v>
      </c>
      <c r="J8" s="41">
        <f t="shared" ref="J8:J26" si="6">J7+I8</f>
        <v>160.04795652495758</v>
      </c>
      <c r="K8" s="41">
        <f t="shared" ref="K8:K27" si="7">(-PMT($D$8,G8,(J8)))</f>
        <v>88.999999999999972</v>
      </c>
      <c r="L8" s="41">
        <f>+K8/'Capacity Delivered'!N9*1000</f>
        <v>10.159817351598171</v>
      </c>
      <c r="M8" s="248">
        <f t="shared" si="0"/>
        <v>1.0159817351598171E-2</v>
      </c>
      <c r="O8" s="174">
        <f t="shared" ref="O8:O27" si="8">O7+(O7*$D$9)</f>
        <v>34.131424968669698</v>
      </c>
      <c r="P8" s="174">
        <f t="shared" si="1"/>
        <v>0</v>
      </c>
      <c r="Q8" s="174">
        <f t="shared" si="2"/>
        <v>29.595571820775707</v>
      </c>
      <c r="R8" s="174">
        <f t="shared" ref="R8:R12" si="9">R7+Q8</f>
        <v>60.603068970366962</v>
      </c>
      <c r="S8" s="326">
        <f t="shared" ref="S8:S27" si="10">(-PMT($D$8,G8,(R8)))</f>
        <v>33.700356164944715</v>
      </c>
      <c r="T8" s="41">
        <f>+S8/'Capacity Delivered'!L8*1000</f>
        <v>3.8470726215690316</v>
      </c>
      <c r="U8" s="248">
        <f t="shared" si="3"/>
        <v>3.8470726215690315E-3</v>
      </c>
      <c r="W8" s="255">
        <f t="shared" ref="W8:W27" si="11">L8+T8</f>
        <v>14.006889973167203</v>
      </c>
      <c r="X8" s="256">
        <f t="shared" si="4"/>
        <v>1.4006889973167203E-2</v>
      </c>
    </row>
    <row r="9" spans="1:24" ht="15.6" x14ac:dyDescent="0.3">
      <c r="A9" s="172"/>
      <c r="B9" s="50"/>
      <c r="C9" s="20" t="s">
        <v>34</v>
      </c>
      <c r="D9" s="46">
        <v>2.5000000000000001E-2</v>
      </c>
      <c r="E9" s="49"/>
      <c r="F9" s="38">
        <f t="shared" ref="F9:F27" si="12">F8+1</f>
        <v>2022</v>
      </c>
      <c r="G9" s="39">
        <v>3</v>
      </c>
      <c r="H9" s="174">
        <f>'Capacity Delivered'!G9</f>
        <v>89</v>
      </c>
      <c r="I9" s="40">
        <f t="shared" si="5"/>
        <v>71.86186424509323</v>
      </c>
      <c r="J9" s="41">
        <f t="shared" si="6"/>
        <v>231.90982077005083</v>
      </c>
      <c r="K9" s="41">
        <f t="shared" si="7"/>
        <v>88.999999999999986</v>
      </c>
      <c r="L9" s="41">
        <f>+K9/'Capacity Delivered'!N10*1000</f>
        <v>10.159817351598173</v>
      </c>
      <c r="M9" s="248">
        <f t="shared" si="0"/>
        <v>1.0159817351598172E-2</v>
      </c>
      <c r="O9" s="174">
        <f t="shared" si="8"/>
        <v>34.984710592886444</v>
      </c>
      <c r="P9" s="174">
        <f t="shared" si="1"/>
        <v>0</v>
      </c>
      <c r="Q9" s="174">
        <f t="shared" si="2"/>
        <v>28.247938463818887</v>
      </c>
      <c r="R9" s="174">
        <f t="shared" si="9"/>
        <v>88.851007434185846</v>
      </c>
      <c r="S9" s="326">
        <f t="shared" si="10"/>
        <v>34.098338894769896</v>
      </c>
      <c r="T9" s="41">
        <f>+S9/'Capacity Delivered'!L9*1000</f>
        <v>3.8925044400422255</v>
      </c>
      <c r="U9" s="248">
        <f t="shared" si="3"/>
        <v>3.8925044400422255E-3</v>
      </c>
      <c r="W9" s="255">
        <f t="shared" si="11"/>
        <v>14.052321791640399</v>
      </c>
      <c r="X9" s="256">
        <f t="shared" si="4"/>
        <v>1.4052321791640399E-2</v>
      </c>
    </row>
    <row r="10" spans="1:24" ht="15.6" x14ac:dyDescent="0.3">
      <c r="B10" s="50"/>
      <c r="C10" s="20"/>
      <c r="D10" s="51"/>
      <c r="E10" s="47"/>
      <c r="F10" s="38">
        <f t="shared" si="12"/>
        <v>2023</v>
      </c>
      <c r="G10" s="39">
        <v>4</v>
      </c>
      <c r="H10" s="174">
        <f>'Capacity Delivered'!G10</f>
        <v>93</v>
      </c>
      <c r="I10" s="40">
        <f t="shared" si="5"/>
        <v>69.924211707549929</v>
      </c>
      <c r="J10" s="41">
        <f t="shared" si="6"/>
        <v>301.83403247760077</v>
      </c>
      <c r="K10" s="41">
        <f t="shared" si="7"/>
        <v>89.895726582286002</v>
      </c>
      <c r="L10" s="41">
        <f>+K10/'Capacity Delivered'!N11*1000</f>
        <v>10.234030803994308</v>
      </c>
      <c r="M10" s="248">
        <f t="shared" si="0"/>
        <v>1.0234030803994308E-2</v>
      </c>
      <c r="O10" s="174">
        <f t="shared" si="8"/>
        <v>35.859328357708605</v>
      </c>
      <c r="P10" s="174">
        <f t="shared" si="1"/>
        <v>0</v>
      </c>
      <c r="Q10" s="174">
        <f t="shared" si="2"/>
        <v>26.961669545967368</v>
      </c>
      <c r="R10" s="174">
        <f t="shared" si="9"/>
        <v>115.81267698015321</v>
      </c>
      <c r="S10" s="326">
        <f t="shared" si="10"/>
        <v>34.492680163039836</v>
      </c>
      <c r="T10" s="41">
        <f>+S10/'Capacity Delivered'!L10*1000</f>
        <v>3.9375205665570592</v>
      </c>
      <c r="U10" s="248">
        <f t="shared" si="3"/>
        <v>3.937520566557059E-3</v>
      </c>
      <c r="W10" s="255">
        <f t="shared" si="11"/>
        <v>14.171551370551366</v>
      </c>
      <c r="X10" s="256">
        <f t="shared" si="4"/>
        <v>1.4171551370551367E-2</v>
      </c>
    </row>
    <row r="11" spans="1:24" s="44" customFormat="1" ht="15.6" x14ac:dyDescent="0.3">
      <c r="B11" s="172"/>
      <c r="C11" s="165" t="str">
        <f>C6</f>
        <v>Deferred T&amp;D Cost Credit ($/kw-yr) (4):</v>
      </c>
      <c r="D11" s="206" t="s">
        <v>51</v>
      </c>
      <c r="E11" s="267"/>
      <c r="F11" s="37">
        <f t="shared" si="12"/>
        <v>2024</v>
      </c>
      <c r="G11" s="37">
        <v>5</v>
      </c>
      <c r="H11" s="174">
        <f>'Capacity Delivered'!G11</f>
        <v>93</v>
      </c>
      <c r="I11" s="268">
        <f t="shared" si="5"/>
        <v>65.112404979560409</v>
      </c>
      <c r="J11" s="269">
        <f t="shared" si="6"/>
        <v>366.94643745716121</v>
      </c>
      <c r="K11" s="269">
        <f t="shared" si="7"/>
        <v>90.431346943451146</v>
      </c>
      <c r="L11" s="269">
        <f>+K11/'Capacity Delivered'!N12*1000</f>
        <v>10.323213121398533</v>
      </c>
      <c r="M11" s="270">
        <f t="shared" si="0"/>
        <v>1.0323213121398533E-2</v>
      </c>
      <c r="N11" s="279"/>
      <c r="O11" s="174">
        <f t="shared" si="8"/>
        <v>36.755811566651317</v>
      </c>
      <c r="P11" s="174">
        <f t="shared" si="1"/>
        <v>0</v>
      </c>
      <c r="Q11" s="174">
        <f t="shared" si="2"/>
        <v>25.733970839572162</v>
      </c>
      <c r="R11" s="174">
        <f t="shared" si="9"/>
        <v>141.54664781972537</v>
      </c>
      <c r="S11" s="326">
        <f t="shared" si="10"/>
        <v>34.883167435471918</v>
      </c>
      <c r="T11" s="269">
        <f>+S11/'Capacity Delivered'!L11*1000</f>
        <v>3.9712166934735795</v>
      </c>
      <c r="U11" s="270">
        <f t="shared" si="3"/>
        <v>3.9712166934735794E-3</v>
      </c>
      <c r="V11" s="279"/>
      <c r="W11" s="271">
        <f>L11+T11</f>
        <v>14.294429814872112</v>
      </c>
      <c r="X11" s="272">
        <f t="shared" si="4"/>
        <v>1.4294429814872112E-2</v>
      </c>
    </row>
    <row r="12" spans="1:24" s="44" customFormat="1" ht="15.6" x14ac:dyDescent="0.3">
      <c r="B12" s="274"/>
      <c r="C12" s="205">
        <v>2012</v>
      </c>
      <c r="D12" s="275">
        <f>D6</f>
        <v>27.33</v>
      </c>
      <c r="E12" s="267"/>
      <c r="F12" s="38">
        <f t="shared" si="12"/>
        <v>2025</v>
      </c>
      <c r="G12" s="37">
        <v>6</v>
      </c>
      <c r="H12" s="174">
        <f>'Capacity Delivered'!G12</f>
        <v>80</v>
      </c>
      <c r="I12" s="268">
        <f t="shared" si="5"/>
        <v>52.156318977706945</v>
      </c>
      <c r="J12" s="269">
        <f t="shared" si="6"/>
        <v>419.10275643486818</v>
      </c>
      <c r="K12" s="269">
        <f t="shared" si="7"/>
        <v>88.987353865286067</v>
      </c>
      <c r="L12" s="269">
        <f>+K12/'Capacity Delivered'!N13*1000</f>
        <v>10.158373728913935</v>
      </c>
      <c r="M12" s="270">
        <f t="shared" si="0"/>
        <v>1.0158373728913934E-2</v>
      </c>
      <c r="O12" s="174">
        <f t="shared" si="8"/>
        <v>37.674706855817604</v>
      </c>
      <c r="P12" s="174">
        <f t="shared" si="1"/>
        <v>0</v>
      </c>
      <c r="Q12" s="174">
        <f t="shared" si="2"/>
        <v>24.562175352045323</v>
      </c>
      <c r="R12" s="174">
        <f t="shared" si="9"/>
        <v>166.10882317177069</v>
      </c>
      <c r="S12" s="326">
        <f t="shared" si="10"/>
        <v>35.26959534571747</v>
      </c>
      <c r="T12" s="269">
        <f>+S12/'Capacity Delivered'!L12*1000</f>
        <v>4.0262095143513088</v>
      </c>
      <c r="U12" s="270">
        <f t="shared" si="3"/>
        <v>4.0262095143513092E-3</v>
      </c>
      <c r="W12" s="271">
        <f t="shared" si="11"/>
        <v>14.184583243265244</v>
      </c>
      <c r="X12" s="272">
        <f t="shared" si="4"/>
        <v>1.4184583243265244E-2</v>
      </c>
    </row>
    <row r="13" spans="1:24" s="44" customFormat="1" ht="15.6" x14ac:dyDescent="0.3">
      <c r="B13" s="274"/>
      <c r="C13" s="166">
        <f>F7</f>
        <v>2020</v>
      </c>
      <c r="D13" s="204">
        <f>D12*((1+$D$9)^($C$13-$C$12))</f>
        <v>33.298951188946049</v>
      </c>
      <c r="E13" s="267"/>
      <c r="F13" s="38">
        <f t="shared" si="12"/>
        <v>2026</v>
      </c>
      <c r="G13" s="37">
        <v>7</v>
      </c>
      <c r="H13" s="174">
        <f>'Capacity Delivered'!G13</f>
        <v>80</v>
      </c>
      <c r="I13" s="268">
        <f t="shared" si="5"/>
        <v>48.567202698302395</v>
      </c>
      <c r="J13" s="269">
        <f>J12+I13</f>
        <v>467.66995913317055</v>
      </c>
      <c r="K13" s="269">
        <f t="shared" si="7"/>
        <v>87.961143637890046</v>
      </c>
      <c r="L13" s="269">
        <f>+K13/'Capacity Delivered'!N14*1000</f>
        <v>10.041226442681511</v>
      </c>
      <c r="M13" s="270">
        <f t="shared" si="0"/>
        <v>1.0041226442681512E-2</v>
      </c>
      <c r="O13" s="174">
        <f>O12+(O12*$D$9)</f>
        <v>38.616574527213047</v>
      </c>
      <c r="P13" s="174">
        <f t="shared" si="1"/>
        <v>0</v>
      </c>
      <c r="Q13" s="174">
        <f t="shared" si="2"/>
        <v>23.443737532215714</v>
      </c>
      <c r="R13" s="174">
        <f>R12+Q13</f>
        <v>189.55256070398642</v>
      </c>
      <c r="S13" s="326">
        <f t="shared" si="10"/>
        <v>35.651766151320096</v>
      </c>
      <c r="T13" s="269">
        <f>+S13/'Capacity Delivered'!L13*1000</f>
        <v>4.0698363186438469</v>
      </c>
      <c r="U13" s="270">
        <f t="shared" si="3"/>
        <v>4.0698363186438468E-3</v>
      </c>
      <c r="W13" s="271">
        <f t="shared" si="11"/>
        <v>14.111062761325357</v>
      </c>
      <c r="X13" s="272">
        <f t="shared" si="4"/>
        <v>1.4111062761325358E-2</v>
      </c>
    </row>
    <row r="14" spans="1:24" s="44" customFormat="1" x14ac:dyDescent="0.25">
      <c r="B14" s="274"/>
      <c r="C14" s="276"/>
      <c r="D14" s="276"/>
      <c r="E14" s="267"/>
      <c r="F14" s="38">
        <f t="shared" si="12"/>
        <v>2027</v>
      </c>
      <c r="G14" s="37">
        <v>8</v>
      </c>
      <c r="H14" s="174">
        <f>'Capacity Delivered'!G14</f>
        <v>80.477938899565444</v>
      </c>
      <c r="I14" s="268">
        <f t="shared" si="5"/>
        <v>45.495255276059105</v>
      </c>
      <c r="J14" s="269">
        <f t="shared" si="6"/>
        <v>513.16521440922963</v>
      </c>
      <c r="K14" s="269">
        <f t="shared" si="7"/>
        <v>87.241951303507832</v>
      </c>
      <c r="L14" s="269">
        <f>+K14/'Capacity Delivered'!N15*1000</f>
        <v>9.9319161320022573</v>
      </c>
      <c r="M14" s="270">
        <f t="shared" si="0"/>
        <v>9.931916132002257E-3</v>
      </c>
      <c r="O14" s="174">
        <f t="shared" si="8"/>
        <v>39.581988890393376</v>
      </c>
      <c r="P14" s="174">
        <f t="shared" si="1"/>
        <v>0</v>
      </c>
      <c r="Q14" s="174">
        <f t="shared" si="2"/>
        <v>22.376227740498283</v>
      </c>
      <c r="R14" s="174">
        <f t="shared" ref="R14:R20" si="13">R13+Q14</f>
        <v>211.9287884444847</v>
      </c>
      <c r="S14" s="326">
        <f t="shared" si="10"/>
        <v>36.029490156635624</v>
      </c>
      <c r="T14" s="269">
        <f>+S14/'Capacity Delivered'!L14*1000</f>
        <v>4.1129554973328339</v>
      </c>
      <c r="U14" s="270">
        <f t="shared" si="3"/>
        <v>4.1129554973328344E-3</v>
      </c>
      <c r="W14" s="271">
        <f t="shared" si="11"/>
        <v>14.044871629335091</v>
      </c>
      <c r="X14" s="272">
        <f t="shared" si="4"/>
        <v>1.4044871629335091E-2</v>
      </c>
    </row>
    <row r="15" spans="1:24" s="44" customFormat="1" x14ac:dyDescent="0.25">
      <c r="B15" s="276"/>
      <c r="C15" s="277"/>
      <c r="D15" s="278">
        <f>D12*1.025^8</f>
        <v>33.298951188946049</v>
      </c>
      <c r="E15" s="267"/>
      <c r="F15" s="38">
        <f t="shared" si="12"/>
        <v>2028</v>
      </c>
      <c r="G15" s="37">
        <v>9</v>
      </c>
      <c r="H15" s="174">
        <f>'Capacity Delivered'!G15</f>
        <v>80.477938899565444</v>
      </c>
      <c r="I15" s="268">
        <f t="shared" si="5"/>
        <v>42.364517437432816</v>
      </c>
      <c r="J15" s="269">
        <f t="shared" si="6"/>
        <v>555.52973184666246</v>
      </c>
      <c r="K15" s="269">
        <f t="shared" si="7"/>
        <v>86.686337329175998</v>
      </c>
      <c r="L15" s="269">
        <f>+K15/'Capacity Delivered'!N16*1000</f>
        <v>9.895700608353426</v>
      </c>
      <c r="M15" s="270">
        <f t="shared" si="0"/>
        <v>9.8957006083534253E-3</v>
      </c>
      <c r="O15" s="174">
        <f t="shared" si="8"/>
        <v>40.571538612653214</v>
      </c>
      <c r="P15" s="174">
        <f t="shared" si="1"/>
        <v>0</v>
      </c>
      <c r="Q15" s="174">
        <f t="shared" si="2"/>
        <v>21.357326970863898</v>
      </c>
      <c r="R15" s="174">
        <f t="shared" si="13"/>
        <v>233.2861154153486</v>
      </c>
      <c r="S15" s="326">
        <f t="shared" si="10"/>
        <v>36.402586100809955</v>
      </c>
      <c r="T15" s="269">
        <f>+S15/'Capacity Delivered'!L15*1000</f>
        <v>4.1441924067406601</v>
      </c>
      <c r="U15" s="270">
        <f t="shared" si="3"/>
        <v>4.1441924067406599E-3</v>
      </c>
      <c r="W15" s="271">
        <f t="shared" si="11"/>
        <v>14.039893015094087</v>
      </c>
      <c r="X15" s="272">
        <f t="shared" si="4"/>
        <v>1.4039893015094087E-2</v>
      </c>
    </row>
    <row r="16" spans="1:24" s="44" customFormat="1" x14ac:dyDescent="0.25">
      <c r="B16" s="276"/>
      <c r="C16" s="277"/>
      <c r="D16" s="277"/>
      <c r="E16" s="267"/>
      <c r="F16" s="37">
        <f t="shared" si="12"/>
        <v>2029</v>
      </c>
      <c r="G16" s="37">
        <v>10</v>
      </c>
      <c r="H16" s="174">
        <f>'Capacity Delivered'!G16</f>
        <v>80.477938899565444</v>
      </c>
      <c r="I16" s="268">
        <f t="shared" si="5"/>
        <v>39.449220073966679</v>
      </c>
      <c r="J16" s="269">
        <f t="shared" si="6"/>
        <v>594.97895192062913</v>
      </c>
      <c r="K16" s="269">
        <f t="shared" si="7"/>
        <v>86.245199314359454</v>
      </c>
      <c r="L16" s="269">
        <f>+K16/'Capacity Delivered'!N17*1000</f>
        <v>9.8453423874839565</v>
      </c>
      <c r="M16" s="270">
        <f t="shared" si="0"/>
        <v>9.8453423874839564E-3</v>
      </c>
      <c r="N16" s="279"/>
      <c r="O16" s="174">
        <f t="shared" si="8"/>
        <v>41.585827077969547</v>
      </c>
      <c r="P16" s="174">
        <f t="shared" si="1"/>
        <v>0</v>
      </c>
      <c r="Q16" s="174">
        <f t="shared" si="2"/>
        <v>20.384821813144146</v>
      </c>
      <c r="R16" s="174">
        <f t="shared" si="13"/>
        <v>253.67093722849276</v>
      </c>
      <c r="S16" s="326">
        <f t="shared" si="10"/>
        <v>36.770881509183631</v>
      </c>
      <c r="T16" s="269">
        <f>+S16/'Capacity Delivered'!L16*1000</f>
        <v>4.1975892133771264</v>
      </c>
      <c r="U16" s="270">
        <f t="shared" si="3"/>
        <v>4.1975892133771266E-3</v>
      </c>
      <c r="V16" s="279"/>
      <c r="W16" s="271">
        <f t="shared" si="11"/>
        <v>14.042931600861083</v>
      </c>
      <c r="X16" s="272">
        <f t="shared" si="4"/>
        <v>1.4042931600861083E-2</v>
      </c>
    </row>
    <row r="17" spans="2:24" s="44" customFormat="1" x14ac:dyDescent="0.25">
      <c r="B17" s="276"/>
      <c r="C17" s="277"/>
      <c r="D17" s="277"/>
      <c r="E17" s="267"/>
      <c r="F17" s="38">
        <f t="shared" si="12"/>
        <v>2030</v>
      </c>
      <c r="G17" s="37">
        <v>11</v>
      </c>
      <c r="H17" s="174">
        <f>'Capacity Delivered'!G17</f>
        <v>80.477938899565444</v>
      </c>
      <c r="I17" s="268">
        <f t="shared" si="5"/>
        <v>36.734537735326079</v>
      </c>
      <c r="J17" s="269">
        <f t="shared" si="6"/>
        <v>631.71348965595519</v>
      </c>
      <c r="K17" s="269">
        <f t="shared" si="7"/>
        <v>85.887287501978889</v>
      </c>
      <c r="L17" s="269">
        <f>+K17/'Capacity Delivered'!N18*1000</f>
        <v>9.8044848746551256</v>
      </c>
      <c r="M17" s="270">
        <f t="shared" si="0"/>
        <v>9.8044848746551248E-3</v>
      </c>
      <c r="O17" s="174">
        <f t="shared" si="8"/>
        <v>42.625472754918789</v>
      </c>
      <c r="P17" s="174">
        <f t="shared" si="1"/>
        <v>0</v>
      </c>
      <c r="Q17" s="174">
        <f t="shared" si="2"/>
        <v>19.456599644727394</v>
      </c>
      <c r="R17" s="174">
        <f t="shared" si="13"/>
        <v>273.12753687322015</v>
      </c>
      <c r="S17" s="326">
        <f t="shared" si="10"/>
        <v>37.134213006775319</v>
      </c>
      <c r="T17" s="269">
        <f>+S17/'Capacity Delivered'!L17*1000</f>
        <v>4.2390654117323416</v>
      </c>
      <c r="U17" s="270">
        <f t="shared" si="3"/>
        <v>4.239065411732342E-3</v>
      </c>
      <c r="W17" s="271">
        <f t="shared" si="11"/>
        <v>14.043550286387468</v>
      </c>
      <c r="X17" s="272">
        <f t="shared" si="4"/>
        <v>1.4043550286387468E-2</v>
      </c>
    </row>
    <row r="18" spans="2:24" s="44" customFormat="1" x14ac:dyDescent="0.25">
      <c r="B18" s="277"/>
      <c r="C18" s="277"/>
      <c r="D18" s="277"/>
      <c r="E18" s="267"/>
      <c r="F18" s="38">
        <f t="shared" si="12"/>
        <v>2031</v>
      </c>
      <c r="G18" s="37">
        <v>12</v>
      </c>
      <c r="H18" s="174">
        <f>'Capacity Delivered'!G18</f>
        <v>84.157096346974001</v>
      </c>
      <c r="I18" s="268">
        <f t="shared" si="5"/>
        <v>35.770468982050723</v>
      </c>
      <c r="J18" s="269">
        <f t="shared" si="6"/>
        <v>667.4839586380059</v>
      </c>
      <c r="K18" s="269">
        <f t="shared" si="7"/>
        <v>85.792764434276876</v>
      </c>
      <c r="L18" s="269">
        <f>+K18/'Capacity Delivered'!N19*1000</f>
        <v>9.7669358417892624</v>
      </c>
      <c r="M18" s="270">
        <f t="shared" si="0"/>
        <v>9.7669358417892625E-3</v>
      </c>
      <c r="O18" s="174">
        <f t="shared" si="8"/>
        <v>43.691109573791756</v>
      </c>
      <c r="P18" s="174">
        <f t="shared" si="1"/>
        <v>0</v>
      </c>
      <c r="Q18" s="174">
        <f t="shared" si="2"/>
        <v>18.570644041200836</v>
      </c>
      <c r="R18" s="174">
        <f t="shared" si="13"/>
        <v>291.69818091442096</v>
      </c>
      <c r="S18" s="326">
        <f t="shared" si="10"/>
        <v>37.492426592786522</v>
      </c>
      <c r="T18" s="269">
        <f>+S18/'Capacity Delivered'!L18*1000</f>
        <v>4.2799573736057672</v>
      </c>
      <c r="U18" s="270">
        <f t="shared" si="3"/>
        <v>4.279957373605767E-3</v>
      </c>
      <c r="W18" s="271">
        <f t="shared" si="11"/>
        <v>14.046893215395031</v>
      </c>
      <c r="X18" s="272">
        <f t="shared" si="4"/>
        <v>1.4046893215395031E-2</v>
      </c>
    </row>
    <row r="19" spans="2:24" s="44" customFormat="1" x14ac:dyDescent="0.25">
      <c r="B19" s="277"/>
      <c r="C19" s="277"/>
      <c r="D19" s="277"/>
      <c r="E19" s="192"/>
      <c r="F19" s="38">
        <f t="shared" si="12"/>
        <v>2032</v>
      </c>
      <c r="G19" s="37">
        <v>13</v>
      </c>
      <c r="H19" s="174">
        <f>'Capacity Delivered'!G19</f>
        <v>84.157096346974001</v>
      </c>
      <c r="I19" s="268">
        <f t="shared" si="5"/>
        <v>33.308938431931011</v>
      </c>
      <c r="J19" s="269">
        <f t="shared" si="6"/>
        <v>700.79289706993688</v>
      </c>
      <c r="K19" s="269">
        <f t="shared" si="7"/>
        <v>85.713582667781424</v>
      </c>
      <c r="L19" s="269">
        <f>+K19/'Capacity Delivered'!N20*1000</f>
        <v>9.7846555556828108</v>
      </c>
      <c r="M19" s="270">
        <f t="shared" si="0"/>
        <v>9.7846555556828103E-3</v>
      </c>
      <c r="O19" s="174">
        <f t="shared" si="8"/>
        <v>44.783387313136551</v>
      </c>
      <c r="P19" s="174">
        <f t="shared" si="1"/>
        <v>0</v>
      </c>
      <c r="Q19" s="174">
        <f t="shared" si="2"/>
        <v>17.725030395968759</v>
      </c>
      <c r="R19" s="174">
        <f t="shared" si="13"/>
        <v>309.42321131038972</v>
      </c>
      <c r="S19" s="326">
        <f t="shared" si="10"/>
        <v>37.845377875364946</v>
      </c>
      <c r="T19" s="269">
        <f>+S19/'Capacity Delivered'!L19*1000</f>
        <v>4.3084446579422755</v>
      </c>
      <c r="U19" s="270">
        <f t="shared" si="3"/>
        <v>4.3084446579422751E-3</v>
      </c>
      <c r="W19" s="271">
        <f t="shared" si="11"/>
        <v>14.093100213625085</v>
      </c>
      <c r="X19" s="272">
        <f t="shared" si="4"/>
        <v>1.4093100213625085E-2</v>
      </c>
    </row>
    <row r="20" spans="2:24" s="44" customFormat="1" x14ac:dyDescent="0.25">
      <c r="B20" s="277"/>
      <c r="C20" s="277"/>
      <c r="D20" s="277"/>
      <c r="E20" s="192"/>
      <c r="F20" s="38">
        <f t="shared" si="12"/>
        <v>2033</v>
      </c>
      <c r="G20" s="37">
        <v>14</v>
      </c>
      <c r="H20" s="174">
        <f>'Capacity Delivered'!G20</f>
        <v>84.157096346974001</v>
      </c>
      <c r="I20" s="268">
        <f t="shared" si="5"/>
        <v>31.01679712443525</v>
      </c>
      <c r="J20" s="269">
        <f t="shared" si="6"/>
        <v>731.80969419437213</v>
      </c>
      <c r="K20" s="269">
        <f t="shared" si="7"/>
        <v>85.646445548821404</v>
      </c>
      <c r="L20" s="269">
        <f>+K20/'Capacity Delivered'!N21*1000</f>
        <v>9.776991501007009</v>
      </c>
      <c r="M20" s="270">
        <f t="shared" si="0"/>
        <v>9.776991501007009E-3</v>
      </c>
      <c r="O20" s="174">
        <f t="shared" si="8"/>
        <v>45.902971995964961</v>
      </c>
      <c r="P20" s="174">
        <f t="shared" si="1"/>
        <v>0</v>
      </c>
      <c r="Q20" s="174">
        <f t="shared" si="2"/>
        <v>16.917921739331391</v>
      </c>
      <c r="R20" s="174">
        <f t="shared" si="13"/>
        <v>326.34113304972112</v>
      </c>
      <c r="S20" s="326">
        <f t="shared" si="10"/>
        <v>38.19293226615823</v>
      </c>
      <c r="T20" s="269">
        <f>+S20/'Capacity Delivered'!L20*1000</f>
        <v>4.3599237746755968</v>
      </c>
      <c r="U20" s="270">
        <f t="shared" si="3"/>
        <v>4.359923774675597E-3</v>
      </c>
      <c r="W20" s="271">
        <f t="shared" si="11"/>
        <v>14.136915275682606</v>
      </c>
      <c r="X20" s="272">
        <f t="shared" si="4"/>
        <v>1.4136915275682605E-2</v>
      </c>
    </row>
    <row r="21" spans="2:24" s="279" customFormat="1" x14ac:dyDescent="0.25">
      <c r="B21" s="277"/>
      <c r="C21" s="277"/>
      <c r="D21" s="277"/>
      <c r="E21" s="192"/>
      <c r="F21" s="37">
        <f t="shared" si="12"/>
        <v>2034</v>
      </c>
      <c r="G21" s="37">
        <v>15</v>
      </c>
      <c r="H21" s="174">
        <f>'Capacity Delivered'!G21</f>
        <v>88.306829270347322</v>
      </c>
      <c r="I21" s="268">
        <f t="shared" si="5"/>
        <v>30.306560828470523</v>
      </c>
      <c r="J21" s="269">
        <f>J20+I21</f>
        <v>762.11625502284267</v>
      </c>
      <c r="K21" s="269">
        <f t="shared" si="7"/>
        <v>85.74917509563447</v>
      </c>
      <c r="L21" s="269">
        <f>+K21/'Capacity Delivered'!N22*1000</f>
        <v>9.788718618223113</v>
      </c>
      <c r="M21" s="270">
        <f>L21/1000</f>
        <v>9.7887186182231134E-3</v>
      </c>
      <c r="O21" s="174">
        <f t="shared" si="8"/>
        <v>47.050546295864088</v>
      </c>
      <c r="P21" s="174">
        <f t="shared" si="1"/>
        <v>0</v>
      </c>
      <c r="Q21" s="174">
        <f t="shared" si="2"/>
        <v>16.147564747941779</v>
      </c>
      <c r="R21" s="174">
        <f>R20+Q21</f>
        <v>342.48869779766289</v>
      </c>
      <c r="S21" s="326">
        <f t="shared" si="10"/>
        <v>38.534965134482526</v>
      </c>
      <c r="T21" s="269">
        <f>+S21/'Capacity Delivered'!L21*1000</f>
        <v>4.3989686226578222</v>
      </c>
      <c r="U21" s="270">
        <f>T21/1000</f>
        <v>4.3989686226578225E-3</v>
      </c>
      <c r="W21" s="271">
        <f t="shared" si="11"/>
        <v>14.187687240880935</v>
      </c>
      <c r="X21" s="272">
        <f>W21/1000</f>
        <v>1.4187687240880936E-2</v>
      </c>
    </row>
    <row r="22" spans="2:24" s="44" customFormat="1" x14ac:dyDescent="0.25">
      <c r="B22" s="277"/>
      <c r="C22" s="277"/>
      <c r="D22" s="277"/>
      <c r="E22" s="192"/>
      <c r="F22" s="38">
        <f t="shared" si="12"/>
        <v>2035</v>
      </c>
      <c r="G22" s="37">
        <v>16</v>
      </c>
      <c r="H22" s="174">
        <f>'Capacity Delivered'!G22</f>
        <v>88.306829270347322</v>
      </c>
      <c r="I22" s="268">
        <f t="shared" si="5"/>
        <v>28.221026937769366</v>
      </c>
      <c r="J22" s="269">
        <f t="shared" si="6"/>
        <v>790.33728196061202</v>
      </c>
      <c r="K22" s="269">
        <f t="shared" si="7"/>
        <v>85.837949385982327</v>
      </c>
      <c r="L22" s="269">
        <f>+K22/'Capacity Delivered'!N23*1000</f>
        <v>9.7720798481309572</v>
      </c>
      <c r="M22" s="270">
        <f t="shared" si="0"/>
        <v>9.7720798481309573E-3</v>
      </c>
      <c r="O22" s="174">
        <f t="shared" si="8"/>
        <v>48.226809953260691</v>
      </c>
      <c r="P22" s="174">
        <f t="shared" si="1"/>
        <v>0</v>
      </c>
      <c r="Q22" s="174">
        <f t="shared" si="2"/>
        <v>15.41228593597199</v>
      </c>
      <c r="R22" s="174">
        <f t="shared" ref="R22:R27" si="14">R21+Q22</f>
        <v>357.90098373363486</v>
      </c>
      <c r="S22" s="326">
        <f t="shared" si="10"/>
        <v>38.871361921215936</v>
      </c>
      <c r="T22" s="269">
        <f>+S22/'Capacity Delivered'!L22*1000</f>
        <v>4.4373700823305864</v>
      </c>
      <c r="U22" s="270">
        <f t="shared" ref="U22:U27" si="15">T22/1000</f>
        <v>4.4373700823305863E-3</v>
      </c>
      <c r="W22" s="271">
        <f t="shared" si="11"/>
        <v>14.209449930461544</v>
      </c>
      <c r="X22" s="272">
        <f t="shared" ref="X22:X27" si="16">W22/1000</f>
        <v>1.4209449930461544E-2</v>
      </c>
    </row>
    <row r="23" spans="2:24" s="44" customFormat="1" x14ac:dyDescent="0.25">
      <c r="B23" s="277"/>
      <c r="C23" s="277"/>
      <c r="D23" s="277"/>
      <c r="E23" s="192"/>
      <c r="F23" s="38">
        <f t="shared" si="12"/>
        <v>2036</v>
      </c>
      <c r="G23" s="37">
        <v>17</v>
      </c>
      <c r="H23" s="174">
        <f>'Capacity Delivered'!G23</f>
        <v>91.089450907608253</v>
      </c>
      <c r="I23" s="268">
        <f t="shared" si="5"/>
        <v>27.107081635811184</v>
      </c>
      <c r="J23" s="269">
        <f t="shared" si="6"/>
        <v>817.44436359642316</v>
      </c>
      <c r="K23" s="269">
        <f t="shared" si="7"/>
        <v>86.002367771633317</v>
      </c>
      <c r="L23" s="269">
        <f>+K23/'Capacity Delivered'!N24*1000</f>
        <v>9.8176218917389626</v>
      </c>
      <c r="M23" s="270">
        <f t="shared" si="0"/>
        <v>9.8176218917389625E-3</v>
      </c>
      <c r="O23" s="174">
        <f t="shared" si="8"/>
        <v>49.432480202092208</v>
      </c>
      <c r="P23" s="174">
        <f t="shared" si="1"/>
        <v>0</v>
      </c>
      <c r="Q23" s="174">
        <f t="shared" si="2"/>
        <v>14.710488019714395</v>
      </c>
      <c r="R23" s="174">
        <f t="shared" si="14"/>
        <v>372.61147175334924</v>
      </c>
      <c r="S23" s="326">
        <f t="shared" si="10"/>
        <v>39.202018212804177</v>
      </c>
      <c r="T23" s="269">
        <f>+S23/'Capacity Delivered'!L23*1000</f>
        <v>4.4628891408019324</v>
      </c>
      <c r="U23" s="270">
        <f t="shared" si="15"/>
        <v>4.462889140801932E-3</v>
      </c>
      <c r="W23" s="271">
        <f t="shared" si="11"/>
        <v>14.280511032540895</v>
      </c>
      <c r="X23" s="272">
        <f t="shared" si="16"/>
        <v>1.4280511032540895E-2</v>
      </c>
    </row>
    <row r="24" spans="2:24" s="44" customFormat="1" x14ac:dyDescent="0.25">
      <c r="B24" s="277"/>
      <c r="C24" s="277"/>
      <c r="D24" s="277"/>
      <c r="E24" s="192"/>
      <c r="F24" s="38">
        <f t="shared" si="12"/>
        <v>2037</v>
      </c>
      <c r="G24" s="37">
        <v>18</v>
      </c>
      <c r="H24" s="174">
        <f>'Capacity Delivered'!G24</f>
        <v>91.089450907608253</v>
      </c>
      <c r="I24" s="268">
        <f t="shared" si="5"/>
        <v>25.241718629119269</v>
      </c>
      <c r="J24" s="269">
        <f t="shared" si="6"/>
        <v>842.68608222554246</v>
      </c>
      <c r="K24" s="269">
        <f t="shared" si="7"/>
        <v>86.146476860366718</v>
      </c>
      <c r="L24" s="269">
        <f>+K24/'Capacity Delivered'!N25*1000</f>
        <v>9.8340727009551046</v>
      </c>
      <c r="M24" s="270">
        <f t="shared" si="0"/>
        <v>9.834072700955104E-3</v>
      </c>
      <c r="O24" s="174">
        <f t="shared" si="8"/>
        <v>50.668292207144511</v>
      </c>
      <c r="P24" s="174">
        <f t="shared" si="1"/>
        <v>0</v>
      </c>
      <c r="Q24" s="174">
        <f t="shared" si="2"/>
        <v>14.040646447720695</v>
      </c>
      <c r="R24" s="174">
        <f t="shared" si="14"/>
        <v>386.65211820106992</v>
      </c>
      <c r="S24" s="326">
        <f t="shared" si="10"/>
        <v>39.526839776030933</v>
      </c>
      <c r="T24" s="269">
        <f>+S24/'Capacity Delivered'!L24*1000</f>
        <v>4.5121963214647183</v>
      </c>
      <c r="U24" s="270">
        <f t="shared" si="15"/>
        <v>4.5121963214647181E-3</v>
      </c>
      <c r="W24" s="271">
        <f t="shared" si="11"/>
        <v>14.346269022419822</v>
      </c>
      <c r="X24" s="272">
        <f t="shared" si="16"/>
        <v>1.4346269022419821E-2</v>
      </c>
    </row>
    <row r="25" spans="2:24" s="44" customFormat="1" x14ac:dyDescent="0.25">
      <c r="B25" s="277"/>
      <c r="C25" s="277"/>
      <c r="D25" s="277"/>
      <c r="E25" s="192"/>
      <c r="F25" s="38">
        <f t="shared" si="12"/>
        <v>2038</v>
      </c>
      <c r="G25" s="37">
        <v>19</v>
      </c>
      <c r="H25" s="174">
        <f>'Capacity Delivered'!G25</f>
        <v>91.089450907608253</v>
      </c>
      <c r="I25" s="268">
        <f t="shared" si="5"/>
        <v>23.504719833428879</v>
      </c>
      <c r="J25" s="269">
        <f t="shared" si="6"/>
        <v>866.19080205897137</v>
      </c>
      <c r="K25" s="269">
        <f t="shared" si="7"/>
        <v>86.27351650128449</v>
      </c>
      <c r="L25" s="269">
        <f>+K25/'Capacity Delivered'!N26*1000</f>
        <v>9.8485749430690053</v>
      </c>
      <c r="M25" s="270">
        <f t="shared" si="0"/>
        <v>9.8485749430690054E-3</v>
      </c>
      <c r="O25" s="174">
        <f t="shared" si="8"/>
        <v>51.934999512323124</v>
      </c>
      <c r="P25" s="174">
        <f t="shared" si="1"/>
        <v>0</v>
      </c>
      <c r="Q25" s="174">
        <f t="shared" si="2"/>
        <v>13.401306088940974</v>
      </c>
      <c r="R25" s="174">
        <f t="shared" si="14"/>
        <v>400.05342429001092</v>
      </c>
      <c r="S25" s="326">
        <f t="shared" si="10"/>
        <v>39.845742554456109</v>
      </c>
      <c r="T25" s="269">
        <f>+S25/'Capacity Delivered'!L25*1000</f>
        <v>4.5486007482255832</v>
      </c>
      <c r="U25" s="270">
        <f t="shared" si="15"/>
        <v>4.5486007482255829E-3</v>
      </c>
      <c r="W25" s="271">
        <f t="shared" si="11"/>
        <v>14.397175691294589</v>
      </c>
      <c r="X25" s="272">
        <f t="shared" si="16"/>
        <v>1.4397175691294589E-2</v>
      </c>
    </row>
    <row r="26" spans="2:24" x14ac:dyDescent="0.25">
      <c r="B26" s="175"/>
      <c r="C26" s="175"/>
      <c r="D26" s="175"/>
      <c r="E26" s="52"/>
      <c r="F26" s="38">
        <f t="shared" si="12"/>
        <v>2039</v>
      </c>
      <c r="G26" s="39">
        <v>20</v>
      </c>
      <c r="H26" s="174">
        <f>'Capacity Delivered'!G26</f>
        <v>91.089450907608253</v>
      </c>
      <c r="I26" s="40">
        <f t="shared" si="5"/>
        <v>21.887251916778915</v>
      </c>
      <c r="J26" s="41">
        <f t="shared" si="6"/>
        <v>888.07805397575032</v>
      </c>
      <c r="K26" s="41">
        <f t="shared" si="7"/>
        <v>86.386079678531956</v>
      </c>
      <c r="L26" s="41">
        <f>+K26/'Capacity Delivered'!N27*1000</f>
        <v>9.8344808377199406</v>
      </c>
      <c r="M26" s="248">
        <f t="shared" si="0"/>
        <v>9.8344808377199399E-3</v>
      </c>
      <c r="O26" s="174">
        <f t="shared" si="8"/>
        <v>53.233374500131205</v>
      </c>
      <c r="P26" s="174">
        <f t="shared" si="1"/>
        <v>0</v>
      </c>
      <c r="Q26" s="174">
        <f t="shared" si="2"/>
        <v>12.791078071668217</v>
      </c>
      <c r="R26" s="174">
        <f t="shared" si="14"/>
        <v>412.84450236167913</v>
      </c>
      <c r="S26" s="326">
        <f t="shared" si="10"/>
        <v>40.158652627659379</v>
      </c>
      <c r="T26" s="41">
        <f>+S26/'Capacity Delivered'!L26*1000</f>
        <v>4.5843210762168241</v>
      </c>
      <c r="U26" s="248">
        <f t="shared" si="15"/>
        <v>4.5843210762168242E-3</v>
      </c>
      <c r="W26" s="255">
        <f t="shared" si="11"/>
        <v>14.418801913936765</v>
      </c>
      <c r="X26" s="256">
        <f t="shared" si="16"/>
        <v>1.4418801913936765E-2</v>
      </c>
    </row>
    <row r="27" spans="2:24" s="44" customFormat="1" ht="15.6" thickBot="1" x14ac:dyDescent="0.3">
      <c r="F27" s="38">
        <f t="shared" si="12"/>
        <v>2040</v>
      </c>
      <c r="G27" s="37">
        <v>21</v>
      </c>
      <c r="H27" s="174">
        <f>'Capacity Delivered'!G27</f>
        <v>91.089450907608253</v>
      </c>
      <c r="I27" s="40">
        <f t="shared" si="5"/>
        <v>20.381089409422579</v>
      </c>
      <c r="J27" s="41">
        <f t="shared" ref="J27" si="17">J26+I27</f>
        <v>908.45914338517287</v>
      </c>
      <c r="K27" s="41">
        <f t="shared" si="7"/>
        <v>86.486266435137736</v>
      </c>
      <c r="L27" s="41">
        <f>+K27/'Capacity Delivered'!N28*1000</f>
        <v>9.8728614651983708</v>
      </c>
      <c r="M27" s="248">
        <f t="shared" si="0"/>
        <v>9.8728614651983713E-3</v>
      </c>
      <c r="O27" s="174">
        <f t="shared" si="8"/>
        <v>54.564208862634487</v>
      </c>
      <c r="P27" s="174">
        <f t="shared" si="1"/>
        <v>0</v>
      </c>
      <c r="Q27" s="174">
        <f t="shared" si="2"/>
        <v>12.20863676642138</v>
      </c>
      <c r="R27" s="174">
        <f t="shared" si="14"/>
        <v>425.0531391281005</v>
      </c>
      <c r="S27" s="326">
        <f t="shared" si="10"/>
        <v>40.465506134642268</v>
      </c>
      <c r="T27" s="41">
        <f>+S27/'Capacity Delivered'!L27*1000</f>
        <v>4.6067288404647391</v>
      </c>
      <c r="U27" s="248">
        <f t="shared" si="15"/>
        <v>4.6067288404647386E-3</v>
      </c>
      <c r="W27" s="257">
        <f t="shared" si="11"/>
        <v>14.479590305663109</v>
      </c>
      <c r="X27" s="258">
        <f t="shared" si="16"/>
        <v>1.4479590305663108E-2</v>
      </c>
    </row>
    <row r="28" spans="2:24" s="44" customFormat="1" x14ac:dyDescent="0.25">
      <c r="C28" s="21"/>
      <c r="F28" s="38"/>
      <c r="G28" s="37"/>
      <c r="H28" s="177"/>
      <c r="I28" s="55"/>
      <c r="J28" s="56"/>
      <c r="K28" s="48"/>
      <c r="L28" s="48"/>
      <c r="M28" s="48"/>
      <c r="O28" s="178"/>
      <c r="P28" s="54"/>
      <c r="Q28" s="55"/>
      <c r="R28" s="56"/>
      <c r="S28" s="48"/>
      <c r="T28" s="48"/>
      <c r="U28" s="48"/>
      <c r="W28" s="48"/>
      <c r="X28" s="48"/>
    </row>
    <row r="29" spans="2:24" x14ac:dyDescent="0.25">
      <c r="B29" s="31"/>
      <c r="C29" s="21"/>
      <c r="D29" s="44"/>
      <c r="E29" s="44"/>
      <c r="F29" s="31"/>
      <c r="G29" s="37"/>
      <c r="H29" s="177"/>
      <c r="I29" s="31"/>
      <c r="J29" s="31"/>
      <c r="K29" s="31"/>
      <c r="L29" s="31"/>
      <c r="M29" s="31"/>
      <c r="O29" s="178"/>
      <c r="P29" s="54"/>
      <c r="Q29" s="31"/>
      <c r="R29" s="31"/>
      <c r="S29" s="31"/>
      <c r="T29" s="31"/>
      <c r="U29" s="31"/>
      <c r="W29" s="31"/>
      <c r="X29" s="31"/>
    </row>
    <row r="30" spans="2:24" s="44" customFormat="1" ht="51.75" customHeight="1" x14ac:dyDescent="0.25">
      <c r="B30" s="332" t="s">
        <v>118</v>
      </c>
      <c r="C30" s="332"/>
      <c r="D30" s="332"/>
      <c r="E30" s="332"/>
      <c r="F30" s="332"/>
      <c r="G30" s="332"/>
      <c r="H30" s="332"/>
      <c r="I30" s="332"/>
      <c r="J30" s="332"/>
      <c r="K30" s="332"/>
      <c r="L30" s="332"/>
      <c r="M30" s="332"/>
      <c r="Q30" s="246"/>
      <c r="R30" s="246"/>
    </row>
  </sheetData>
  <mergeCells count="1">
    <mergeCell ref="B30:M30"/>
  </mergeCells>
  <phoneticPr fontId="13" type="noConversion"/>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5121" r:id="rId5" name="Control 1">
          <controlPr defaultSize="0" r:id="rId6">
            <anchor moveWithCells="1">
              <from>
                <xdr:col>6</xdr:col>
                <xdr:colOff>571500</xdr:colOff>
                <xdr:row>2</xdr:row>
                <xdr:rowOff>45720</xdr:rowOff>
              </from>
              <to>
                <xdr:col>6</xdr:col>
                <xdr:colOff>792480</xdr:colOff>
                <xdr:row>3</xdr:row>
                <xdr:rowOff>68580</xdr:rowOff>
              </to>
            </anchor>
          </controlPr>
        </control>
      </mc:Choice>
      <mc:Fallback>
        <control shapeId="5121" r:id="rId5" name="Control 1"/>
      </mc:Fallback>
    </mc:AlternateContent>
    <mc:AlternateContent xmlns:mc="http://schemas.openxmlformats.org/markup-compatibility/2006">
      <mc:Choice Requires="x14">
        <control shapeId="5122" r:id="rId7" name="Control 2">
          <controlPr defaultSize="0" r:id="rId8">
            <anchor moveWithCells="1">
              <from>
                <xdr:col>6</xdr:col>
                <xdr:colOff>571500</xdr:colOff>
                <xdr:row>2</xdr:row>
                <xdr:rowOff>45720</xdr:rowOff>
              </from>
              <to>
                <xdr:col>7</xdr:col>
                <xdr:colOff>167640</xdr:colOff>
                <xdr:row>3</xdr:row>
                <xdr:rowOff>68580</xdr:rowOff>
              </to>
            </anchor>
          </controlPr>
        </control>
      </mc:Choice>
      <mc:Fallback>
        <control shapeId="5122" r:id="rId7" name="Control 2"/>
      </mc:Fallback>
    </mc:AlternateContent>
    <mc:AlternateContent xmlns:mc="http://schemas.openxmlformats.org/markup-compatibility/2006">
      <mc:Choice Requires="x14">
        <control shapeId="5123" r:id="rId9" name="Control 3">
          <controlPr defaultSize="0" r:id="rId10">
            <anchor moveWithCells="1">
              <from>
                <xdr:col>6</xdr:col>
                <xdr:colOff>571500</xdr:colOff>
                <xdr:row>2</xdr:row>
                <xdr:rowOff>45720</xdr:rowOff>
              </from>
              <to>
                <xdr:col>7</xdr:col>
                <xdr:colOff>167640</xdr:colOff>
                <xdr:row>3</xdr:row>
                <xdr:rowOff>68580</xdr:rowOff>
              </to>
            </anchor>
          </controlPr>
        </control>
      </mc:Choice>
      <mc:Fallback>
        <control shapeId="5123" r:id="rId9" name="Control 3"/>
      </mc:Fallback>
    </mc:AlternateContent>
    <mc:AlternateContent xmlns:mc="http://schemas.openxmlformats.org/markup-compatibility/2006">
      <mc:Choice Requires="x14">
        <control shapeId="5124" r:id="rId11" name="Control 4">
          <controlPr defaultSize="0" r:id="rId12">
            <anchor moveWithCells="1">
              <from>
                <xdr:col>6</xdr:col>
                <xdr:colOff>571500</xdr:colOff>
                <xdr:row>2</xdr:row>
                <xdr:rowOff>45720</xdr:rowOff>
              </from>
              <to>
                <xdr:col>7</xdr:col>
                <xdr:colOff>228600</xdr:colOff>
                <xdr:row>3</xdr:row>
                <xdr:rowOff>152400</xdr:rowOff>
              </to>
            </anchor>
          </controlPr>
        </control>
      </mc:Choice>
      <mc:Fallback>
        <control shapeId="5124" r:id="rId11" name="Control 4"/>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X30"/>
  <sheetViews>
    <sheetView topLeftCell="A4" workbookViewId="0">
      <selection activeCell="K7" sqref="K7"/>
    </sheetView>
  </sheetViews>
  <sheetFormatPr defaultColWidth="9.109375" defaultRowHeight="15" x14ac:dyDescent="0.25"/>
  <cols>
    <col min="1" max="1" width="2.6640625" style="33" customWidth="1"/>
    <col min="2" max="2" width="25.6640625" style="33" customWidth="1"/>
    <col min="3" max="3" width="17.44140625" style="33" customWidth="1"/>
    <col min="4" max="4" width="15.5546875" style="33" customWidth="1"/>
    <col min="5" max="5" width="2.6640625" style="33" customWidth="1"/>
    <col min="6" max="6" width="9.6640625" style="33" customWidth="1"/>
    <col min="7" max="7" width="16.6640625" style="33" customWidth="1"/>
    <col min="8" max="8" width="16.44140625" style="44" customWidth="1"/>
    <col min="9" max="9" width="18.5546875" style="33" customWidth="1"/>
    <col min="10" max="10" width="19" style="33" customWidth="1"/>
    <col min="11" max="13" width="22.33203125" style="33" customWidth="1"/>
    <col min="14" max="14" width="2.6640625" style="33" customWidth="1"/>
    <col min="15" max="15" width="16.44140625" style="44" customWidth="1"/>
    <col min="16" max="16" width="16.6640625" style="171" customWidth="1"/>
    <col min="17" max="17" width="18.5546875" style="33" customWidth="1"/>
    <col min="18" max="18" width="19" style="33" customWidth="1"/>
    <col min="19" max="21" width="22.33203125" style="33" customWidth="1"/>
    <col min="22" max="22" width="2.6640625" style="33" customWidth="1"/>
    <col min="23" max="24" width="22.33203125" style="33" customWidth="1"/>
    <col min="25" max="16384" width="9.109375" style="33"/>
  </cols>
  <sheetData>
    <row r="1" spans="1:24" x14ac:dyDescent="0.25">
      <c r="B1" s="14"/>
    </row>
    <row r="3" spans="1:24" ht="16.2" thickBot="1" x14ac:dyDescent="0.35">
      <c r="H3" s="167"/>
    </row>
    <row r="4" spans="1:24" ht="62.4" x14ac:dyDescent="0.3">
      <c r="F4" s="15" t="s">
        <v>15</v>
      </c>
      <c r="G4" s="16" t="s">
        <v>1</v>
      </c>
      <c r="H4" s="17" t="s">
        <v>16</v>
      </c>
      <c r="I4" s="16" t="s">
        <v>17</v>
      </c>
      <c r="J4" s="16" t="s">
        <v>18</v>
      </c>
      <c r="K4" s="3" t="s">
        <v>19</v>
      </c>
      <c r="L4" s="3" t="s">
        <v>19</v>
      </c>
      <c r="M4" s="3" t="s">
        <v>19</v>
      </c>
      <c r="O4" s="17" t="s">
        <v>80</v>
      </c>
      <c r="P4" s="17" t="s">
        <v>57</v>
      </c>
      <c r="Q4" s="16" t="s">
        <v>17</v>
      </c>
      <c r="R4" s="16" t="s">
        <v>18</v>
      </c>
      <c r="S4" s="3" t="s">
        <v>19</v>
      </c>
      <c r="T4" s="3" t="s">
        <v>19</v>
      </c>
      <c r="U4" s="3" t="s">
        <v>19</v>
      </c>
      <c r="W4" s="249" t="s">
        <v>19</v>
      </c>
      <c r="X4" s="250" t="s">
        <v>19</v>
      </c>
    </row>
    <row r="5" spans="1:24" ht="15.6" x14ac:dyDescent="0.3">
      <c r="B5" s="50"/>
      <c r="C5" s="50"/>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251" t="s">
        <v>38</v>
      </c>
      <c r="X5" s="252" t="s">
        <v>39</v>
      </c>
    </row>
    <row r="6" spans="1:24" s="44" customFormat="1" ht="15.6" x14ac:dyDescent="0.3">
      <c r="A6" s="172"/>
      <c r="B6" s="172"/>
      <c r="C6" s="165" t="s">
        <v>21</v>
      </c>
      <c r="D6" s="203">
        <v>27.33</v>
      </c>
      <c r="E6" s="45"/>
      <c r="F6" s="170" t="s">
        <v>22</v>
      </c>
      <c r="G6" s="170" t="s">
        <v>23</v>
      </c>
      <c r="H6" s="170" t="s">
        <v>24</v>
      </c>
      <c r="I6" s="170" t="s">
        <v>32</v>
      </c>
      <c r="J6" s="170" t="s">
        <v>27</v>
      </c>
      <c r="K6" s="170" t="s">
        <v>28</v>
      </c>
      <c r="L6" s="170" t="s">
        <v>40</v>
      </c>
      <c r="M6" s="170" t="s">
        <v>79</v>
      </c>
      <c r="O6" s="170" t="s">
        <v>25</v>
      </c>
      <c r="P6" s="170" t="s">
        <v>26</v>
      </c>
      <c r="Q6" s="170" t="s">
        <v>32</v>
      </c>
      <c r="R6" s="170" t="s">
        <v>27</v>
      </c>
      <c r="S6" s="170" t="s">
        <v>28</v>
      </c>
      <c r="T6" s="170" t="s">
        <v>40</v>
      </c>
      <c r="U6" s="170" t="s">
        <v>79</v>
      </c>
      <c r="W6" s="253" t="s">
        <v>40</v>
      </c>
      <c r="X6" s="254" t="s">
        <v>79</v>
      </c>
    </row>
    <row r="7" spans="1:24" s="44" customFormat="1" ht="15.6" x14ac:dyDescent="0.3">
      <c r="A7" s="172"/>
      <c r="B7" s="172"/>
      <c r="C7" s="165" t="s">
        <v>29</v>
      </c>
      <c r="D7" s="46">
        <v>0</v>
      </c>
      <c r="E7" s="267"/>
      <c r="F7" s="173">
        <f>'Baseload Avoided Capacity Calcs'!F7</f>
        <v>2020</v>
      </c>
      <c r="G7" s="280">
        <v>1</v>
      </c>
      <c r="H7" s="174">
        <f>'Capacity Delivered'!H7</f>
        <v>14.24</v>
      </c>
      <c r="I7" s="275">
        <f t="shared" ref="I7:I27" si="0">SUM(H7)/((1+$D$8)^G7)</f>
        <v>13.260080081944315</v>
      </c>
      <c r="J7" s="281">
        <f>I7</f>
        <v>13.260080081944315</v>
      </c>
      <c r="K7" s="281">
        <f>(-PMT($D$8,G7,(J7)))</f>
        <v>14.239999999999998</v>
      </c>
      <c r="L7" s="281">
        <f>+K7/'Capacity Delivered'!P8*1000</f>
        <v>5.4185692541856927</v>
      </c>
      <c r="M7" s="282">
        <f t="shared" ref="M7:M27" si="1">L7/1000</f>
        <v>5.4185692541856923E-3</v>
      </c>
      <c r="O7" s="179">
        <f>D13</f>
        <v>33.298951188946049</v>
      </c>
      <c r="P7" s="179">
        <f t="shared" ref="P7:P27" si="2">(H7+O7)*$D$7</f>
        <v>0</v>
      </c>
      <c r="Q7" s="179">
        <f t="shared" ref="Q7:Q27" si="3">SUM(O7:P7)/((1+$D$8)^G7)</f>
        <v>31.007497149591252</v>
      </c>
      <c r="R7" s="179">
        <f>Q7</f>
        <v>31.007497149591252</v>
      </c>
      <c r="S7" s="326">
        <f>(-PMT($D$8,G7,(R7)))</f>
        <v>33.298951188946042</v>
      </c>
      <c r="T7" s="281">
        <f>+S7/'Capacity Delivered'!L7*1000</f>
        <v>3.7908642063918534</v>
      </c>
      <c r="U7" s="282">
        <f t="shared" ref="U7:U20" si="4">T7/1000</f>
        <v>3.7908642063918534E-3</v>
      </c>
      <c r="W7" s="271">
        <f>L7+T7</f>
        <v>9.2094334605775465</v>
      </c>
      <c r="X7" s="272">
        <f t="shared" ref="X7:X20" si="5">W7/1000</f>
        <v>9.2094334605775461E-3</v>
      </c>
    </row>
    <row r="8" spans="1:24" s="44" customFormat="1" ht="15.6" x14ac:dyDescent="0.3">
      <c r="A8" s="172"/>
      <c r="B8" s="172"/>
      <c r="C8" s="165" t="s">
        <v>33</v>
      </c>
      <c r="D8" s="46">
        <f>Rate_of_Return</f>
        <v>7.3899999999999993E-2</v>
      </c>
      <c r="E8" s="267"/>
      <c r="F8" s="173">
        <f>'Baseload Avoided Capacity Calcs'!F8</f>
        <v>2021</v>
      </c>
      <c r="G8" s="37">
        <v>2</v>
      </c>
      <c r="H8" s="174">
        <f>'Capacity Delivered'!H8</f>
        <v>14.24</v>
      </c>
      <c r="I8" s="268">
        <f t="shared" si="0"/>
        <v>12.3475929620489</v>
      </c>
      <c r="J8" s="269">
        <f t="shared" ref="J8:J27" si="6">J7+I8</f>
        <v>25.607673043993216</v>
      </c>
      <c r="K8" s="269">
        <f>(-PMT($D$8,G8,(J8)))</f>
        <v>14.239999999999998</v>
      </c>
      <c r="L8" s="269">
        <f>+K8/'Capacity Delivered'!P9*1000</f>
        <v>5.4185692541856927</v>
      </c>
      <c r="M8" s="270">
        <f t="shared" si="1"/>
        <v>5.4185692541856923E-3</v>
      </c>
      <c r="O8" s="174">
        <f t="shared" ref="O8:O27" si="7">O7+(O7*$D$9)</f>
        <v>34.131424968669698</v>
      </c>
      <c r="P8" s="174">
        <f t="shared" si="2"/>
        <v>0</v>
      </c>
      <c r="Q8" s="174">
        <f t="shared" si="3"/>
        <v>29.595571820775707</v>
      </c>
      <c r="R8" s="174">
        <f t="shared" ref="R8:R12" si="8">R7+Q8</f>
        <v>60.603068970366962</v>
      </c>
      <c r="S8" s="326">
        <f t="shared" ref="S8:S27" si="9">(-PMT($D$8,G8,(R8)))</f>
        <v>33.700356164944715</v>
      </c>
      <c r="T8" s="269">
        <f>+S8/'Capacity Delivered'!L8*1000</f>
        <v>3.8470726215690316</v>
      </c>
      <c r="U8" s="270">
        <f t="shared" si="4"/>
        <v>3.8470726215690315E-3</v>
      </c>
      <c r="W8" s="271">
        <f t="shared" ref="W8:W27" si="10">L8+T8</f>
        <v>9.2656418757547243</v>
      </c>
      <c r="X8" s="272">
        <f t="shared" si="5"/>
        <v>9.2656418757547238E-3</v>
      </c>
    </row>
    <row r="9" spans="1:24" s="44" customFormat="1" ht="15.6" x14ac:dyDescent="0.3">
      <c r="A9" s="172"/>
      <c r="B9" s="172"/>
      <c r="C9" s="165" t="s">
        <v>34</v>
      </c>
      <c r="D9" s="46">
        <v>2.5000000000000001E-2</v>
      </c>
      <c r="E9" s="273"/>
      <c r="F9" s="173">
        <f>'Baseload Avoided Capacity Calcs'!F9</f>
        <v>2022</v>
      </c>
      <c r="G9" s="37">
        <v>3</v>
      </c>
      <c r="H9" s="174">
        <f>'Capacity Delivered'!H9</f>
        <v>14.24</v>
      </c>
      <c r="I9" s="268">
        <f t="shared" si="0"/>
        <v>11.497898279214917</v>
      </c>
      <c r="J9" s="269">
        <f t="shared" si="6"/>
        <v>37.105571323208132</v>
      </c>
      <c r="K9" s="269">
        <f>(-PMT($D$8,G9,(J9)))</f>
        <v>14.239999999999998</v>
      </c>
      <c r="L9" s="269">
        <f>+K9/'Capacity Delivered'!P10*1000</f>
        <v>5.4185692541856927</v>
      </c>
      <c r="M9" s="270">
        <f t="shared" si="1"/>
        <v>5.4185692541856923E-3</v>
      </c>
      <c r="O9" s="174">
        <f t="shared" si="7"/>
        <v>34.984710592886444</v>
      </c>
      <c r="P9" s="174">
        <f t="shared" si="2"/>
        <v>0</v>
      </c>
      <c r="Q9" s="174">
        <f t="shared" si="3"/>
        <v>28.247938463818887</v>
      </c>
      <c r="R9" s="174">
        <f t="shared" si="8"/>
        <v>88.851007434185846</v>
      </c>
      <c r="S9" s="326">
        <f t="shared" si="9"/>
        <v>34.098338894769896</v>
      </c>
      <c r="T9" s="269">
        <f>+S9/'Capacity Delivered'!L9*1000</f>
        <v>3.8925044400422255</v>
      </c>
      <c r="U9" s="270">
        <f t="shared" si="4"/>
        <v>3.8925044400422255E-3</v>
      </c>
      <c r="W9" s="271">
        <f t="shared" si="10"/>
        <v>9.3110736942279182</v>
      </c>
      <c r="X9" s="272">
        <f t="shared" si="5"/>
        <v>9.3110736942279178E-3</v>
      </c>
    </row>
    <row r="10" spans="1:24" s="44" customFormat="1" ht="15.6" x14ac:dyDescent="0.3">
      <c r="B10" s="172"/>
      <c r="C10" s="165"/>
      <c r="D10" s="51"/>
      <c r="E10" s="267"/>
      <c r="F10" s="173">
        <f>'Baseload Avoided Capacity Calcs'!F10</f>
        <v>2023</v>
      </c>
      <c r="G10" s="37">
        <v>4</v>
      </c>
      <c r="H10" s="174">
        <f>'Capacity Delivered'!H10</f>
        <v>14.88</v>
      </c>
      <c r="I10" s="268">
        <f t="shared" si="0"/>
        <v>11.187873873207989</v>
      </c>
      <c r="J10" s="269">
        <f t="shared" si="6"/>
        <v>48.293445196416123</v>
      </c>
      <c r="K10" s="269">
        <f t="shared" ref="K10:K26" si="11">(-PMT($D$8,G10,(J10)))</f>
        <v>14.383316253165759</v>
      </c>
      <c r="L10" s="269">
        <f>+K10/'Capacity Delivered'!P11*1000</f>
        <v>5.4581497621302981</v>
      </c>
      <c r="M10" s="270">
        <f t="shared" si="1"/>
        <v>5.4581497621302979E-3</v>
      </c>
      <c r="O10" s="174">
        <f t="shared" si="7"/>
        <v>35.859328357708605</v>
      </c>
      <c r="P10" s="174">
        <f t="shared" si="2"/>
        <v>0</v>
      </c>
      <c r="Q10" s="174">
        <f t="shared" si="3"/>
        <v>26.961669545967368</v>
      </c>
      <c r="R10" s="174">
        <f t="shared" si="8"/>
        <v>115.81267698015321</v>
      </c>
      <c r="S10" s="326">
        <f t="shared" si="9"/>
        <v>34.492680163039836</v>
      </c>
      <c r="T10" s="269">
        <f>+S10/'Capacity Delivered'!L10*1000</f>
        <v>3.9375205665570592</v>
      </c>
      <c r="U10" s="270">
        <f t="shared" si="4"/>
        <v>3.937520566557059E-3</v>
      </c>
      <c r="W10" s="271">
        <f t="shared" si="10"/>
        <v>9.3956703286873573</v>
      </c>
      <c r="X10" s="272">
        <f t="shared" si="5"/>
        <v>9.3956703286873569E-3</v>
      </c>
    </row>
    <row r="11" spans="1:24" s="44" customFormat="1" ht="15.6" x14ac:dyDescent="0.3">
      <c r="B11" s="172"/>
      <c r="C11" s="165" t="str">
        <f>C6</f>
        <v>Deferred T&amp;D Cost Credit ($/kw-yr) (4):</v>
      </c>
      <c r="D11" s="206" t="s">
        <v>51</v>
      </c>
      <c r="E11" s="267"/>
      <c r="F11" s="173">
        <f>'Baseload Avoided Capacity Calcs'!F11</f>
        <v>2024</v>
      </c>
      <c r="G11" s="37">
        <v>5</v>
      </c>
      <c r="H11" s="174">
        <f>'Capacity Delivered'!H11</f>
        <v>14.88</v>
      </c>
      <c r="I11" s="268">
        <f t="shared" si="0"/>
        <v>10.417984796729666</v>
      </c>
      <c r="J11" s="269">
        <f t="shared" si="6"/>
        <v>58.711429993145785</v>
      </c>
      <c r="K11" s="269">
        <f t="shared" si="11"/>
        <v>14.469015510952181</v>
      </c>
      <c r="L11" s="269">
        <f>+K11/'Capacity Delivered'!P12*1000</f>
        <v>5.5057136647458833</v>
      </c>
      <c r="M11" s="270">
        <f t="shared" si="1"/>
        <v>5.5057136647458831E-3</v>
      </c>
      <c r="O11" s="174">
        <f t="shared" si="7"/>
        <v>36.755811566651317</v>
      </c>
      <c r="P11" s="174">
        <f t="shared" si="2"/>
        <v>0</v>
      </c>
      <c r="Q11" s="174">
        <f t="shared" si="3"/>
        <v>25.733970839572162</v>
      </c>
      <c r="R11" s="174">
        <f t="shared" si="8"/>
        <v>141.54664781972537</v>
      </c>
      <c r="S11" s="326">
        <f t="shared" si="9"/>
        <v>34.883167435471918</v>
      </c>
      <c r="T11" s="269">
        <f>+S11/'Capacity Delivered'!L11*1000</f>
        <v>3.9712166934735795</v>
      </c>
      <c r="U11" s="270">
        <f t="shared" si="4"/>
        <v>3.9712166934735794E-3</v>
      </c>
      <c r="W11" s="271">
        <f t="shared" si="10"/>
        <v>9.4769303582194624</v>
      </c>
      <c r="X11" s="272">
        <f t="shared" si="5"/>
        <v>9.4769303582194625E-3</v>
      </c>
    </row>
    <row r="12" spans="1:24" s="44" customFormat="1" ht="15.6" x14ac:dyDescent="0.3">
      <c r="B12" s="274"/>
      <c r="C12" s="205">
        <v>2012</v>
      </c>
      <c r="D12" s="275">
        <f>D6</f>
        <v>27.33</v>
      </c>
      <c r="E12" s="267"/>
      <c r="F12" s="173">
        <f>'Baseload Avoided Capacity Calcs'!F12</f>
        <v>2025</v>
      </c>
      <c r="G12" s="37">
        <v>6</v>
      </c>
      <c r="H12" s="174">
        <f>'Capacity Delivered'!H12</f>
        <v>12.8</v>
      </c>
      <c r="I12" s="268">
        <f t="shared" si="0"/>
        <v>8.345011036433112</v>
      </c>
      <c r="J12" s="269">
        <f t="shared" si="6"/>
        <v>67.056441029578892</v>
      </c>
      <c r="K12" s="269">
        <f t="shared" si="11"/>
        <v>14.237976618445765</v>
      </c>
      <c r="L12" s="269">
        <f>+K12/'Capacity Delivered'!P13*1000</f>
        <v>5.4177993220874301</v>
      </c>
      <c r="M12" s="270">
        <f t="shared" si="1"/>
        <v>5.4177993220874297E-3</v>
      </c>
      <c r="O12" s="174">
        <f t="shared" si="7"/>
        <v>37.674706855817604</v>
      </c>
      <c r="P12" s="174">
        <f t="shared" si="2"/>
        <v>0</v>
      </c>
      <c r="Q12" s="174">
        <f t="shared" si="3"/>
        <v>24.562175352045323</v>
      </c>
      <c r="R12" s="174">
        <f t="shared" si="8"/>
        <v>166.10882317177069</v>
      </c>
      <c r="S12" s="326">
        <f t="shared" si="9"/>
        <v>35.26959534571747</v>
      </c>
      <c r="T12" s="269">
        <f>+S12/'Capacity Delivered'!L12*1000</f>
        <v>4.0262095143513088</v>
      </c>
      <c r="U12" s="270">
        <f t="shared" si="4"/>
        <v>4.0262095143513092E-3</v>
      </c>
      <c r="W12" s="271">
        <f t="shared" si="10"/>
        <v>9.4440088364387389</v>
      </c>
      <c r="X12" s="272">
        <f t="shared" si="5"/>
        <v>9.4440088364387397E-3</v>
      </c>
    </row>
    <row r="13" spans="1:24" s="44" customFormat="1" ht="15.6" x14ac:dyDescent="0.3">
      <c r="B13" s="274"/>
      <c r="C13" s="166">
        <f>'Baseload Avoided Capacity Calcs'!C13</f>
        <v>2020</v>
      </c>
      <c r="D13" s="204">
        <f>D12*((1+$D$9)^($C$13-$C$12))</f>
        <v>33.298951188946049</v>
      </c>
      <c r="E13" s="267"/>
      <c r="F13" s="173">
        <f>'Baseload Avoided Capacity Calcs'!F13</f>
        <v>2026</v>
      </c>
      <c r="G13" s="37">
        <v>7</v>
      </c>
      <c r="H13" s="174">
        <f>'Capacity Delivered'!H13</f>
        <v>12.8</v>
      </c>
      <c r="I13" s="268">
        <f t="shared" si="0"/>
        <v>7.7707524317283836</v>
      </c>
      <c r="J13" s="269">
        <f>J12+I13</f>
        <v>74.827193461307274</v>
      </c>
      <c r="K13" s="269">
        <f t="shared" si="11"/>
        <v>14.073782982062406</v>
      </c>
      <c r="L13" s="269">
        <f>+K13/'Capacity Delivered'!P14*1000</f>
        <v>5.3553207694301399</v>
      </c>
      <c r="M13" s="270">
        <f t="shared" si="1"/>
        <v>5.3553207694301396E-3</v>
      </c>
      <c r="O13" s="174">
        <f>O12+(O12*$D$9)</f>
        <v>38.616574527213047</v>
      </c>
      <c r="P13" s="174">
        <f t="shared" si="2"/>
        <v>0</v>
      </c>
      <c r="Q13" s="174">
        <f t="shared" si="3"/>
        <v>23.443737532215714</v>
      </c>
      <c r="R13" s="174">
        <f>R12+Q13</f>
        <v>189.55256070398642</v>
      </c>
      <c r="S13" s="326">
        <f t="shared" si="9"/>
        <v>35.651766151320096</v>
      </c>
      <c r="T13" s="269">
        <f>+S13/'Capacity Delivered'!L13*1000</f>
        <v>4.0698363186438469</v>
      </c>
      <c r="U13" s="270">
        <f t="shared" si="4"/>
        <v>4.0698363186438468E-3</v>
      </c>
      <c r="W13" s="271">
        <f t="shared" si="10"/>
        <v>9.4251570880739877</v>
      </c>
      <c r="X13" s="272">
        <f t="shared" si="5"/>
        <v>9.4251570880739873E-3</v>
      </c>
    </row>
    <row r="14" spans="1:24" s="44" customFormat="1" x14ac:dyDescent="0.25">
      <c r="B14" s="274"/>
      <c r="C14" s="276"/>
      <c r="D14" s="276"/>
      <c r="E14" s="267"/>
      <c r="F14" s="173">
        <f>'Baseload Avoided Capacity Calcs'!F14</f>
        <v>2027</v>
      </c>
      <c r="G14" s="37">
        <v>8</v>
      </c>
      <c r="H14" s="174">
        <f>'Capacity Delivered'!H14</f>
        <v>12.876470223930472</v>
      </c>
      <c r="I14" s="268">
        <f t="shared" si="0"/>
        <v>7.2792408441694576</v>
      </c>
      <c r="J14" s="269">
        <f t="shared" si="6"/>
        <v>82.106434305476739</v>
      </c>
      <c r="K14" s="269">
        <f t="shared" si="11"/>
        <v>13.958712208561254</v>
      </c>
      <c r="L14" s="269">
        <f>+K14/'Capacity Delivered'!P15*1000</f>
        <v>5.2970219370678713</v>
      </c>
      <c r="M14" s="270">
        <f t="shared" si="1"/>
        <v>5.2970219370678711E-3</v>
      </c>
      <c r="O14" s="174">
        <f t="shared" si="7"/>
        <v>39.581988890393376</v>
      </c>
      <c r="P14" s="174">
        <f t="shared" si="2"/>
        <v>0</v>
      </c>
      <c r="Q14" s="174">
        <f t="shared" si="3"/>
        <v>22.376227740498283</v>
      </c>
      <c r="R14" s="174">
        <f t="shared" ref="R14:R20" si="12">R13+Q14</f>
        <v>211.9287884444847</v>
      </c>
      <c r="S14" s="326">
        <f t="shared" si="9"/>
        <v>36.029490156635624</v>
      </c>
      <c r="T14" s="269">
        <f>+S14/'Capacity Delivered'!L14*1000</f>
        <v>4.1129554973328339</v>
      </c>
      <c r="U14" s="270">
        <f t="shared" si="4"/>
        <v>4.1129554973328344E-3</v>
      </c>
      <c r="W14" s="271">
        <f t="shared" si="10"/>
        <v>9.4099774344007052</v>
      </c>
      <c r="X14" s="272">
        <f t="shared" si="5"/>
        <v>9.4099774344007046E-3</v>
      </c>
    </row>
    <row r="15" spans="1:24" s="44" customFormat="1" x14ac:dyDescent="0.25">
      <c r="B15" s="276"/>
      <c r="C15" s="277"/>
      <c r="D15" s="277"/>
      <c r="E15" s="267"/>
      <c r="F15" s="173">
        <f>'Baseload Avoided Capacity Calcs'!F15</f>
        <v>2028</v>
      </c>
      <c r="G15" s="37">
        <v>9</v>
      </c>
      <c r="H15" s="174">
        <f>'Capacity Delivered'!H15</f>
        <v>12.876470223930472</v>
      </c>
      <c r="I15" s="268">
        <f t="shared" si="0"/>
        <v>6.7783227899892511</v>
      </c>
      <c r="J15" s="269">
        <f t="shared" si="6"/>
        <v>88.884757095465986</v>
      </c>
      <c r="K15" s="269">
        <f t="shared" si="11"/>
        <v>13.869813972668158</v>
      </c>
      <c r="L15" s="269">
        <f>+K15/'Capacity Delivered'!P16*1000</f>
        <v>5.2777069911218257</v>
      </c>
      <c r="M15" s="270">
        <f t="shared" si="1"/>
        <v>5.2777069911218253E-3</v>
      </c>
      <c r="O15" s="174">
        <f t="shared" si="7"/>
        <v>40.571538612653214</v>
      </c>
      <c r="P15" s="174">
        <f t="shared" si="2"/>
        <v>0</v>
      </c>
      <c r="Q15" s="174">
        <f t="shared" si="3"/>
        <v>21.357326970863898</v>
      </c>
      <c r="R15" s="174">
        <f t="shared" si="12"/>
        <v>233.2861154153486</v>
      </c>
      <c r="S15" s="326">
        <f t="shared" si="9"/>
        <v>36.402586100809955</v>
      </c>
      <c r="T15" s="269">
        <f>+S15/'Capacity Delivered'!L15*1000</f>
        <v>4.1441924067406601</v>
      </c>
      <c r="U15" s="270">
        <f t="shared" si="4"/>
        <v>4.1441924067406599E-3</v>
      </c>
      <c r="W15" s="271">
        <f t="shared" si="10"/>
        <v>9.4218993978624859</v>
      </c>
      <c r="X15" s="272">
        <f t="shared" si="5"/>
        <v>9.4218993978624852E-3</v>
      </c>
    </row>
    <row r="16" spans="1:24" s="44" customFormat="1" x14ac:dyDescent="0.25">
      <c r="B16" s="276"/>
      <c r="C16" s="277"/>
      <c r="D16" s="277"/>
      <c r="E16" s="267"/>
      <c r="F16" s="173">
        <f>'Baseload Avoided Capacity Calcs'!F16</f>
        <v>2029</v>
      </c>
      <c r="G16" s="37">
        <v>10</v>
      </c>
      <c r="H16" s="174">
        <f>'Capacity Delivered'!H16</f>
        <v>12.876470223930472</v>
      </c>
      <c r="I16" s="268">
        <f t="shared" si="0"/>
        <v>6.3118752118346695</v>
      </c>
      <c r="J16" s="269">
        <f t="shared" si="6"/>
        <v>95.196632307300661</v>
      </c>
      <c r="K16" s="269">
        <f t="shared" si="11"/>
        <v>13.799231890297511</v>
      </c>
      <c r="L16" s="269">
        <f>+K16/'Capacity Delivered'!P17*1000</f>
        <v>5.2508492733247758</v>
      </c>
      <c r="M16" s="270">
        <f t="shared" si="1"/>
        <v>5.2508492733247761E-3</v>
      </c>
      <c r="N16" s="279"/>
      <c r="O16" s="174">
        <f t="shared" si="7"/>
        <v>41.585827077969547</v>
      </c>
      <c r="P16" s="174">
        <f t="shared" si="2"/>
        <v>0</v>
      </c>
      <c r="Q16" s="174">
        <f t="shared" si="3"/>
        <v>20.384821813144146</v>
      </c>
      <c r="R16" s="174">
        <f t="shared" si="12"/>
        <v>253.67093722849276</v>
      </c>
      <c r="S16" s="326">
        <f t="shared" si="9"/>
        <v>36.770881509183631</v>
      </c>
      <c r="T16" s="269">
        <f>+S16/'Capacity Delivered'!L16*1000</f>
        <v>4.1975892133771264</v>
      </c>
      <c r="U16" s="270">
        <f t="shared" si="4"/>
        <v>4.1975892133771266E-3</v>
      </c>
      <c r="V16" s="279"/>
      <c r="W16" s="271">
        <f t="shared" si="10"/>
        <v>9.4484384867019031</v>
      </c>
      <c r="X16" s="272">
        <f t="shared" si="5"/>
        <v>9.4484384867019027E-3</v>
      </c>
    </row>
    <row r="17" spans="2:24" s="44" customFormat="1" x14ac:dyDescent="0.25">
      <c r="B17" s="276"/>
      <c r="C17" s="277"/>
      <c r="D17" s="277"/>
      <c r="E17" s="267"/>
      <c r="F17" s="173">
        <f>'Baseload Avoided Capacity Calcs'!F17</f>
        <v>2030</v>
      </c>
      <c r="G17" s="37">
        <v>11</v>
      </c>
      <c r="H17" s="174">
        <f>'Capacity Delivered'!H17</f>
        <v>12.876470223930472</v>
      </c>
      <c r="I17" s="268">
        <f t="shared" si="0"/>
        <v>5.8775260376521734</v>
      </c>
      <c r="J17" s="269">
        <f t="shared" si="6"/>
        <v>101.07415834495283</v>
      </c>
      <c r="K17" s="269">
        <f t="shared" si="11"/>
        <v>13.741966000316623</v>
      </c>
      <c r="L17" s="269">
        <f>+K17/'Capacity Delivered'!P18*1000</f>
        <v>5.2290585998160664</v>
      </c>
      <c r="M17" s="270">
        <f t="shared" si="1"/>
        <v>5.2290585998160666E-3</v>
      </c>
      <c r="O17" s="174">
        <f t="shared" si="7"/>
        <v>42.625472754918789</v>
      </c>
      <c r="P17" s="174">
        <f t="shared" si="2"/>
        <v>0</v>
      </c>
      <c r="Q17" s="174">
        <f t="shared" si="3"/>
        <v>19.456599644727394</v>
      </c>
      <c r="R17" s="174">
        <f t="shared" si="12"/>
        <v>273.12753687322015</v>
      </c>
      <c r="S17" s="326">
        <f t="shared" si="9"/>
        <v>37.134213006775319</v>
      </c>
      <c r="T17" s="269">
        <f>+S17/'Capacity Delivered'!L17*1000</f>
        <v>4.2390654117323416</v>
      </c>
      <c r="U17" s="270">
        <f t="shared" si="4"/>
        <v>4.239065411732342E-3</v>
      </c>
      <c r="W17" s="271">
        <f t="shared" si="10"/>
        <v>9.468124011548408</v>
      </c>
      <c r="X17" s="272">
        <f t="shared" si="5"/>
        <v>9.4681240115484077E-3</v>
      </c>
    </row>
    <row r="18" spans="2:24" s="44" customFormat="1" x14ac:dyDescent="0.25">
      <c r="B18" s="277"/>
      <c r="C18" s="277"/>
      <c r="D18" s="277"/>
      <c r="E18" s="267"/>
      <c r="F18" s="173">
        <f>'Baseload Avoided Capacity Calcs'!F18</f>
        <v>2031</v>
      </c>
      <c r="G18" s="37">
        <v>12</v>
      </c>
      <c r="H18" s="174">
        <f>'Capacity Delivered'!H18</f>
        <v>13.46513541551584</v>
      </c>
      <c r="I18" s="268">
        <f t="shared" si="0"/>
        <v>5.7232750371281158</v>
      </c>
      <c r="J18" s="269">
        <f t="shared" si="6"/>
        <v>106.79743338208095</v>
      </c>
      <c r="K18" s="269">
        <f t="shared" si="11"/>
        <v>13.726842309484301</v>
      </c>
      <c r="L18" s="269">
        <f>+K18/'Capacity Delivered'!P19*1000</f>
        <v>5.2090324489542734</v>
      </c>
      <c r="M18" s="270">
        <f t="shared" si="1"/>
        <v>5.2090324489542737E-3</v>
      </c>
      <c r="O18" s="174">
        <f t="shared" si="7"/>
        <v>43.691109573791756</v>
      </c>
      <c r="P18" s="174">
        <f t="shared" si="2"/>
        <v>0</v>
      </c>
      <c r="Q18" s="174">
        <f t="shared" si="3"/>
        <v>18.570644041200836</v>
      </c>
      <c r="R18" s="174">
        <f t="shared" si="12"/>
        <v>291.69818091442096</v>
      </c>
      <c r="S18" s="326">
        <f t="shared" si="9"/>
        <v>37.492426592786522</v>
      </c>
      <c r="T18" s="269">
        <f>+S18/'Capacity Delivered'!L18*1000</f>
        <v>4.2799573736057672</v>
      </c>
      <c r="U18" s="270">
        <f t="shared" si="4"/>
        <v>4.279957373605767E-3</v>
      </c>
      <c r="W18" s="271">
        <f t="shared" si="10"/>
        <v>9.4889898225600398</v>
      </c>
      <c r="X18" s="272">
        <f t="shared" si="5"/>
        <v>9.4889898225600389E-3</v>
      </c>
    </row>
    <row r="19" spans="2:24" s="44" customFormat="1" x14ac:dyDescent="0.25">
      <c r="B19" s="277"/>
      <c r="C19" s="277"/>
      <c r="D19" s="277"/>
      <c r="E19" s="192"/>
      <c r="F19" s="173">
        <f>'Baseload Avoided Capacity Calcs'!F19</f>
        <v>2032</v>
      </c>
      <c r="G19" s="37">
        <v>13</v>
      </c>
      <c r="H19" s="174">
        <f>'Capacity Delivered'!H19</f>
        <v>13.46513541551584</v>
      </c>
      <c r="I19" s="268">
        <f t="shared" si="0"/>
        <v>5.329430149108962</v>
      </c>
      <c r="J19" s="269">
        <f t="shared" si="6"/>
        <v>112.12686353118991</v>
      </c>
      <c r="K19" s="269">
        <f t="shared" si="11"/>
        <v>13.71417322684503</v>
      </c>
      <c r="L19" s="269">
        <f>+K19/'Capacity Delivered'!P20*1000</f>
        <v>5.2184829630308336</v>
      </c>
      <c r="M19" s="270">
        <f t="shared" si="1"/>
        <v>5.2184829630308339E-3</v>
      </c>
      <c r="O19" s="174">
        <f t="shared" si="7"/>
        <v>44.783387313136551</v>
      </c>
      <c r="P19" s="174">
        <f t="shared" si="2"/>
        <v>0</v>
      </c>
      <c r="Q19" s="174">
        <f t="shared" si="3"/>
        <v>17.725030395968759</v>
      </c>
      <c r="R19" s="174">
        <f t="shared" si="12"/>
        <v>309.42321131038972</v>
      </c>
      <c r="S19" s="326">
        <f t="shared" si="9"/>
        <v>37.845377875364946</v>
      </c>
      <c r="T19" s="269">
        <f>+S19/'Capacity Delivered'!L19*1000</f>
        <v>4.3084446579422755</v>
      </c>
      <c r="U19" s="270">
        <f t="shared" si="4"/>
        <v>4.3084446579422751E-3</v>
      </c>
      <c r="W19" s="271">
        <f t="shared" si="10"/>
        <v>9.5269276209731082</v>
      </c>
      <c r="X19" s="272">
        <f t="shared" si="5"/>
        <v>9.526927620973109E-3</v>
      </c>
    </row>
    <row r="20" spans="2:24" s="44" customFormat="1" x14ac:dyDescent="0.25">
      <c r="B20" s="277"/>
      <c r="C20" s="277"/>
      <c r="D20" s="277"/>
      <c r="E20" s="192"/>
      <c r="F20" s="173">
        <f>'Baseload Avoided Capacity Calcs'!F20</f>
        <v>2033</v>
      </c>
      <c r="G20" s="37">
        <v>14</v>
      </c>
      <c r="H20" s="174">
        <f>'Capacity Delivered'!H20</f>
        <v>13.46513541551584</v>
      </c>
      <c r="I20" s="268">
        <f t="shared" si="0"/>
        <v>4.9626875399096404</v>
      </c>
      <c r="J20" s="269">
        <f t="shared" si="6"/>
        <v>117.08955107109955</v>
      </c>
      <c r="K20" s="269">
        <f t="shared" si="11"/>
        <v>13.703431287811426</v>
      </c>
      <c r="L20" s="269">
        <f>+K20/'Capacity Delivered'!P21*1000</f>
        <v>5.2143954672037394</v>
      </c>
      <c r="M20" s="270">
        <f t="shared" si="1"/>
        <v>5.2143954672037394E-3</v>
      </c>
      <c r="O20" s="174">
        <f t="shared" si="7"/>
        <v>45.902971995964961</v>
      </c>
      <c r="P20" s="174">
        <f t="shared" si="2"/>
        <v>0</v>
      </c>
      <c r="Q20" s="174">
        <f t="shared" si="3"/>
        <v>16.917921739331391</v>
      </c>
      <c r="R20" s="174">
        <f t="shared" si="12"/>
        <v>326.34113304972112</v>
      </c>
      <c r="S20" s="326">
        <f t="shared" si="9"/>
        <v>38.19293226615823</v>
      </c>
      <c r="T20" s="269">
        <f>+S20/'Capacity Delivered'!L20*1000</f>
        <v>4.3599237746755968</v>
      </c>
      <c r="U20" s="270">
        <f t="shared" si="4"/>
        <v>4.359923774675597E-3</v>
      </c>
      <c r="W20" s="271">
        <f t="shared" si="10"/>
        <v>9.574319241879337</v>
      </c>
      <c r="X20" s="272">
        <f t="shared" si="5"/>
        <v>9.5743192418793373E-3</v>
      </c>
    </row>
    <row r="21" spans="2:24" s="279" customFormat="1" x14ac:dyDescent="0.25">
      <c r="B21" s="277"/>
      <c r="C21" s="277"/>
      <c r="D21" s="277"/>
      <c r="E21" s="192"/>
      <c r="F21" s="173">
        <f>'Baseload Avoided Capacity Calcs'!F21</f>
        <v>2034</v>
      </c>
      <c r="G21" s="37">
        <v>15</v>
      </c>
      <c r="H21" s="174">
        <f>'Capacity Delivered'!H21</f>
        <v>14.129092683255571</v>
      </c>
      <c r="I21" s="268">
        <f t="shared" si="0"/>
        <v>4.8490497325552839</v>
      </c>
      <c r="J21" s="269">
        <f>J20+I21</f>
        <v>121.93860080365484</v>
      </c>
      <c r="K21" s="269">
        <f t="shared" si="11"/>
        <v>13.719868015301516</v>
      </c>
      <c r="L21" s="269">
        <f>+K21/'Capacity Delivered'!P22*1000</f>
        <v>5.2206499297189941</v>
      </c>
      <c r="M21" s="270">
        <f>L21/1000</f>
        <v>5.2206499297189944E-3</v>
      </c>
      <c r="O21" s="174">
        <f t="shared" si="7"/>
        <v>47.050546295864088</v>
      </c>
      <c r="P21" s="174">
        <f t="shared" si="2"/>
        <v>0</v>
      </c>
      <c r="Q21" s="174">
        <f t="shared" si="3"/>
        <v>16.147564747941779</v>
      </c>
      <c r="R21" s="174">
        <f>R20+Q21</f>
        <v>342.48869779766289</v>
      </c>
      <c r="S21" s="326">
        <f t="shared" si="9"/>
        <v>38.534965134482526</v>
      </c>
      <c r="T21" s="269">
        <f>+S21/'Capacity Delivered'!L21*1000</f>
        <v>4.3989686226578222</v>
      </c>
      <c r="U21" s="270">
        <f>T21/1000</f>
        <v>4.3989686226578225E-3</v>
      </c>
      <c r="W21" s="271">
        <f>L21+T21</f>
        <v>9.6196185523768172</v>
      </c>
      <c r="X21" s="272">
        <f>W21/1000</f>
        <v>9.6196185523768178E-3</v>
      </c>
    </row>
    <row r="22" spans="2:24" s="44" customFormat="1" x14ac:dyDescent="0.25">
      <c r="B22" s="277"/>
      <c r="C22" s="277"/>
      <c r="D22" s="277"/>
      <c r="E22" s="192"/>
      <c r="F22" s="173">
        <f>'Baseload Avoided Capacity Calcs'!F22</f>
        <v>2035</v>
      </c>
      <c r="G22" s="37">
        <v>16</v>
      </c>
      <c r="H22" s="174">
        <f>'Capacity Delivered'!H22</f>
        <v>14.129092683255571</v>
      </c>
      <c r="I22" s="268">
        <f t="shared" si="0"/>
        <v>4.5153643100430987</v>
      </c>
      <c r="J22" s="269">
        <f t="shared" si="6"/>
        <v>126.45396511369793</v>
      </c>
      <c r="K22" s="269">
        <f t="shared" si="11"/>
        <v>13.734071901757174</v>
      </c>
      <c r="L22" s="269">
        <f>+K22/'Capacity Delivered'!P23*1000</f>
        <v>5.2117759190031787</v>
      </c>
      <c r="M22" s="270">
        <f t="shared" si="1"/>
        <v>5.2117759190031783E-3</v>
      </c>
      <c r="O22" s="174">
        <f t="shared" si="7"/>
        <v>48.226809953260691</v>
      </c>
      <c r="P22" s="174">
        <f t="shared" si="2"/>
        <v>0</v>
      </c>
      <c r="Q22" s="174">
        <f t="shared" si="3"/>
        <v>15.41228593597199</v>
      </c>
      <c r="R22" s="174">
        <f t="shared" ref="R22:R27" si="13">R21+Q22</f>
        <v>357.90098373363486</v>
      </c>
      <c r="S22" s="326">
        <f t="shared" si="9"/>
        <v>38.871361921215936</v>
      </c>
      <c r="T22" s="269">
        <f>+S22/'Capacity Delivered'!L22*1000</f>
        <v>4.4373700823305864</v>
      </c>
      <c r="U22" s="270">
        <f t="shared" ref="U22:U27" si="14">T22/1000</f>
        <v>4.4373700823305863E-3</v>
      </c>
      <c r="W22" s="271">
        <f t="shared" si="10"/>
        <v>9.6491460013337651</v>
      </c>
      <c r="X22" s="272">
        <f t="shared" ref="X22:X27" si="15">W22/1000</f>
        <v>9.6491460013337655E-3</v>
      </c>
    </row>
    <row r="23" spans="2:24" s="44" customFormat="1" x14ac:dyDescent="0.25">
      <c r="B23" s="277"/>
      <c r="C23" s="277"/>
      <c r="D23" s="277"/>
      <c r="E23" s="192"/>
      <c r="F23" s="173">
        <f>'Baseload Avoided Capacity Calcs'!F23</f>
        <v>2036</v>
      </c>
      <c r="G23" s="37">
        <v>17</v>
      </c>
      <c r="H23" s="174">
        <f>'Capacity Delivered'!H23</f>
        <v>14.57431214521732</v>
      </c>
      <c r="I23" s="268">
        <f t="shared" si="0"/>
        <v>4.3371330617297899</v>
      </c>
      <c r="J23" s="269">
        <f t="shared" si="6"/>
        <v>130.79109817542772</v>
      </c>
      <c r="K23" s="269">
        <f t="shared" si="11"/>
        <v>13.760378843461332</v>
      </c>
      <c r="L23" s="269">
        <f>+K23/'Capacity Delivered'!P24*1000</f>
        <v>5.2360650089274472</v>
      </c>
      <c r="M23" s="270">
        <f t="shared" si="1"/>
        <v>5.2360650089274471E-3</v>
      </c>
      <c r="O23" s="174">
        <f t="shared" si="7"/>
        <v>49.432480202092208</v>
      </c>
      <c r="P23" s="174">
        <f t="shared" si="2"/>
        <v>0</v>
      </c>
      <c r="Q23" s="174">
        <f t="shared" si="3"/>
        <v>14.710488019714395</v>
      </c>
      <c r="R23" s="174">
        <f t="shared" si="13"/>
        <v>372.61147175334924</v>
      </c>
      <c r="S23" s="326">
        <f t="shared" si="9"/>
        <v>39.202018212804177</v>
      </c>
      <c r="T23" s="269">
        <f>+S23/'Capacity Delivered'!L23*1000</f>
        <v>4.4628891408019324</v>
      </c>
      <c r="U23" s="270">
        <f t="shared" si="14"/>
        <v>4.462889140801932E-3</v>
      </c>
      <c r="W23" s="271">
        <f t="shared" si="10"/>
        <v>9.6989541497293796</v>
      </c>
      <c r="X23" s="272">
        <f t="shared" si="15"/>
        <v>9.6989541497293792E-3</v>
      </c>
    </row>
    <row r="24" spans="2:24" x14ac:dyDescent="0.25">
      <c r="B24" s="175"/>
      <c r="C24" s="175"/>
      <c r="D24" s="175"/>
      <c r="E24" s="52"/>
      <c r="F24" s="173">
        <f>'Baseload Avoided Capacity Calcs'!F24</f>
        <v>2037</v>
      </c>
      <c r="G24" s="39">
        <v>18</v>
      </c>
      <c r="H24" s="174">
        <f>'Capacity Delivered'!H24</f>
        <v>14.57431214521732</v>
      </c>
      <c r="I24" s="40">
        <f t="shared" si="0"/>
        <v>4.0386749806590831</v>
      </c>
      <c r="J24" s="41">
        <f t="shared" si="6"/>
        <v>134.82977315608682</v>
      </c>
      <c r="K24" s="269">
        <f t="shared" si="11"/>
        <v>13.783436297658678</v>
      </c>
      <c r="L24" s="41">
        <f>+K24/'Capacity Delivered'!P25*1000</f>
        <v>5.2448387738427238</v>
      </c>
      <c r="M24" s="248">
        <f t="shared" si="1"/>
        <v>5.2448387738427242E-3</v>
      </c>
      <c r="O24" s="174">
        <f t="shared" si="7"/>
        <v>50.668292207144511</v>
      </c>
      <c r="P24" s="174">
        <f t="shared" si="2"/>
        <v>0</v>
      </c>
      <c r="Q24" s="174">
        <f t="shared" si="3"/>
        <v>14.040646447720695</v>
      </c>
      <c r="R24" s="174">
        <f t="shared" si="13"/>
        <v>386.65211820106992</v>
      </c>
      <c r="S24" s="326">
        <f t="shared" si="9"/>
        <v>39.526839776030933</v>
      </c>
      <c r="T24" s="41">
        <f>+S24/'Capacity Delivered'!L24*1000</f>
        <v>4.5121963214647183</v>
      </c>
      <c r="U24" s="248">
        <f t="shared" si="14"/>
        <v>4.5121963214647181E-3</v>
      </c>
      <c r="W24" s="255">
        <f t="shared" si="10"/>
        <v>9.7570350953074421</v>
      </c>
      <c r="X24" s="256">
        <f t="shared" si="15"/>
        <v>9.7570350953074415E-3</v>
      </c>
    </row>
    <row r="25" spans="2:24" x14ac:dyDescent="0.25">
      <c r="B25" s="175"/>
      <c r="C25" s="175"/>
      <c r="D25" s="175"/>
      <c r="E25" s="52"/>
      <c r="F25" s="173">
        <f>'Baseload Avoided Capacity Calcs'!F25</f>
        <v>2038</v>
      </c>
      <c r="G25" s="39">
        <v>19</v>
      </c>
      <c r="H25" s="174">
        <f>'Capacity Delivered'!H25</f>
        <v>14.57431214521732</v>
      </c>
      <c r="I25" s="40">
        <f t="shared" si="0"/>
        <v>3.7607551733486204</v>
      </c>
      <c r="J25" s="41">
        <f t="shared" si="6"/>
        <v>138.59052832943544</v>
      </c>
      <c r="K25" s="269">
        <f t="shared" si="11"/>
        <v>13.80376264020552</v>
      </c>
      <c r="L25" s="41">
        <f>+K25/'Capacity Delivered'!P26*1000</f>
        <v>5.2525733029701369</v>
      </c>
      <c r="M25" s="248">
        <f t="shared" si="1"/>
        <v>5.2525733029701368E-3</v>
      </c>
      <c r="O25" s="174">
        <f t="shared" si="7"/>
        <v>51.934999512323124</v>
      </c>
      <c r="P25" s="174">
        <f t="shared" si="2"/>
        <v>0</v>
      </c>
      <c r="Q25" s="174">
        <f t="shared" si="3"/>
        <v>13.401306088940974</v>
      </c>
      <c r="R25" s="174">
        <f t="shared" si="13"/>
        <v>400.05342429001092</v>
      </c>
      <c r="S25" s="326">
        <f t="shared" si="9"/>
        <v>39.845742554456109</v>
      </c>
      <c r="T25" s="41">
        <f>+S25/'Capacity Delivered'!L25*1000</f>
        <v>4.5486007482255832</v>
      </c>
      <c r="U25" s="248">
        <f t="shared" si="14"/>
        <v>4.5486007482255829E-3</v>
      </c>
      <c r="W25" s="255">
        <f t="shared" si="10"/>
        <v>9.8011740511957193</v>
      </c>
      <c r="X25" s="256">
        <f t="shared" si="15"/>
        <v>9.8011740511957188E-3</v>
      </c>
    </row>
    <row r="26" spans="2:24" x14ac:dyDescent="0.25">
      <c r="B26" s="175"/>
      <c r="C26" s="175"/>
      <c r="D26" s="175"/>
      <c r="E26" s="52"/>
      <c r="F26" s="173">
        <f>'Baseload Avoided Capacity Calcs'!F26</f>
        <v>2039</v>
      </c>
      <c r="G26" s="39">
        <v>20</v>
      </c>
      <c r="H26" s="174">
        <f>'Capacity Delivered'!H26</f>
        <v>14.57431214521732</v>
      </c>
      <c r="I26" s="40">
        <f t="shared" si="0"/>
        <v>3.5019603066846261</v>
      </c>
      <c r="J26" s="41">
        <f t="shared" si="6"/>
        <v>142.09248863612007</v>
      </c>
      <c r="K26" s="269">
        <f t="shared" si="11"/>
        <v>13.821772748565115</v>
      </c>
      <c r="L26" s="41">
        <f>+K26/'Capacity Delivered'!P27*1000</f>
        <v>5.2450564467839689</v>
      </c>
      <c r="M26" s="248">
        <f t="shared" si="1"/>
        <v>5.2450564467839689E-3</v>
      </c>
      <c r="O26" s="174">
        <f t="shared" si="7"/>
        <v>53.233374500131205</v>
      </c>
      <c r="P26" s="174">
        <f t="shared" si="2"/>
        <v>0</v>
      </c>
      <c r="Q26" s="174">
        <f t="shared" si="3"/>
        <v>12.791078071668217</v>
      </c>
      <c r="R26" s="174">
        <f t="shared" si="13"/>
        <v>412.84450236167913</v>
      </c>
      <c r="S26" s="326">
        <f t="shared" si="9"/>
        <v>40.158652627659379</v>
      </c>
      <c r="T26" s="41">
        <f>+S26/'Capacity Delivered'!L26*1000</f>
        <v>4.5843210762168241</v>
      </c>
      <c r="U26" s="248">
        <f t="shared" si="14"/>
        <v>4.5843210762168242E-3</v>
      </c>
      <c r="W26" s="255">
        <f t="shared" si="10"/>
        <v>9.8293775230007938</v>
      </c>
      <c r="X26" s="256">
        <f t="shared" si="15"/>
        <v>9.829377523000794E-3</v>
      </c>
    </row>
    <row r="27" spans="2:24" s="44" customFormat="1" ht="15.6" thickBot="1" x14ac:dyDescent="0.3">
      <c r="F27" s="173">
        <f>'Baseload Avoided Capacity Calcs'!F27</f>
        <v>2040</v>
      </c>
      <c r="G27" s="37">
        <v>21</v>
      </c>
      <c r="H27" s="174">
        <f>'Capacity Delivered'!H27</f>
        <v>14.57431214521732</v>
      </c>
      <c r="I27" s="40">
        <f t="shared" si="0"/>
        <v>3.2609743055076126</v>
      </c>
      <c r="J27" s="41">
        <f t="shared" si="6"/>
        <v>145.35346294162767</v>
      </c>
      <c r="K27" s="269">
        <f>(-PMT($D$8,G27,(J27)))</f>
        <v>13.83780262962204</v>
      </c>
      <c r="L27" s="41">
        <f>+K27/'Capacity Delivered'!P28*1000</f>
        <v>5.2655261147724657</v>
      </c>
      <c r="M27" s="248">
        <f t="shared" si="1"/>
        <v>5.2655261147724654E-3</v>
      </c>
      <c r="O27" s="174">
        <f t="shared" si="7"/>
        <v>54.564208862634487</v>
      </c>
      <c r="P27" s="174">
        <f t="shared" si="2"/>
        <v>0</v>
      </c>
      <c r="Q27" s="174">
        <f t="shared" si="3"/>
        <v>12.20863676642138</v>
      </c>
      <c r="R27" s="174">
        <f t="shared" si="13"/>
        <v>425.0531391281005</v>
      </c>
      <c r="S27" s="326">
        <f t="shared" si="9"/>
        <v>40.465506134642268</v>
      </c>
      <c r="T27" s="41">
        <f>+S27/'Capacity Delivered'!L27*1000</f>
        <v>4.6067288404647391</v>
      </c>
      <c r="U27" s="248">
        <f t="shared" si="14"/>
        <v>4.6067288404647386E-3</v>
      </c>
      <c r="W27" s="257">
        <f t="shared" si="10"/>
        <v>9.8722549552372048</v>
      </c>
      <c r="X27" s="258">
        <f t="shared" si="15"/>
        <v>9.872254955237204E-3</v>
      </c>
    </row>
    <row r="28" spans="2:24" s="44" customFormat="1" x14ac:dyDescent="0.25">
      <c r="C28" s="21"/>
      <c r="F28" s="38"/>
      <c r="G28" s="37"/>
      <c r="H28" s="177"/>
      <c r="I28" s="55"/>
      <c r="J28" s="56"/>
      <c r="K28" s="48"/>
      <c r="L28" s="48"/>
      <c r="M28" s="48"/>
      <c r="O28" s="178"/>
      <c r="P28" s="54"/>
      <c r="Q28" s="55"/>
      <c r="R28" s="56"/>
      <c r="S28" s="48"/>
      <c r="T28" s="48"/>
      <c r="U28" s="48"/>
      <c r="W28" s="48"/>
      <c r="X28" s="48"/>
    </row>
    <row r="29" spans="2:24" x14ac:dyDescent="0.25">
      <c r="B29" s="31"/>
      <c r="C29" s="21"/>
      <c r="D29" s="44"/>
      <c r="E29" s="44"/>
      <c r="F29" s="31"/>
      <c r="G29" s="37"/>
      <c r="H29" s="177"/>
      <c r="I29" s="31"/>
      <c r="J29" s="31"/>
      <c r="K29" s="31"/>
      <c r="L29" s="31"/>
      <c r="M29" s="31"/>
      <c r="O29" s="178"/>
      <c r="P29" s="54"/>
      <c r="Q29" s="31"/>
      <c r="R29" s="31"/>
      <c r="S29" s="31"/>
      <c r="T29" s="31"/>
      <c r="U29" s="31"/>
      <c r="W29" s="31"/>
      <c r="X29" s="31"/>
    </row>
    <row r="30" spans="2:24" s="44" customFormat="1" ht="51.75" customHeight="1" x14ac:dyDescent="0.25">
      <c r="B30" s="332" t="s">
        <v>118</v>
      </c>
      <c r="C30" s="332"/>
      <c r="D30" s="332"/>
      <c r="E30" s="332"/>
      <c r="F30" s="332"/>
      <c r="G30" s="332"/>
      <c r="H30" s="332"/>
      <c r="I30" s="332"/>
      <c r="J30" s="332"/>
      <c r="K30" s="332"/>
      <c r="L30" s="332"/>
      <c r="M30" s="332"/>
      <c r="Q30" s="246"/>
      <c r="R30" s="246"/>
    </row>
  </sheetData>
  <mergeCells count="1">
    <mergeCell ref="B30:M30"/>
  </mergeCells>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7652" r:id="rId4" name="Control 4">
          <controlPr defaultSize="0" r:id="rId5">
            <anchor moveWithCells="1">
              <from>
                <xdr:col>6</xdr:col>
                <xdr:colOff>571500</xdr:colOff>
                <xdr:row>2</xdr:row>
                <xdr:rowOff>68580</xdr:rowOff>
              </from>
              <to>
                <xdr:col>7</xdr:col>
                <xdr:colOff>228600</xdr:colOff>
                <xdr:row>3</xdr:row>
                <xdr:rowOff>175260</xdr:rowOff>
              </to>
            </anchor>
          </controlPr>
        </control>
      </mc:Choice>
      <mc:Fallback>
        <control shapeId="27652" r:id="rId4" name="Control 4"/>
      </mc:Fallback>
    </mc:AlternateContent>
    <mc:AlternateContent xmlns:mc="http://schemas.openxmlformats.org/markup-compatibility/2006">
      <mc:Choice Requires="x14">
        <control shapeId="27651" r:id="rId6" name="Control 3">
          <controlPr defaultSize="0" r:id="rId7">
            <anchor moveWithCells="1">
              <from>
                <xdr:col>6</xdr:col>
                <xdr:colOff>571500</xdr:colOff>
                <xdr:row>2</xdr:row>
                <xdr:rowOff>68580</xdr:rowOff>
              </from>
              <to>
                <xdr:col>7</xdr:col>
                <xdr:colOff>167640</xdr:colOff>
                <xdr:row>3</xdr:row>
                <xdr:rowOff>91440</xdr:rowOff>
              </to>
            </anchor>
          </controlPr>
        </control>
      </mc:Choice>
      <mc:Fallback>
        <control shapeId="27651" r:id="rId6" name="Control 3"/>
      </mc:Fallback>
    </mc:AlternateContent>
    <mc:AlternateContent xmlns:mc="http://schemas.openxmlformats.org/markup-compatibility/2006">
      <mc:Choice Requires="x14">
        <control shapeId="27650" r:id="rId8" name="Control 2">
          <controlPr defaultSize="0" r:id="rId9">
            <anchor moveWithCells="1">
              <from>
                <xdr:col>6</xdr:col>
                <xdr:colOff>571500</xdr:colOff>
                <xdr:row>2</xdr:row>
                <xdr:rowOff>68580</xdr:rowOff>
              </from>
              <to>
                <xdr:col>7</xdr:col>
                <xdr:colOff>167640</xdr:colOff>
                <xdr:row>3</xdr:row>
                <xdr:rowOff>91440</xdr:rowOff>
              </to>
            </anchor>
          </controlPr>
        </control>
      </mc:Choice>
      <mc:Fallback>
        <control shapeId="27650" r:id="rId8" name="Control 2"/>
      </mc:Fallback>
    </mc:AlternateContent>
    <mc:AlternateContent xmlns:mc="http://schemas.openxmlformats.org/markup-compatibility/2006">
      <mc:Choice Requires="x14">
        <control shapeId="27649" r:id="rId10" name="Control 1">
          <controlPr defaultSize="0" r:id="rId11">
            <anchor moveWithCells="1">
              <from>
                <xdr:col>6</xdr:col>
                <xdr:colOff>571500</xdr:colOff>
                <xdr:row>2</xdr:row>
                <xdr:rowOff>68580</xdr:rowOff>
              </from>
              <to>
                <xdr:col>6</xdr:col>
                <xdr:colOff>792480</xdr:colOff>
                <xdr:row>3</xdr:row>
                <xdr:rowOff>91440</xdr:rowOff>
              </to>
            </anchor>
          </controlPr>
        </control>
      </mc:Choice>
      <mc:Fallback>
        <control shapeId="27649" r:id="rId10" name="Control 1"/>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X32"/>
  <sheetViews>
    <sheetView workbookViewId="0">
      <selection activeCell="K18" sqref="K18"/>
    </sheetView>
  </sheetViews>
  <sheetFormatPr defaultColWidth="9.109375" defaultRowHeight="15" x14ac:dyDescent="0.25"/>
  <cols>
    <col min="1" max="1" width="2.6640625" style="33" customWidth="1"/>
    <col min="2" max="2" width="25.6640625" style="33" customWidth="1"/>
    <col min="3" max="3" width="17.44140625" style="33" customWidth="1"/>
    <col min="4" max="4" width="15.5546875" style="33" customWidth="1"/>
    <col min="5" max="5" width="2.6640625" style="33" customWidth="1"/>
    <col min="6" max="6" width="9.6640625" style="33" customWidth="1"/>
    <col min="7" max="7" width="16.6640625" style="33" customWidth="1"/>
    <col min="8" max="8" width="16.44140625" style="44" customWidth="1"/>
    <col min="9" max="9" width="18.5546875" style="33" customWidth="1"/>
    <col min="10" max="10" width="19" style="33" customWidth="1"/>
    <col min="11" max="13" width="22.33203125" style="33" customWidth="1"/>
    <col min="14" max="14" width="2.6640625" style="33" customWidth="1"/>
    <col min="15" max="15" width="16.44140625" style="44" customWidth="1"/>
    <col min="16" max="16" width="16.6640625" style="171" customWidth="1"/>
    <col min="17" max="17" width="18.5546875" style="33" customWidth="1"/>
    <col min="18" max="18" width="19" style="33" customWidth="1"/>
    <col min="19" max="21" width="22.33203125" style="33" customWidth="1"/>
    <col min="22" max="22" width="2.6640625" style="33" customWidth="1"/>
    <col min="23" max="24" width="22.33203125" style="33" customWidth="1"/>
    <col min="25" max="16384" width="9.109375" style="33"/>
  </cols>
  <sheetData>
    <row r="1" spans="1:24" x14ac:dyDescent="0.25">
      <c r="B1" s="14"/>
    </row>
    <row r="3" spans="1:24" ht="16.2" thickBot="1" x14ac:dyDescent="0.35">
      <c r="H3" s="167"/>
    </row>
    <row r="4" spans="1:24" ht="62.4" x14ac:dyDescent="0.3">
      <c r="F4" s="15" t="s">
        <v>15</v>
      </c>
      <c r="G4" s="16" t="s">
        <v>1</v>
      </c>
      <c r="H4" s="17" t="s">
        <v>16</v>
      </c>
      <c r="I4" s="16" t="s">
        <v>17</v>
      </c>
      <c r="J4" s="16" t="s">
        <v>18</v>
      </c>
      <c r="K4" s="3" t="s">
        <v>19</v>
      </c>
      <c r="L4" s="3" t="s">
        <v>19</v>
      </c>
      <c r="M4" s="3" t="s">
        <v>19</v>
      </c>
      <c r="O4" s="17" t="s">
        <v>80</v>
      </c>
      <c r="P4" s="17" t="s">
        <v>57</v>
      </c>
      <c r="Q4" s="16" t="s">
        <v>17</v>
      </c>
      <c r="R4" s="16" t="s">
        <v>18</v>
      </c>
      <c r="S4" s="3" t="s">
        <v>19</v>
      </c>
      <c r="T4" s="3" t="s">
        <v>19</v>
      </c>
      <c r="U4" s="3" t="s">
        <v>19</v>
      </c>
      <c r="W4" s="249" t="s">
        <v>19</v>
      </c>
      <c r="X4" s="250" t="s">
        <v>19</v>
      </c>
    </row>
    <row r="5" spans="1:24" ht="15.6" x14ac:dyDescent="0.3">
      <c r="B5" s="50"/>
      <c r="C5" s="50"/>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251" t="s">
        <v>38</v>
      </c>
      <c r="X5" s="252" t="s">
        <v>39</v>
      </c>
    </row>
    <row r="6" spans="1:24" ht="15.6" x14ac:dyDescent="0.3">
      <c r="A6" s="172"/>
      <c r="B6" s="172"/>
      <c r="C6" s="165" t="s">
        <v>21</v>
      </c>
      <c r="D6" s="203">
        <v>27.33</v>
      </c>
      <c r="E6" s="45"/>
      <c r="F6" s="170" t="s">
        <v>22</v>
      </c>
      <c r="G6" s="170" t="s">
        <v>23</v>
      </c>
      <c r="H6" s="170" t="s">
        <v>24</v>
      </c>
      <c r="I6" s="170" t="s">
        <v>32</v>
      </c>
      <c r="J6" s="170" t="s">
        <v>27</v>
      </c>
      <c r="K6" s="170" t="s">
        <v>28</v>
      </c>
      <c r="L6" s="170" t="s">
        <v>40</v>
      </c>
      <c r="M6" s="170" t="s">
        <v>79</v>
      </c>
      <c r="O6" s="170" t="s">
        <v>25</v>
      </c>
      <c r="P6" s="170" t="s">
        <v>26</v>
      </c>
      <c r="Q6" s="170" t="s">
        <v>32</v>
      </c>
      <c r="R6" s="170" t="s">
        <v>27</v>
      </c>
      <c r="S6" s="170" t="s">
        <v>28</v>
      </c>
      <c r="T6" s="170" t="s">
        <v>40</v>
      </c>
      <c r="U6" s="170" t="s">
        <v>79</v>
      </c>
      <c r="W6" s="253" t="s">
        <v>40</v>
      </c>
      <c r="X6" s="254" t="s">
        <v>79</v>
      </c>
    </row>
    <row r="7" spans="1:24" ht="15.6" x14ac:dyDescent="0.3">
      <c r="A7" s="172"/>
      <c r="B7" s="50"/>
      <c r="C7" s="20" t="s">
        <v>29</v>
      </c>
      <c r="D7" s="46">
        <v>0</v>
      </c>
      <c r="E7" s="47"/>
      <c r="F7" s="173">
        <f>'Baseload Avoided Capacity Calcs'!F7</f>
        <v>2020</v>
      </c>
      <c r="G7" s="168">
        <v>1</v>
      </c>
      <c r="H7" s="174">
        <f>'Capacity Delivered'!I7</f>
        <v>1.78</v>
      </c>
      <c r="I7" s="32">
        <f t="shared" ref="I7:I27" si="0">SUM(H7)/((1+$D$8)^G7)</f>
        <v>1.6575100102430393</v>
      </c>
      <c r="J7" s="169">
        <f>I7</f>
        <v>1.6575100102430393</v>
      </c>
      <c r="K7" s="269">
        <f>(-PMT($D$8,G7,(J7)))</f>
        <v>1.7799999999999998</v>
      </c>
      <c r="L7" s="169">
        <f>+K7/2277.6*1000</f>
        <v>0.78152441166139797</v>
      </c>
      <c r="M7" s="247">
        <f t="shared" ref="M7:M27" si="1">L7/1000</f>
        <v>7.8152441166139792E-4</v>
      </c>
      <c r="O7" s="179">
        <f>D13</f>
        <v>33.298951188946049</v>
      </c>
      <c r="P7" s="179">
        <f t="shared" ref="P7:P27" si="2">(H7+O7)*$D$7</f>
        <v>0</v>
      </c>
      <c r="Q7" s="179">
        <f t="shared" ref="Q7:Q27" si="3">SUM(O7:P7)/((1+$D$8)^G7)</f>
        <v>31.007497149591252</v>
      </c>
      <c r="R7" s="179">
        <f>Q7</f>
        <v>31.007497149591252</v>
      </c>
      <c r="S7" s="326">
        <f>(-PMT($D$8,G7,(R7)))</f>
        <v>33.298951188946042</v>
      </c>
      <c r="T7" s="169">
        <f>+S7/'Capacity Delivered'!L7*1000</f>
        <v>3.7908642063918534</v>
      </c>
      <c r="U7" s="247">
        <f t="shared" ref="U7:U20" si="4">T7/1000</f>
        <v>3.7908642063918534E-3</v>
      </c>
      <c r="W7" s="255">
        <f>L7+T7</f>
        <v>4.5723886180532514</v>
      </c>
      <c r="X7" s="256">
        <f t="shared" ref="X7:X20" si="5">W7/1000</f>
        <v>4.5723886180532511E-3</v>
      </c>
    </row>
    <row r="8" spans="1:24" s="44" customFormat="1" ht="15.6" x14ac:dyDescent="0.3">
      <c r="A8" s="172"/>
      <c r="B8" s="172"/>
      <c r="C8" s="165" t="s">
        <v>33</v>
      </c>
      <c r="D8" s="46">
        <f>Rate_of_Return</f>
        <v>7.3899999999999993E-2</v>
      </c>
      <c r="E8" s="267"/>
      <c r="F8" s="38">
        <f>F7+1</f>
        <v>2021</v>
      </c>
      <c r="G8" s="37">
        <v>2</v>
      </c>
      <c r="H8" s="174">
        <f>'Capacity Delivered'!I8</f>
        <v>1.78</v>
      </c>
      <c r="I8" s="268">
        <f t="shared" si="0"/>
        <v>1.5434491202561125</v>
      </c>
      <c r="J8" s="269">
        <f t="shared" ref="J8:J27" si="6">J7+I8</f>
        <v>3.200959130499152</v>
      </c>
      <c r="K8" s="269">
        <f t="shared" ref="K8:K27" si="7">(-PMT($D$8,G8,(J8)))</f>
        <v>1.7799999999999998</v>
      </c>
      <c r="L8" s="269">
        <f>+K8/'Capacity Delivered'!R9*1000</f>
        <v>0.78152441166139797</v>
      </c>
      <c r="M8" s="270">
        <f t="shared" si="1"/>
        <v>7.8152441166139792E-4</v>
      </c>
      <c r="O8" s="174">
        <f t="shared" ref="O8:O27" si="8">O7+(O7*$D$9)</f>
        <v>34.131424968669698</v>
      </c>
      <c r="P8" s="174">
        <f t="shared" si="2"/>
        <v>0</v>
      </c>
      <c r="Q8" s="174">
        <f t="shared" si="3"/>
        <v>29.595571820775707</v>
      </c>
      <c r="R8" s="174">
        <f t="shared" ref="R8:R12" si="9">R7+Q8</f>
        <v>60.603068970366962</v>
      </c>
      <c r="S8" s="326">
        <f t="shared" ref="S8:S27" si="10">(-PMT($D$8,G8,(R8)))</f>
        <v>33.700356164944715</v>
      </c>
      <c r="T8" s="269">
        <f>+S8/'Capacity Delivered'!L8*1000</f>
        <v>3.8470726215690316</v>
      </c>
      <c r="U8" s="270">
        <f t="shared" si="4"/>
        <v>3.8470726215690315E-3</v>
      </c>
      <c r="W8" s="271">
        <f t="shared" ref="W8:W27" si="11">L8+T8</f>
        <v>4.6285970332304291</v>
      </c>
      <c r="X8" s="272">
        <f t="shared" si="5"/>
        <v>4.6285970332304287E-3</v>
      </c>
    </row>
    <row r="9" spans="1:24" s="44" customFormat="1" ht="15.6" x14ac:dyDescent="0.3">
      <c r="A9" s="172"/>
      <c r="B9" s="172"/>
      <c r="C9" s="165" t="s">
        <v>34</v>
      </c>
      <c r="D9" s="46">
        <v>2.5000000000000001E-2</v>
      </c>
      <c r="E9" s="273"/>
      <c r="F9" s="38">
        <f t="shared" ref="F9:F27" si="12">F8+1</f>
        <v>2022</v>
      </c>
      <c r="G9" s="37">
        <v>3</v>
      </c>
      <c r="H9" s="174">
        <f>'Capacity Delivered'!I9</f>
        <v>1.78</v>
      </c>
      <c r="I9" s="268">
        <f t="shared" si="0"/>
        <v>1.4372372849018646</v>
      </c>
      <c r="J9" s="269">
        <f t="shared" si="6"/>
        <v>4.6381964154010165</v>
      </c>
      <c r="K9" s="269">
        <f t="shared" si="7"/>
        <v>1.7799999999999998</v>
      </c>
      <c r="L9" s="269">
        <f>+K9/'Capacity Delivered'!R10*1000</f>
        <v>0.78152441166139797</v>
      </c>
      <c r="M9" s="270">
        <f t="shared" si="1"/>
        <v>7.8152441166139792E-4</v>
      </c>
      <c r="O9" s="174">
        <f t="shared" si="8"/>
        <v>34.984710592886444</v>
      </c>
      <c r="P9" s="174">
        <f t="shared" si="2"/>
        <v>0</v>
      </c>
      <c r="Q9" s="174">
        <f t="shared" si="3"/>
        <v>28.247938463818887</v>
      </c>
      <c r="R9" s="174">
        <f t="shared" si="9"/>
        <v>88.851007434185846</v>
      </c>
      <c r="S9" s="326">
        <f t="shared" si="10"/>
        <v>34.098338894769896</v>
      </c>
      <c r="T9" s="269">
        <f>+S9/'Capacity Delivered'!L9*1000</f>
        <v>3.8925044400422255</v>
      </c>
      <c r="U9" s="270">
        <f t="shared" si="4"/>
        <v>3.8925044400422255E-3</v>
      </c>
      <c r="W9" s="271">
        <f t="shared" si="11"/>
        <v>4.674028851703623</v>
      </c>
      <c r="X9" s="272">
        <f t="shared" si="5"/>
        <v>4.6740288517036228E-3</v>
      </c>
    </row>
    <row r="10" spans="1:24" s="44" customFormat="1" ht="15.6" x14ac:dyDescent="0.3">
      <c r="B10" s="172"/>
      <c r="C10" s="165"/>
      <c r="D10" s="51"/>
      <c r="E10" s="267"/>
      <c r="F10" s="38">
        <f t="shared" si="12"/>
        <v>2023</v>
      </c>
      <c r="G10" s="37">
        <v>4</v>
      </c>
      <c r="H10" s="174">
        <f>'Capacity Delivered'!I10</f>
        <v>1.86</v>
      </c>
      <c r="I10" s="268">
        <f t="shared" si="0"/>
        <v>1.3984842341509987</v>
      </c>
      <c r="J10" s="269">
        <f t="shared" si="6"/>
        <v>6.0366806495520153</v>
      </c>
      <c r="K10" s="269">
        <f t="shared" si="7"/>
        <v>1.7979145316457199</v>
      </c>
      <c r="L10" s="269">
        <f>+K10/'Capacity Delivered'!R11*1000</f>
        <v>0.78723313876879286</v>
      </c>
      <c r="M10" s="270">
        <f t="shared" si="1"/>
        <v>7.8723313876879282E-4</v>
      </c>
      <c r="O10" s="174">
        <f t="shared" si="8"/>
        <v>35.859328357708605</v>
      </c>
      <c r="P10" s="174">
        <f t="shared" si="2"/>
        <v>0</v>
      </c>
      <c r="Q10" s="174">
        <f t="shared" si="3"/>
        <v>26.961669545967368</v>
      </c>
      <c r="R10" s="174">
        <f t="shared" si="9"/>
        <v>115.81267698015321</v>
      </c>
      <c r="S10" s="326">
        <f t="shared" si="10"/>
        <v>34.492680163039836</v>
      </c>
      <c r="T10" s="269">
        <f>+S10/'Capacity Delivered'!L10*1000</f>
        <v>3.9375205665570592</v>
      </c>
      <c r="U10" s="270">
        <f t="shared" si="4"/>
        <v>3.937520566557059E-3</v>
      </c>
      <c r="W10" s="271">
        <f t="shared" si="11"/>
        <v>4.7247537053258517</v>
      </c>
      <c r="X10" s="272">
        <f t="shared" si="5"/>
        <v>4.7247537053258515E-3</v>
      </c>
    </row>
    <row r="11" spans="1:24" s="44" customFormat="1" ht="15.6" x14ac:dyDescent="0.3">
      <c r="B11" s="172"/>
      <c r="C11" s="165" t="str">
        <f>C6</f>
        <v>Deferred T&amp;D Cost Credit ($/kw-yr) (4):</v>
      </c>
      <c r="D11" s="206" t="s">
        <v>50</v>
      </c>
      <c r="E11" s="267"/>
      <c r="F11" s="38">
        <f t="shared" si="12"/>
        <v>2024</v>
      </c>
      <c r="G11" s="37">
        <v>5</v>
      </c>
      <c r="H11" s="174">
        <f>'Capacity Delivered'!I11</f>
        <v>1.86</v>
      </c>
      <c r="I11" s="268">
        <f t="shared" si="0"/>
        <v>1.3022480995912082</v>
      </c>
      <c r="J11" s="269">
        <f t="shared" si="6"/>
        <v>7.3389287491432231</v>
      </c>
      <c r="K11" s="269">
        <f t="shared" si="7"/>
        <v>1.8086269388690226</v>
      </c>
      <c r="L11" s="269">
        <f>+K11/'Capacity Delivered'!R12*1000</f>
        <v>0.79409331703065622</v>
      </c>
      <c r="M11" s="270">
        <f t="shared" si="1"/>
        <v>7.9409331703065623E-4</v>
      </c>
      <c r="O11" s="174">
        <f t="shared" si="8"/>
        <v>36.755811566651317</v>
      </c>
      <c r="P11" s="174">
        <f t="shared" si="2"/>
        <v>0</v>
      </c>
      <c r="Q11" s="174">
        <f t="shared" si="3"/>
        <v>25.733970839572162</v>
      </c>
      <c r="R11" s="174">
        <f t="shared" si="9"/>
        <v>141.54664781972537</v>
      </c>
      <c r="S11" s="326">
        <f t="shared" si="10"/>
        <v>34.883167435471918</v>
      </c>
      <c r="T11" s="269">
        <f>+S11/'Capacity Delivered'!L11*1000</f>
        <v>3.9712166934735795</v>
      </c>
      <c r="U11" s="270">
        <f t="shared" si="4"/>
        <v>3.9712166934735794E-3</v>
      </c>
      <c r="W11" s="271">
        <f t="shared" si="11"/>
        <v>4.7653100105042361</v>
      </c>
      <c r="X11" s="272">
        <f t="shared" si="5"/>
        <v>4.7653100105042364E-3</v>
      </c>
    </row>
    <row r="12" spans="1:24" s="44" customFormat="1" ht="15.6" x14ac:dyDescent="0.3">
      <c r="B12" s="274"/>
      <c r="C12" s="205">
        <v>2012</v>
      </c>
      <c r="D12" s="275">
        <f>D6</f>
        <v>27.33</v>
      </c>
      <c r="E12" s="267"/>
      <c r="F12" s="38">
        <f t="shared" si="12"/>
        <v>2025</v>
      </c>
      <c r="G12" s="37">
        <v>6</v>
      </c>
      <c r="H12" s="174">
        <f>'Capacity Delivered'!I12</f>
        <v>1.6</v>
      </c>
      <c r="I12" s="268">
        <f t="shared" si="0"/>
        <v>1.043126379554139</v>
      </c>
      <c r="J12" s="269">
        <f t="shared" si="6"/>
        <v>8.3820551286973615</v>
      </c>
      <c r="K12" s="269">
        <f t="shared" si="7"/>
        <v>1.7797470773057207</v>
      </c>
      <c r="L12" s="269">
        <f>+K12/'Capacity Delivered'!R13*1000</f>
        <v>0.78141336376261006</v>
      </c>
      <c r="M12" s="270">
        <f t="shared" si="1"/>
        <v>7.814133637626101E-4</v>
      </c>
      <c r="O12" s="174">
        <f t="shared" si="8"/>
        <v>37.674706855817604</v>
      </c>
      <c r="P12" s="174">
        <f t="shared" si="2"/>
        <v>0</v>
      </c>
      <c r="Q12" s="174">
        <f t="shared" si="3"/>
        <v>24.562175352045323</v>
      </c>
      <c r="R12" s="174">
        <f t="shared" si="9"/>
        <v>166.10882317177069</v>
      </c>
      <c r="S12" s="326">
        <f t="shared" si="10"/>
        <v>35.26959534571747</v>
      </c>
      <c r="T12" s="269">
        <f>+S12/'Capacity Delivered'!L12*1000</f>
        <v>4.0262095143513088</v>
      </c>
      <c r="U12" s="270">
        <f t="shared" si="4"/>
        <v>4.0262095143513092E-3</v>
      </c>
      <c r="W12" s="271">
        <f t="shared" si="11"/>
        <v>4.8076228781139188</v>
      </c>
      <c r="X12" s="272">
        <f t="shared" si="5"/>
        <v>4.8076228781139185E-3</v>
      </c>
    </row>
    <row r="13" spans="1:24" s="44" customFormat="1" ht="15.6" x14ac:dyDescent="0.3">
      <c r="B13" s="274"/>
      <c r="C13" s="166">
        <f>'Baseload Avoided Capacity Calcs'!C13</f>
        <v>2020</v>
      </c>
      <c r="D13" s="204">
        <f>D12*((1+$D$9)^($C$13-$C$12))</f>
        <v>33.298951188946049</v>
      </c>
      <c r="E13" s="267"/>
      <c r="F13" s="38">
        <f t="shared" si="12"/>
        <v>2026</v>
      </c>
      <c r="G13" s="37">
        <v>7</v>
      </c>
      <c r="H13" s="174">
        <f>'Capacity Delivered'!I13</f>
        <v>1.6</v>
      </c>
      <c r="I13" s="268">
        <f t="shared" si="0"/>
        <v>0.97134405396604795</v>
      </c>
      <c r="J13" s="269">
        <f>J12+I13</f>
        <v>9.3533991826634093</v>
      </c>
      <c r="K13" s="269">
        <f t="shared" si="7"/>
        <v>1.7592228727578008</v>
      </c>
      <c r="L13" s="269">
        <f>+K13/'Capacity Delivered'!R14*1000</f>
        <v>0.77240203405242402</v>
      </c>
      <c r="M13" s="270">
        <f t="shared" si="1"/>
        <v>7.7240203405242402E-4</v>
      </c>
      <c r="O13" s="174">
        <f>O12+(O12*$D$9)</f>
        <v>38.616574527213047</v>
      </c>
      <c r="P13" s="174">
        <f t="shared" si="2"/>
        <v>0</v>
      </c>
      <c r="Q13" s="174">
        <f t="shared" si="3"/>
        <v>23.443737532215714</v>
      </c>
      <c r="R13" s="174">
        <f>R12+Q13</f>
        <v>189.55256070398642</v>
      </c>
      <c r="S13" s="326">
        <f t="shared" si="10"/>
        <v>35.651766151320096</v>
      </c>
      <c r="T13" s="269">
        <f>+S13/'Capacity Delivered'!L13*1000</f>
        <v>4.0698363186438469</v>
      </c>
      <c r="U13" s="270">
        <f t="shared" si="4"/>
        <v>4.0698363186438468E-3</v>
      </c>
      <c r="W13" s="271">
        <f t="shared" si="11"/>
        <v>4.8422383526962705</v>
      </c>
      <c r="X13" s="272">
        <f t="shared" si="5"/>
        <v>4.8422383526962702E-3</v>
      </c>
    </row>
    <row r="14" spans="1:24" s="44" customFormat="1" x14ac:dyDescent="0.25">
      <c r="B14" s="274"/>
      <c r="C14" s="276"/>
      <c r="D14" s="276"/>
      <c r="E14" s="267"/>
      <c r="F14" s="38">
        <f t="shared" si="12"/>
        <v>2027</v>
      </c>
      <c r="G14" s="37">
        <v>8</v>
      </c>
      <c r="H14" s="174">
        <f>'Capacity Delivered'!I14</f>
        <v>1.609558777991309</v>
      </c>
      <c r="I14" s="268">
        <f t="shared" si="0"/>
        <v>0.9099051055211822</v>
      </c>
      <c r="J14" s="269">
        <f t="shared" si="6"/>
        <v>10.263304288184592</v>
      </c>
      <c r="K14" s="269">
        <f t="shared" si="7"/>
        <v>1.7448390260701567</v>
      </c>
      <c r="L14" s="269">
        <f>+K14/'Capacity Delivered'!R15*1000</f>
        <v>0.76399354861555824</v>
      </c>
      <c r="M14" s="270">
        <f t="shared" si="1"/>
        <v>7.6399354861555828E-4</v>
      </c>
      <c r="O14" s="174">
        <f t="shared" si="8"/>
        <v>39.581988890393376</v>
      </c>
      <c r="P14" s="174">
        <f t="shared" si="2"/>
        <v>0</v>
      </c>
      <c r="Q14" s="174">
        <f t="shared" si="3"/>
        <v>22.376227740498283</v>
      </c>
      <c r="R14" s="174">
        <f t="shared" ref="R14:R20" si="13">R13+Q14</f>
        <v>211.9287884444847</v>
      </c>
      <c r="S14" s="326">
        <f t="shared" si="10"/>
        <v>36.029490156635624</v>
      </c>
      <c r="T14" s="269">
        <f>+S14/'Capacity Delivered'!L14*1000</f>
        <v>4.1129554973328339</v>
      </c>
      <c r="U14" s="270">
        <f t="shared" si="4"/>
        <v>4.1129554973328344E-3</v>
      </c>
      <c r="W14" s="271">
        <f t="shared" si="11"/>
        <v>4.8769490459483924</v>
      </c>
      <c r="X14" s="272">
        <f t="shared" si="5"/>
        <v>4.876949045948392E-3</v>
      </c>
    </row>
    <row r="15" spans="1:24" s="44" customFormat="1" x14ac:dyDescent="0.25">
      <c r="B15" s="276"/>
      <c r="C15" s="277"/>
      <c r="D15" s="278"/>
      <c r="E15" s="267"/>
      <c r="F15" s="38">
        <f t="shared" si="12"/>
        <v>2028</v>
      </c>
      <c r="G15" s="37">
        <v>9</v>
      </c>
      <c r="H15" s="174">
        <f>'Capacity Delivered'!I15</f>
        <v>1.609558777991309</v>
      </c>
      <c r="I15" s="268">
        <f t="shared" si="0"/>
        <v>0.84729034874865639</v>
      </c>
      <c r="J15" s="269">
        <f t="shared" si="6"/>
        <v>11.110594636933248</v>
      </c>
      <c r="K15" s="269">
        <f t="shared" si="7"/>
        <v>1.7337267465835198</v>
      </c>
      <c r="L15" s="269">
        <f>+K15/'Capacity Delivered'!R16*1000</f>
        <v>0.76120773910410944</v>
      </c>
      <c r="M15" s="270">
        <f t="shared" si="1"/>
        <v>7.6120773910410948E-4</v>
      </c>
      <c r="O15" s="174">
        <f t="shared" si="8"/>
        <v>40.571538612653214</v>
      </c>
      <c r="P15" s="174">
        <f t="shared" si="2"/>
        <v>0</v>
      </c>
      <c r="Q15" s="174">
        <f t="shared" si="3"/>
        <v>21.357326970863898</v>
      </c>
      <c r="R15" s="174">
        <f t="shared" si="13"/>
        <v>233.2861154153486</v>
      </c>
      <c r="S15" s="326">
        <f t="shared" si="10"/>
        <v>36.402586100809955</v>
      </c>
      <c r="T15" s="269">
        <f>+S15/'Capacity Delivered'!L15*1000</f>
        <v>4.1441924067406601</v>
      </c>
      <c r="U15" s="270">
        <f t="shared" si="4"/>
        <v>4.1441924067406599E-3</v>
      </c>
      <c r="W15" s="271">
        <f t="shared" si="11"/>
        <v>4.9054001458447694</v>
      </c>
      <c r="X15" s="272">
        <f t="shared" si="5"/>
        <v>4.9054001458447693E-3</v>
      </c>
    </row>
    <row r="16" spans="1:24" s="44" customFormat="1" x14ac:dyDescent="0.25">
      <c r="B16" s="276"/>
      <c r="C16" s="277"/>
      <c r="D16" s="277"/>
      <c r="E16" s="267"/>
      <c r="F16" s="37">
        <f t="shared" si="12"/>
        <v>2029</v>
      </c>
      <c r="G16" s="37">
        <v>10</v>
      </c>
      <c r="H16" s="174">
        <f>'Capacity Delivered'!I16</f>
        <v>1.609558777991309</v>
      </c>
      <c r="I16" s="268">
        <f t="shared" si="0"/>
        <v>0.78898440147933369</v>
      </c>
      <c r="J16" s="269">
        <f t="shared" si="6"/>
        <v>11.899579038412583</v>
      </c>
      <c r="K16" s="269">
        <f t="shared" si="7"/>
        <v>1.7249039862871889</v>
      </c>
      <c r="L16" s="269">
        <f>+K16/'Capacity Delivered'!R17*1000</f>
        <v>0.75733402980645814</v>
      </c>
      <c r="M16" s="270">
        <f t="shared" si="1"/>
        <v>7.5733402980645811E-4</v>
      </c>
      <c r="N16" s="279"/>
      <c r="O16" s="174">
        <f t="shared" si="8"/>
        <v>41.585827077969547</v>
      </c>
      <c r="P16" s="174">
        <f t="shared" si="2"/>
        <v>0</v>
      </c>
      <c r="Q16" s="174">
        <f>SUM(O16:P16)/((1+$D$8)^G16)</f>
        <v>20.384821813144146</v>
      </c>
      <c r="R16" s="174">
        <f>R15+Q16</f>
        <v>253.67093722849276</v>
      </c>
      <c r="S16" s="326">
        <f t="shared" si="10"/>
        <v>36.770881509183631</v>
      </c>
      <c r="T16" s="269">
        <f>+S16/'Capacity Delivered'!L16*1000</f>
        <v>4.1975892133771264</v>
      </c>
      <c r="U16" s="270">
        <f t="shared" si="4"/>
        <v>4.1975892133771266E-3</v>
      </c>
      <c r="V16" s="279"/>
      <c r="W16" s="271">
        <f>L16+T16</f>
        <v>4.9549232431835843</v>
      </c>
      <c r="X16" s="272">
        <f t="shared" si="5"/>
        <v>4.9549232431835843E-3</v>
      </c>
    </row>
    <row r="17" spans="2:24" s="44" customFormat="1" x14ac:dyDescent="0.25">
      <c r="B17" s="276"/>
      <c r="C17" s="277"/>
      <c r="D17" s="277"/>
      <c r="E17" s="267"/>
      <c r="F17" s="38">
        <f t="shared" si="12"/>
        <v>2030</v>
      </c>
      <c r="G17" s="37">
        <v>11</v>
      </c>
      <c r="H17" s="174">
        <f>'Capacity Delivered'!I17</f>
        <v>1.609558777991309</v>
      </c>
      <c r="I17" s="268">
        <f t="shared" si="0"/>
        <v>0.73469075470652168</v>
      </c>
      <c r="J17" s="269">
        <f t="shared" si="6"/>
        <v>12.634269793119104</v>
      </c>
      <c r="K17" s="269">
        <f t="shared" si="7"/>
        <v>1.7177457500395779</v>
      </c>
      <c r="L17" s="269">
        <f>+K17/'Capacity Delivered'!R18*1000</f>
        <v>0.75419114420424038</v>
      </c>
      <c r="M17" s="270">
        <f t="shared" si="1"/>
        <v>7.5419114420424043E-4</v>
      </c>
      <c r="O17" s="174">
        <f t="shared" si="8"/>
        <v>42.625472754918789</v>
      </c>
      <c r="P17" s="174">
        <f t="shared" si="2"/>
        <v>0</v>
      </c>
      <c r="Q17" s="174">
        <f t="shared" si="3"/>
        <v>19.456599644727394</v>
      </c>
      <c r="R17" s="174">
        <f t="shared" si="13"/>
        <v>273.12753687322015</v>
      </c>
      <c r="S17" s="326">
        <f t="shared" si="10"/>
        <v>37.134213006775319</v>
      </c>
      <c r="T17" s="269">
        <f>+S17/'Capacity Delivered'!L17*1000</f>
        <v>4.2390654117323416</v>
      </c>
      <c r="U17" s="270">
        <f t="shared" si="4"/>
        <v>4.239065411732342E-3</v>
      </c>
      <c r="W17" s="271">
        <f t="shared" si="11"/>
        <v>4.9932565559365818</v>
      </c>
      <c r="X17" s="272">
        <f t="shared" si="5"/>
        <v>4.9932565559365821E-3</v>
      </c>
    </row>
    <row r="18" spans="2:24" s="44" customFormat="1" x14ac:dyDescent="0.25">
      <c r="B18" s="277"/>
      <c r="C18" s="277"/>
      <c r="D18" s="277"/>
      <c r="E18" s="267"/>
      <c r="F18" s="38">
        <f t="shared" si="12"/>
        <v>2031</v>
      </c>
      <c r="G18" s="37">
        <v>12</v>
      </c>
      <c r="H18" s="174">
        <f>'Capacity Delivered'!I18</f>
        <v>1.6831419269394801</v>
      </c>
      <c r="I18" s="268">
        <f t="shared" si="0"/>
        <v>0.71540937964101448</v>
      </c>
      <c r="J18" s="269">
        <f t="shared" si="6"/>
        <v>13.349679172760119</v>
      </c>
      <c r="K18" s="269">
        <f t="shared" si="7"/>
        <v>1.7158552886855376</v>
      </c>
      <c r="L18" s="269">
        <f>+K18/'Capacity Delivered'!R19*1000</f>
        <v>0.75130275706071248</v>
      </c>
      <c r="M18" s="270">
        <f t="shared" si="1"/>
        <v>7.5130275706071243E-4</v>
      </c>
      <c r="O18" s="174">
        <f t="shared" si="8"/>
        <v>43.691109573791756</v>
      </c>
      <c r="P18" s="174">
        <f t="shared" si="2"/>
        <v>0</v>
      </c>
      <c r="Q18" s="174">
        <f t="shared" si="3"/>
        <v>18.570644041200836</v>
      </c>
      <c r="R18" s="174">
        <f t="shared" si="13"/>
        <v>291.69818091442096</v>
      </c>
      <c r="S18" s="326">
        <f t="shared" si="10"/>
        <v>37.492426592786522</v>
      </c>
      <c r="T18" s="269">
        <f>+S18/'Capacity Delivered'!L18*1000</f>
        <v>4.2799573736057672</v>
      </c>
      <c r="U18" s="270">
        <f t="shared" si="4"/>
        <v>4.279957373605767E-3</v>
      </c>
      <c r="W18" s="271">
        <f t="shared" si="11"/>
        <v>5.0312601306664799</v>
      </c>
      <c r="X18" s="272">
        <f t="shared" si="5"/>
        <v>5.0312601306664803E-3</v>
      </c>
    </row>
    <row r="19" spans="2:24" s="44" customFormat="1" x14ac:dyDescent="0.25">
      <c r="B19" s="277"/>
      <c r="C19" s="277"/>
      <c r="D19" s="277"/>
      <c r="E19" s="192"/>
      <c r="F19" s="38">
        <f t="shared" si="12"/>
        <v>2032</v>
      </c>
      <c r="G19" s="37">
        <v>13</v>
      </c>
      <c r="H19" s="174">
        <f>'Capacity Delivered'!I19</f>
        <v>1.6831419269394801</v>
      </c>
      <c r="I19" s="268">
        <f t="shared" si="0"/>
        <v>0.66617876863862024</v>
      </c>
      <c r="J19" s="269">
        <f t="shared" si="6"/>
        <v>14.015857941398739</v>
      </c>
      <c r="K19" s="269">
        <f t="shared" si="7"/>
        <v>1.7142716533556288</v>
      </c>
      <c r="L19" s="269">
        <f>+K19/'Capacity Delivered'!R20*1000</f>
        <v>0.75266581197560101</v>
      </c>
      <c r="M19" s="270">
        <f t="shared" si="1"/>
        <v>7.5266581197560103E-4</v>
      </c>
      <c r="O19" s="174">
        <f t="shared" si="8"/>
        <v>44.783387313136551</v>
      </c>
      <c r="P19" s="174">
        <f t="shared" si="2"/>
        <v>0</v>
      </c>
      <c r="Q19" s="174">
        <f t="shared" si="3"/>
        <v>17.725030395968759</v>
      </c>
      <c r="R19" s="174">
        <f t="shared" si="13"/>
        <v>309.42321131038972</v>
      </c>
      <c r="S19" s="326">
        <f t="shared" si="10"/>
        <v>37.845377875364946</v>
      </c>
      <c r="T19" s="269">
        <f>+S19/'Capacity Delivered'!L19*1000</f>
        <v>4.3084446579422755</v>
      </c>
      <c r="U19" s="270">
        <f t="shared" si="4"/>
        <v>4.3084446579422751E-3</v>
      </c>
      <c r="W19" s="271">
        <f t="shared" si="11"/>
        <v>5.0611104699178764</v>
      </c>
      <c r="X19" s="272">
        <f t="shared" si="5"/>
        <v>5.0611104699178761E-3</v>
      </c>
    </row>
    <row r="20" spans="2:24" s="44" customFormat="1" x14ac:dyDescent="0.25">
      <c r="B20" s="277"/>
      <c r="C20" s="277"/>
      <c r="D20" s="277"/>
      <c r="E20" s="192"/>
      <c r="F20" s="38">
        <f t="shared" si="12"/>
        <v>2033</v>
      </c>
      <c r="G20" s="37">
        <v>14</v>
      </c>
      <c r="H20" s="174">
        <f>'Capacity Delivered'!I20</f>
        <v>1.6831419269394801</v>
      </c>
      <c r="I20" s="268">
        <f t="shared" si="0"/>
        <v>0.62033594248870505</v>
      </c>
      <c r="J20" s="269">
        <f t="shared" si="6"/>
        <v>14.636193883887444</v>
      </c>
      <c r="K20" s="269">
        <f t="shared" si="7"/>
        <v>1.7129289109764283</v>
      </c>
      <c r="L20" s="269">
        <f>+K20/'Capacity Delivered'!R21*1000</f>
        <v>0.75207626930823157</v>
      </c>
      <c r="M20" s="270">
        <f t="shared" si="1"/>
        <v>7.520762693082316E-4</v>
      </c>
      <c r="O20" s="174">
        <f t="shared" si="8"/>
        <v>45.902971995964961</v>
      </c>
      <c r="P20" s="174">
        <f t="shared" si="2"/>
        <v>0</v>
      </c>
      <c r="Q20" s="174">
        <f t="shared" si="3"/>
        <v>16.917921739331391</v>
      </c>
      <c r="R20" s="174">
        <f t="shared" si="13"/>
        <v>326.34113304972112</v>
      </c>
      <c r="S20" s="326">
        <f t="shared" si="10"/>
        <v>38.19293226615823</v>
      </c>
      <c r="T20" s="269">
        <f>+S20/'Capacity Delivered'!L20*1000</f>
        <v>4.3599237746755968</v>
      </c>
      <c r="U20" s="270">
        <f t="shared" si="4"/>
        <v>4.359923774675597E-3</v>
      </c>
      <c r="W20" s="271">
        <f t="shared" si="11"/>
        <v>5.1120000439838282</v>
      </c>
      <c r="X20" s="272">
        <f t="shared" si="5"/>
        <v>5.1120000439838281E-3</v>
      </c>
    </row>
    <row r="21" spans="2:24" s="279" customFormat="1" x14ac:dyDescent="0.25">
      <c r="B21" s="277"/>
      <c r="C21" s="277"/>
      <c r="D21" s="277"/>
      <c r="E21" s="192"/>
      <c r="F21" s="37">
        <f t="shared" si="12"/>
        <v>2034</v>
      </c>
      <c r="G21" s="37">
        <v>15</v>
      </c>
      <c r="H21" s="174">
        <f>'Capacity Delivered'!I21</f>
        <v>1.7661365854069464</v>
      </c>
      <c r="I21" s="268">
        <f t="shared" si="0"/>
        <v>0.60613121656941049</v>
      </c>
      <c r="J21" s="269">
        <f>J20+I21</f>
        <v>15.242325100456855</v>
      </c>
      <c r="K21" s="269">
        <f t="shared" si="7"/>
        <v>1.7149835019126896</v>
      </c>
      <c r="L21" s="269">
        <f>+K21/'Capacity Delivered'!R22*1000</f>
        <v>0.75297835524793189</v>
      </c>
      <c r="M21" s="270">
        <f>L21/1000</f>
        <v>7.5297835524793183E-4</v>
      </c>
      <c r="O21" s="174">
        <f t="shared" si="8"/>
        <v>47.050546295864088</v>
      </c>
      <c r="P21" s="174">
        <f t="shared" si="2"/>
        <v>0</v>
      </c>
      <c r="Q21" s="174">
        <f t="shared" si="3"/>
        <v>16.147564747941779</v>
      </c>
      <c r="R21" s="174">
        <f>R20+Q21</f>
        <v>342.48869779766289</v>
      </c>
      <c r="S21" s="326">
        <f t="shared" si="10"/>
        <v>38.534965134482526</v>
      </c>
      <c r="T21" s="269">
        <f>+S21/'Capacity Delivered'!L21*1000</f>
        <v>4.3989686226578222</v>
      </c>
      <c r="U21" s="270">
        <f>T21/1000</f>
        <v>4.3989686226578225E-3</v>
      </c>
      <c r="W21" s="271">
        <f t="shared" si="11"/>
        <v>5.1519469779057543</v>
      </c>
      <c r="X21" s="272">
        <f>W21/1000</f>
        <v>5.1519469779057539E-3</v>
      </c>
    </row>
    <row r="22" spans="2:24" s="44" customFormat="1" x14ac:dyDescent="0.25">
      <c r="B22" s="277"/>
      <c r="C22" s="277"/>
      <c r="D22" s="277"/>
      <c r="E22" s="192"/>
      <c r="F22" s="38">
        <f t="shared" si="12"/>
        <v>2035</v>
      </c>
      <c r="G22" s="37">
        <v>16</v>
      </c>
      <c r="H22" s="174">
        <f>'Capacity Delivered'!I22</f>
        <v>1.7661365854069464</v>
      </c>
      <c r="I22" s="268">
        <f t="shared" si="0"/>
        <v>0.56442053875538734</v>
      </c>
      <c r="J22" s="269">
        <f t="shared" si="6"/>
        <v>15.806745639212242</v>
      </c>
      <c r="K22" s="269">
        <f t="shared" si="7"/>
        <v>1.7167589877196467</v>
      </c>
      <c r="L22" s="269">
        <f>+K22/'Capacity Delivered'!R23*1000</f>
        <v>0.75169844985622758</v>
      </c>
      <c r="M22" s="270">
        <f t="shared" si="1"/>
        <v>7.5169844985622754E-4</v>
      </c>
      <c r="O22" s="174">
        <f t="shared" si="8"/>
        <v>48.226809953260691</v>
      </c>
      <c r="P22" s="174">
        <f t="shared" si="2"/>
        <v>0</v>
      </c>
      <c r="Q22" s="174">
        <f t="shared" si="3"/>
        <v>15.41228593597199</v>
      </c>
      <c r="R22" s="174">
        <f t="shared" ref="R22:R27" si="14">R21+Q22</f>
        <v>357.90098373363486</v>
      </c>
      <c r="S22" s="326">
        <f t="shared" si="10"/>
        <v>38.871361921215936</v>
      </c>
      <c r="T22" s="269">
        <f>+S22/'Capacity Delivered'!L22*1000</f>
        <v>4.4373700823305864</v>
      </c>
      <c r="U22" s="270">
        <f t="shared" ref="U22:U27" si="15">T22/1000</f>
        <v>4.4373700823305863E-3</v>
      </c>
      <c r="W22" s="271">
        <f t="shared" si="11"/>
        <v>5.1890685321868144</v>
      </c>
      <c r="X22" s="272">
        <f t="shared" ref="X22:X27" si="16">W22/1000</f>
        <v>5.1890685321868144E-3</v>
      </c>
    </row>
    <row r="23" spans="2:24" s="44" customFormat="1" x14ac:dyDescent="0.25">
      <c r="B23" s="277"/>
      <c r="C23" s="277"/>
      <c r="D23" s="277"/>
      <c r="E23" s="192"/>
      <c r="F23" s="38">
        <f t="shared" si="12"/>
        <v>2036</v>
      </c>
      <c r="G23" s="37">
        <v>17</v>
      </c>
      <c r="H23" s="174">
        <f>'Capacity Delivered'!I23</f>
        <v>1.821789018152165</v>
      </c>
      <c r="I23" s="268">
        <f t="shared" si="0"/>
        <v>0.54214163271622373</v>
      </c>
      <c r="J23" s="269">
        <f t="shared" si="6"/>
        <v>16.348887271928465</v>
      </c>
      <c r="K23" s="269">
        <f t="shared" si="7"/>
        <v>1.7200473554326665</v>
      </c>
      <c r="L23" s="269">
        <f>+K23/'Capacity Delivered'!R24*1000</f>
        <v>0.75520168397992038</v>
      </c>
      <c r="M23" s="270">
        <f t="shared" si="1"/>
        <v>7.5520168397992039E-4</v>
      </c>
      <c r="O23" s="174">
        <f t="shared" si="8"/>
        <v>49.432480202092208</v>
      </c>
      <c r="P23" s="174">
        <f t="shared" si="2"/>
        <v>0</v>
      </c>
      <c r="Q23" s="174">
        <f t="shared" si="3"/>
        <v>14.710488019714395</v>
      </c>
      <c r="R23" s="174">
        <f t="shared" si="14"/>
        <v>372.61147175334924</v>
      </c>
      <c r="S23" s="326">
        <f t="shared" si="10"/>
        <v>39.202018212804177</v>
      </c>
      <c r="T23" s="269">
        <f>+S23/'Capacity Delivered'!L23*1000</f>
        <v>4.4628891408019324</v>
      </c>
      <c r="U23" s="270">
        <f t="shared" si="15"/>
        <v>4.462889140801932E-3</v>
      </c>
      <c r="W23" s="271">
        <f t="shared" si="11"/>
        <v>5.2180908247818527</v>
      </c>
      <c r="X23" s="272">
        <f t="shared" si="16"/>
        <v>5.2180908247818529E-3</v>
      </c>
    </row>
    <row r="24" spans="2:24" s="44" customFormat="1" x14ac:dyDescent="0.25">
      <c r="B24" s="277"/>
      <c r="C24" s="277"/>
      <c r="D24" s="277"/>
      <c r="E24" s="192"/>
      <c r="F24" s="38">
        <f t="shared" si="12"/>
        <v>2037</v>
      </c>
      <c r="G24" s="37">
        <v>18</v>
      </c>
      <c r="H24" s="174">
        <f>'Capacity Delivered'!I24</f>
        <v>1.821789018152165</v>
      </c>
      <c r="I24" s="268">
        <f t="shared" si="0"/>
        <v>0.50483437258238539</v>
      </c>
      <c r="J24" s="269">
        <f t="shared" si="6"/>
        <v>16.853721644510852</v>
      </c>
      <c r="K24" s="269">
        <f t="shared" si="7"/>
        <v>1.7229295372073348</v>
      </c>
      <c r="L24" s="269">
        <f>+K24/'Capacity Delivered'!R25*1000</f>
        <v>0.75646713084270056</v>
      </c>
      <c r="M24" s="270">
        <f t="shared" si="1"/>
        <v>7.5646713084270053E-4</v>
      </c>
      <c r="O24" s="174">
        <f t="shared" si="8"/>
        <v>50.668292207144511</v>
      </c>
      <c r="P24" s="174">
        <f t="shared" si="2"/>
        <v>0</v>
      </c>
      <c r="Q24" s="174">
        <f t="shared" si="3"/>
        <v>14.040646447720695</v>
      </c>
      <c r="R24" s="174">
        <f t="shared" si="14"/>
        <v>386.65211820106992</v>
      </c>
      <c r="S24" s="326">
        <f t="shared" si="10"/>
        <v>39.526839776030933</v>
      </c>
      <c r="T24" s="269">
        <f>+S24/'Capacity Delivered'!L24*1000</f>
        <v>4.5121963214647183</v>
      </c>
      <c r="U24" s="270">
        <f t="shared" si="15"/>
        <v>4.5121963214647181E-3</v>
      </c>
      <c r="W24" s="271">
        <f t="shared" si="11"/>
        <v>5.2686634523074192</v>
      </c>
      <c r="X24" s="272">
        <f t="shared" si="16"/>
        <v>5.2686634523074188E-3</v>
      </c>
    </row>
    <row r="25" spans="2:24" x14ac:dyDescent="0.25">
      <c r="B25" s="175"/>
      <c r="C25" s="175"/>
      <c r="D25" s="175"/>
      <c r="E25" s="52"/>
      <c r="F25" s="38">
        <f t="shared" si="12"/>
        <v>2038</v>
      </c>
      <c r="G25" s="39">
        <v>19</v>
      </c>
      <c r="H25" s="174">
        <f>'Capacity Delivered'!I25</f>
        <v>1.821789018152165</v>
      </c>
      <c r="I25" s="40">
        <f t="shared" si="0"/>
        <v>0.47009439666857755</v>
      </c>
      <c r="J25" s="41">
        <f t="shared" si="6"/>
        <v>17.32381604117943</v>
      </c>
      <c r="K25" s="41">
        <f t="shared" si="7"/>
        <v>1.7254703300256899</v>
      </c>
      <c r="L25" s="41">
        <f>+K25/'Capacity Delivered'!R26*1000</f>
        <v>0.75758268792838523</v>
      </c>
      <c r="M25" s="248">
        <f t="shared" si="1"/>
        <v>7.5758268792838518E-4</v>
      </c>
      <c r="O25" s="174">
        <f t="shared" si="8"/>
        <v>51.934999512323124</v>
      </c>
      <c r="P25" s="174">
        <f t="shared" si="2"/>
        <v>0</v>
      </c>
      <c r="Q25" s="174">
        <f t="shared" si="3"/>
        <v>13.401306088940974</v>
      </c>
      <c r="R25" s="174">
        <f t="shared" si="14"/>
        <v>400.05342429001092</v>
      </c>
      <c r="S25" s="326">
        <f t="shared" si="10"/>
        <v>39.845742554456109</v>
      </c>
      <c r="T25" s="41">
        <f>+S25/'Capacity Delivered'!L25*1000</f>
        <v>4.5486007482255832</v>
      </c>
      <c r="U25" s="248">
        <f t="shared" si="15"/>
        <v>4.5486007482255829E-3</v>
      </c>
      <c r="W25" s="255">
        <f t="shared" si="11"/>
        <v>5.3061834361539688</v>
      </c>
      <c r="X25" s="256">
        <f t="shared" si="16"/>
        <v>5.3061834361539688E-3</v>
      </c>
    </row>
    <row r="26" spans="2:24" x14ac:dyDescent="0.25">
      <c r="B26" s="175"/>
      <c r="C26" s="175"/>
      <c r="D26" s="175"/>
      <c r="E26" s="52"/>
      <c r="F26" s="38">
        <f t="shared" si="12"/>
        <v>2039</v>
      </c>
      <c r="G26" s="39">
        <v>20</v>
      </c>
      <c r="H26" s="174">
        <f>'Capacity Delivered'!I26</f>
        <v>1.821789018152165</v>
      </c>
      <c r="I26" s="40">
        <f t="shared" si="0"/>
        <v>0.43774503833557826</v>
      </c>
      <c r="J26" s="41">
        <f t="shared" si="6"/>
        <v>17.761561079515008</v>
      </c>
      <c r="K26" s="41">
        <f t="shared" si="7"/>
        <v>1.7277215935706394</v>
      </c>
      <c r="L26" s="41">
        <f>+K26/'Capacity Delivered'!R27*1000</f>
        <v>0.75649852597845701</v>
      </c>
      <c r="M26" s="248">
        <f t="shared" si="1"/>
        <v>7.5649852597845706E-4</v>
      </c>
      <c r="O26" s="174">
        <f t="shared" si="8"/>
        <v>53.233374500131205</v>
      </c>
      <c r="P26" s="174">
        <f t="shared" si="2"/>
        <v>0</v>
      </c>
      <c r="Q26" s="174">
        <f t="shared" si="3"/>
        <v>12.791078071668217</v>
      </c>
      <c r="R26" s="174">
        <f t="shared" si="14"/>
        <v>412.84450236167913</v>
      </c>
      <c r="S26" s="326">
        <f t="shared" si="10"/>
        <v>40.158652627659379</v>
      </c>
      <c r="T26" s="41">
        <f>+S26/'Capacity Delivered'!L26*1000</f>
        <v>4.5843210762168241</v>
      </c>
      <c r="U26" s="248">
        <f t="shared" si="15"/>
        <v>4.5843210762168242E-3</v>
      </c>
      <c r="W26" s="255">
        <f t="shared" si="11"/>
        <v>5.340819602195281</v>
      </c>
      <c r="X26" s="256">
        <f t="shared" si="16"/>
        <v>5.3408196021952807E-3</v>
      </c>
    </row>
    <row r="27" spans="2:24" s="44" customFormat="1" ht="15.6" thickBot="1" x14ac:dyDescent="0.3">
      <c r="F27" s="38">
        <f t="shared" si="12"/>
        <v>2040</v>
      </c>
      <c r="G27" s="37">
        <v>21</v>
      </c>
      <c r="H27" s="174">
        <f>'Capacity Delivered'!I27</f>
        <v>1.821789018152165</v>
      </c>
      <c r="I27" s="40">
        <f t="shared" si="0"/>
        <v>0.40762178818845157</v>
      </c>
      <c r="J27" s="41">
        <f t="shared" si="6"/>
        <v>18.169182867703459</v>
      </c>
      <c r="K27" s="41">
        <f t="shared" si="7"/>
        <v>1.729725328702755</v>
      </c>
      <c r="L27" s="41">
        <f>+K27/'Capacity Delivered'!R28*1000</f>
        <v>0.75945088193833643</v>
      </c>
      <c r="M27" s="248">
        <f t="shared" si="1"/>
        <v>7.5945088193833644E-4</v>
      </c>
      <c r="O27" s="174">
        <f t="shared" si="8"/>
        <v>54.564208862634487</v>
      </c>
      <c r="P27" s="174">
        <f t="shared" si="2"/>
        <v>0</v>
      </c>
      <c r="Q27" s="174">
        <f t="shared" si="3"/>
        <v>12.20863676642138</v>
      </c>
      <c r="R27" s="174">
        <f t="shared" si="14"/>
        <v>425.0531391281005</v>
      </c>
      <c r="S27" s="326">
        <f t="shared" si="10"/>
        <v>40.465506134642268</v>
      </c>
      <c r="T27" s="41">
        <f>+S27/'Capacity Delivered'!L27*1000</f>
        <v>4.6067288404647391</v>
      </c>
      <c r="U27" s="248">
        <f t="shared" si="15"/>
        <v>4.6067288404647386E-3</v>
      </c>
      <c r="W27" s="257">
        <f t="shared" si="11"/>
        <v>5.3661797224030758</v>
      </c>
      <c r="X27" s="258">
        <f t="shared" si="16"/>
        <v>5.3661797224030762E-3</v>
      </c>
    </row>
    <row r="28" spans="2:24" s="44" customFormat="1" x14ac:dyDescent="0.25">
      <c r="C28" s="21"/>
      <c r="F28" s="38"/>
      <c r="G28" s="37"/>
      <c r="H28" s="177"/>
      <c r="I28" s="55"/>
      <c r="J28" s="56"/>
      <c r="K28" s="48"/>
      <c r="L28" s="48"/>
      <c r="M28" s="48"/>
      <c r="O28" s="178"/>
      <c r="P28" s="54"/>
      <c r="Q28" s="55"/>
      <c r="R28" s="56"/>
      <c r="S28" s="48"/>
      <c r="T28" s="48"/>
      <c r="U28" s="48"/>
      <c r="W28" s="48"/>
      <c r="X28" s="48"/>
    </row>
    <row r="29" spans="2:24" x14ac:dyDescent="0.25">
      <c r="B29" s="31"/>
      <c r="C29" s="21"/>
      <c r="D29" s="44"/>
      <c r="E29" s="44"/>
      <c r="F29" s="31"/>
      <c r="G29" s="37"/>
      <c r="H29" s="177"/>
      <c r="I29" s="31"/>
      <c r="J29" s="31"/>
      <c r="K29" s="31"/>
      <c r="L29" s="31"/>
      <c r="M29" s="31"/>
      <c r="O29" s="178"/>
      <c r="P29" s="54"/>
      <c r="Q29" s="31"/>
      <c r="R29" s="31"/>
      <c r="S29" s="31"/>
      <c r="T29" s="31"/>
      <c r="U29" s="31"/>
      <c r="W29" s="31"/>
      <c r="X29" s="31"/>
    </row>
    <row r="30" spans="2:24" s="44" customFormat="1" ht="51.75" customHeight="1" x14ac:dyDescent="0.25">
      <c r="B30" s="332" t="s">
        <v>118</v>
      </c>
      <c r="C30" s="332"/>
      <c r="D30" s="332"/>
      <c r="E30" s="332"/>
      <c r="F30" s="332"/>
      <c r="G30" s="332"/>
      <c r="H30" s="332"/>
      <c r="I30" s="332"/>
      <c r="J30" s="332"/>
      <c r="K30" s="332"/>
      <c r="L30" s="332"/>
      <c r="M30" s="332"/>
      <c r="Q30" s="246"/>
      <c r="R30" s="246"/>
    </row>
    <row r="32" spans="2:24" x14ac:dyDescent="0.25">
      <c r="J32" s="259"/>
      <c r="R32" s="259"/>
    </row>
  </sheetData>
  <mergeCells count="1">
    <mergeCell ref="B30:M30"/>
  </mergeCells>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8676" r:id="rId4" name="Control 4">
          <controlPr defaultSize="0" r:id="rId5">
            <anchor moveWithCells="1">
              <from>
                <xdr:col>6</xdr:col>
                <xdr:colOff>571500</xdr:colOff>
                <xdr:row>2</xdr:row>
                <xdr:rowOff>68580</xdr:rowOff>
              </from>
              <to>
                <xdr:col>7</xdr:col>
                <xdr:colOff>228600</xdr:colOff>
                <xdr:row>3</xdr:row>
                <xdr:rowOff>175260</xdr:rowOff>
              </to>
            </anchor>
          </controlPr>
        </control>
      </mc:Choice>
      <mc:Fallback>
        <control shapeId="28676" r:id="rId4" name="Control 4"/>
      </mc:Fallback>
    </mc:AlternateContent>
    <mc:AlternateContent xmlns:mc="http://schemas.openxmlformats.org/markup-compatibility/2006">
      <mc:Choice Requires="x14">
        <control shapeId="28675" r:id="rId6" name="Control 3">
          <controlPr defaultSize="0" r:id="rId7">
            <anchor moveWithCells="1">
              <from>
                <xdr:col>6</xdr:col>
                <xdr:colOff>571500</xdr:colOff>
                <xdr:row>2</xdr:row>
                <xdr:rowOff>68580</xdr:rowOff>
              </from>
              <to>
                <xdr:col>7</xdr:col>
                <xdr:colOff>167640</xdr:colOff>
                <xdr:row>3</xdr:row>
                <xdr:rowOff>91440</xdr:rowOff>
              </to>
            </anchor>
          </controlPr>
        </control>
      </mc:Choice>
      <mc:Fallback>
        <control shapeId="28675" r:id="rId6" name="Control 3"/>
      </mc:Fallback>
    </mc:AlternateContent>
    <mc:AlternateContent xmlns:mc="http://schemas.openxmlformats.org/markup-compatibility/2006">
      <mc:Choice Requires="x14">
        <control shapeId="28674" r:id="rId8" name="Control 2">
          <controlPr defaultSize="0" r:id="rId9">
            <anchor moveWithCells="1">
              <from>
                <xdr:col>6</xdr:col>
                <xdr:colOff>571500</xdr:colOff>
                <xdr:row>2</xdr:row>
                <xdr:rowOff>68580</xdr:rowOff>
              </from>
              <to>
                <xdr:col>7</xdr:col>
                <xdr:colOff>167640</xdr:colOff>
                <xdr:row>3</xdr:row>
                <xdr:rowOff>91440</xdr:rowOff>
              </to>
            </anchor>
          </controlPr>
        </control>
      </mc:Choice>
      <mc:Fallback>
        <control shapeId="28674" r:id="rId8" name="Control 2"/>
      </mc:Fallback>
    </mc:AlternateContent>
    <mc:AlternateContent xmlns:mc="http://schemas.openxmlformats.org/markup-compatibility/2006">
      <mc:Choice Requires="x14">
        <control shapeId="28673" r:id="rId10" name="Control 1">
          <controlPr defaultSize="0" r:id="rId11">
            <anchor moveWithCells="1">
              <from>
                <xdr:col>6</xdr:col>
                <xdr:colOff>571500</xdr:colOff>
                <xdr:row>2</xdr:row>
                <xdr:rowOff>68580</xdr:rowOff>
              </from>
              <to>
                <xdr:col>6</xdr:col>
                <xdr:colOff>792480</xdr:colOff>
                <xdr:row>3</xdr:row>
                <xdr:rowOff>91440</xdr:rowOff>
              </to>
            </anchor>
          </controlPr>
        </control>
      </mc:Choice>
      <mc:Fallback>
        <control shapeId="28673" r:id="rId10" name="Control 1"/>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election activeCell="H28" sqref="H28"/>
    </sheetView>
  </sheetViews>
  <sheetFormatPr defaultColWidth="9.109375" defaultRowHeight="14.4" x14ac:dyDescent="0.3"/>
  <cols>
    <col min="1" max="16384" width="9.109375" style="76"/>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96"/>
  <sheetViews>
    <sheetView topLeftCell="J16" workbookViewId="0">
      <selection activeCell="F20" sqref="F20"/>
    </sheetView>
  </sheetViews>
  <sheetFormatPr defaultColWidth="8.88671875" defaultRowHeight="15" x14ac:dyDescent="0.25"/>
  <cols>
    <col min="1" max="1" width="2.6640625" style="59" customWidth="1"/>
    <col min="2" max="2" width="4" style="59" bestFit="1" customWidth="1"/>
    <col min="3" max="3" width="9.6640625" style="59" customWidth="1"/>
    <col min="4" max="16" width="10" style="59" customWidth="1"/>
    <col min="17" max="17" width="14.109375" style="66" customWidth="1"/>
    <col min="18" max="16384" width="8.88671875" style="59"/>
  </cols>
  <sheetData>
    <row r="2" spans="2:17" ht="49.2" customHeight="1" x14ac:dyDescent="0.3">
      <c r="C2" s="333" t="s">
        <v>126</v>
      </c>
      <c r="D2" s="333"/>
      <c r="E2" s="333"/>
      <c r="F2" s="333"/>
      <c r="G2" s="333"/>
      <c r="H2" s="333"/>
      <c r="I2" s="333"/>
      <c r="J2" s="333"/>
      <c r="K2" s="333"/>
      <c r="L2" s="333"/>
      <c r="M2" s="333"/>
      <c r="N2" s="333"/>
      <c r="O2" s="333"/>
      <c r="P2" s="333"/>
      <c r="Q2" s="333"/>
    </row>
    <row r="3" spans="2:17" ht="16.2" thickBot="1" x14ac:dyDescent="0.35">
      <c r="C3" s="58"/>
      <c r="Q3" s="73"/>
    </row>
    <row r="4" spans="2:17" ht="15.6" x14ac:dyDescent="0.25">
      <c r="C4" s="60"/>
      <c r="D4" s="68" t="s">
        <v>64</v>
      </c>
      <c r="E4" s="68">
        <v>2</v>
      </c>
      <c r="F4" s="68">
        <v>3</v>
      </c>
      <c r="G4" s="68">
        <v>4</v>
      </c>
      <c r="H4" s="68">
        <v>5</v>
      </c>
      <c r="I4" s="68">
        <v>6</v>
      </c>
      <c r="J4" s="68">
        <v>7</v>
      </c>
      <c r="K4" s="68">
        <v>8</v>
      </c>
      <c r="L4" s="68">
        <v>9</v>
      </c>
      <c r="M4" s="68">
        <v>10</v>
      </c>
      <c r="N4" s="68">
        <v>11</v>
      </c>
      <c r="O4" s="68">
        <v>12</v>
      </c>
      <c r="P4" s="69" t="s">
        <v>42</v>
      </c>
      <c r="Q4" s="73"/>
    </row>
    <row r="5" spans="2:17" ht="16.2" thickBot="1" x14ac:dyDescent="0.3">
      <c r="C5" s="70" t="s">
        <v>43</v>
      </c>
      <c r="D5" s="71"/>
      <c r="E5" s="71"/>
      <c r="F5" s="71"/>
      <c r="G5" s="71"/>
      <c r="H5" s="71"/>
      <c r="I5" s="71"/>
      <c r="J5" s="71"/>
      <c r="K5" s="71"/>
      <c r="L5" s="71"/>
      <c r="M5" s="71"/>
      <c r="N5" s="71"/>
      <c r="O5" s="71"/>
      <c r="P5" s="72"/>
      <c r="Q5" s="73"/>
    </row>
    <row r="6" spans="2:17" ht="15.6" thickBot="1" x14ac:dyDescent="0.3">
      <c r="B6" s="213">
        <v>1</v>
      </c>
      <c r="C6" s="61">
        <v>2020</v>
      </c>
      <c r="D6" s="62">
        <v>25.99</v>
      </c>
      <c r="E6" s="62">
        <v>26.25</v>
      </c>
      <c r="F6" s="62">
        <v>6.31</v>
      </c>
      <c r="G6" s="62">
        <v>9.8699999999999992</v>
      </c>
      <c r="H6" s="62">
        <v>6.91</v>
      </c>
      <c r="I6" s="62">
        <v>11.33</v>
      </c>
      <c r="J6" s="62">
        <v>19.98</v>
      </c>
      <c r="K6" s="62">
        <v>23.73</v>
      </c>
      <c r="L6" s="62">
        <v>23.67</v>
      </c>
      <c r="M6" s="62">
        <v>24.02</v>
      </c>
      <c r="N6" s="62">
        <v>25.91</v>
      </c>
      <c r="O6" s="62">
        <v>30.05</v>
      </c>
      <c r="P6" s="62">
        <v>19.48</v>
      </c>
      <c r="Q6" s="73"/>
    </row>
    <row r="7" spans="2:17" ht="15.6" thickBot="1" x14ac:dyDescent="0.3">
      <c r="B7" s="59">
        <v>2</v>
      </c>
      <c r="C7" s="61">
        <f>C6+1</f>
        <v>2021</v>
      </c>
      <c r="D7" s="62">
        <v>27.69</v>
      </c>
      <c r="E7" s="62">
        <v>28.82</v>
      </c>
      <c r="F7" s="62">
        <v>21.13</v>
      </c>
      <c r="G7" s="62">
        <v>17.18</v>
      </c>
      <c r="H7" s="62">
        <v>10.79</v>
      </c>
      <c r="I7" s="62">
        <v>13.67</v>
      </c>
      <c r="J7" s="62">
        <v>22.61</v>
      </c>
      <c r="K7" s="62">
        <v>25.02</v>
      </c>
      <c r="L7" s="62">
        <v>25.99</v>
      </c>
      <c r="M7" s="62">
        <v>25.91</v>
      </c>
      <c r="N7" s="62">
        <v>26.7</v>
      </c>
      <c r="O7" s="62">
        <v>28.98</v>
      </c>
      <c r="P7" s="62">
        <v>22.85</v>
      </c>
      <c r="Q7" s="75"/>
    </row>
    <row r="8" spans="2:17" ht="15.6" thickBot="1" x14ac:dyDescent="0.3">
      <c r="B8" s="59">
        <v>3</v>
      </c>
      <c r="C8" s="61">
        <f t="shared" ref="C8:C26" si="0">C7+1</f>
        <v>2022</v>
      </c>
      <c r="D8" s="62">
        <v>26.56</v>
      </c>
      <c r="E8" s="62">
        <v>27.65</v>
      </c>
      <c r="F8" s="62">
        <v>20.55</v>
      </c>
      <c r="G8" s="62">
        <v>15.1</v>
      </c>
      <c r="H8" s="62">
        <v>9.49</v>
      </c>
      <c r="I8" s="62">
        <v>11.31</v>
      </c>
      <c r="J8" s="62">
        <v>21.01</v>
      </c>
      <c r="K8" s="62">
        <v>22.88</v>
      </c>
      <c r="L8" s="62">
        <v>24.31</v>
      </c>
      <c r="M8" s="62">
        <v>23.59</v>
      </c>
      <c r="N8" s="62">
        <v>24.69</v>
      </c>
      <c r="O8" s="62">
        <v>27.53</v>
      </c>
      <c r="P8" s="62">
        <v>21.19</v>
      </c>
      <c r="Q8" s="75"/>
    </row>
    <row r="9" spans="2:17" ht="15.6" thickBot="1" x14ac:dyDescent="0.3">
      <c r="B9" s="213">
        <v>4</v>
      </c>
      <c r="C9" s="61">
        <f t="shared" si="0"/>
        <v>2023</v>
      </c>
      <c r="D9" s="62">
        <v>25.24</v>
      </c>
      <c r="E9" s="62">
        <v>26.5</v>
      </c>
      <c r="F9" s="62">
        <v>19.77</v>
      </c>
      <c r="G9" s="62">
        <v>14.79</v>
      </c>
      <c r="H9" s="62">
        <v>9.6999999999999993</v>
      </c>
      <c r="I9" s="62">
        <v>10.29</v>
      </c>
      <c r="J9" s="62">
        <v>20.13</v>
      </c>
      <c r="K9" s="62">
        <v>21.93</v>
      </c>
      <c r="L9" s="62">
        <v>23.68</v>
      </c>
      <c r="M9" s="62">
        <v>23.11</v>
      </c>
      <c r="N9" s="62">
        <v>24.42</v>
      </c>
      <c r="O9" s="62">
        <v>27.09</v>
      </c>
      <c r="P9" s="62">
        <v>20.53</v>
      </c>
      <c r="Q9" s="75"/>
    </row>
    <row r="10" spans="2:17" ht="15.6" thickBot="1" x14ac:dyDescent="0.3">
      <c r="B10" s="59">
        <v>5</v>
      </c>
      <c r="C10" s="61">
        <f t="shared" si="0"/>
        <v>2024</v>
      </c>
      <c r="D10" s="62">
        <v>24.49</v>
      </c>
      <c r="E10" s="62">
        <v>25.82</v>
      </c>
      <c r="F10" s="62">
        <v>18.79</v>
      </c>
      <c r="G10" s="62">
        <v>13.88</v>
      </c>
      <c r="H10" s="62">
        <v>7.17</v>
      </c>
      <c r="I10" s="62">
        <v>9.23</v>
      </c>
      <c r="J10" s="62">
        <v>18.46</v>
      </c>
      <c r="K10" s="62">
        <v>22.35</v>
      </c>
      <c r="L10" s="62">
        <v>24</v>
      </c>
      <c r="M10" s="62">
        <v>22.97</v>
      </c>
      <c r="N10" s="62">
        <v>24.39</v>
      </c>
      <c r="O10" s="62">
        <v>26.06</v>
      </c>
      <c r="P10" s="62">
        <v>19.79</v>
      </c>
      <c r="Q10" s="75"/>
    </row>
    <row r="11" spans="2:17" ht="15.6" thickBot="1" x14ac:dyDescent="0.3">
      <c r="B11" s="59">
        <v>6</v>
      </c>
      <c r="C11" s="61">
        <f t="shared" si="0"/>
        <v>2025</v>
      </c>
      <c r="D11" s="62">
        <v>24.49</v>
      </c>
      <c r="E11" s="62">
        <v>25.82</v>
      </c>
      <c r="F11" s="62">
        <v>18.97</v>
      </c>
      <c r="G11" s="62">
        <v>12.83</v>
      </c>
      <c r="H11" s="62">
        <v>7.53</v>
      </c>
      <c r="I11" s="62">
        <v>9.73</v>
      </c>
      <c r="J11" s="62">
        <v>18.21</v>
      </c>
      <c r="K11" s="62">
        <v>22.47</v>
      </c>
      <c r="L11" s="62">
        <v>24.22</v>
      </c>
      <c r="M11" s="62">
        <v>22.79</v>
      </c>
      <c r="N11" s="62">
        <v>23.8</v>
      </c>
      <c r="O11" s="62">
        <v>26.5</v>
      </c>
      <c r="P11" s="62">
        <v>19.75</v>
      </c>
      <c r="Q11" s="75"/>
    </row>
    <row r="12" spans="2:17" ht="15.6" thickBot="1" x14ac:dyDescent="0.3">
      <c r="B12" s="213">
        <v>7</v>
      </c>
      <c r="C12" s="61">
        <f t="shared" si="0"/>
        <v>2026</v>
      </c>
      <c r="D12" s="62">
        <v>24.38</v>
      </c>
      <c r="E12" s="62">
        <v>26.73</v>
      </c>
      <c r="F12" s="62">
        <v>18.2</v>
      </c>
      <c r="G12" s="62">
        <v>13.87</v>
      </c>
      <c r="H12" s="62">
        <v>7.99</v>
      </c>
      <c r="I12" s="62">
        <v>9.5500000000000007</v>
      </c>
      <c r="J12" s="62">
        <v>18.670000000000002</v>
      </c>
      <c r="K12" s="62">
        <v>22.57</v>
      </c>
      <c r="L12" s="62">
        <v>24.01</v>
      </c>
      <c r="M12" s="62">
        <v>23.09</v>
      </c>
      <c r="N12" s="62">
        <v>23.99</v>
      </c>
      <c r="O12" s="62">
        <v>26.99</v>
      </c>
      <c r="P12" s="62">
        <v>19.97</v>
      </c>
      <c r="Q12" s="75"/>
    </row>
    <row r="13" spans="2:17" ht="15.6" thickBot="1" x14ac:dyDescent="0.3">
      <c r="B13" s="59">
        <v>8</v>
      </c>
      <c r="C13" s="61">
        <f t="shared" si="0"/>
        <v>2027</v>
      </c>
      <c r="D13" s="62">
        <v>28.08</v>
      </c>
      <c r="E13" s="62">
        <v>28.91</v>
      </c>
      <c r="F13" s="62">
        <v>19.71</v>
      </c>
      <c r="G13" s="62">
        <v>15.44</v>
      </c>
      <c r="H13" s="62">
        <v>9.14</v>
      </c>
      <c r="I13" s="62">
        <v>10.75</v>
      </c>
      <c r="J13" s="62">
        <v>22.01</v>
      </c>
      <c r="K13" s="62">
        <v>26.84</v>
      </c>
      <c r="L13" s="62">
        <v>28.62</v>
      </c>
      <c r="M13" s="62">
        <v>28.87</v>
      </c>
      <c r="N13" s="62">
        <v>29</v>
      </c>
      <c r="O13" s="62">
        <v>31.2</v>
      </c>
      <c r="P13" s="62">
        <v>23.19</v>
      </c>
      <c r="Q13" s="75"/>
    </row>
    <row r="14" spans="2:17" ht="15.6" thickBot="1" x14ac:dyDescent="0.3">
      <c r="B14" s="59">
        <v>9</v>
      </c>
      <c r="C14" s="61">
        <f t="shared" si="0"/>
        <v>2028</v>
      </c>
      <c r="D14" s="62">
        <v>28.71</v>
      </c>
      <c r="E14" s="62">
        <v>29.47</v>
      </c>
      <c r="F14" s="62">
        <v>19.64</v>
      </c>
      <c r="G14" s="62">
        <v>16.52</v>
      </c>
      <c r="H14" s="62">
        <v>9.08</v>
      </c>
      <c r="I14" s="62">
        <v>11.2</v>
      </c>
      <c r="J14" s="62">
        <v>23.79</v>
      </c>
      <c r="K14" s="62">
        <v>28.14</v>
      </c>
      <c r="L14" s="62">
        <v>32.15</v>
      </c>
      <c r="M14" s="62">
        <v>31.02</v>
      </c>
      <c r="N14" s="62">
        <v>30.01</v>
      </c>
      <c r="O14" s="62">
        <v>33.369999999999997</v>
      </c>
      <c r="P14" s="62">
        <v>24.42</v>
      </c>
      <c r="Q14" s="75"/>
    </row>
    <row r="15" spans="2:17" ht="15.6" thickBot="1" x14ac:dyDescent="0.3">
      <c r="B15" s="213">
        <v>10</v>
      </c>
      <c r="C15" s="61">
        <f t="shared" si="0"/>
        <v>2029</v>
      </c>
      <c r="D15" s="62">
        <v>29.33</v>
      </c>
      <c r="E15" s="62">
        <v>31.29</v>
      </c>
      <c r="F15" s="62">
        <v>19.63</v>
      </c>
      <c r="G15" s="62">
        <v>20.07</v>
      </c>
      <c r="H15" s="62">
        <v>8.8699999999999992</v>
      </c>
      <c r="I15" s="62">
        <v>11.5</v>
      </c>
      <c r="J15" s="62">
        <v>23.61</v>
      </c>
      <c r="K15" s="62">
        <v>30.2</v>
      </c>
      <c r="L15" s="62">
        <v>35.24</v>
      </c>
      <c r="M15" s="62">
        <v>32.07</v>
      </c>
      <c r="N15" s="62">
        <v>28.96</v>
      </c>
      <c r="O15" s="62">
        <v>34.85</v>
      </c>
      <c r="P15" s="62">
        <v>25.44</v>
      </c>
      <c r="Q15" s="75"/>
    </row>
    <row r="16" spans="2:17" ht="15.6" thickBot="1" x14ac:dyDescent="0.3">
      <c r="B16" s="59">
        <v>11</v>
      </c>
      <c r="C16" s="61">
        <f t="shared" si="0"/>
        <v>2030</v>
      </c>
      <c r="D16" s="62">
        <v>29.05</v>
      </c>
      <c r="E16" s="62">
        <v>30.29</v>
      </c>
      <c r="F16" s="62">
        <v>18.28</v>
      </c>
      <c r="G16" s="62">
        <v>18.75</v>
      </c>
      <c r="H16" s="62">
        <v>8.06</v>
      </c>
      <c r="I16" s="62">
        <v>10.96</v>
      </c>
      <c r="J16" s="62">
        <v>22.71</v>
      </c>
      <c r="K16" s="62">
        <v>29.93</v>
      </c>
      <c r="L16" s="62">
        <v>34.659999999999997</v>
      </c>
      <c r="M16" s="62">
        <v>32.94</v>
      </c>
      <c r="N16" s="62">
        <v>30.73</v>
      </c>
      <c r="O16" s="62">
        <v>34.61</v>
      </c>
      <c r="P16" s="62">
        <v>25.05</v>
      </c>
      <c r="Q16" s="75"/>
    </row>
    <row r="17" spans="2:17" ht="15.6" thickBot="1" x14ac:dyDescent="0.3">
      <c r="B17" s="59">
        <v>12</v>
      </c>
      <c r="C17" s="61">
        <f t="shared" si="0"/>
        <v>2031</v>
      </c>
      <c r="D17" s="62">
        <v>28.42</v>
      </c>
      <c r="E17" s="62">
        <v>30.42</v>
      </c>
      <c r="F17" s="62">
        <v>18.22</v>
      </c>
      <c r="G17" s="62">
        <v>18.190000000000001</v>
      </c>
      <c r="H17" s="62">
        <v>8.5500000000000007</v>
      </c>
      <c r="I17" s="62">
        <v>11.12</v>
      </c>
      <c r="J17" s="62">
        <v>22.13</v>
      </c>
      <c r="K17" s="62">
        <v>29.98</v>
      </c>
      <c r="L17" s="62">
        <v>34.53</v>
      </c>
      <c r="M17" s="62">
        <v>32.65</v>
      </c>
      <c r="N17" s="62">
        <v>29.03</v>
      </c>
      <c r="O17" s="62">
        <v>34.49</v>
      </c>
      <c r="P17" s="62">
        <v>24.78</v>
      </c>
      <c r="Q17" s="75"/>
    </row>
    <row r="18" spans="2:17" ht="15.6" thickBot="1" x14ac:dyDescent="0.3">
      <c r="B18" s="213">
        <v>13</v>
      </c>
      <c r="C18" s="61">
        <f t="shared" si="0"/>
        <v>2032</v>
      </c>
      <c r="D18" s="62">
        <v>28.24</v>
      </c>
      <c r="E18" s="62">
        <v>29.21</v>
      </c>
      <c r="F18" s="62">
        <v>18.309999999999999</v>
      </c>
      <c r="G18" s="62">
        <v>19.43</v>
      </c>
      <c r="H18" s="62">
        <v>10.210000000000001</v>
      </c>
      <c r="I18" s="62">
        <v>10.67</v>
      </c>
      <c r="J18" s="62">
        <v>23.05</v>
      </c>
      <c r="K18" s="62">
        <v>29.05</v>
      </c>
      <c r="L18" s="62">
        <v>33.67</v>
      </c>
      <c r="M18" s="62">
        <v>34.86</v>
      </c>
      <c r="N18" s="62">
        <v>32.28</v>
      </c>
      <c r="O18" s="62">
        <v>35.65</v>
      </c>
      <c r="P18" s="62">
        <v>25.38</v>
      </c>
      <c r="Q18" s="75"/>
    </row>
    <row r="19" spans="2:17" ht="15.6" thickBot="1" x14ac:dyDescent="0.3">
      <c r="B19" s="59">
        <v>14</v>
      </c>
      <c r="C19" s="61">
        <f t="shared" si="0"/>
        <v>2033</v>
      </c>
      <c r="D19" s="62">
        <v>29.08</v>
      </c>
      <c r="E19" s="62">
        <v>31.54</v>
      </c>
      <c r="F19" s="62">
        <v>19.170000000000002</v>
      </c>
      <c r="G19" s="62">
        <v>19.670000000000002</v>
      </c>
      <c r="H19" s="62">
        <v>9.61</v>
      </c>
      <c r="I19" s="62">
        <v>11.64</v>
      </c>
      <c r="J19" s="62">
        <v>24.84</v>
      </c>
      <c r="K19" s="62">
        <v>29.95</v>
      </c>
      <c r="L19" s="62">
        <v>34.57</v>
      </c>
      <c r="M19" s="62">
        <v>37.49</v>
      </c>
      <c r="N19" s="62">
        <v>36.03</v>
      </c>
      <c r="O19" s="62">
        <v>37.07</v>
      </c>
      <c r="P19" s="62">
        <v>26.69</v>
      </c>
      <c r="Q19" s="75"/>
    </row>
    <row r="20" spans="2:17" ht="15.6" thickBot="1" x14ac:dyDescent="0.3">
      <c r="B20" s="59">
        <v>15</v>
      </c>
      <c r="C20" s="61">
        <f t="shared" si="0"/>
        <v>2034</v>
      </c>
      <c r="D20" s="62">
        <v>29.79</v>
      </c>
      <c r="E20" s="62">
        <v>32.26</v>
      </c>
      <c r="F20" s="62">
        <v>19.170000000000002</v>
      </c>
      <c r="G20" s="62">
        <v>19.690000000000001</v>
      </c>
      <c r="H20" s="62">
        <v>10.51</v>
      </c>
      <c r="I20" s="62">
        <v>12.34</v>
      </c>
      <c r="J20" s="62">
        <v>27.12</v>
      </c>
      <c r="K20" s="62">
        <v>30.25</v>
      </c>
      <c r="L20" s="62">
        <v>36.25</v>
      </c>
      <c r="M20" s="62">
        <v>37.68</v>
      </c>
      <c r="N20" s="62">
        <v>35.17</v>
      </c>
      <c r="O20" s="62">
        <v>38.81</v>
      </c>
      <c r="P20" s="62">
        <v>27.4</v>
      </c>
      <c r="Q20" s="75"/>
    </row>
    <row r="21" spans="2:17" ht="15.6" thickBot="1" x14ac:dyDescent="0.3">
      <c r="B21" s="213">
        <v>16</v>
      </c>
      <c r="C21" s="61">
        <f t="shared" si="0"/>
        <v>2035</v>
      </c>
      <c r="D21" s="62">
        <v>31</v>
      </c>
      <c r="E21" s="62">
        <v>35.33</v>
      </c>
      <c r="F21" s="62">
        <v>19.95</v>
      </c>
      <c r="G21" s="62">
        <v>22.93</v>
      </c>
      <c r="H21" s="62">
        <v>11.6</v>
      </c>
      <c r="I21" s="62">
        <v>12.6</v>
      </c>
      <c r="J21" s="62">
        <v>27.03</v>
      </c>
      <c r="K21" s="62">
        <v>32.04</v>
      </c>
      <c r="L21" s="62">
        <v>37.97</v>
      </c>
      <c r="M21" s="62">
        <v>36.64</v>
      </c>
      <c r="N21" s="62">
        <v>32.090000000000003</v>
      </c>
      <c r="O21" s="62">
        <v>40.270000000000003</v>
      </c>
      <c r="P21" s="62">
        <v>28.25</v>
      </c>
      <c r="Q21" s="75"/>
    </row>
    <row r="22" spans="2:17" ht="15.6" thickBot="1" x14ac:dyDescent="0.3">
      <c r="B22" s="59">
        <v>17</v>
      </c>
      <c r="C22" s="61">
        <f t="shared" si="0"/>
        <v>2036</v>
      </c>
      <c r="D22" s="62">
        <v>31.9</v>
      </c>
      <c r="E22" s="62">
        <v>35.4</v>
      </c>
      <c r="F22" s="62">
        <v>20.49</v>
      </c>
      <c r="G22" s="62">
        <v>21.57</v>
      </c>
      <c r="H22" s="62">
        <v>11.51</v>
      </c>
      <c r="I22" s="62">
        <v>13.52</v>
      </c>
      <c r="J22" s="62">
        <v>29.25</v>
      </c>
      <c r="K22" s="62">
        <v>34.32</v>
      </c>
      <c r="L22" s="62">
        <v>39.07</v>
      </c>
      <c r="M22" s="62">
        <v>38.76</v>
      </c>
      <c r="N22" s="62">
        <v>38.04</v>
      </c>
      <c r="O22" s="62">
        <v>42.85</v>
      </c>
      <c r="P22" s="62">
        <v>29.71</v>
      </c>
      <c r="Q22" s="75"/>
    </row>
    <row r="23" spans="2:17" ht="15.6" thickBot="1" x14ac:dyDescent="0.3">
      <c r="B23" s="59">
        <v>18</v>
      </c>
      <c r="C23" s="61">
        <f t="shared" si="0"/>
        <v>2037</v>
      </c>
      <c r="D23" s="62">
        <v>32.89</v>
      </c>
      <c r="E23" s="62">
        <v>35.549999999999997</v>
      </c>
      <c r="F23" s="62">
        <v>19.899999999999999</v>
      </c>
      <c r="G23" s="62">
        <v>20.059999999999999</v>
      </c>
      <c r="H23" s="62">
        <v>11.58</v>
      </c>
      <c r="I23" s="62">
        <v>12.92</v>
      </c>
      <c r="J23" s="62">
        <v>30.46</v>
      </c>
      <c r="K23" s="62">
        <v>34.47</v>
      </c>
      <c r="L23" s="62">
        <v>38.51</v>
      </c>
      <c r="M23" s="62">
        <v>38.58</v>
      </c>
      <c r="N23" s="62">
        <v>35.590000000000003</v>
      </c>
      <c r="O23" s="62">
        <v>42.87</v>
      </c>
      <c r="P23" s="62">
        <v>29.43</v>
      </c>
      <c r="Q23" s="75"/>
    </row>
    <row r="24" spans="2:17" ht="15.6" thickBot="1" x14ac:dyDescent="0.3">
      <c r="B24" s="213">
        <v>19</v>
      </c>
      <c r="C24" s="61">
        <f t="shared" si="0"/>
        <v>2038</v>
      </c>
      <c r="D24" s="62">
        <v>33.049999999999997</v>
      </c>
      <c r="E24" s="62">
        <v>34.31</v>
      </c>
      <c r="F24" s="62">
        <v>19.61</v>
      </c>
      <c r="G24" s="62">
        <v>20.59</v>
      </c>
      <c r="H24" s="62">
        <v>12.34</v>
      </c>
      <c r="I24" s="62">
        <v>12.73</v>
      </c>
      <c r="J24" s="62">
        <v>30.02</v>
      </c>
      <c r="K24" s="62">
        <v>34.49</v>
      </c>
      <c r="L24" s="62">
        <v>38.54</v>
      </c>
      <c r="M24" s="62">
        <v>38.11</v>
      </c>
      <c r="N24" s="62">
        <v>34.6</v>
      </c>
      <c r="O24" s="62">
        <v>43.72</v>
      </c>
      <c r="P24" s="62">
        <v>29.33</v>
      </c>
      <c r="Q24" s="75"/>
    </row>
    <row r="25" spans="2:17" ht="15.6" thickBot="1" x14ac:dyDescent="0.3">
      <c r="B25" s="59">
        <v>20</v>
      </c>
      <c r="C25" s="61">
        <f t="shared" si="0"/>
        <v>2039</v>
      </c>
      <c r="D25" s="62">
        <v>31.29</v>
      </c>
      <c r="E25" s="62">
        <v>33.46</v>
      </c>
      <c r="F25" s="62">
        <v>18.2</v>
      </c>
      <c r="G25" s="62">
        <v>19.010000000000002</v>
      </c>
      <c r="H25" s="62">
        <v>10.72</v>
      </c>
      <c r="I25" s="62">
        <v>12.48</v>
      </c>
      <c r="J25" s="62">
        <v>30.87</v>
      </c>
      <c r="K25" s="62">
        <v>34.28</v>
      </c>
      <c r="L25" s="62">
        <v>40.25</v>
      </c>
      <c r="M25" s="62">
        <v>38.630000000000003</v>
      </c>
      <c r="N25" s="62">
        <v>36.81</v>
      </c>
      <c r="O25" s="62">
        <v>43.64</v>
      </c>
      <c r="P25" s="62">
        <v>29.12</v>
      </c>
      <c r="Q25" s="75"/>
    </row>
    <row r="26" spans="2:17" ht="15.6" thickBot="1" x14ac:dyDescent="0.3">
      <c r="B26" s="59">
        <v>21</v>
      </c>
      <c r="C26" s="61">
        <f t="shared" si="0"/>
        <v>2040</v>
      </c>
      <c r="D26" s="62">
        <v>31.22</v>
      </c>
      <c r="E26" s="62">
        <v>33.69</v>
      </c>
      <c r="F26" s="62">
        <v>17.21</v>
      </c>
      <c r="G26" s="62">
        <v>18.62</v>
      </c>
      <c r="H26" s="62">
        <v>10</v>
      </c>
      <c r="I26" s="62">
        <v>12.67</v>
      </c>
      <c r="J26" s="62">
        <v>30.73</v>
      </c>
      <c r="K26" s="62">
        <v>33.44</v>
      </c>
      <c r="L26" s="62">
        <v>41.9</v>
      </c>
      <c r="M26" s="62">
        <v>38.880000000000003</v>
      </c>
      <c r="N26" s="62">
        <v>37.619999999999997</v>
      </c>
      <c r="O26" s="62">
        <v>46.67</v>
      </c>
      <c r="P26" s="62">
        <v>29.38</v>
      </c>
      <c r="Q26" s="75"/>
    </row>
    <row r="27" spans="2:17" ht="15.6" thickBot="1" x14ac:dyDescent="0.3">
      <c r="C27" s="63"/>
      <c r="D27" s="64"/>
      <c r="E27" s="64"/>
      <c r="F27" s="64"/>
      <c r="G27" s="64"/>
      <c r="H27" s="64"/>
      <c r="I27" s="64"/>
      <c r="J27" s="64"/>
      <c r="K27" s="64"/>
      <c r="L27" s="64"/>
      <c r="M27" s="64"/>
      <c r="N27" s="64"/>
      <c r="O27" s="64"/>
      <c r="P27" s="65"/>
      <c r="Q27" s="74"/>
    </row>
    <row r="28" spans="2:17" ht="15.6" thickBot="1" x14ac:dyDescent="0.3">
      <c r="O28" s="66" t="s">
        <v>61</v>
      </c>
      <c r="P28" s="67">
        <f>-PMT(Rate_of_Return,20,NPV(Rate_of_Return,P6:P25))</f>
        <v>23.309665672276324</v>
      </c>
      <c r="Q28" s="73"/>
    </row>
    <row r="29" spans="2:17" ht="15.6" thickBot="1" x14ac:dyDescent="0.3">
      <c r="O29" s="66" t="s">
        <v>62</v>
      </c>
      <c r="P29" s="262">
        <f>-PMT(Rate_of_Return,15,NPV(Rate_of_Return,P6:P20))</f>
        <v>22.395023563750637</v>
      </c>
      <c r="Q29" s="73"/>
    </row>
    <row r="31" spans="2:17" x14ac:dyDescent="0.25">
      <c r="B31"/>
      <c r="C31"/>
      <c r="D31"/>
      <c r="E31"/>
      <c r="F31"/>
      <c r="G31"/>
      <c r="H31"/>
      <c r="I31"/>
      <c r="J31"/>
      <c r="K31"/>
      <c r="L31"/>
      <c r="M31"/>
      <c r="N31"/>
      <c r="O31"/>
      <c r="P31"/>
      <c r="Q31"/>
    </row>
    <row r="32" spans="2:17" x14ac:dyDescent="0.25">
      <c r="B32"/>
      <c r="C32"/>
      <c r="D32"/>
      <c r="E32"/>
      <c r="F32"/>
      <c r="G32"/>
      <c r="H32"/>
      <c r="I32"/>
      <c r="J32"/>
      <c r="K32"/>
      <c r="L32"/>
      <c r="M32"/>
      <c r="N32"/>
      <c r="O32"/>
      <c r="P32"/>
      <c r="Q32"/>
    </row>
    <row r="33" spans="2:17" x14ac:dyDescent="0.25">
      <c r="B33"/>
      <c r="C33"/>
      <c r="D33"/>
      <c r="E33"/>
      <c r="F33"/>
      <c r="G33"/>
      <c r="H33"/>
      <c r="I33"/>
      <c r="J33"/>
      <c r="K33"/>
      <c r="L33"/>
      <c r="M33"/>
      <c r="N33"/>
      <c r="O33"/>
      <c r="P33"/>
      <c r="Q33"/>
    </row>
    <row r="34" spans="2:17" x14ac:dyDescent="0.25">
      <c r="B34"/>
      <c r="C34"/>
      <c r="D34"/>
      <c r="E34"/>
      <c r="F34"/>
      <c r="G34"/>
      <c r="H34"/>
      <c r="I34"/>
      <c r="J34"/>
      <c r="K34"/>
      <c r="L34"/>
      <c r="M34"/>
      <c r="N34"/>
      <c r="O34"/>
      <c r="P34"/>
      <c r="Q34"/>
    </row>
    <row r="35" spans="2:17" ht="15.6" customHeight="1" x14ac:dyDescent="0.25">
      <c r="B35"/>
      <c r="C35"/>
      <c r="D35"/>
      <c r="E35"/>
      <c r="F35"/>
      <c r="G35"/>
      <c r="H35"/>
      <c r="I35"/>
      <c r="J35"/>
      <c r="K35"/>
      <c r="L35"/>
      <c r="M35"/>
      <c r="N35"/>
      <c r="O35"/>
      <c r="P35"/>
      <c r="Q35"/>
    </row>
    <row r="36" spans="2:17" x14ac:dyDescent="0.25">
      <c r="B36"/>
      <c r="C36"/>
      <c r="D36"/>
      <c r="E36"/>
      <c r="F36"/>
      <c r="G36"/>
      <c r="H36"/>
      <c r="I36"/>
      <c r="J36"/>
      <c r="K36"/>
      <c r="L36"/>
      <c r="M36"/>
      <c r="N36"/>
      <c r="O36"/>
      <c r="P36"/>
      <c r="Q36"/>
    </row>
    <row r="37" spans="2:17" ht="40.950000000000003" customHeight="1" x14ac:dyDescent="0.25">
      <c r="B37"/>
      <c r="C37"/>
      <c r="D37"/>
      <c r="E37"/>
      <c r="F37"/>
      <c r="G37"/>
      <c r="H37"/>
      <c r="I37"/>
      <c r="J37"/>
      <c r="K37"/>
      <c r="L37"/>
      <c r="M37"/>
      <c r="N37"/>
      <c r="O37"/>
      <c r="P37"/>
      <c r="Q37"/>
    </row>
    <row r="38" spans="2:17" x14ac:dyDescent="0.25">
      <c r="B38"/>
      <c r="C38"/>
      <c r="D38"/>
      <c r="E38"/>
      <c r="F38"/>
      <c r="G38"/>
      <c r="H38"/>
      <c r="I38"/>
      <c r="J38"/>
      <c r="K38"/>
      <c r="L38"/>
      <c r="M38"/>
      <c r="N38"/>
      <c r="O38"/>
      <c r="P38"/>
      <c r="Q38"/>
    </row>
    <row r="39" spans="2:17" x14ac:dyDescent="0.25">
      <c r="B39"/>
      <c r="C39"/>
      <c r="D39"/>
      <c r="E39"/>
      <c r="F39"/>
      <c r="G39"/>
      <c r="H39"/>
      <c r="I39"/>
      <c r="J39"/>
      <c r="K39"/>
      <c r="L39"/>
      <c r="M39"/>
      <c r="N39"/>
      <c r="O39"/>
      <c r="P39"/>
      <c r="Q39"/>
    </row>
    <row r="40" spans="2:17" x14ac:dyDescent="0.25">
      <c r="B40"/>
      <c r="C40"/>
      <c r="D40"/>
      <c r="E40"/>
      <c r="F40"/>
      <c r="G40"/>
      <c r="H40"/>
      <c r="I40"/>
      <c r="J40"/>
      <c r="K40"/>
      <c r="L40"/>
      <c r="M40"/>
      <c r="N40"/>
      <c r="O40"/>
      <c r="P40"/>
      <c r="Q40"/>
    </row>
    <row r="41" spans="2:17" x14ac:dyDescent="0.25">
      <c r="B41"/>
      <c r="C41"/>
      <c r="D41"/>
      <c r="E41"/>
      <c r="F41"/>
      <c r="G41"/>
      <c r="H41"/>
      <c r="I41"/>
      <c r="J41"/>
      <c r="K41"/>
      <c r="L41"/>
      <c r="M41"/>
      <c r="N41"/>
      <c r="O41"/>
      <c r="P41"/>
      <c r="Q41"/>
    </row>
    <row r="42" spans="2:17" ht="93.6" customHeight="1" x14ac:dyDescent="0.25">
      <c r="B42"/>
      <c r="C42"/>
      <c r="D42"/>
      <c r="E42"/>
      <c r="F42"/>
      <c r="G42"/>
      <c r="H42"/>
      <c r="I42"/>
      <c r="J42"/>
      <c r="K42"/>
      <c r="L42"/>
      <c r="M42"/>
      <c r="N42"/>
      <c r="O42"/>
      <c r="P42"/>
      <c r="Q42"/>
    </row>
    <row r="43" spans="2:17" ht="80.400000000000006" customHeight="1" x14ac:dyDescent="0.25">
      <c r="B43"/>
      <c r="C43"/>
      <c r="D43"/>
      <c r="E43"/>
      <c r="F43"/>
      <c r="G43"/>
      <c r="H43"/>
      <c r="I43"/>
      <c r="J43"/>
      <c r="K43"/>
      <c r="L43"/>
      <c r="M43"/>
      <c r="N43"/>
      <c r="O43"/>
      <c r="P43"/>
      <c r="Q43"/>
    </row>
    <row r="44" spans="2:17" x14ac:dyDescent="0.25">
      <c r="B44"/>
      <c r="C44"/>
      <c r="D44"/>
      <c r="E44"/>
      <c r="F44"/>
      <c r="G44"/>
      <c r="H44"/>
      <c r="I44"/>
      <c r="J44"/>
      <c r="K44"/>
      <c r="L44"/>
      <c r="M44"/>
      <c r="N44"/>
      <c r="O44"/>
      <c r="P44"/>
      <c r="Q44"/>
    </row>
    <row r="45" spans="2:17" x14ac:dyDescent="0.25">
      <c r="B45"/>
      <c r="C45"/>
      <c r="D45"/>
      <c r="E45"/>
      <c r="F45"/>
      <c r="G45"/>
      <c r="H45"/>
      <c r="I45"/>
      <c r="J45"/>
      <c r="K45"/>
      <c r="L45"/>
      <c r="M45"/>
      <c r="N45"/>
      <c r="O45"/>
      <c r="P45"/>
      <c r="Q45"/>
    </row>
    <row r="46" spans="2:17" x14ac:dyDescent="0.25">
      <c r="B46"/>
      <c r="C46"/>
      <c r="D46"/>
      <c r="E46"/>
      <c r="F46"/>
      <c r="G46"/>
      <c r="H46"/>
      <c r="I46"/>
      <c r="J46"/>
      <c r="K46"/>
      <c r="L46"/>
      <c r="M46"/>
      <c r="N46"/>
      <c r="O46"/>
      <c r="P46"/>
      <c r="Q46"/>
    </row>
    <row r="47" spans="2:17" x14ac:dyDescent="0.25">
      <c r="B47"/>
      <c r="C47"/>
      <c r="D47"/>
      <c r="E47"/>
      <c r="F47"/>
      <c r="G47"/>
      <c r="H47"/>
      <c r="I47"/>
      <c r="J47"/>
      <c r="K47"/>
      <c r="L47"/>
      <c r="M47"/>
      <c r="N47"/>
      <c r="O47"/>
      <c r="P47"/>
      <c r="Q47"/>
    </row>
    <row r="48" spans="2:17" x14ac:dyDescent="0.25">
      <c r="B48"/>
      <c r="C48"/>
      <c r="D48"/>
      <c r="E48"/>
      <c r="F48"/>
      <c r="G48"/>
      <c r="H48"/>
      <c r="I48"/>
      <c r="J48"/>
      <c r="K48"/>
      <c r="L48"/>
      <c r="M48"/>
      <c r="N48"/>
      <c r="O48"/>
      <c r="P48"/>
      <c r="Q48"/>
    </row>
    <row r="49" spans="2:17" x14ac:dyDescent="0.25">
      <c r="B49"/>
      <c r="C49"/>
      <c r="D49"/>
      <c r="E49"/>
      <c r="F49"/>
      <c r="G49"/>
      <c r="H49"/>
      <c r="I49"/>
      <c r="J49"/>
      <c r="K49"/>
      <c r="L49"/>
      <c r="M49"/>
      <c r="N49"/>
      <c r="O49"/>
      <c r="P49"/>
      <c r="Q49"/>
    </row>
    <row r="50" spans="2:17" x14ac:dyDescent="0.25">
      <c r="B50"/>
      <c r="C50"/>
      <c r="D50"/>
      <c r="E50"/>
      <c r="F50"/>
      <c r="G50"/>
      <c r="H50"/>
      <c r="I50"/>
      <c r="J50"/>
      <c r="K50"/>
      <c r="L50"/>
      <c r="M50"/>
      <c r="N50"/>
      <c r="O50"/>
      <c r="P50"/>
      <c r="Q50"/>
    </row>
    <row r="51" spans="2:17" x14ac:dyDescent="0.25">
      <c r="B51"/>
      <c r="C51"/>
      <c r="D51"/>
      <c r="E51"/>
      <c r="F51"/>
      <c r="G51"/>
      <c r="H51"/>
      <c r="I51"/>
      <c r="J51"/>
      <c r="K51"/>
      <c r="L51"/>
      <c r="M51"/>
      <c r="N51"/>
      <c r="O51"/>
      <c r="P51"/>
      <c r="Q51"/>
    </row>
    <row r="52" spans="2:17" x14ac:dyDescent="0.25">
      <c r="B52"/>
      <c r="C52"/>
      <c r="D52"/>
      <c r="E52"/>
      <c r="F52"/>
      <c r="G52"/>
      <c r="H52"/>
      <c r="I52"/>
      <c r="J52"/>
      <c r="K52"/>
      <c r="L52"/>
      <c r="M52"/>
      <c r="N52"/>
      <c r="O52"/>
      <c r="P52"/>
      <c r="Q52"/>
    </row>
    <row r="53" spans="2:17" x14ac:dyDescent="0.25">
      <c r="B53"/>
      <c r="C53"/>
      <c r="D53"/>
      <c r="E53"/>
      <c r="F53"/>
      <c r="G53"/>
      <c r="H53"/>
      <c r="I53"/>
      <c r="J53"/>
      <c r="K53"/>
      <c r="L53"/>
      <c r="M53"/>
      <c r="N53"/>
      <c r="O53"/>
      <c r="P53"/>
      <c r="Q53"/>
    </row>
    <row r="54" spans="2:17" x14ac:dyDescent="0.25">
      <c r="B54"/>
      <c r="C54"/>
      <c r="D54"/>
      <c r="E54"/>
      <c r="F54"/>
      <c r="G54"/>
      <c r="H54"/>
      <c r="I54"/>
      <c r="J54"/>
      <c r="K54"/>
      <c r="L54"/>
      <c r="M54"/>
      <c r="N54"/>
      <c r="O54"/>
      <c r="P54"/>
      <c r="Q54"/>
    </row>
    <row r="55" spans="2:17" x14ac:dyDescent="0.25">
      <c r="B55"/>
      <c r="C55"/>
      <c r="D55"/>
      <c r="E55"/>
      <c r="F55"/>
      <c r="G55"/>
      <c r="H55"/>
      <c r="I55"/>
      <c r="J55"/>
      <c r="K55"/>
      <c r="L55"/>
      <c r="M55"/>
      <c r="N55"/>
      <c r="O55"/>
      <c r="P55"/>
      <c r="Q55"/>
    </row>
    <row r="56" spans="2:17" x14ac:dyDescent="0.25">
      <c r="B56"/>
      <c r="C56"/>
      <c r="D56"/>
      <c r="E56"/>
      <c r="F56"/>
      <c r="G56"/>
      <c r="H56"/>
      <c r="I56"/>
      <c r="J56"/>
      <c r="K56"/>
      <c r="L56"/>
      <c r="M56"/>
      <c r="N56"/>
      <c r="O56"/>
      <c r="P56"/>
      <c r="Q56"/>
    </row>
    <row r="57" spans="2:17" x14ac:dyDescent="0.25">
      <c r="B57"/>
      <c r="C57"/>
      <c r="D57"/>
      <c r="E57"/>
      <c r="F57"/>
      <c r="G57"/>
      <c r="H57"/>
      <c r="I57"/>
      <c r="J57"/>
      <c r="K57"/>
      <c r="L57"/>
      <c r="M57"/>
      <c r="N57"/>
      <c r="O57"/>
      <c r="P57"/>
      <c r="Q57"/>
    </row>
    <row r="58" spans="2:17" x14ac:dyDescent="0.25">
      <c r="B58"/>
      <c r="C58"/>
      <c r="D58"/>
      <c r="E58"/>
      <c r="F58"/>
      <c r="G58"/>
      <c r="H58"/>
      <c r="I58"/>
      <c r="J58"/>
      <c r="K58"/>
      <c r="L58"/>
      <c r="M58"/>
      <c r="N58"/>
      <c r="O58"/>
      <c r="P58"/>
      <c r="Q58"/>
    </row>
    <row r="59" spans="2:17" x14ac:dyDescent="0.25">
      <c r="B59"/>
      <c r="C59"/>
      <c r="D59"/>
      <c r="E59"/>
      <c r="F59"/>
      <c r="G59"/>
      <c r="H59"/>
      <c r="I59"/>
      <c r="J59"/>
      <c r="K59"/>
      <c r="L59"/>
      <c r="M59"/>
      <c r="N59"/>
      <c r="O59"/>
      <c r="P59"/>
      <c r="Q59"/>
    </row>
    <row r="60" spans="2:17" x14ac:dyDescent="0.25">
      <c r="B60"/>
      <c r="C60"/>
      <c r="D60"/>
      <c r="E60"/>
      <c r="F60"/>
      <c r="G60"/>
      <c r="H60"/>
      <c r="I60"/>
      <c r="J60"/>
      <c r="K60"/>
      <c r="L60"/>
      <c r="M60"/>
      <c r="N60"/>
      <c r="O60"/>
      <c r="P60"/>
      <c r="Q60"/>
    </row>
    <row r="61" spans="2:17" x14ac:dyDescent="0.25">
      <c r="B61"/>
      <c r="C61"/>
      <c r="D61"/>
      <c r="E61"/>
      <c r="F61"/>
      <c r="G61"/>
      <c r="H61"/>
      <c r="I61"/>
      <c r="J61"/>
      <c r="K61"/>
      <c r="L61"/>
      <c r="M61"/>
      <c r="N61"/>
      <c r="O61"/>
      <c r="P61"/>
      <c r="Q61"/>
    </row>
    <row r="62" spans="2:17" x14ac:dyDescent="0.25">
      <c r="B62"/>
      <c r="C62"/>
      <c r="D62"/>
      <c r="E62"/>
      <c r="F62"/>
      <c r="G62"/>
      <c r="H62"/>
      <c r="I62"/>
      <c r="J62"/>
      <c r="K62"/>
      <c r="L62"/>
      <c r="M62"/>
      <c r="N62"/>
      <c r="O62"/>
      <c r="P62"/>
      <c r="Q62"/>
    </row>
    <row r="63" spans="2:17" x14ac:dyDescent="0.25">
      <c r="B63"/>
      <c r="C63"/>
      <c r="D63"/>
      <c r="E63"/>
      <c r="F63"/>
      <c r="G63"/>
      <c r="H63"/>
      <c r="I63"/>
      <c r="J63"/>
      <c r="K63"/>
      <c r="L63"/>
      <c r="M63"/>
      <c r="N63"/>
      <c r="O63"/>
      <c r="P63"/>
      <c r="Q63"/>
    </row>
    <row r="64" spans="2:17" x14ac:dyDescent="0.25">
      <c r="B64"/>
      <c r="C64"/>
      <c r="D64"/>
      <c r="E64"/>
      <c r="F64"/>
      <c r="G64"/>
      <c r="H64"/>
      <c r="I64"/>
      <c r="J64"/>
      <c r="K64"/>
      <c r="L64"/>
      <c r="M64"/>
      <c r="N64"/>
      <c r="O64"/>
      <c r="P64"/>
      <c r="Q64"/>
    </row>
    <row r="65" spans="2:17" x14ac:dyDescent="0.25">
      <c r="B65"/>
      <c r="C65"/>
      <c r="D65"/>
      <c r="E65"/>
      <c r="F65"/>
      <c r="G65"/>
      <c r="H65"/>
      <c r="I65"/>
      <c r="J65"/>
      <c r="K65"/>
      <c r="L65"/>
      <c r="M65"/>
      <c r="N65"/>
      <c r="O65"/>
      <c r="P65"/>
      <c r="Q65"/>
    </row>
    <row r="66" spans="2:17" x14ac:dyDescent="0.25">
      <c r="B66"/>
      <c r="C66"/>
      <c r="D66"/>
      <c r="E66"/>
      <c r="F66"/>
      <c r="G66"/>
      <c r="H66"/>
      <c r="I66"/>
      <c r="J66"/>
      <c r="K66"/>
      <c r="L66"/>
      <c r="M66"/>
      <c r="N66"/>
      <c r="O66"/>
      <c r="P66"/>
      <c r="Q66"/>
    </row>
    <row r="67" spans="2:17" x14ac:dyDescent="0.25">
      <c r="B67"/>
      <c r="C67"/>
      <c r="D67"/>
      <c r="E67"/>
      <c r="F67"/>
      <c r="G67"/>
      <c r="H67"/>
      <c r="I67"/>
      <c r="J67"/>
      <c r="K67"/>
      <c r="L67"/>
      <c r="M67"/>
      <c r="N67"/>
      <c r="O67"/>
      <c r="P67"/>
      <c r="Q67"/>
    </row>
    <row r="68" spans="2:17" x14ac:dyDescent="0.25">
      <c r="B68"/>
      <c r="C68"/>
      <c r="D68"/>
      <c r="E68"/>
      <c r="F68"/>
      <c r="G68"/>
      <c r="H68"/>
      <c r="I68"/>
      <c r="J68"/>
      <c r="K68"/>
      <c r="L68"/>
      <c r="M68"/>
      <c r="N68"/>
      <c r="O68"/>
      <c r="P68"/>
      <c r="Q68"/>
    </row>
    <row r="69" spans="2:17" x14ac:dyDescent="0.25">
      <c r="B69"/>
      <c r="C69"/>
      <c r="D69"/>
      <c r="E69"/>
      <c r="F69"/>
      <c r="G69"/>
      <c r="H69"/>
      <c r="I69"/>
      <c r="J69"/>
      <c r="K69"/>
      <c r="L69"/>
      <c r="M69"/>
      <c r="N69"/>
      <c r="O69"/>
      <c r="P69"/>
      <c r="Q69"/>
    </row>
    <row r="70" spans="2:17" x14ac:dyDescent="0.25">
      <c r="B70"/>
      <c r="C70"/>
      <c r="D70"/>
      <c r="E70"/>
      <c r="F70"/>
      <c r="G70"/>
      <c r="H70"/>
      <c r="I70"/>
      <c r="J70"/>
      <c r="K70"/>
      <c r="L70"/>
      <c r="M70"/>
      <c r="N70"/>
      <c r="O70"/>
      <c r="P70"/>
      <c r="Q70"/>
    </row>
    <row r="71" spans="2:17" x14ac:dyDescent="0.25">
      <c r="B71"/>
      <c r="C71"/>
      <c r="D71"/>
      <c r="E71"/>
      <c r="F71"/>
      <c r="G71"/>
      <c r="H71"/>
      <c r="I71"/>
      <c r="J71"/>
      <c r="K71"/>
      <c r="L71"/>
      <c r="M71"/>
      <c r="N71"/>
      <c r="O71"/>
      <c r="P71"/>
      <c r="Q71"/>
    </row>
    <row r="72" spans="2:17" x14ac:dyDescent="0.25">
      <c r="B72"/>
      <c r="C72"/>
      <c r="D72"/>
      <c r="E72"/>
      <c r="F72"/>
      <c r="G72"/>
      <c r="H72"/>
      <c r="I72"/>
      <c r="J72"/>
      <c r="K72"/>
      <c r="L72"/>
      <c r="M72"/>
      <c r="N72"/>
      <c r="O72"/>
      <c r="P72"/>
      <c r="Q72"/>
    </row>
    <row r="73" spans="2:17" x14ac:dyDescent="0.25">
      <c r="B73"/>
      <c r="C73"/>
      <c r="D73"/>
      <c r="E73"/>
      <c r="F73"/>
      <c r="G73"/>
      <c r="H73"/>
      <c r="I73"/>
      <c r="J73"/>
      <c r="K73"/>
      <c r="L73"/>
      <c r="M73"/>
      <c r="N73"/>
      <c r="O73"/>
      <c r="P73"/>
      <c r="Q73"/>
    </row>
    <row r="74" spans="2:17" x14ac:dyDescent="0.25">
      <c r="B74"/>
      <c r="C74"/>
      <c r="D74"/>
      <c r="E74"/>
      <c r="F74"/>
      <c r="G74"/>
      <c r="H74"/>
      <c r="I74"/>
      <c r="J74"/>
      <c r="K74"/>
      <c r="L74"/>
      <c r="M74"/>
      <c r="N74"/>
      <c r="O74"/>
      <c r="P74"/>
      <c r="Q74"/>
    </row>
    <row r="75" spans="2:17" x14ac:dyDescent="0.25">
      <c r="B75"/>
      <c r="C75"/>
      <c r="D75"/>
      <c r="E75"/>
      <c r="F75"/>
      <c r="G75"/>
      <c r="H75"/>
      <c r="I75"/>
      <c r="J75"/>
      <c r="K75"/>
      <c r="L75"/>
      <c r="M75"/>
      <c r="N75"/>
      <c r="O75"/>
      <c r="P75"/>
      <c r="Q75"/>
    </row>
    <row r="76" spans="2:17" x14ac:dyDescent="0.25">
      <c r="B76"/>
      <c r="C76"/>
      <c r="D76"/>
      <c r="E76"/>
      <c r="F76"/>
      <c r="G76"/>
      <c r="H76"/>
      <c r="I76"/>
      <c r="J76"/>
      <c r="K76"/>
      <c r="L76"/>
      <c r="M76"/>
      <c r="N76"/>
      <c r="O76"/>
      <c r="P76"/>
      <c r="Q76"/>
    </row>
    <row r="77" spans="2:17" x14ac:dyDescent="0.25">
      <c r="B77"/>
      <c r="C77"/>
      <c r="D77"/>
      <c r="E77"/>
      <c r="F77"/>
      <c r="G77"/>
      <c r="H77"/>
      <c r="I77"/>
      <c r="J77"/>
      <c r="K77"/>
      <c r="L77"/>
      <c r="M77"/>
      <c r="N77"/>
      <c r="O77"/>
      <c r="P77"/>
      <c r="Q77"/>
    </row>
    <row r="78" spans="2:17" x14ac:dyDescent="0.25">
      <c r="B78"/>
      <c r="C78"/>
      <c r="D78"/>
      <c r="E78"/>
      <c r="F78"/>
      <c r="G78"/>
      <c r="H78"/>
      <c r="I78"/>
      <c r="J78"/>
      <c r="K78"/>
      <c r="L78"/>
      <c r="M78"/>
      <c r="N78"/>
      <c r="O78"/>
      <c r="P78"/>
      <c r="Q78"/>
    </row>
    <row r="79" spans="2:17" x14ac:dyDescent="0.25">
      <c r="B79"/>
      <c r="C79"/>
      <c r="D79"/>
      <c r="E79"/>
      <c r="F79"/>
      <c r="G79"/>
      <c r="H79"/>
      <c r="I79"/>
      <c r="J79"/>
      <c r="K79"/>
      <c r="L79"/>
      <c r="M79"/>
      <c r="N79"/>
      <c r="O79"/>
      <c r="P79"/>
      <c r="Q79"/>
    </row>
    <row r="80" spans="2:17" x14ac:dyDescent="0.25">
      <c r="B80"/>
      <c r="C80"/>
      <c r="D80"/>
      <c r="E80"/>
      <c r="F80"/>
      <c r="G80"/>
      <c r="H80"/>
      <c r="I80"/>
      <c r="J80"/>
      <c r="K80"/>
      <c r="L80"/>
      <c r="M80"/>
      <c r="N80"/>
      <c r="O80"/>
      <c r="P80"/>
      <c r="Q80"/>
    </row>
    <row r="81" spans="2:17" x14ac:dyDescent="0.25">
      <c r="B81"/>
      <c r="C81"/>
      <c r="D81"/>
      <c r="E81"/>
      <c r="F81"/>
      <c r="G81"/>
      <c r="H81"/>
      <c r="I81"/>
      <c r="J81"/>
      <c r="K81"/>
      <c r="L81"/>
      <c r="M81"/>
      <c r="N81"/>
      <c r="O81"/>
      <c r="P81"/>
      <c r="Q81"/>
    </row>
    <row r="82" spans="2:17" x14ac:dyDescent="0.25">
      <c r="B82"/>
      <c r="C82"/>
      <c r="D82"/>
      <c r="E82"/>
      <c r="F82"/>
      <c r="G82"/>
      <c r="H82"/>
      <c r="I82"/>
      <c r="J82"/>
      <c r="K82"/>
      <c r="L82"/>
      <c r="M82"/>
      <c r="N82"/>
      <c r="O82"/>
      <c r="P82"/>
      <c r="Q82"/>
    </row>
    <row r="83" spans="2:17" x14ac:dyDescent="0.25">
      <c r="B83"/>
      <c r="C83"/>
      <c r="D83"/>
      <c r="E83"/>
      <c r="F83"/>
      <c r="G83"/>
      <c r="H83"/>
      <c r="I83"/>
      <c r="J83"/>
      <c r="K83"/>
      <c r="L83"/>
      <c r="M83"/>
      <c r="N83"/>
      <c r="O83"/>
      <c r="P83"/>
      <c r="Q83"/>
    </row>
    <row r="84" spans="2:17" x14ac:dyDescent="0.25">
      <c r="B84"/>
      <c r="C84"/>
      <c r="D84"/>
      <c r="E84"/>
      <c r="F84"/>
      <c r="G84"/>
      <c r="H84"/>
      <c r="I84"/>
      <c r="J84"/>
      <c r="K84"/>
      <c r="L84"/>
      <c r="M84"/>
      <c r="N84"/>
      <c r="O84"/>
      <c r="P84"/>
      <c r="Q84"/>
    </row>
    <row r="85" spans="2:17" x14ac:dyDescent="0.25">
      <c r="B85"/>
      <c r="C85"/>
      <c r="D85"/>
      <c r="E85"/>
      <c r="F85"/>
      <c r="G85"/>
      <c r="H85"/>
      <c r="I85"/>
      <c r="J85"/>
      <c r="K85"/>
      <c r="L85"/>
      <c r="M85"/>
      <c r="N85"/>
      <c r="O85"/>
      <c r="P85"/>
      <c r="Q85"/>
    </row>
    <row r="86" spans="2:17" x14ac:dyDescent="0.25">
      <c r="B86"/>
      <c r="C86"/>
      <c r="D86"/>
      <c r="E86"/>
      <c r="F86"/>
      <c r="G86"/>
      <c r="H86"/>
      <c r="I86"/>
      <c r="J86"/>
      <c r="K86"/>
      <c r="L86"/>
      <c r="M86"/>
      <c r="N86"/>
      <c r="O86"/>
      <c r="P86"/>
      <c r="Q86"/>
    </row>
    <row r="87" spans="2:17" x14ac:dyDescent="0.25">
      <c r="B87"/>
      <c r="C87"/>
      <c r="D87"/>
      <c r="E87"/>
      <c r="F87"/>
      <c r="G87"/>
      <c r="H87"/>
      <c r="I87"/>
      <c r="J87"/>
      <c r="K87"/>
      <c r="L87"/>
      <c r="M87"/>
      <c r="N87"/>
      <c r="O87"/>
      <c r="P87"/>
      <c r="Q87"/>
    </row>
    <row r="88" spans="2:17" x14ac:dyDescent="0.25">
      <c r="B88"/>
      <c r="C88"/>
      <c r="D88"/>
      <c r="E88"/>
      <c r="F88"/>
      <c r="G88"/>
      <c r="H88"/>
      <c r="I88"/>
      <c r="J88"/>
      <c r="K88"/>
      <c r="L88"/>
      <c r="M88"/>
      <c r="N88"/>
      <c r="O88"/>
      <c r="P88"/>
      <c r="Q88"/>
    </row>
    <row r="89" spans="2:17" x14ac:dyDescent="0.25">
      <c r="B89"/>
      <c r="C89"/>
      <c r="D89"/>
      <c r="E89"/>
      <c r="F89"/>
      <c r="G89"/>
      <c r="H89"/>
      <c r="I89"/>
      <c r="J89"/>
      <c r="K89"/>
      <c r="L89"/>
      <c r="M89"/>
      <c r="N89"/>
      <c r="O89"/>
      <c r="P89"/>
      <c r="Q89"/>
    </row>
    <row r="90" spans="2:17" x14ac:dyDescent="0.25">
      <c r="B90"/>
      <c r="C90"/>
      <c r="D90"/>
      <c r="E90"/>
      <c r="F90"/>
      <c r="G90"/>
      <c r="H90"/>
      <c r="I90"/>
      <c r="J90"/>
      <c r="K90"/>
      <c r="L90"/>
      <c r="M90"/>
      <c r="N90"/>
      <c r="O90"/>
      <c r="P90"/>
      <c r="Q90"/>
    </row>
    <row r="91" spans="2:17" x14ac:dyDescent="0.25">
      <c r="B91"/>
      <c r="C91"/>
      <c r="D91"/>
      <c r="E91"/>
      <c r="F91"/>
      <c r="G91"/>
      <c r="H91"/>
      <c r="I91"/>
      <c r="J91"/>
      <c r="K91"/>
      <c r="L91"/>
      <c r="M91"/>
      <c r="N91"/>
      <c r="O91"/>
      <c r="P91"/>
      <c r="Q91"/>
    </row>
    <row r="92" spans="2:17" x14ac:dyDescent="0.25">
      <c r="B92"/>
      <c r="C92"/>
      <c r="D92"/>
      <c r="E92"/>
      <c r="F92"/>
      <c r="G92"/>
      <c r="H92"/>
      <c r="I92"/>
      <c r="J92"/>
      <c r="K92"/>
      <c r="L92"/>
      <c r="M92"/>
      <c r="N92"/>
      <c r="O92"/>
      <c r="P92"/>
      <c r="Q92"/>
    </row>
    <row r="93" spans="2:17" x14ac:dyDescent="0.25">
      <c r="B93"/>
      <c r="C93"/>
      <c r="D93"/>
      <c r="E93"/>
      <c r="F93"/>
      <c r="G93"/>
      <c r="H93"/>
      <c r="I93"/>
      <c r="J93"/>
      <c r="K93"/>
      <c r="L93"/>
      <c r="M93"/>
      <c r="N93"/>
      <c r="O93"/>
      <c r="P93"/>
      <c r="Q93"/>
    </row>
    <row r="94" spans="2:17" x14ac:dyDescent="0.25">
      <c r="B94"/>
      <c r="C94"/>
      <c r="D94"/>
      <c r="E94"/>
      <c r="F94"/>
      <c r="G94"/>
      <c r="H94"/>
      <c r="I94"/>
      <c r="J94"/>
      <c r="K94"/>
      <c r="L94"/>
      <c r="M94"/>
      <c r="N94"/>
      <c r="O94"/>
      <c r="P94"/>
      <c r="Q94"/>
    </row>
    <row r="95" spans="2:17" x14ac:dyDescent="0.25">
      <c r="B95"/>
      <c r="C95"/>
      <c r="D95"/>
      <c r="E95"/>
      <c r="F95"/>
      <c r="G95"/>
      <c r="H95"/>
      <c r="I95"/>
      <c r="J95"/>
      <c r="K95"/>
      <c r="L95"/>
      <c r="M95"/>
      <c r="N95"/>
      <c r="O95"/>
      <c r="P95"/>
      <c r="Q95"/>
    </row>
    <row r="96" spans="2:17" x14ac:dyDescent="0.25">
      <c r="B96"/>
      <c r="C96"/>
      <c r="D96"/>
      <c r="E96"/>
      <c r="F96"/>
      <c r="G96"/>
      <c r="H96"/>
      <c r="I96"/>
      <c r="J96"/>
      <c r="K96"/>
      <c r="L96"/>
      <c r="M96"/>
      <c r="N96"/>
      <c r="O96"/>
      <c r="P96"/>
      <c r="Q96"/>
    </row>
  </sheetData>
  <mergeCells count="1">
    <mergeCell ref="C2:Q2"/>
  </mergeCells>
  <pageMargins left="0.75" right="0.5" top="0.76" bottom="0.79" header="0.5" footer="0.26"/>
  <pageSetup scale="57" orientation="landscape" r:id="rId1"/>
  <headerFooter alignWithMargins="0">
    <oddFooter>&amp;L&amp;F&amp;C&amp;A&amp;RPSE Advice No. 2018-48 &amp;D
Page &amp;P of &amp;N</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S50"/>
  <sheetViews>
    <sheetView topLeftCell="C1" zoomScale="120" zoomScaleNormal="120" workbookViewId="0">
      <selection activeCell="C13" sqref="C13"/>
    </sheetView>
  </sheetViews>
  <sheetFormatPr defaultColWidth="8.88671875" defaultRowHeight="13.2" x14ac:dyDescent="0.25"/>
  <cols>
    <col min="1" max="1" width="2.6640625" style="227" customWidth="1"/>
    <col min="2" max="2" width="3.88671875" style="227" bestFit="1" customWidth="1"/>
    <col min="3" max="3" width="9" style="227" bestFit="1" customWidth="1"/>
    <col min="4" max="4" width="23" style="227" customWidth="1"/>
    <col min="5" max="5" width="24.6640625" style="227" customWidth="1"/>
    <col min="6" max="6" width="2.109375" style="176" customWidth="1"/>
    <col min="7" max="7" width="17.44140625" style="227" bestFit="1" customWidth="1"/>
    <col min="8" max="9" width="13.88671875" style="227" bestFit="1" customWidth="1"/>
    <col min="10" max="10" width="2.109375" style="176" customWidth="1"/>
    <col min="11" max="11" width="8.88671875" style="227"/>
    <col min="12" max="12" width="11.109375" style="227" customWidth="1"/>
    <col min="13" max="13" width="2.109375" style="176" customWidth="1"/>
    <col min="14" max="14" width="14" style="227" customWidth="1"/>
    <col min="15" max="15" width="11.33203125" style="227" bestFit="1" customWidth="1"/>
    <col min="16" max="16" width="11.6640625" style="227" customWidth="1"/>
    <col min="17" max="17" width="10.109375" style="227" bestFit="1" customWidth="1"/>
    <col min="18" max="18" width="12.109375" style="227" customWidth="1"/>
    <col min="19" max="19" width="11.33203125" style="227" bestFit="1" customWidth="1"/>
    <col min="20" max="16384" width="8.88671875" style="227"/>
  </cols>
  <sheetData>
    <row r="1" spans="1:19" x14ac:dyDescent="0.25">
      <c r="O1" s="260"/>
      <c r="Q1" s="260"/>
    </row>
    <row r="2" spans="1:19" x14ac:dyDescent="0.25">
      <c r="K2" s="176"/>
      <c r="L2" s="176"/>
      <c r="O2" s="261"/>
      <c r="P2" s="176"/>
      <c r="Q2" s="261"/>
      <c r="R2" s="176"/>
      <c r="S2" s="261"/>
    </row>
    <row r="3" spans="1:19" s="305" customFormat="1" ht="27.6" customHeight="1" thickBot="1" x14ac:dyDescent="0.3">
      <c r="D3" s="341" t="s">
        <v>44</v>
      </c>
      <c r="E3" s="341"/>
      <c r="F3" s="279"/>
      <c r="G3" s="334" t="s">
        <v>96</v>
      </c>
      <c r="H3" s="334"/>
      <c r="I3" s="334"/>
      <c r="J3" s="279"/>
      <c r="K3" s="279"/>
      <c r="L3" s="279"/>
      <c r="M3" s="279"/>
      <c r="N3" s="334" t="s">
        <v>97</v>
      </c>
      <c r="O3" s="334"/>
      <c r="P3" s="334"/>
      <c r="Q3" s="334"/>
      <c r="R3" s="334"/>
      <c r="S3" s="334"/>
    </row>
    <row r="4" spans="1:19" s="305" customFormat="1" ht="85.95" customHeight="1" x14ac:dyDescent="0.25">
      <c r="D4" s="283" t="s">
        <v>45</v>
      </c>
      <c r="E4" s="297" t="s">
        <v>98</v>
      </c>
      <c r="F4" s="279"/>
      <c r="G4" s="306" t="s">
        <v>127</v>
      </c>
      <c r="H4" s="306" t="s">
        <v>142</v>
      </c>
      <c r="I4" s="307" t="s">
        <v>143</v>
      </c>
      <c r="J4" s="229"/>
      <c r="K4" s="335" t="s">
        <v>128</v>
      </c>
      <c r="L4" s="338" t="s">
        <v>129</v>
      </c>
      <c r="M4" s="229"/>
      <c r="N4" s="308" t="s">
        <v>130</v>
      </c>
      <c r="O4" s="309" t="s">
        <v>131</v>
      </c>
      <c r="P4" s="308" t="s">
        <v>132</v>
      </c>
      <c r="Q4" s="309" t="s">
        <v>133</v>
      </c>
      <c r="R4" s="310" t="s">
        <v>134</v>
      </c>
      <c r="S4" s="309" t="s">
        <v>135</v>
      </c>
    </row>
    <row r="5" spans="1:19" s="305" customFormat="1" x14ac:dyDescent="0.25">
      <c r="C5" s="311"/>
      <c r="D5" s="285"/>
      <c r="E5" s="286"/>
      <c r="F5" s="279"/>
      <c r="G5" s="323">
        <v>1</v>
      </c>
      <c r="H5" s="324">
        <v>0.16</v>
      </c>
      <c r="I5" s="325">
        <v>0.02</v>
      </c>
      <c r="J5" s="229"/>
      <c r="K5" s="336"/>
      <c r="L5" s="339"/>
      <c r="M5" s="229"/>
      <c r="N5" s="312">
        <v>1</v>
      </c>
      <c r="O5" s="313"/>
      <c r="P5" s="312">
        <v>0.3</v>
      </c>
      <c r="Q5" s="313"/>
      <c r="R5" s="314">
        <v>0.26</v>
      </c>
      <c r="S5" s="315"/>
    </row>
    <row r="6" spans="1:19" s="305" customFormat="1" ht="27" thickBot="1" x14ac:dyDescent="0.3">
      <c r="B6" s="311"/>
      <c r="C6" s="316"/>
      <c r="D6" s="287"/>
      <c r="E6" s="288" t="s">
        <v>100</v>
      </c>
      <c r="F6" s="279"/>
      <c r="G6" s="317" t="s">
        <v>100</v>
      </c>
      <c r="H6" s="317" t="s">
        <v>100</v>
      </c>
      <c r="I6" s="318" t="s">
        <v>100</v>
      </c>
      <c r="J6" s="279"/>
      <c r="K6" s="337"/>
      <c r="L6" s="340"/>
      <c r="M6" s="229"/>
      <c r="N6" s="319" t="s">
        <v>99</v>
      </c>
      <c r="O6" s="320" t="s">
        <v>14</v>
      </c>
      <c r="P6" s="319" t="s">
        <v>99</v>
      </c>
      <c r="Q6" s="320" t="s">
        <v>14</v>
      </c>
      <c r="R6" s="321" t="s">
        <v>99</v>
      </c>
      <c r="S6" s="320" t="s">
        <v>14</v>
      </c>
    </row>
    <row r="7" spans="1:19" x14ac:dyDescent="0.25">
      <c r="A7" s="230"/>
      <c r="B7" s="298">
        <v>1</v>
      </c>
      <c r="C7" s="284">
        <v>2020</v>
      </c>
      <c r="D7" s="234" t="s">
        <v>46</v>
      </c>
      <c r="E7" s="289">
        <v>89</v>
      </c>
      <c r="G7" s="236">
        <f t="shared" ref="G7:I27" si="0">G$5*$E7</f>
        <v>89</v>
      </c>
      <c r="H7" s="236">
        <f>H$5*$E7</f>
        <v>14.24</v>
      </c>
      <c r="I7" s="238">
        <f>I$5*$E7</f>
        <v>1.78</v>
      </c>
      <c r="K7" s="235">
        <f t="shared" ref="K7:K28" si="1">C7</f>
        <v>2020</v>
      </c>
      <c r="L7" s="217">
        <v>8784</v>
      </c>
      <c r="M7" s="228"/>
      <c r="N7" s="225">
        <f t="shared" ref="N7:N28" si="2">L7*$N$5</f>
        <v>8784</v>
      </c>
      <c r="O7" s="226">
        <f>(+G7*1000)/$N7</f>
        <v>10.132058287795992</v>
      </c>
      <c r="P7" s="225">
        <f>L7*$P$5</f>
        <v>2635.2</v>
      </c>
      <c r="Q7" s="226">
        <f>(+H7*1000)/$P7</f>
        <v>5.403764420157863</v>
      </c>
      <c r="R7" s="240">
        <f t="shared" ref="R7:R28" si="3">L7*$R$5</f>
        <v>2283.84</v>
      </c>
      <c r="S7" s="226">
        <f>(+I7*1000)/$R7</f>
        <v>0.77938909906123011</v>
      </c>
    </row>
    <row r="8" spans="1:19" x14ac:dyDescent="0.25">
      <c r="A8" s="230"/>
      <c r="B8" s="299">
        <f t="shared" ref="B8:B28" si="4">+B7+1</f>
        <v>2</v>
      </c>
      <c r="C8" s="231">
        <f>C7+1</f>
        <v>2021</v>
      </c>
      <c r="D8" s="234"/>
      <c r="E8" s="290">
        <v>89</v>
      </c>
      <c r="G8" s="237">
        <f t="shared" si="0"/>
        <v>89</v>
      </c>
      <c r="H8" s="236">
        <f t="shared" si="0"/>
        <v>14.24</v>
      </c>
      <c r="I8" s="239">
        <f t="shared" si="0"/>
        <v>1.78</v>
      </c>
      <c r="K8" s="218">
        <f t="shared" si="1"/>
        <v>2021</v>
      </c>
      <c r="L8" s="219">
        <v>8760</v>
      </c>
      <c r="M8" s="228"/>
      <c r="N8" s="221">
        <f t="shared" si="2"/>
        <v>8760</v>
      </c>
      <c r="O8" s="222">
        <f>(+G8*1000)/$N8</f>
        <v>10.159817351598173</v>
      </c>
      <c r="P8" s="221">
        <f t="shared" ref="P8:P28" si="5">L8*$P$5</f>
        <v>2628</v>
      </c>
      <c r="Q8" s="222">
        <f t="shared" ref="Q8:Q28" si="6">(+H8*1000)/$P8</f>
        <v>5.4185692541856927</v>
      </c>
      <c r="R8" s="241">
        <f>L8*$R$5</f>
        <v>2277.6</v>
      </c>
      <c r="S8" s="222">
        <f>(+I8*1000)/$R8</f>
        <v>0.78152441166139797</v>
      </c>
    </row>
    <row r="9" spans="1:19" x14ac:dyDescent="0.25">
      <c r="A9" s="230"/>
      <c r="B9" s="299">
        <f t="shared" si="4"/>
        <v>3</v>
      </c>
      <c r="C9" s="231">
        <f>+C8+1</f>
        <v>2022</v>
      </c>
      <c r="D9" s="234"/>
      <c r="E9" s="290">
        <v>89</v>
      </c>
      <c r="G9" s="237">
        <f t="shared" si="0"/>
        <v>89</v>
      </c>
      <c r="H9" s="236">
        <f t="shared" si="0"/>
        <v>14.24</v>
      </c>
      <c r="I9" s="239">
        <f t="shared" si="0"/>
        <v>1.78</v>
      </c>
      <c r="K9" s="218">
        <f t="shared" si="1"/>
        <v>2022</v>
      </c>
      <c r="L9" s="219">
        <v>8760</v>
      </c>
      <c r="M9" s="228"/>
      <c r="N9" s="221">
        <f t="shared" si="2"/>
        <v>8760</v>
      </c>
      <c r="O9" s="222">
        <f t="shared" ref="O9:O28" si="7">(+G9*1000)/$N9</f>
        <v>10.159817351598173</v>
      </c>
      <c r="P9" s="221">
        <f t="shared" si="5"/>
        <v>2628</v>
      </c>
      <c r="Q9" s="222">
        <f t="shared" si="6"/>
        <v>5.4185692541856927</v>
      </c>
      <c r="R9" s="241">
        <f t="shared" si="3"/>
        <v>2277.6</v>
      </c>
      <c r="S9" s="222">
        <f t="shared" ref="S9:S28" si="8">(+I9*1000)/$R9</f>
        <v>0.78152441166139797</v>
      </c>
    </row>
    <row r="10" spans="1:19" x14ac:dyDescent="0.25">
      <c r="A10" s="230"/>
      <c r="B10" s="299">
        <f t="shared" si="4"/>
        <v>4</v>
      </c>
      <c r="C10" s="231">
        <f t="shared" ref="C10:C28" si="9">+C9+1</f>
        <v>2023</v>
      </c>
      <c r="D10" s="234" t="s">
        <v>117</v>
      </c>
      <c r="E10" s="291">
        <v>93</v>
      </c>
      <c r="G10" s="237">
        <f t="shared" si="0"/>
        <v>93</v>
      </c>
      <c r="H10" s="236">
        <f t="shared" si="0"/>
        <v>14.88</v>
      </c>
      <c r="I10" s="239">
        <f t="shared" si="0"/>
        <v>1.86</v>
      </c>
      <c r="K10" s="218">
        <f t="shared" si="1"/>
        <v>2023</v>
      </c>
      <c r="L10" s="219">
        <v>8760</v>
      </c>
      <c r="M10" s="228"/>
      <c r="N10" s="221">
        <f t="shared" si="2"/>
        <v>8760</v>
      </c>
      <c r="O10" s="222">
        <f t="shared" si="7"/>
        <v>10.616438356164384</v>
      </c>
      <c r="P10" s="221">
        <f t="shared" si="5"/>
        <v>2628</v>
      </c>
      <c r="Q10" s="222">
        <f t="shared" si="6"/>
        <v>5.6621004566210047</v>
      </c>
      <c r="R10" s="241">
        <f t="shared" si="3"/>
        <v>2277.6</v>
      </c>
      <c r="S10" s="222">
        <f t="shared" si="8"/>
        <v>0.81664910432033722</v>
      </c>
    </row>
    <row r="11" spans="1:19" x14ac:dyDescent="0.25">
      <c r="A11" s="230"/>
      <c r="B11" s="299">
        <f t="shared" si="4"/>
        <v>5</v>
      </c>
      <c r="C11" s="231">
        <f t="shared" si="9"/>
        <v>2024</v>
      </c>
      <c r="D11" s="234" t="s">
        <v>117</v>
      </c>
      <c r="E11" s="291">
        <v>93</v>
      </c>
      <c r="G11" s="237">
        <f t="shared" si="0"/>
        <v>93</v>
      </c>
      <c r="H11" s="236">
        <f t="shared" si="0"/>
        <v>14.88</v>
      </c>
      <c r="I11" s="239">
        <f t="shared" si="0"/>
        <v>1.86</v>
      </c>
      <c r="K11" s="218">
        <f t="shared" si="1"/>
        <v>2024</v>
      </c>
      <c r="L11" s="219">
        <v>8784</v>
      </c>
      <c r="M11" s="228"/>
      <c r="N11" s="221">
        <f t="shared" si="2"/>
        <v>8784</v>
      </c>
      <c r="O11" s="222">
        <f t="shared" si="7"/>
        <v>10.587431693989071</v>
      </c>
      <c r="P11" s="221">
        <f t="shared" si="5"/>
        <v>2635.2</v>
      </c>
      <c r="Q11" s="222">
        <f t="shared" si="6"/>
        <v>5.6466302367941719</v>
      </c>
      <c r="R11" s="241">
        <f t="shared" si="3"/>
        <v>2283.84</v>
      </c>
      <c r="S11" s="222">
        <f t="shared" si="8"/>
        <v>0.81441782261454387</v>
      </c>
    </row>
    <row r="12" spans="1:19" x14ac:dyDescent="0.25">
      <c r="A12" s="230"/>
      <c r="B12" s="299">
        <f t="shared" si="4"/>
        <v>6</v>
      </c>
      <c r="C12" s="231">
        <f t="shared" si="9"/>
        <v>2025</v>
      </c>
      <c r="D12" s="234" t="s">
        <v>46</v>
      </c>
      <c r="E12" s="291">
        <v>80</v>
      </c>
      <c r="G12" s="237">
        <f t="shared" si="0"/>
        <v>80</v>
      </c>
      <c r="H12" s="236">
        <f t="shared" si="0"/>
        <v>12.8</v>
      </c>
      <c r="I12" s="239">
        <f t="shared" si="0"/>
        <v>1.6</v>
      </c>
      <c r="K12" s="218">
        <f t="shared" si="1"/>
        <v>2025</v>
      </c>
      <c r="L12" s="219">
        <v>8760</v>
      </c>
      <c r="M12" s="228"/>
      <c r="N12" s="221">
        <f t="shared" si="2"/>
        <v>8760</v>
      </c>
      <c r="O12" s="222">
        <f t="shared" si="7"/>
        <v>9.1324200913242013</v>
      </c>
      <c r="P12" s="221">
        <f t="shared" si="5"/>
        <v>2628</v>
      </c>
      <c r="Q12" s="222">
        <f t="shared" si="6"/>
        <v>4.8706240487062402</v>
      </c>
      <c r="R12" s="241">
        <f t="shared" si="3"/>
        <v>2277.6</v>
      </c>
      <c r="S12" s="222">
        <f t="shared" si="8"/>
        <v>0.70249385317878477</v>
      </c>
    </row>
    <row r="13" spans="1:19" x14ac:dyDescent="0.25">
      <c r="A13" s="230"/>
      <c r="B13" s="299">
        <f t="shared" si="4"/>
        <v>7</v>
      </c>
      <c r="C13" s="231">
        <f t="shared" si="9"/>
        <v>2026</v>
      </c>
      <c r="D13" s="234" t="s">
        <v>46</v>
      </c>
      <c r="E13" s="291">
        <v>80</v>
      </c>
      <c r="G13" s="237">
        <f t="shared" si="0"/>
        <v>80</v>
      </c>
      <c r="H13" s="236">
        <f t="shared" si="0"/>
        <v>12.8</v>
      </c>
      <c r="I13" s="239">
        <f t="shared" si="0"/>
        <v>1.6</v>
      </c>
      <c r="K13" s="218">
        <f t="shared" si="1"/>
        <v>2026</v>
      </c>
      <c r="L13" s="219">
        <v>8760</v>
      </c>
      <c r="M13" s="228"/>
      <c r="N13" s="221">
        <f t="shared" si="2"/>
        <v>8760</v>
      </c>
      <c r="O13" s="222">
        <f t="shared" si="7"/>
        <v>9.1324200913242013</v>
      </c>
      <c r="P13" s="221">
        <f t="shared" si="5"/>
        <v>2628</v>
      </c>
      <c r="Q13" s="222">
        <f t="shared" si="6"/>
        <v>4.8706240487062402</v>
      </c>
      <c r="R13" s="241">
        <f t="shared" si="3"/>
        <v>2277.6</v>
      </c>
      <c r="S13" s="222">
        <f t="shared" si="8"/>
        <v>0.70249385317878477</v>
      </c>
    </row>
    <row r="14" spans="1:19" x14ac:dyDescent="0.25">
      <c r="A14" s="230"/>
      <c r="B14" s="299">
        <f t="shared" si="4"/>
        <v>8</v>
      </c>
      <c r="C14" s="231">
        <f t="shared" si="9"/>
        <v>2027</v>
      </c>
      <c r="D14" s="234" t="s">
        <v>46</v>
      </c>
      <c r="E14" s="291">
        <v>80.477938899565444</v>
      </c>
      <c r="G14" s="237">
        <f t="shared" si="0"/>
        <v>80.477938899565444</v>
      </c>
      <c r="H14" s="236">
        <f t="shared" si="0"/>
        <v>12.876470223930472</v>
      </c>
      <c r="I14" s="239">
        <f t="shared" si="0"/>
        <v>1.609558777991309</v>
      </c>
      <c r="K14" s="218">
        <f t="shared" si="1"/>
        <v>2027</v>
      </c>
      <c r="L14" s="219">
        <v>8760</v>
      </c>
      <c r="M14" s="228"/>
      <c r="N14" s="221">
        <f t="shared" si="2"/>
        <v>8760</v>
      </c>
      <c r="O14" s="222">
        <f t="shared" si="7"/>
        <v>9.1869793264344111</v>
      </c>
      <c r="P14" s="221">
        <f t="shared" si="5"/>
        <v>2628</v>
      </c>
      <c r="Q14" s="222">
        <f t="shared" si="6"/>
        <v>4.899722307431686</v>
      </c>
      <c r="R14" s="241">
        <f t="shared" si="3"/>
        <v>2277.6</v>
      </c>
      <c r="S14" s="222">
        <f t="shared" si="8"/>
        <v>0.70669071741803169</v>
      </c>
    </row>
    <row r="15" spans="1:19" x14ac:dyDescent="0.25">
      <c r="A15" s="230"/>
      <c r="B15" s="299">
        <f t="shared" si="4"/>
        <v>9</v>
      </c>
      <c r="C15" s="231">
        <f t="shared" si="9"/>
        <v>2028</v>
      </c>
      <c r="D15" s="234"/>
      <c r="E15" s="291">
        <v>80.477938899565444</v>
      </c>
      <c r="G15" s="237">
        <f t="shared" si="0"/>
        <v>80.477938899565444</v>
      </c>
      <c r="H15" s="236">
        <f t="shared" si="0"/>
        <v>12.876470223930472</v>
      </c>
      <c r="I15" s="239">
        <f t="shared" si="0"/>
        <v>1.609558777991309</v>
      </c>
      <c r="K15" s="218">
        <f t="shared" si="1"/>
        <v>2028</v>
      </c>
      <c r="L15" s="219">
        <v>8784</v>
      </c>
      <c r="M15" s="228"/>
      <c r="N15" s="221">
        <f t="shared" si="2"/>
        <v>8784</v>
      </c>
      <c r="O15" s="222">
        <f t="shared" si="7"/>
        <v>9.1618782900233882</v>
      </c>
      <c r="P15" s="221">
        <f t="shared" si="5"/>
        <v>2635.2</v>
      </c>
      <c r="Q15" s="222">
        <f t="shared" si="6"/>
        <v>4.8863350880124745</v>
      </c>
      <c r="R15" s="241">
        <f t="shared" si="3"/>
        <v>2283.84</v>
      </c>
      <c r="S15" s="222">
        <f t="shared" si="8"/>
        <v>0.7047598684633376</v>
      </c>
    </row>
    <row r="16" spans="1:19" x14ac:dyDescent="0.25">
      <c r="A16" s="230"/>
      <c r="B16" s="299">
        <f t="shared" si="4"/>
        <v>10</v>
      </c>
      <c r="C16" s="231">
        <f t="shared" si="9"/>
        <v>2029</v>
      </c>
      <c r="D16" s="234"/>
      <c r="E16" s="291">
        <v>80.477938899565444</v>
      </c>
      <c r="G16" s="237">
        <f t="shared" si="0"/>
        <v>80.477938899565444</v>
      </c>
      <c r="H16" s="236">
        <f t="shared" si="0"/>
        <v>12.876470223930472</v>
      </c>
      <c r="I16" s="239">
        <f t="shared" si="0"/>
        <v>1.609558777991309</v>
      </c>
      <c r="K16" s="218">
        <f t="shared" si="1"/>
        <v>2029</v>
      </c>
      <c r="L16" s="219">
        <v>8760</v>
      </c>
      <c r="M16" s="228"/>
      <c r="N16" s="221">
        <f t="shared" si="2"/>
        <v>8760</v>
      </c>
      <c r="O16" s="222">
        <f t="shared" si="7"/>
        <v>9.1869793264344111</v>
      </c>
      <c r="P16" s="221">
        <f t="shared" si="5"/>
        <v>2628</v>
      </c>
      <c r="Q16" s="222">
        <f t="shared" si="6"/>
        <v>4.899722307431686</v>
      </c>
      <c r="R16" s="241">
        <f t="shared" si="3"/>
        <v>2277.6</v>
      </c>
      <c r="S16" s="222">
        <f t="shared" si="8"/>
        <v>0.70669071741803169</v>
      </c>
    </row>
    <row r="17" spans="1:19" x14ac:dyDescent="0.25">
      <c r="A17" s="230"/>
      <c r="B17" s="299">
        <f t="shared" si="4"/>
        <v>11</v>
      </c>
      <c r="C17" s="231">
        <f t="shared" si="9"/>
        <v>2030</v>
      </c>
      <c r="D17" s="234"/>
      <c r="E17" s="291">
        <v>80.477938899565444</v>
      </c>
      <c r="G17" s="237">
        <f t="shared" si="0"/>
        <v>80.477938899565444</v>
      </c>
      <c r="H17" s="236">
        <f t="shared" si="0"/>
        <v>12.876470223930472</v>
      </c>
      <c r="I17" s="239">
        <f t="shared" si="0"/>
        <v>1.609558777991309</v>
      </c>
      <c r="K17" s="218">
        <f t="shared" si="1"/>
        <v>2030</v>
      </c>
      <c r="L17" s="219">
        <v>8760</v>
      </c>
      <c r="M17" s="228"/>
      <c r="N17" s="221">
        <f t="shared" si="2"/>
        <v>8760</v>
      </c>
      <c r="O17" s="222">
        <f t="shared" si="7"/>
        <v>9.1869793264344111</v>
      </c>
      <c r="P17" s="221">
        <f t="shared" si="5"/>
        <v>2628</v>
      </c>
      <c r="Q17" s="222">
        <f t="shared" si="6"/>
        <v>4.899722307431686</v>
      </c>
      <c r="R17" s="241">
        <f t="shared" si="3"/>
        <v>2277.6</v>
      </c>
      <c r="S17" s="222">
        <f t="shared" si="8"/>
        <v>0.70669071741803169</v>
      </c>
    </row>
    <row r="18" spans="1:19" x14ac:dyDescent="0.25">
      <c r="A18" s="230"/>
      <c r="B18" s="299">
        <f t="shared" si="4"/>
        <v>12</v>
      </c>
      <c r="C18" s="231">
        <f t="shared" si="9"/>
        <v>2031</v>
      </c>
      <c r="D18" s="234" t="s">
        <v>46</v>
      </c>
      <c r="E18" s="291">
        <v>84.157096346974001</v>
      </c>
      <c r="G18" s="237">
        <f t="shared" si="0"/>
        <v>84.157096346974001</v>
      </c>
      <c r="H18" s="236">
        <f t="shared" si="0"/>
        <v>13.46513541551584</v>
      </c>
      <c r="I18" s="239">
        <f t="shared" si="0"/>
        <v>1.6831419269394801</v>
      </c>
      <c r="K18" s="218">
        <f t="shared" si="1"/>
        <v>2031</v>
      </c>
      <c r="L18" s="219">
        <v>8760</v>
      </c>
      <c r="M18" s="228"/>
      <c r="N18" s="221">
        <f t="shared" si="2"/>
        <v>8760</v>
      </c>
      <c r="O18" s="222">
        <f t="shared" si="7"/>
        <v>9.6069744688326484</v>
      </c>
      <c r="P18" s="221">
        <f t="shared" si="5"/>
        <v>2628</v>
      </c>
      <c r="Q18" s="222">
        <f t="shared" si="6"/>
        <v>5.1237197167107462</v>
      </c>
      <c r="R18" s="241">
        <f t="shared" si="3"/>
        <v>2277.6</v>
      </c>
      <c r="S18" s="222">
        <f t="shared" si="8"/>
        <v>0.7389980360640499</v>
      </c>
    </row>
    <row r="19" spans="1:19" x14ac:dyDescent="0.25">
      <c r="A19" s="230"/>
      <c r="B19" s="299">
        <f t="shared" si="4"/>
        <v>13</v>
      </c>
      <c r="C19" s="231">
        <f t="shared" si="9"/>
        <v>2032</v>
      </c>
      <c r="D19" s="234"/>
      <c r="E19" s="291">
        <v>84.157096346974001</v>
      </c>
      <c r="G19" s="237">
        <f t="shared" si="0"/>
        <v>84.157096346974001</v>
      </c>
      <c r="H19" s="236">
        <f t="shared" si="0"/>
        <v>13.46513541551584</v>
      </c>
      <c r="I19" s="239">
        <f t="shared" si="0"/>
        <v>1.6831419269394801</v>
      </c>
      <c r="K19" s="218">
        <f t="shared" si="1"/>
        <v>2032</v>
      </c>
      <c r="L19" s="219">
        <v>8784</v>
      </c>
      <c r="M19" s="228"/>
      <c r="N19" s="221">
        <f t="shared" si="2"/>
        <v>8784</v>
      </c>
      <c r="O19" s="222">
        <f t="shared" si="7"/>
        <v>9.5807259047101549</v>
      </c>
      <c r="P19" s="221">
        <f t="shared" si="5"/>
        <v>2635.2</v>
      </c>
      <c r="Q19" s="222">
        <f t="shared" si="6"/>
        <v>5.109720482512083</v>
      </c>
      <c r="R19" s="241">
        <f t="shared" si="3"/>
        <v>2283.84</v>
      </c>
      <c r="S19" s="222">
        <f t="shared" si="8"/>
        <v>0.73697891574693497</v>
      </c>
    </row>
    <row r="20" spans="1:19" x14ac:dyDescent="0.25">
      <c r="A20" s="230"/>
      <c r="B20" s="299">
        <f t="shared" si="4"/>
        <v>14</v>
      </c>
      <c r="C20" s="231">
        <f t="shared" si="9"/>
        <v>2033</v>
      </c>
      <c r="D20" s="234"/>
      <c r="E20" s="291">
        <v>84.157096346974001</v>
      </c>
      <c r="G20" s="237">
        <f t="shared" si="0"/>
        <v>84.157096346974001</v>
      </c>
      <c r="H20" s="236">
        <f t="shared" si="0"/>
        <v>13.46513541551584</v>
      </c>
      <c r="I20" s="239">
        <f t="shared" si="0"/>
        <v>1.6831419269394801</v>
      </c>
      <c r="K20" s="218">
        <f t="shared" si="1"/>
        <v>2033</v>
      </c>
      <c r="L20" s="219">
        <v>8760</v>
      </c>
      <c r="M20" s="228"/>
      <c r="N20" s="221">
        <f t="shared" si="2"/>
        <v>8760</v>
      </c>
      <c r="O20" s="222">
        <f t="shared" si="7"/>
        <v>9.6069744688326484</v>
      </c>
      <c r="P20" s="221">
        <f t="shared" si="5"/>
        <v>2628</v>
      </c>
      <c r="Q20" s="222">
        <f t="shared" si="6"/>
        <v>5.1237197167107462</v>
      </c>
      <c r="R20" s="241">
        <f t="shared" si="3"/>
        <v>2277.6</v>
      </c>
      <c r="S20" s="222">
        <f t="shared" si="8"/>
        <v>0.7389980360640499</v>
      </c>
    </row>
    <row r="21" spans="1:19" x14ac:dyDescent="0.25">
      <c r="A21" s="230"/>
      <c r="B21" s="299">
        <f t="shared" si="4"/>
        <v>15</v>
      </c>
      <c r="C21" s="231">
        <f t="shared" si="9"/>
        <v>2034</v>
      </c>
      <c r="D21" s="234" t="s">
        <v>46</v>
      </c>
      <c r="E21" s="291">
        <v>88.306829270347322</v>
      </c>
      <c r="G21" s="237">
        <f t="shared" si="0"/>
        <v>88.306829270347322</v>
      </c>
      <c r="H21" s="236">
        <f t="shared" si="0"/>
        <v>14.129092683255571</v>
      </c>
      <c r="I21" s="239">
        <f t="shared" si="0"/>
        <v>1.7661365854069464</v>
      </c>
      <c r="K21" s="218">
        <f t="shared" si="1"/>
        <v>2034</v>
      </c>
      <c r="L21" s="219">
        <v>8760</v>
      </c>
      <c r="M21" s="228"/>
      <c r="N21" s="221">
        <f t="shared" si="2"/>
        <v>8760</v>
      </c>
      <c r="O21" s="222">
        <f t="shared" si="7"/>
        <v>10.080688272870699</v>
      </c>
      <c r="P21" s="221">
        <f t="shared" si="5"/>
        <v>2628</v>
      </c>
      <c r="Q21" s="222">
        <f t="shared" si="6"/>
        <v>5.376367078864372</v>
      </c>
      <c r="R21" s="241">
        <f t="shared" si="3"/>
        <v>2277.6</v>
      </c>
      <c r="S21" s="222">
        <f t="shared" si="8"/>
        <v>0.77543755945159221</v>
      </c>
    </row>
    <row r="22" spans="1:19" x14ac:dyDescent="0.25">
      <c r="A22" s="230"/>
      <c r="B22" s="299">
        <f t="shared" si="4"/>
        <v>16</v>
      </c>
      <c r="C22" s="231">
        <f t="shared" si="9"/>
        <v>2035</v>
      </c>
      <c r="D22" s="234"/>
      <c r="E22" s="291">
        <v>88.306829270347322</v>
      </c>
      <c r="G22" s="237">
        <f t="shared" si="0"/>
        <v>88.306829270347322</v>
      </c>
      <c r="H22" s="236">
        <f t="shared" si="0"/>
        <v>14.129092683255571</v>
      </c>
      <c r="I22" s="239">
        <f t="shared" si="0"/>
        <v>1.7661365854069464</v>
      </c>
      <c r="K22" s="218">
        <f t="shared" si="1"/>
        <v>2035</v>
      </c>
      <c r="L22" s="219">
        <v>8760</v>
      </c>
      <c r="M22" s="228"/>
      <c r="N22" s="221">
        <f t="shared" si="2"/>
        <v>8760</v>
      </c>
      <c r="O22" s="222">
        <f t="shared" si="7"/>
        <v>10.080688272870699</v>
      </c>
      <c r="P22" s="221">
        <f t="shared" si="5"/>
        <v>2628</v>
      </c>
      <c r="Q22" s="222">
        <f t="shared" si="6"/>
        <v>5.376367078864372</v>
      </c>
      <c r="R22" s="241">
        <f t="shared" si="3"/>
        <v>2277.6</v>
      </c>
      <c r="S22" s="222">
        <f t="shared" si="8"/>
        <v>0.77543755945159221</v>
      </c>
    </row>
    <row r="23" spans="1:19" x14ac:dyDescent="0.25">
      <c r="A23" s="230"/>
      <c r="B23" s="299">
        <f t="shared" si="4"/>
        <v>17</v>
      </c>
      <c r="C23" s="231">
        <f t="shared" si="9"/>
        <v>2036</v>
      </c>
      <c r="D23" s="234" t="s">
        <v>46</v>
      </c>
      <c r="E23" s="291">
        <v>91.089450907608253</v>
      </c>
      <c r="G23" s="237">
        <f t="shared" si="0"/>
        <v>91.089450907608253</v>
      </c>
      <c r="H23" s="236">
        <f t="shared" si="0"/>
        <v>14.57431214521732</v>
      </c>
      <c r="I23" s="239">
        <f t="shared" si="0"/>
        <v>1.821789018152165</v>
      </c>
      <c r="K23" s="218">
        <f t="shared" si="1"/>
        <v>2036</v>
      </c>
      <c r="L23" s="219">
        <v>8784</v>
      </c>
      <c r="M23" s="228"/>
      <c r="N23" s="221">
        <f t="shared" si="2"/>
        <v>8784</v>
      </c>
      <c r="O23" s="222">
        <f t="shared" si="7"/>
        <v>10.36992838201369</v>
      </c>
      <c r="P23" s="221">
        <f t="shared" si="5"/>
        <v>2635.2</v>
      </c>
      <c r="Q23" s="222">
        <f t="shared" si="6"/>
        <v>5.5306284704073017</v>
      </c>
      <c r="R23" s="241">
        <f t="shared" si="3"/>
        <v>2283.84</v>
      </c>
      <c r="S23" s="222">
        <f t="shared" si="8"/>
        <v>0.79768679861643765</v>
      </c>
    </row>
    <row r="24" spans="1:19" x14ac:dyDescent="0.25">
      <c r="A24" s="230"/>
      <c r="B24" s="299">
        <f t="shared" si="4"/>
        <v>18</v>
      </c>
      <c r="C24" s="231">
        <f t="shared" si="9"/>
        <v>2037</v>
      </c>
      <c r="D24" s="234"/>
      <c r="E24" s="292">
        <v>91.089450907608253</v>
      </c>
      <c r="G24" s="237">
        <f t="shared" si="0"/>
        <v>91.089450907608253</v>
      </c>
      <c r="H24" s="236">
        <f t="shared" si="0"/>
        <v>14.57431214521732</v>
      </c>
      <c r="I24" s="239">
        <f t="shared" si="0"/>
        <v>1.821789018152165</v>
      </c>
      <c r="K24" s="218">
        <f t="shared" si="1"/>
        <v>2037</v>
      </c>
      <c r="L24" s="219">
        <v>8760</v>
      </c>
      <c r="M24" s="228"/>
      <c r="N24" s="221">
        <f t="shared" si="2"/>
        <v>8760</v>
      </c>
      <c r="O24" s="222">
        <f t="shared" si="7"/>
        <v>10.398339144704138</v>
      </c>
      <c r="P24" s="221">
        <f t="shared" si="5"/>
        <v>2628</v>
      </c>
      <c r="Q24" s="222">
        <f t="shared" si="6"/>
        <v>5.5457808771755399</v>
      </c>
      <c r="R24" s="241">
        <f t="shared" si="3"/>
        <v>2277.6</v>
      </c>
      <c r="S24" s="222">
        <f t="shared" si="8"/>
        <v>0.79987224190031836</v>
      </c>
    </row>
    <row r="25" spans="1:19" x14ac:dyDescent="0.25">
      <c r="A25" s="230"/>
      <c r="B25" s="299">
        <f t="shared" si="4"/>
        <v>19</v>
      </c>
      <c r="C25" s="231">
        <f t="shared" si="9"/>
        <v>2038</v>
      </c>
      <c r="D25" s="234"/>
      <c r="E25" s="292">
        <v>91.089450907608253</v>
      </c>
      <c r="G25" s="237">
        <f t="shared" si="0"/>
        <v>91.089450907608253</v>
      </c>
      <c r="H25" s="236">
        <f t="shared" si="0"/>
        <v>14.57431214521732</v>
      </c>
      <c r="I25" s="239">
        <f t="shared" si="0"/>
        <v>1.821789018152165</v>
      </c>
      <c r="K25" s="218">
        <f t="shared" si="1"/>
        <v>2038</v>
      </c>
      <c r="L25" s="219">
        <v>8760</v>
      </c>
      <c r="M25" s="228"/>
      <c r="N25" s="221">
        <f t="shared" si="2"/>
        <v>8760</v>
      </c>
      <c r="O25" s="222">
        <f t="shared" si="7"/>
        <v>10.398339144704138</v>
      </c>
      <c r="P25" s="221">
        <f t="shared" si="5"/>
        <v>2628</v>
      </c>
      <c r="Q25" s="222">
        <f t="shared" si="6"/>
        <v>5.5457808771755399</v>
      </c>
      <c r="R25" s="241">
        <f t="shared" si="3"/>
        <v>2277.6</v>
      </c>
      <c r="S25" s="222">
        <f t="shared" si="8"/>
        <v>0.79987224190031836</v>
      </c>
    </row>
    <row r="26" spans="1:19" x14ac:dyDescent="0.25">
      <c r="A26" s="230"/>
      <c r="B26" s="299">
        <f t="shared" si="4"/>
        <v>20</v>
      </c>
      <c r="C26" s="231">
        <f t="shared" si="9"/>
        <v>2039</v>
      </c>
      <c r="D26" s="234"/>
      <c r="E26" s="292">
        <v>91.089450907608253</v>
      </c>
      <c r="G26" s="237">
        <f t="shared" si="0"/>
        <v>91.089450907608253</v>
      </c>
      <c r="H26" s="236">
        <f t="shared" si="0"/>
        <v>14.57431214521732</v>
      </c>
      <c r="I26" s="239">
        <f t="shared" si="0"/>
        <v>1.821789018152165</v>
      </c>
      <c r="K26" s="218">
        <f t="shared" si="1"/>
        <v>2039</v>
      </c>
      <c r="L26" s="219">
        <v>8760</v>
      </c>
      <c r="M26" s="228"/>
      <c r="N26" s="221">
        <f t="shared" si="2"/>
        <v>8760</v>
      </c>
      <c r="O26" s="222">
        <f t="shared" si="7"/>
        <v>10.398339144704138</v>
      </c>
      <c r="P26" s="221">
        <f t="shared" si="5"/>
        <v>2628</v>
      </c>
      <c r="Q26" s="222">
        <f t="shared" si="6"/>
        <v>5.5457808771755399</v>
      </c>
      <c r="R26" s="241">
        <f t="shared" si="3"/>
        <v>2277.6</v>
      </c>
      <c r="S26" s="222">
        <f t="shared" si="8"/>
        <v>0.79987224190031836</v>
      </c>
    </row>
    <row r="27" spans="1:19" x14ac:dyDescent="0.25">
      <c r="A27" s="230"/>
      <c r="B27" s="299">
        <f t="shared" si="4"/>
        <v>21</v>
      </c>
      <c r="C27" s="231">
        <f t="shared" si="9"/>
        <v>2040</v>
      </c>
      <c r="D27" s="234"/>
      <c r="E27" s="292">
        <f>E26</f>
        <v>91.089450907608253</v>
      </c>
      <c r="G27" s="237">
        <f t="shared" si="0"/>
        <v>91.089450907608253</v>
      </c>
      <c r="H27" s="236">
        <f t="shared" si="0"/>
        <v>14.57431214521732</v>
      </c>
      <c r="I27" s="239">
        <f t="shared" si="0"/>
        <v>1.821789018152165</v>
      </c>
      <c r="K27" s="218">
        <f t="shared" si="1"/>
        <v>2040</v>
      </c>
      <c r="L27" s="219">
        <v>8784</v>
      </c>
      <c r="M27" s="228"/>
      <c r="N27" s="221">
        <f t="shared" si="2"/>
        <v>8784</v>
      </c>
      <c r="O27" s="222">
        <f t="shared" si="7"/>
        <v>10.36992838201369</v>
      </c>
      <c r="P27" s="221">
        <f t="shared" si="5"/>
        <v>2635.2</v>
      </c>
      <c r="Q27" s="222">
        <f t="shared" si="6"/>
        <v>5.5306284704073017</v>
      </c>
      <c r="R27" s="241">
        <f t="shared" si="3"/>
        <v>2283.84</v>
      </c>
      <c r="S27" s="222">
        <f t="shared" si="8"/>
        <v>0.79768679861643765</v>
      </c>
    </row>
    <row r="28" spans="1:19" ht="13.8" thickBot="1" x14ac:dyDescent="0.3">
      <c r="A28" s="230"/>
      <c r="B28" s="300">
        <f t="shared" si="4"/>
        <v>22</v>
      </c>
      <c r="C28" s="263">
        <f t="shared" si="9"/>
        <v>2041</v>
      </c>
      <c r="D28" s="293"/>
      <c r="E28" s="294">
        <f>E27</f>
        <v>91.089450907608253</v>
      </c>
      <c r="G28" s="264">
        <f>G27</f>
        <v>91.089450907608253</v>
      </c>
      <c r="H28" s="265">
        <f>H27</f>
        <v>14.57431214521732</v>
      </c>
      <c r="I28" s="266">
        <f>I27</f>
        <v>1.821789018152165</v>
      </c>
      <c r="J28" s="229"/>
      <c r="K28" s="216">
        <f t="shared" si="1"/>
        <v>2041</v>
      </c>
      <c r="L28" s="220">
        <v>8760</v>
      </c>
      <c r="M28" s="229"/>
      <c r="N28" s="223">
        <f t="shared" si="2"/>
        <v>8760</v>
      </c>
      <c r="O28" s="224">
        <f t="shared" si="7"/>
        <v>10.398339144704138</v>
      </c>
      <c r="P28" s="223">
        <f t="shared" si="5"/>
        <v>2628</v>
      </c>
      <c r="Q28" s="224">
        <f t="shared" si="6"/>
        <v>5.5457808771755399</v>
      </c>
      <c r="R28" s="242">
        <f t="shared" si="3"/>
        <v>2277.6</v>
      </c>
      <c r="S28" s="224">
        <f t="shared" si="8"/>
        <v>0.79987224190031836</v>
      </c>
    </row>
    <row r="29" spans="1:19" x14ac:dyDescent="0.25">
      <c r="B29" s="230"/>
      <c r="C29" s="230"/>
      <c r="D29" s="230"/>
      <c r="E29" s="230"/>
      <c r="G29" s="230"/>
      <c r="H29" s="230"/>
      <c r="I29" s="230"/>
    </row>
    <row r="30" spans="1:19" x14ac:dyDescent="0.25">
      <c r="B30" s="343" t="s">
        <v>136</v>
      </c>
      <c r="C30" s="343"/>
      <c r="D30" s="343"/>
      <c r="E30" s="343"/>
      <c r="F30" s="343"/>
      <c r="G30" s="343"/>
      <c r="H30" s="343"/>
      <c r="I30" s="343"/>
      <c r="J30" s="343"/>
      <c r="K30" s="343"/>
      <c r="L30" s="343"/>
      <c r="M30" s="343"/>
      <c r="N30" s="343"/>
      <c r="O30" s="343"/>
      <c r="P30" s="343"/>
      <c r="Q30" s="343"/>
      <c r="R30" s="343"/>
      <c r="S30" s="232"/>
    </row>
    <row r="31" spans="1:19" x14ac:dyDescent="0.25">
      <c r="C31" s="344" t="s">
        <v>137</v>
      </c>
      <c r="D31" s="344"/>
      <c r="E31" s="344"/>
      <c r="F31" s="344"/>
      <c r="G31" s="344"/>
      <c r="H31" s="344"/>
      <c r="I31" s="344"/>
      <c r="J31" s="344"/>
      <c r="K31" s="344"/>
      <c r="L31" s="344"/>
      <c r="M31" s="344"/>
      <c r="N31" s="344"/>
      <c r="O31" s="344"/>
      <c r="P31" s="344"/>
      <c r="Q31" s="344"/>
      <c r="R31" s="344"/>
    </row>
    <row r="32" spans="1:19" x14ac:dyDescent="0.25">
      <c r="C32" s="243"/>
      <c r="D32" s="342" t="s">
        <v>125</v>
      </c>
      <c r="E32" s="342"/>
      <c r="F32" s="342"/>
      <c r="G32" s="342"/>
      <c r="H32" s="342"/>
      <c r="I32" s="342"/>
      <c r="J32" s="342"/>
      <c r="K32" s="342"/>
      <c r="L32" s="342"/>
      <c r="M32" s="342"/>
      <c r="N32" s="342"/>
      <c r="O32" s="342"/>
      <c r="P32" s="342"/>
      <c r="Q32" s="342"/>
      <c r="R32" s="342"/>
    </row>
    <row r="33" spans="2:19" ht="1.5" customHeight="1" x14ac:dyDescent="0.25">
      <c r="C33" s="243"/>
      <c r="D33" s="342"/>
      <c r="E33" s="342"/>
      <c r="F33" s="342"/>
      <c r="G33" s="342"/>
      <c r="H33" s="342"/>
      <c r="I33" s="342"/>
      <c r="J33" s="342"/>
      <c r="K33" s="342"/>
      <c r="L33" s="342"/>
      <c r="M33" s="342"/>
      <c r="N33" s="342"/>
      <c r="O33" s="342"/>
      <c r="P33" s="342"/>
      <c r="Q33" s="342"/>
      <c r="R33" s="342"/>
    </row>
    <row r="34" spans="2:19" x14ac:dyDescent="0.25">
      <c r="C34" s="243"/>
      <c r="D34" s="342" t="s">
        <v>138</v>
      </c>
      <c r="E34" s="342"/>
      <c r="F34" s="342"/>
      <c r="G34" s="342"/>
      <c r="H34" s="342"/>
      <c r="I34" s="342"/>
      <c r="J34" s="342"/>
      <c r="K34" s="342"/>
      <c r="L34" s="342"/>
      <c r="M34" s="342"/>
      <c r="N34" s="342"/>
      <c r="O34" s="342"/>
      <c r="P34" s="342"/>
      <c r="Q34" s="342"/>
      <c r="R34" s="342"/>
    </row>
    <row r="35" spans="2:19" x14ac:dyDescent="0.25">
      <c r="C35" s="344" t="s">
        <v>139</v>
      </c>
      <c r="D35" s="344"/>
      <c r="E35" s="344"/>
      <c r="F35" s="344"/>
      <c r="G35" s="344"/>
      <c r="H35" s="344"/>
      <c r="I35" s="344"/>
      <c r="J35" s="344"/>
      <c r="K35" s="344"/>
      <c r="L35" s="344"/>
      <c r="M35" s="344"/>
      <c r="N35" s="344"/>
      <c r="O35" s="344"/>
      <c r="P35" s="344"/>
      <c r="Q35" s="344"/>
      <c r="R35" s="344"/>
    </row>
    <row r="36" spans="2:19" x14ac:dyDescent="0.25">
      <c r="C36" s="243"/>
      <c r="D36" s="342" t="s">
        <v>124</v>
      </c>
      <c r="E36" s="342"/>
      <c r="F36" s="342"/>
      <c r="G36" s="342"/>
      <c r="H36" s="342"/>
      <c r="I36" s="342"/>
      <c r="J36" s="342"/>
      <c r="K36" s="342"/>
      <c r="L36" s="342"/>
      <c r="M36" s="342"/>
      <c r="N36" s="342"/>
      <c r="O36" s="342"/>
      <c r="P36" s="342"/>
      <c r="Q36" s="342"/>
      <c r="R36" s="342"/>
    </row>
    <row r="37" spans="2:19" x14ac:dyDescent="0.25">
      <c r="C37" s="243"/>
      <c r="D37" s="342"/>
      <c r="E37" s="342"/>
      <c r="F37" s="342"/>
      <c r="G37" s="342"/>
      <c r="H37" s="342"/>
      <c r="I37" s="342"/>
      <c r="J37" s="342"/>
      <c r="K37" s="342"/>
      <c r="L37" s="342"/>
      <c r="M37" s="342"/>
      <c r="N37" s="342"/>
      <c r="O37" s="342"/>
      <c r="P37" s="342"/>
      <c r="Q37" s="342"/>
      <c r="R37" s="342"/>
    </row>
    <row r="38" spans="2:19" ht="12.75" customHeight="1" x14ac:dyDescent="0.25">
      <c r="C38" s="343" t="s">
        <v>101</v>
      </c>
      <c r="D38" s="343"/>
      <c r="E38" s="343"/>
      <c r="F38" s="343"/>
      <c r="G38" s="343"/>
      <c r="H38" s="343"/>
      <c r="I38" s="343"/>
      <c r="J38" s="343"/>
      <c r="K38" s="343"/>
      <c r="L38" s="343"/>
      <c r="M38" s="343"/>
      <c r="N38" s="343"/>
      <c r="O38" s="343"/>
      <c r="P38" s="343"/>
      <c r="Q38" s="343"/>
      <c r="R38" s="343"/>
      <c r="S38" s="343"/>
    </row>
    <row r="39" spans="2:19" x14ac:dyDescent="0.25">
      <c r="B39" s="244"/>
      <c r="D39" s="295" t="s">
        <v>140</v>
      </c>
      <c r="E39" s="244"/>
      <c r="F39" s="244"/>
      <c r="G39" s="244"/>
      <c r="H39" s="244"/>
      <c r="I39" s="244"/>
      <c r="J39" s="244"/>
      <c r="K39" s="244"/>
      <c r="L39" s="244"/>
      <c r="M39" s="244"/>
      <c r="N39" s="244"/>
      <c r="O39" s="244"/>
      <c r="P39" s="244"/>
      <c r="Q39" s="244"/>
      <c r="R39" s="244"/>
    </row>
    <row r="40" spans="2:19" x14ac:dyDescent="0.25">
      <c r="D40" s="296" t="s">
        <v>103</v>
      </c>
    </row>
    <row r="41" spans="2:19" x14ac:dyDescent="0.25">
      <c r="D41" s="295" t="s">
        <v>102</v>
      </c>
    </row>
    <row r="42" spans="2:19" x14ac:dyDescent="0.25">
      <c r="F42" s="227"/>
      <c r="J42" s="227"/>
      <c r="M42" s="227"/>
    </row>
    <row r="43" spans="2:19" x14ac:dyDescent="0.25">
      <c r="D43" s="233"/>
    </row>
    <row r="44" spans="2:19" x14ac:dyDescent="0.25">
      <c r="D44" s="233"/>
    </row>
    <row r="45" spans="2:19" x14ac:dyDescent="0.25">
      <c r="D45" s="233"/>
    </row>
    <row r="46" spans="2:19" x14ac:dyDescent="0.25">
      <c r="D46" s="233"/>
    </row>
    <row r="47" spans="2:19" x14ac:dyDescent="0.25">
      <c r="D47" s="233"/>
    </row>
    <row r="48" spans="2:19" x14ac:dyDescent="0.25">
      <c r="D48" s="233"/>
    </row>
    <row r="49" spans="4:4" x14ac:dyDescent="0.25">
      <c r="D49" s="233"/>
    </row>
    <row r="50" spans="4:4" x14ac:dyDescent="0.25">
      <c r="D50" s="233"/>
    </row>
  </sheetData>
  <mergeCells count="12">
    <mergeCell ref="D36:R37"/>
    <mergeCell ref="D34:R34"/>
    <mergeCell ref="B30:R30"/>
    <mergeCell ref="C38:S38"/>
    <mergeCell ref="C35:R35"/>
    <mergeCell ref="C31:R31"/>
    <mergeCell ref="D32:R33"/>
    <mergeCell ref="G3:I3"/>
    <mergeCell ref="N3:S3"/>
    <mergeCell ref="K4:K6"/>
    <mergeCell ref="L4:L6"/>
    <mergeCell ref="D3:E3"/>
  </mergeCells>
  <pageMargins left="0.75" right="0.5" top="0.76" bottom="0.79" header="0.5" footer="0.26"/>
  <pageSetup paperSize="5" scale="73" orientation="landscape" r:id="rId1"/>
  <headerFooter alignWithMargins="0">
    <oddFooter>&amp;L&amp;F&amp;C&amp;A&amp;RPSE Advice No. 2018-48 &amp;D
Page &amp;P of &amp;N</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workbookViewId="0">
      <selection activeCell="C29" sqref="C29"/>
    </sheetView>
  </sheetViews>
  <sheetFormatPr defaultColWidth="9.109375" defaultRowHeight="14.4" x14ac:dyDescent="0.3"/>
  <cols>
    <col min="1" max="1" width="2.6640625" style="76" customWidth="1"/>
    <col min="2" max="2" width="41.33203125" style="76" bestFit="1" customWidth="1"/>
    <col min="3" max="3" width="32.88671875" style="76" bestFit="1" customWidth="1"/>
    <col min="4" max="4" width="11.5546875" style="76" bestFit="1" customWidth="1"/>
    <col min="5" max="5" width="7.5546875" style="76" bestFit="1" customWidth="1"/>
    <col min="6" max="6" width="19.88671875" style="76" bestFit="1" customWidth="1"/>
    <col min="7" max="16384" width="9.109375" style="76"/>
  </cols>
  <sheetData>
    <row r="1" spans="2:6" ht="15" thickBot="1" x14ac:dyDescent="0.35"/>
    <row r="2" spans="2:6" x14ac:dyDescent="0.3">
      <c r="B2" s="77"/>
      <c r="C2" s="78"/>
      <c r="D2" s="78"/>
      <c r="E2" s="78"/>
      <c r="F2" s="79" t="s">
        <v>121</v>
      </c>
    </row>
    <row r="3" spans="2:6" x14ac:dyDescent="0.3">
      <c r="B3" s="80"/>
      <c r="C3" s="81"/>
      <c r="D3" s="81"/>
      <c r="E3" s="81"/>
      <c r="F3" s="82"/>
    </row>
    <row r="4" spans="2:6" x14ac:dyDescent="0.3">
      <c r="B4" s="345" t="s">
        <v>65</v>
      </c>
      <c r="C4" s="346"/>
      <c r="D4" s="346"/>
      <c r="E4" s="346"/>
      <c r="F4" s="348"/>
    </row>
    <row r="5" spans="2:6" x14ac:dyDescent="0.3">
      <c r="B5" s="345" t="s">
        <v>122</v>
      </c>
      <c r="C5" s="346"/>
      <c r="D5" s="346"/>
      <c r="E5" s="346"/>
      <c r="F5" s="348"/>
    </row>
    <row r="6" spans="2:6" x14ac:dyDescent="0.3">
      <c r="B6" s="345" t="s">
        <v>123</v>
      </c>
      <c r="C6" s="346"/>
      <c r="D6" s="346"/>
      <c r="E6" s="346"/>
      <c r="F6" s="347"/>
    </row>
    <row r="7" spans="2:6" x14ac:dyDescent="0.3">
      <c r="B7" s="345"/>
      <c r="C7" s="346"/>
      <c r="D7" s="346"/>
      <c r="E7" s="346"/>
      <c r="F7" s="347"/>
    </row>
    <row r="8" spans="2:6" x14ac:dyDescent="0.3">
      <c r="B8" s="84"/>
      <c r="C8" s="81"/>
      <c r="D8" s="81"/>
      <c r="E8" s="81"/>
      <c r="F8" s="85"/>
    </row>
    <row r="9" spans="2:6" x14ac:dyDescent="0.3">
      <c r="B9" s="84"/>
      <c r="C9" s="81"/>
      <c r="D9" s="81"/>
      <c r="E9" s="81"/>
      <c r="F9" s="85"/>
    </row>
    <row r="10" spans="2:6" x14ac:dyDescent="0.3">
      <c r="B10" s="83"/>
      <c r="C10" s="81"/>
      <c r="D10" s="81"/>
      <c r="E10" s="81"/>
      <c r="F10" s="86"/>
    </row>
    <row r="11" spans="2:6" x14ac:dyDescent="0.3">
      <c r="B11" s="84" t="s">
        <v>66</v>
      </c>
      <c r="C11" s="81"/>
      <c r="D11" s="87" t="s">
        <v>67</v>
      </c>
      <c r="E11" s="81"/>
      <c r="F11" s="88" t="s">
        <v>68</v>
      </c>
    </row>
    <row r="12" spans="2:6" ht="15" thickBot="1" x14ac:dyDescent="0.35">
      <c r="B12" s="89" t="s">
        <v>69</v>
      </c>
      <c r="C12" s="90" t="s">
        <v>70</v>
      </c>
      <c r="D12" s="91" t="s">
        <v>71</v>
      </c>
      <c r="E12" s="91" t="s">
        <v>72</v>
      </c>
      <c r="F12" s="92" t="s">
        <v>73</v>
      </c>
    </row>
    <row r="13" spans="2:6" x14ac:dyDescent="0.3">
      <c r="B13" s="83"/>
      <c r="C13" s="81"/>
      <c r="D13" s="81"/>
      <c r="E13" s="81"/>
      <c r="F13" s="86"/>
    </row>
    <row r="14" spans="2:6" x14ac:dyDescent="0.3">
      <c r="B14" s="93">
        <v>1</v>
      </c>
      <c r="C14" s="94" t="s">
        <v>74</v>
      </c>
      <c r="D14" s="95">
        <v>0.51500000000000001</v>
      </c>
      <c r="E14" s="95">
        <v>5.5E-2</v>
      </c>
      <c r="F14" s="96">
        <f>ROUND(D14*E14,4)</f>
        <v>2.8299999999999999E-2</v>
      </c>
    </row>
    <row r="15" spans="2:6" ht="15" thickBot="1" x14ac:dyDescent="0.35">
      <c r="B15" s="93">
        <v>2</v>
      </c>
      <c r="C15" s="94" t="s">
        <v>75</v>
      </c>
      <c r="D15" s="95">
        <v>0.48499999999999999</v>
      </c>
      <c r="E15" s="97">
        <v>9.4E-2</v>
      </c>
      <c r="F15" s="96">
        <f>ROUND(D15*E15,4)</f>
        <v>4.5600000000000002E-2</v>
      </c>
    </row>
    <row r="16" spans="2:6" x14ac:dyDescent="0.3">
      <c r="B16" s="93">
        <v>3</v>
      </c>
      <c r="C16" s="94" t="s">
        <v>76</v>
      </c>
      <c r="D16" s="98">
        <v>1</v>
      </c>
      <c r="E16" s="99"/>
      <c r="F16" s="109">
        <f>SUM(F14:F15)</f>
        <v>7.3899999999999993E-2</v>
      </c>
    </row>
    <row r="17" spans="2:7" x14ac:dyDescent="0.3">
      <c r="B17" s="93">
        <v>4</v>
      </c>
      <c r="C17" s="81"/>
      <c r="D17" s="81"/>
      <c r="E17" s="81"/>
      <c r="F17" s="86"/>
    </row>
    <row r="18" spans="2:7" x14ac:dyDescent="0.3">
      <c r="B18" s="93">
        <v>5</v>
      </c>
      <c r="C18" s="94" t="s">
        <v>77</v>
      </c>
      <c r="D18" s="100">
        <v>0.51500000000000001</v>
      </c>
      <c r="E18" s="100">
        <f>E14</f>
        <v>5.5E-2</v>
      </c>
      <c r="F18" s="101">
        <f>ROUND(D18*E18*0.79,4)</f>
        <v>2.24E-2</v>
      </c>
      <c r="G18" s="102"/>
    </row>
    <row r="19" spans="2:7" ht="15" thickBot="1" x14ac:dyDescent="0.35">
      <c r="B19" s="93">
        <v>6</v>
      </c>
      <c r="C19" s="94" t="s">
        <v>75</v>
      </c>
      <c r="D19" s="100">
        <v>0.48499999999999999</v>
      </c>
      <c r="E19" s="103">
        <f>E15</f>
        <v>9.4E-2</v>
      </c>
      <c r="F19" s="101">
        <f>ROUND(D19*E19,4)</f>
        <v>4.5600000000000002E-2</v>
      </c>
    </row>
    <row r="20" spans="2:7" x14ac:dyDescent="0.3">
      <c r="B20" s="93">
        <v>7</v>
      </c>
      <c r="C20" s="94" t="s">
        <v>78</v>
      </c>
      <c r="D20" s="104">
        <v>1</v>
      </c>
      <c r="E20" s="81"/>
      <c r="F20" s="105">
        <f>SUM(F18:F19)</f>
        <v>6.8000000000000005E-2</v>
      </c>
    </row>
    <row r="21" spans="2:7" ht="15" thickBot="1" x14ac:dyDescent="0.35">
      <c r="B21" s="106"/>
      <c r="C21" s="107"/>
      <c r="D21" s="107"/>
      <c r="E21" s="107"/>
      <c r="F21" s="108"/>
    </row>
  </sheetData>
  <mergeCells count="4">
    <mergeCell ref="B6:F6"/>
    <mergeCell ref="B7:F7"/>
    <mergeCell ref="B4:F4"/>
    <mergeCell ref="B5:F5"/>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topLeftCell="A7" workbookViewId="0">
      <selection activeCell="F5" sqref="F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29" ht="19.5" customHeight="1" x14ac:dyDescent="0.3">
      <c r="C2" s="215" t="s">
        <v>94</v>
      </c>
      <c r="D2" s="215"/>
      <c r="E2" s="215"/>
      <c r="F2" s="215"/>
      <c r="G2" s="215"/>
      <c r="H2" s="215"/>
      <c r="I2" s="215"/>
      <c r="J2" s="215"/>
      <c r="K2" s="215"/>
      <c r="L2" s="215"/>
    </row>
    <row r="3" spans="2:29" ht="15.6" x14ac:dyDescent="0.3">
      <c r="C3" s="42" t="s">
        <v>95</v>
      </c>
    </row>
    <row r="4" spans="2:29" s="111" customFormat="1" ht="45" x14ac:dyDescent="0.25">
      <c r="B4" s="110"/>
      <c r="C4" s="145" t="s">
        <v>0</v>
      </c>
      <c r="D4" s="145"/>
      <c r="E4" s="145" t="s">
        <v>1</v>
      </c>
      <c r="F4" s="145" t="s">
        <v>2</v>
      </c>
      <c r="G4" s="145" t="s">
        <v>3</v>
      </c>
      <c r="H4" s="145" t="s">
        <v>4</v>
      </c>
      <c r="I4" s="145" t="s">
        <v>5</v>
      </c>
      <c r="J4" s="145" t="s">
        <v>6</v>
      </c>
      <c r="K4" s="145" t="s">
        <v>7</v>
      </c>
      <c r="L4" s="146" t="s">
        <v>14</v>
      </c>
      <c r="M4" s="146"/>
    </row>
    <row r="5" spans="2:29" x14ac:dyDescent="0.25">
      <c r="C5" s="148"/>
      <c r="D5" s="149"/>
      <c r="E5" s="150">
        <v>5</v>
      </c>
      <c r="F5" s="304">
        <f>+'Capacity Delivered'!$G$5</f>
        <v>1</v>
      </c>
      <c r="G5" s="151" t="s">
        <v>8</v>
      </c>
      <c r="H5" s="152">
        <f>'Electric EES CE Std Energy'!D13</f>
        <v>2.1349745673655152E-2</v>
      </c>
      <c r="I5" s="153">
        <f>'Baseload Avoided Capacity Calcs'!X11</f>
        <v>1.4294429814872112E-2</v>
      </c>
      <c r="J5" s="153">
        <f>H5+I5</f>
        <v>3.564417548852726E-2</v>
      </c>
      <c r="K5" s="154">
        <f>J5</f>
        <v>3.564417548852726E-2</v>
      </c>
      <c r="L5" s="155">
        <f>K5*1000</f>
        <v>35.64417548852726</v>
      </c>
      <c r="M5" s="139"/>
    </row>
    <row r="6" spans="2:29" ht="15.6" x14ac:dyDescent="0.3">
      <c r="C6" s="147"/>
      <c r="D6" s="147"/>
      <c r="E6" s="114"/>
      <c r="F6" s="114"/>
      <c r="G6" s="114"/>
      <c r="H6" s="32">
        <f>H5*1000</f>
        <v>21.349745673655153</v>
      </c>
      <c r="I6" s="32">
        <f t="shared" ref="I6:K6" si="0">I5*1000</f>
        <v>14.294429814872112</v>
      </c>
      <c r="J6" s="32">
        <f t="shared" si="0"/>
        <v>35.64417548852726</v>
      </c>
      <c r="K6" s="32">
        <f t="shared" si="0"/>
        <v>35.64417548852726</v>
      </c>
      <c r="L6" s="116">
        <f>L5*(1-M6)</f>
        <v>34.574850223871444</v>
      </c>
      <c r="M6" s="245">
        <v>0.03</v>
      </c>
      <c r="N6" s="117" t="s">
        <v>41</v>
      </c>
    </row>
    <row r="7" spans="2:29" x14ac:dyDescent="0.25">
      <c r="C7" s="118"/>
      <c r="D7" s="115"/>
      <c r="H7" s="40"/>
      <c r="I7" s="113"/>
      <c r="J7" s="40"/>
      <c r="K7" s="113"/>
      <c r="L7" s="113"/>
      <c r="M7" s="114"/>
    </row>
    <row r="8" spans="2:29" ht="15.6" x14ac:dyDescent="0.3">
      <c r="C8" s="114"/>
      <c r="D8" s="114"/>
      <c r="E8" s="114"/>
      <c r="F8" s="114"/>
      <c r="G8" s="114"/>
      <c r="H8" s="119"/>
      <c r="I8" s="119"/>
      <c r="J8" s="119"/>
      <c r="K8" s="119"/>
      <c r="L8" s="119"/>
      <c r="M8" s="119"/>
      <c r="N8" s="119"/>
      <c r="O8" s="119"/>
      <c r="P8" s="119"/>
      <c r="S8" s="119"/>
      <c r="T8" s="119"/>
      <c r="U8" s="120"/>
      <c r="V8" s="120"/>
      <c r="X8" s="202" t="s">
        <v>84</v>
      </c>
      <c r="Y8" s="119"/>
      <c r="Z8" s="120"/>
      <c r="AA8" s="120"/>
      <c r="AB8" s="119"/>
      <c r="AC8" s="114"/>
    </row>
    <row r="9" spans="2:29" x14ac:dyDescent="0.25">
      <c r="C9" s="121" t="s">
        <v>9</v>
      </c>
      <c r="D9" s="121"/>
      <c r="E9" s="121"/>
      <c r="F9" s="122">
        <f>+L6</f>
        <v>34.574850223871444</v>
      </c>
      <c r="G9" s="122">
        <f t="shared" ref="G9:J9" si="1">F9</f>
        <v>34.574850223871444</v>
      </c>
      <c r="H9" s="122">
        <f t="shared" si="1"/>
        <v>34.574850223871444</v>
      </c>
      <c r="I9" s="122">
        <f t="shared" si="1"/>
        <v>34.574850223871444</v>
      </c>
      <c r="J9" s="122">
        <f t="shared" si="1"/>
        <v>34.574850223871444</v>
      </c>
      <c r="K9" s="119"/>
      <c r="L9" s="119"/>
      <c r="M9" s="119"/>
      <c r="N9" s="119"/>
      <c r="O9" s="120"/>
      <c r="P9" s="40"/>
      <c r="S9" s="40"/>
      <c r="T9" s="40"/>
      <c r="U9" s="40"/>
      <c r="X9" s="201">
        <f>NPV(Rate_of_Return,F9:J9)</f>
        <v>140.2955782932008</v>
      </c>
      <c r="Y9" s="201">
        <f>-PMT(Rate_of_Return,E5,X9)</f>
        <v>34.574850223871437</v>
      </c>
    </row>
    <row r="10" spans="2:29" x14ac:dyDescent="0.25">
      <c r="C10" s="114"/>
      <c r="D10" s="114"/>
      <c r="E10" s="114"/>
      <c r="F10" s="123"/>
      <c r="G10" s="123"/>
      <c r="H10" s="123"/>
      <c r="I10" s="123"/>
      <c r="J10" s="123"/>
      <c r="K10" s="119"/>
      <c r="L10" s="119"/>
      <c r="M10" s="119"/>
      <c r="N10" s="119"/>
      <c r="O10" s="120"/>
      <c r="P10" s="40"/>
      <c r="S10" s="40"/>
      <c r="T10" s="40"/>
      <c r="U10" s="40"/>
      <c r="X10" s="32"/>
      <c r="Y10" s="32"/>
    </row>
    <row r="11" spans="2:29" x14ac:dyDescent="0.25">
      <c r="C11" s="53" t="s">
        <v>63</v>
      </c>
      <c r="F11" s="210">
        <v>1</v>
      </c>
      <c r="G11" s="210">
        <v>2</v>
      </c>
      <c r="H11" s="210">
        <v>3</v>
      </c>
      <c r="I11" s="210">
        <v>4</v>
      </c>
      <c r="J11" s="210">
        <v>5</v>
      </c>
      <c r="K11" s="210">
        <v>6</v>
      </c>
      <c r="L11" s="210">
        <v>7</v>
      </c>
      <c r="M11" s="119"/>
      <c r="N11" s="119"/>
      <c r="O11" s="120"/>
      <c r="P11" s="40"/>
      <c r="S11" s="40"/>
      <c r="T11" s="40"/>
      <c r="U11" s="40"/>
      <c r="X11" s="40"/>
      <c r="Y11" s="40"/>
    </row>
    <row r="12" spans="2:29" ht="15.6" x14ac:dyDescent="0.3">
      <c r="C12" s="114"/>
      <c r="D12" s="112"/>
      <c r="E12" s="114"/>
      <c r="F12" s="124">
        <f>'Energy Prices'!$C$6</f>
        <v>2020</v>
      </c>
      <c r="G12" s="124">
        <f>F12+1</f>
        <v>2021</v>
      </c>
      <c r="H12" s="124">
        <f>G12+1</f>
        <v>2022</v>
      </c>
      <c r="I12" s="124">
        <f t="shared" ref="I12:L12" si="2">H12+1</f>
        <v>2023</v>
      </c>
      <c r="J12" s="124">
        <f t="shared" si="2"/>
        <v>2024</v>
      </c>
      <c r="K12" s="124">
        <f t="shared" si="2"/>
        <v>2025</v>
      </c>
      <c r="L12" s="124">
        <f t="shared" si="2"/>
        <v>2026</v>
      </c>
      <c r="M12" s="119"/>
      <c r="N12" s="119"/>
      <c r="O12" s="120"/>
      <c r="P12" s="208"/>
      <c r="S12" s="120"/>
      <c r="T12" s="120"/>
      <c r="U12" s="120"/>
      <c r="X12" s="202" t="s">
        <v>84</v>
      </c>
      <c r="Y12" s="32"/>
    </row>
    <row r="13" spans="2:29" ht="52.95" customHeight="1" x14ac:dyDescent="0.25">
      <c r="B13" s="114"/>
      <c r="C13" s="211" t="s">
        <v>104</v>
      </c>
      <c r="D13" s="114"/>
      <c r="F13" s="156">
        <f>F$9*F$20</f>
        <v>33.004636178739844</v>
      </c>
      <c r="G13" s="157">
        <f t="shared" ref="G13:J13" si="3">G$9*G$20</f>
        <v>33.829752083208334</v>
      </c>
      <c r="H13" s="158">
        <f t="shared" si="3"/>
        <v>34.675495885288534</v>
      </c>
      <c r="I13" s="158">
        <f t="shared" si="3"/>
        <v>35.542383282420744</v>
      </c>
      <c r="J13" s="158">
        <f t="shared" si="3"/>
        <v>36.430942864481267</v>
      </c>
      <c r="K13" s="207">
        <f>J13*1.025</f>
        <v>37.341716436093293</v>
      </c>
      <c r="L13" s="207">
        <f>K13*1.025</f>
        <v>38.275259346995625</v>
      </c>
      <c r="M13" s="119"/>
      <c r="N13" s="119"/>
      <c r="O13" s="120"/>
      <c r="P13" s="126"/>
      <c r="S13" s="126"/>
      <c r="T13" s="126"/>
      <c r="U13" s="126"/>
      <c r="X13" s="201">
        <f>NPV(Rate_of_Return,F13:J13)</f>
        <v>140.29557829320086</v>
      </c>
      <c r="Y13" s="201">
        <f>-PMT(Rate_of_Return,E5,X13)</f>
        <v>34.574850223871451</v>
      </c>
    </row>
    <row r="14" spans="2:29" x14ac:dyDescent="0.25">
      <c r="C14" s="125"/>
      <c r="E14" s="128"/>
      <c r="F14" s="126"/>
      <c r="G14" s="126"/>
      <c r="H14" s="126"/>
      <c r="I14" s="126"/>
      <c r="J14" s="126"/>
      <c r="K14" s="119"/>
      <c r="L14" s="119"/>
      <c r="M14" s="119"/>
      <c r="N14" s="119"/>
      <c r="O14" s="120"/>
      <c r="P14" s="126"/>
      <c r="S14" s="120"/>
      <c r="T14" s="120"/>
      <c r="U14" s="120"/>
      <c r="V14" s="119"/>
      <c r="W14" s="114"/>
      <c r="X14" s="120"/>
      <c r="Y14" s="120"/>
    </row>
    <row r="15" spans="2:29" x14ac:dyDescent="0.25">
      <c r="C15" s="129"/>
      <c r="E15" s="128"/>
      <c r="F15" s="126"/>
      <c r="G15" s="126"/>
      <c r="H15" s="126"/>
      <c r="I15" s="126"/>
      <c r="J15" s="126"/>
      <c r="K15" s="119"/>
      <c r="L15" s="119"/>
      <c r="M15" s="119"/>
      <c r="N15" s="119"/>
      <c r="O15" s="120"/>
      <c r="P15" s="126"/>
      <c r="S15" s="120"/>
      <c r="T15" s="120"/>
      <c r="U15" s="120"/>
      <c r="V15" s="120"/>
      <c r="X15" s="120"/>
      <c r="Y15" s="120"/>
    </row>
    <row r="16" spans="2:29" x14ac:dyDescent="0.25">
      <c r="C16" s="53" t="s">
        <v>10</v>
      </c>
      <c r="K16" s="119"/>
      <c r="L16" s="119"/>
      <c r="M16" s="119"/>
      <c r="N16" s="119"/>
      <c r="O16" s="120"/>
    </row>
    <row r="17" spans="2:25" x14ac:dyDescent="0.25">
      <c r="K17" s="119"/>
      <c r="L17" s="119"/>
      <c r="M17" s="119"/>
      <c r="N17" s="119"/>
      <c r="O17" s="120"/>
    </row>
    <row r="18" spans="2:25" ht="15.6" x14ac:dyDescent="0.3">
      <c r="C18" s="114"/>
      <c r="D18" s="114"/>
      <c r="E18" s="114"/>
      <c r="F18" s="114"/>
      <c r="G18" s="114"/>
      <c r="H18" s="114"/>
      <c r="I18" s="114"/>
      <c r="J18" s="114"/>
      <c r="K18" s="119"/>
      <c r="L18" s="119"/>
      <c r="M18" s="119"/>
      <c r="N18" s="119"/>
      <c r="O18" s="120"/>
      <c r="X18" s="202" t="s">
        <v>84</v>
      </c>
      <c r="Y18" s="114"/>
    </row>
    <row r="19" spans="2:25" x14ac:dyDescent="0.25">
      <c r="C19" s="121" t="s">
        <v>11</v>
      </c>
      <c r="D19" s="121"/>
      <c r="E19" s="121"/>
      <c r="F19" s="140">
        <v>100</v>
      </c>
      <c r="G19" s="140">
        <f t="shared" ref="G19:J19" si="4">F19*1.025</f>
        <v>102.49999999999999</v>
      </c>
      <c r="H19" s="140">
        <f t="shared" si="4"/>
        <v>105.06249999999997</v>
      </c>
      <c r="I19" s="140">
        <f t="shared" si="4"/>
        <v>107.68906249999996</v>
      </c>
      <c r="J19" s="140">
        <f t="shared" si="4"/>
        <v>110.38128906249996</v>
      </c>
      <c r="K19" s="119"/>
      <c r="L19" s="119"/>
      <c r="M19" s="119"/>
      <c r="N19" s="119"/>
      <c r="O19" s="120"/>
      <c r="P19" s="130"/>
      <c r="S19" s="120"/>
      <c r="T19" s="120"/>
      <c r="U19" s="120"/>
      <c r="X19" s="160">
        <f>NPV(Rate_of_Return,F19:J19)</f>
        <v>425.07839666347598</v>
      </c>
      <c r="Y19" s="160">
        <f>-PMT(Rate_of_Return,E5,X19)</f>
        <v>104.75755598888578</v>
      </c>
    </row>
    <row r="20" spans="2:25" x14ac:dyDescent="0.25">
      <c r="C20" s="143" t="s">
        <v>12</v>
      </c>
      <c r="D20" s="143"/>
      <c r="E20" s="143"/>
      <c r="F20" s="144">
        <f>F19/$Y$19</f>
        <v>0.95458508034121625</v>
      </c>
      <c r="G20" s="144">
        <f>G19/$Y$19</f>
        <v>0.97844970734974657</v>
      </c>
      <c r="H20" s="144">
        <f>H19/$Y$19</f>
        <v>1.0029109500334901</v>
      </c>
      <c r="I20" s="144">
        <f>I19/$Y$19</f>
        <v>1.0279837237843272</v>
      </c>
      <c r="J20" s="144">
        <f>J19/$Y$19</f>
        <v>1.0536833168789355</v>
      </c>
      <c r="K20" s="119"/>
      <c r="L20" s="119"/>
      <c r="M20" s="119"/>
      <c r="N20" s="119"/>
      <c r="O20" s="120"/>
      <c r="P20" s="131"/>
      <c r="S20" s="120"/>
      <c r="T20" s="120"/>
      <c r="U20" s="120"/>
      <c r="X20" s="159">
        <f>NPV(Rate_of_Return,F20:J20)</f>
        <v>4.0577349543031964</v>
      </c>
      <c r="Y20" s="159">
        <f>-PMT(Rate_of_Return,E5,X20)</f>
        <v>1</v>
      </c>
    </row>
    <row r="21" spans="2:25" x14ac:dyDescent="0.25">
      <c r="C21" s="114"/>
      <c r="D21" s="114"/>
      <c r="E21" s="141"/>
      <c r="F21" s="141"/>
      <c r="G21" s="141"/>
      <c r="H21" s="141"/>
      <c r="I21" s="141"/>
      <c r="J21" s="141"/>
      <c r="K21" s="141"/>
      <c r="L21" s="141"/>
      <c r="M21" s="142"/>
      <c r="N21" s="142"/>
      <c r="O21" s="142"/>
      <c r="P21" s="119"/>
      <c r="S21" s="119"/>
      <c r="T21" s="119"/>
      <c r="U21" s="120"/>
      <c r="W21" s="114"/>
      <c r="X21" s="119"/>
      <c r="Y21" s="119"/>
    </row>
    <row r="22" spans="2:25" x14ac:dyDescent="0.25">
      <c r="B22" s="132" t="s">
        <v>13</v>
      </c>
      <c r="C22" s="133"/>
      <c r="D22" s="134"/>
      <c r="E22" s="134"/>
      <c r="F22" s="134"/>
      <c r="G22" s="134"/>
      <c r="H22" s="134"/>
      <c r="I22" s="134"/>
      <c r="J22" s="134"/>
      <c r="K22" s="134"/>
      <c r="L22" s="134"/>
      <c r="M22" s="134"/>
      <c r="N22" s="134"/>
      <c r="O22" s="134"/>
      <c r="Y22" s="129"/>
    </row>
    <row r="23" spans="2:25" x14ac:dyDescent="0.25">
      <c r="B23" s="135">
        <v>1</v>
      </c>
      <c r="C23" s="301" t="s">
        <v>141</v>
      </c>
      <c r="D23" s="134"/>
      <c r="E23" s="134"/>
      <c r="F23" s="134"/>
      <c r="G23" s="134"/>
      <c r="H23" s="134"/>
      <c r="I23" s="134"/>
      <c r="J23" s="134"/>
      <c r="K23" s="134"/>
      <c r="L23" s="134"/>
      <c r="M23" s="134"/>
      <c r="N23" s="134"/>
      <c r="O23" s="134"/>
      <c r="Y23" s="125"/>
    </row>
    <row r="24" spans="2:25" x14ac:dyDescent="0.25">
      <c r="B24" s="135">
        <v>2</v>
      </c>
      <c r="C24" s="134" t="s">
        <v>119</v>
      </c>
      <c r="D24" s="134"/>
      <c r="E24" s="134"/>
      <c r="F24" s="134"/>
      <c r="G24" s="134"/>
      <c r="H24" s="134"/>
      <c r="I24" s="134"/>
      <c r="J24" s="134"/>
      <c r="K24" s="134"/>
      <c r="L24" s="134"/>
      <c r="M24" s="134"/>
      <c r="N24" s="134"/>
      <c r="O24" s="134"/>
      <c r="Y24" s="126"/>
    </row>
    <row r="25" spans="2:25" x14ac:dyDescent="0.25">
      <c r="B25" s="135">
        <v>3</v>
      </c>
      <c r="C25" s="134" t="s">
        <v>49</v>
      </c>
      <c r="D25" s="134"/>
      <c r="E25" s="134"/>
      <c r="F25" s="134"/>
      <c r="G25" s="134"/>
      <c r="H25" s="134"/>
      <c r="I25" s="134"/>
      <c r="J25" s="134"/>
      <c r="K25" s="134"/>
      <c r="L25" s="134"/>
      <c r="M25" s="134"/>
      <c r="N25" s="134"/>
      <c r="O25" s="134"/>
      <c r="Y25" s="136"/>
    </row>
    <row r="26" spans="2:25" x14ac:dyDescent="0.25">
      <c r="B26" s="135">
        <v>4</v>
      </c>
      <c r="C26" s="134" t="s">
        <v>120</v>
      </c>
      <c r="D26" s="134"/>
      <c r="E26" s="134"/>
      <c r="F26" s="134"/>
      <c r="G26" s="134"/>
      <c r="H26" s="134"/>
      <c r="I26" s="134"/>
      <c r="J26" s="134"/>
      <c r="K26" s="134"/>
      <c r="L26" s="134"/>
      <c r="M26" s="134"/>
      <c r="N26" s="134"/>
      <c r="O26" s="134"/>
      <c r="Y26" s="136"/>
    </row>
    <row r="27" spans="2:25" x14ac:dyDescent="0.25">
      <c r="B27" s="135">
        <v>5</v>
      </c>
      <c r="C27" s="134" t="s">
        <v>89</v>
      </c>
      <c r="D27" s="134"/>
      <c r="E27" s="134"/>
      <c r="F27" s="134"/>
      <c r="G27" s="134"/>
      <c r="H27" s="134"/>
      <c r="I27" s="134"/>
      <c r="J27" s="134"/>
      <c r="K27" s="134"/>
      <c r="L27" s="134"/>
      <c r="M27" s="134"/>
      <c r="N27" s="134"/>
      <c r="O27" s="134"/>
      <c r="Y27" s="125"/>
    </row>
    <row r="28" spans="2:25" x14ac:dyDescent="0.25">
      <c r="B28" s="135">
        <v>6</v>
      </c>
      <c r="C28" s="134" t="s">
        <v>90</v>
      </c>
      <c r="D28" s="134"/>
      <c r="E28" s="134"/>
      <c r="F28" s="134"/>
      <c r="G28" s="134"/>
      <c r="H28" s="134"/>
      <c r="I28" s="134"/>
      <c r="J28" s="134"/>
      <c r="K28" s="134"/>
      <c r="L28" s="134"/>
      <c r="M28" s="134"/>
      <c r="N28" s="134"/>
      <c r="O28" s="134"/>
      <c r="Y28" s="126"/>
    </row>
    <row r="29" spans="2:25" x14ac:dyDescent="0.25">
      <c r="B29" s="135">
        <v>7</v>
      </c>
      <c r="C29" s="134" t="s">
        <v>91</v>
      </c>
      <c r="D29" s="134"/>
      <c r="E29" s="134"/>
      <c r="F29" s="134"/>
      <c r="G29" s="134"/>
      <c r="H29" s="134"/>
      <c r="I29" s="134"/>
      <c r="J29" s="134"/>
      <c r="K29" s="134"/>
      <c r="L29" s="134"/>
      <c r="M29" s="134"/>
      <c r="N29" s="134"/>
      <c r="O29" s="134"/>
      <c r="P29" s="134"/>
      <c r="Q29" s="134"/>
    </row>
    <row r="30" spans="2:25" x14ac:dyDescent="0.25">
      <c r="B30" s="135">
        <v>8</v>
      </c>
      <c r="C30" s="134" t="s">
        <v>58</v>
      </c>
      <c r="D30" s="134"/>
      <c r="E30" s="134"/>
      <c r="F30" s="134"/>
      <c r="G30" s="134"/>
      <c r="H30" s="134"/>
      <c r="I30" s="134"/>
      <c r="J30" s="134"/>
      <c r="K30" s="134"/>
      <c r="L30" s="134"/>
      <c r="M30" s="134"/>
      <c r="N30" s="134"/>
      <c r="O30" s="134"/>
      <c r="P30" s="134"/>
      <c r="Q30" s="134"/>
    </row>
    <row r="31" spans="2:25" x14ac:dyDescent="0.25">
      <c r="B31" s="135">
        <v>9</v>
      </c>
      <c r="C31" s="134" t="s">
        <v>92</v>
      </c>
      <c r="D31" s="134"/>
      <c r="E31" s="134"/>
      <c r="F31" s="134"/>
      <c r="G31" s="134"/>
      <c r="H31" s="134"/>
      <c r="I31" s="134"/>
      <c r="J31" s="134"/>
      <c r="K31" s="134"/>
      <c r="L31" s="134"/>
      <c r="M31" s="134"/>
      <c r="N31" s="134"/>
      <c r="O31" s="134"/>
      <c r="P31" s="134"/>
      <c r="Q31" s="134"/>
    </row>
    <row r="32" spans="2:25" x14ac:dyDescent="0.25">
      <c r="B32" s="135">
        <v>10</v>
      </c>
      <c r="C32" s="53" t="s">
        <v>93</v>
      </c>
    </row>
    <row r="33" spans="2:20" x14ac:dyDescent="0.25">
      <c r="B33" s="135">
        <v>11</v>
      </c>
      <c r="C33" s="53" t="s">
        <v>115</v>
      </c>
    </row>
    <row r="34" spans="2:20" ht="15.6" x14ac:dyDescent="0.3">
      <c r="B34" s="137"/>
      <c r="C34" s="5"/>
      <c r="D34" s="5"/>
      <c r="E34" s="5"/>
      <c r="F34" s="5"/>
    </row>
    <row r="35" spans="2:20" ht="15.6" x14ac:dyDescent="0.3">
      <c r="B35" s="137"/>
      <c r="C35" s="5"/>
      <c r="D35" s="5"/>
      <c r="E35" s="5"/>
      <c r="F35" s="5"/>
    </row>
    <row r="37" spans="2:20" x14ac:dyDescent="0.25">
      <c r="F37" s="120"/>
      <c r="G37" s="138"/>
      <c r="H37" s="138"/>
      <c r="I37" s="138"/>
      <c r="J37" s="138"/>
      <c r="K37" s="138"/>
      <c r="L37" s="138"/>
      <c r="M37" s="138"/>
      <c r="N37" s="138"/>
      <c r="O37" s="138"/>
      <c r="P37" s="138"/>
      <c r="Q37" s="138"/>
      <c r="R37" s="138"/>
      <c r="S37" s="138"/>
      <c r="T37" s="138"/>
    </row>
    <row r="38" spans="2:20" x14ac:dyDescent="0.25">
      <c r="G38" s="138"/>
      <c r="H38" s="138"/>
      <c r="I38" s="138"/>
      <c r="J38" s="138"/>
      <c r="K38" s="138"/>
      <c r="L38" s="138"/>
      <c r="M38" s="138"/>
      <c r="N38" s="138"/>
      <c r="O38" s="138"/>
      <c r="P38" s="138"/>
      <c r="Q38" s="138"/>
      <c r="R38" s="138"/>
      <c r="S38" s="138"/>
      <c r="T38" s="138"/>
    </row>
    <row r="39" spans="2:20" x14ac:dyDescent="0.25">
      <c r="F39" s="120"/>
      <c r="G39" s="120"/>
      <c r="H39" s="120"/>
      <c r="I39" s="120"/>
      <c r="J39" s="120"/>
      <c r="K39" s="120"/>
      <c r="L39" s="120"/>
      <c r="M39" s="120"/>
      <c r="N39" s="120"/>
      <c r="O39" s="120"/>
      <c r="P39" s="120"/>
      <c r="Q39" s="120"/>
      <c r="R39" s="120"/>
      <c r="S39" s="120"/>
      <c r="T39" s="120"/>
    </row>
    <row r="40" spans="2:20" x14ac:dyDescent="0.25">
      <c r="D40" s="130"/>
    </row>
  </sheetData>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election activeCell="F5" sqref="F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15" t="s">
        <v>94</v>
      </c>
      <c r="D2" s="215"/>
      <c r="E2" s="215"/>
      <c r="F2" s="215"/>
      <c r="G2" s="215"/>
      <c r="H2" s="215"/>
      <c r="I2" s="215"/>
      <c r="J2" s="215"/>
      <c r="K2" s="215"/>
      <c r="L2" s="215"/>
    </row>
    <row r="3" spans="2:30" ht="15.6" x14ac:dyDescent="0.3">
      <c r="C3" s="42" t="s">
        <v>95</v>
      </c>
    </row>
    <row r="4" spans="2:30" s="111" customFormat="1" ht="45" x14ac:dyDescent="0.25">
      <c r="B4" s="110"/>
      <c r="C4" s="145" t="s">
        <v>0</v>
      </c>
      <c r="D4" s="145"/>
      <c r="E4" s="145" t="s">
        <v>1</v>
      </c>
      <c r="F4" s="145" t="s">
        <v>2</v>
      </c>
      <c r="G4" s="145" t="s">
        <v>3</v>
      </c>
      <c r="H4" s="145" t="s">
        <v>4</v>
      </c>
      <c r="I4" s="145" t="s">
        <v>5</v>
      </c>
      <c r="J4" s="145" t="s">
        <v>6</v>
      </c>
      <c r="K4" s="145" t="s">
        <v>7</v>
      </c>
      <c r="L4" s="146" t="s">
        <v>14</v>
      </c>
      <c r="M4" s="146"/>
    </row>
    <row r="5" spans="2:30" x14ac:dyDescent="0.25">
      <c r="C5" s="148"/>
      <c r="D5" s="149"/>
      <c r="E5" s="150">
        <v>10</v>
      </c>
      <c r="F5" s="304">
        <f>+'Capacity Delivered'!$G$5</f>
        <v>1</v>
      </c>
      <c r="G5" s="151" t="s">
        <v>8</v>
      </c>
      <c r="H5" s="152">
        <f>'Electric EES CE Std Energy'!D18</f>
        <v>2.2001125877428761E-2</v>
      </c>
      <c r="I5" s="153">
        <f>'Baseload Avoided Capacity Calcs'!X16</f>
        <v>1.4042931600861083E-2</v>
      </c>
      <c r="J5" s="153">
        <f>H5+I5</f>
        <v>3.6044057478289843E-2</v>
      </c>
      <c r="K5" s="154">
        <f>J5</f>
        <v>3.6044057478289843E-2</v>
      </c>
      <c r="L5" s="155">
        <f>K5*1000</f>
        <v>36.044057478289844</v>
      </c>
      <c r="M5" s="139"/>
    </row>
    <row r="6" spans="2:30" ht="15.6" x14ac:dyDescent="0.3">
      <c r="C6" s="147"/>
      <c r="D6" s="147"/>
      <c r="E6" s="114"/>
      <c r="F6" s="114"/>
      <c r="G6" s="114"/>
      <c r="H6" s="32">
        <f>H5*1000</f>
        <v>22.001125877428763</v>
      </c>
      <c r="I6" s="32">
        <f t="shared" ref="I6:K6" si="0">I5*1000</f>
        <v>14.042931600861083</v>
      </c>
      <c r="J6" s="32">
        <f t="shared" si="0"/>
        <v>36.044057478289844</v>
      </c>
      <c r="K6" s="32">
        <f t="shared" si="0"/>
        <v>36.044057478289844</v>
      </c>
      <c r="L6" s="116">
        <f>L5*(1-M6)</f>
        <v>34.962735753941146</v>
      </c>
      <c r="M6" s="245">
        <v>0.03</v>
      </c>
      <c r="N6" s="117" t="s">
        <v>41</v>
      </c>
    </row>
    <row r="7" spans="2:30" x14ac:dyDescent="0.25">
      <c r="C7" s="118"/>
      <c r="D7" s="115"/>
      <c r="H7" s="40"/>
      <c r="I7" s="113"/>
      <c r="J7" s="40"/>
      <c r="K7" s="113"/>
      <c r="L7" s="113"/>
      <c r="M7" s="114"/>
    </row>
    <row r="8" spans="2:30" ht="15.6" x14ac:dyDescent="0.3">
      <c r="C8" s="114"/>
      <c r="D8" s="114"/>
      <c r="E8" s="114"/>
      <c r="F8" s="114"/>
      <c r="G8" s="114"/>
      <c r="H8" s="119"/>
      <c r="I8" s="119"/>
      <c r="J8" s="119"/>
      <c r="K8" s="119"/>
      <c r="L8" s="119"/>
      <c r="M8" s="119"/>
      <c r="N8" s="119"/>
      <c r="O8" s="119"/>
      <c r="P8" s="119"/>
      <c r="Q8" s="119"/>
      <c r="R8" s="119"/>
      <c r="U8" s="120"/>
      <c r="V8" s="120"/>
      <c r="X8" s="202" t="s">
        <v>84</v>
      </c>
      <c r="Y8" s="120"/>
      <c r="Z8" s="120"/>
      <c r="AA8" s="120"/>
      <c r="AB8" s="119"/>
      <c r="AC8" s="114"/>
    </row>
    <row r="9" spans="2:30" x14ac:dyDescent="0.25">
      <c r="C9" s="121" t="s">
        <v>9</v>
      </c>
      <c r="D9" s="121"/>
      <c r="E9" s="121"/>
      <c r="F9" s="122">
        <f>+L6</f>
        <v>34.962735753941146</v>
      </c>
      <c r="G9" s="122">
        <f t="shared" ref="G9:O9" si="1">F9</f>
        <v>34.962735753941146</v>
      </c>
      <c r="H9" s="122">
        <f t="shared" si="1"/>
        <v>34.962735753941146</v>
      </c>
      <c r="I9" s="122">
        <f t="shared" si="1"/>
        <v>34.962735753941146</v>
      </c>
      <c r="J9" s="122">
        <f t="shared" si="1"/>
        <v>34.962735753941146</v>
      </c>
      <c r="K9" s="122">
        <f t="shared" si="1"/>
        <v>34.962735753941146</v>
      </c>
      <c r="L9" s="122">
        <f t="shared" si="1"/>
        <v>34.962735753941146</v>
      </c>
      <c r="M9" s="122">
        <f t="shared" si="1"/>
        <v>34.962735753941146</v>
      </c>
      <c r="N9" s="122">
        <f t="shared" si="1"/>
        <v>34.962735753941146</v>
      </c>
      <c r="O9" s="122">
        <f t="shared" si="1"/>
        <v>34.962735753941146</v>
      </c>
      <c r="P9" s="119"/>
      <c r="Q9" s="119"/>
      <c r="R9" s="119"/>
      <c r="U9" s="120"/>
      <c r="V9" s="40"/>
      <c r="X9" s="201">
        <f>NPV(Rate_of_Return,F9:O9)</f>
        <v>241.19709897515824</v>
      </c>
      <c r="Y9" s="201">
        <f>-PMT(Rate_of_Return,10,X9)</f>
        <v>34.962735753941139</v>
      </c>
      <c r="Z9" s="40"/>
      <c r="AA9" s="40"/>
    </row>
    <row r="10" spans="2:30" x14ac:dyDescent="0.25">
      <c r="C10" s="114"/>
      <c r="D10" s="114"/>
      <c r="E10" s="114"/>
      <c r="F10" s="123"/>
      <c r="G10" s="123"/>
      <c r="H10" s="123"/>
      <c r="I10" s="123"/>
      <c r="J10" s="123"/>
      <c r="K10" s="123"/>
      <c r="L10" s="123"/>
      <c r="M10" s="123"/>
      <c r="N10" s="123"/>
      <c r="O10" s="123"/>
      <c r="P10" s="119"/>
      <c r="Q10" s="119"/>
      <c r="R10" s="119"/>
      <c r="U10" s="120"/>
      <c r="V10" s="40"/>
      <c r="X10" s="32"/>
      <c r="Y10" s="32"/>
      <c r="Z10" s="40"/>
      <c r="AA10" s="40"/>
    </row>
    <row r="11" spans="2:30" x14ac:dyDescent="0.25">
      <c r="C11" s="53" t="s">
        <v>63</v>
      </c>
      <c r="F11" s="210">
        <v>1</v>
      </c>
      <c r="G11" s="210">
        <v>2</v>
      </c>
      <c r="H11" s="210">
        <v>3</v>
      </c>
      <c r="I11" s="210">
        <v>4</v>
      </c>
      <c r="J11" s="210">
        <v>5</v>
      </c>
      <c r="K11" s="210">
        <v>6</v>
      </c>
      <c r="L11" s="210">
        <v>7</v>
      </c>
      <c r="M11" s="210">
        <v>8</v>
      </c>
      <c r="N11" s="210">
        <v>9</v>
      </c>
      <c r="O11" s="210">
        <v>10</v>
      </c>
      <c r="P11" s="210">
        <v>11</v>
      </c>
      <c r="Q11" s="210">
        <v>12</v>
      </c>
      <c r="R11" s="119"/>
      <c r="U11" s="120"/>
      <c r="V11" s="40"/>
      <c r="X11" s="40"/>
      <c r="Y11" s="40"/>
      <c r="Z11" s="40"/>
      <c r="AA11" s="40"/>
    </row>
    <row r="12" spans="2:30" ht="15.6" x14ac:dyDescent="0.3">
      <c r="C12" s="114"/>
      <c r="D12" s="112"/>
      <c r="E12" s="114"/>
      <c r="F12" s="124">
        <f>'Energy Prices'!$C$6</f>
        <v>2020</v>
      </c>
      <c r="G12" s="124">
        <f>F12+1</f>
        <v>2021</v>
      </c>
      <c r="H12" s="124">
        <f>G12+1</f>
        <v>2022</v>
      </c>
      <c r="I12" s="124">
        <f t="shared" ref="I12:O12" si="2">H12+1</f>
        <v>2023</v>
      </c>
      <c r="J12" s="124">
        <f t="shared" si="2"/>
        <v>2024</v>
      </c>
      <c r="K12" s="124">
        <f t="shared" si="2"/>
        <v>2025</v>
      </c>
      <c r="L12" s="124">
        <f t="shared" si="2"/>
        <v>2026</v>
      </c>
      <c r="M12" s="124">
        <f t="shared" si="2"/>
        <v>2027</v>
      </c>
      <c r="N12" s="124">
        <f t="shared" si="2"/>
        <v>2028</v>
      </c>
      <c r="O12" s="124">
        <f t="shared" si="2"/>
        <v>2029</v>
      </c>
      <c r="P12" s="124">
        <f t="shared" ref="P12:Q12" si="3">O12+1</f>
        <v>2030</v>
      </c>
      <c r="Q12" s="124">
        <f t="shared" si="3"/>
        <v>2031</v>
      </c>
      <c r="R12" s="119"/>
      <c r="U12" s="120"/>
      <c r="V12" s="208"/>
      <c r="X12" s="202" t="s">
        <v>84</v>
      </c>
      <c r="Y12" s="32"/>
      <c r="Z12" s="120"/>
      <c r="AA12" s="120"/>
    </row>
    <row r="13" spans="2:30" ht="52.95" customHeight="1" x14ac:dyDescent="0.25">
      <c r="B13" s="114"/>
      <c r="C13" s="211" t="s">
        <v>104</v>
      </c>
      <c r="D13" s="114"/>
      <c r="F13" s="156">
        <f>F$9*F$20</f>
        <v>31.661531720737727</v>
      </c>
      <c r="G13" s="157">
        <f t="shared" ref="G13:O13" si="4">G$9*G$20</f>
        <v>32.453070013756168</v>
      </c>
      <c r="H13" s="158">
        <f t="shared" si="4"/>
        <v>33.264396764100063</v>
      </c>
      <c r="I13" s="158">
        <f t="shared" si="4"/>
        <v>34.096006683202567</v>
      </c>
      <c r="J13" s="158">
        <f t="shared" si="4"/>
        <v>34.94840685028263</v>
      </c>
      <c r="K13" s="158">
        <f t="shared" si="4"/>
        <v>35.82211702153969</v>
      </c>
      <c r="L13" s="158">
        <f t="shared" si="4"/>
        <v>36.717669947078178</v>
      </c>
      <c r="M13" s="158">
        <f t="shared" si="4"/>
        <v>37.635611695755124</v>
      </c>
      <c r="N13" s="158">
        <f t="shared" si="4"/>
        <v>38.576501988149005</v>
      </c>
      <c r="O13" s="158">
        <f t="shared" si="4"/>
        <v>39.540914537852721</v>
      </c>
      <c r="P13" s="207">
        <f>O13*1.025</f>
        <v>40.529437401299035</v>
      </c>
      <c r="Q13" s="207">
        <f>P13*1.025</f>
        <v>41.542673336331504</v>
      </c>
      <c r="R13" s="119"/>
      <c r="U13" s="120"/>
      <c r="V13" s="126"/>
      <c r="X13" s="201">
        <f>NPV(Rate_of_Return,F13:O13)</f>
        <v>241.19709897515833</v>
      </c>
      <c r="Y13" s="201">
        <f>-PMT(Rate_of_Return,10,X13)</f>
        <v>34.962735753941146</v>
      </c>
      <c r="Z13" s="126"/>
      <c r="AA13" s="126"/>
      <c r="AD13" s="127"/>
    </row>
    <row r="14" spans="2:30" x14ac:dyDescent="0.25">
      <c r="C14" s="125"/>
      <c r="E14" s="128"/>
      <c r="F14" s="126"/>
      <c r="G14" s="126"/>
      <c r="H14" s="126"/>
      <c r="I14" s="126"/>
      <c r="J14" s="126"/>
      <c r="K14" s="126"/>
      <c r="L14" s="126"/>
      <c r="M14" s="126"/>
      <c r="N14" s="126"/>
      <c r="O14" s="126"/>
      <c r="P14" s="119"/>
      <c r="Q14" s="119"/>
      <c r="R14" s="119"/>
      <c r="U14" s="120"/>
      <c r="V14" s="126"/>
      <c r="X14" s="120"/>
      <c r="Y14" s="120"/>
      <c r="Z14" s="120"/>
      <c r="AA14" s="120"/>
      <c r="AB14" s="119"/>
      <c r="AC14" s="114"/>
    </row>
    <row r="15" spans="2:30" x14ac:dyDescent="0.25">
      <c r="C15" s="129"/>
      <c r="E15" s="128"/>
      <c r="F15" s="126"/>
      <c r="G15" s="126"/>
      <c r="H15" s="126"/>
      <c r="I15" s="126"/>
      <c r="J15" s="126"/>
      <c r="K15" s="126"/>
      <c r="L15" s="126"/>
      <c r="M15" s="126"/>
      <c r="N15" s="126"/>
      <c r="O15" s="126"/>
      <c r="P15" s="119"/>
      <c r="Q15" s="119"/>
      <c r="R15" s="119"/>
      <c r="U15" s="120"/>
      <c r="V15" s="126"/>
      <c r="X15" s="120"/>
      <c r="Y15" s="120"/>
      <c r="Z15" s="120"/>
      <c r="AA15" s="120"/>
      <c r="AB15" s="120"/>
    </row>
    <row r="16" spans="2:30" x14ac:dyDescent="0.25">
      <c r="C16" s="53" t="s">
        <v>10</v>
      </c>
      <c r="P16" s="119"/>
      <c r="Q16" s="119"/>
      <c r="R16" s="119"/>
      <c r="U16" s="120"/>
    </row>
    <row r="17" spans="2:27" x14ac:dyDescent="0.25">
      <c r="P17" s="119"/>
      <c r="Q17" s="119"/>
      <c r="R17" s="119"/>
      <c r="U17" s="120"/>
    </row>
    <row r="18" spans="2:27" ht="15.6" x14ac:dyDescent="0.3">
      <c r="C18" s="114"/>
      <c r="D18" s="114"/>
      <c r="E18" s="114"/>
      <c r="F18" s="114"/>
      <c r="G18" s="114"/>
      <c r="H18" s="114"/>
      <c r="I18" s="114"/>
      <c r="J18" s="114"/>
      <c r="K18" s="114"/>
      <c r="L18" s="114"/>
      <c r="M18" s="114"/>
      <c r="N18" s="114"/>
      <c r="O18" s="114"/>
      <c r="P18" s="119"/>
      <c r="Q18" s="119"/>
      <c r="R18" s="119"/>
      <c r="U18" s="120"/>
      <c r="X18" s="202" t="s">
        <v>84</v>
      </c>
      <c r="Y18" s="114"/>
    </row>
    <row r="19" spans="2:27" x14ac:dyDescent="0.25">
      <c r="C19" s="121" t="s">
        <v>11</v>
      </c>
      <c r="D19" s="121"/>
      <c r="E19" s="121"/>
      <c r="F19" s="140">
        <v>100</v>
      </c>
      <c r="G19" s="140">
        <f t="shared" ref="G19:O19" si="5">F19*1.025</f>
        <v>102.49999999999999</v>
      </c>
      <c r="H19" s="140">
        <f t="shared" si="5"/>
        <v>105.06249999999997</v>
      </c>
      <c r="I19" s="140">
        <f t="shared" si="5"/>
        <v>107.68906249999996</v>
      </c>
      <c r="J19" s="140">
        <f t="shared" si="5"/>
        <v>110.38128906249996</v>
      </c>
      <c r="K19" s="140">
        <f t="shared" si="5"/>
        <v>113.14082128906244</v>
      </c>
      <c r="L19" s="140">
        <f t="shared" si="5"/>
        <v>115.96934182128899</v>
      </c>
      <c r="M19" s="140">
        <f t="shared" si="5"/>
        <v>118.8685753668212</v>
      </c>
      <c r="N19" s="140">
        <f t="shared" si="5"/>
        <v>121.84028975099173</v>
      </c>
      <c r="O19" s="140">
        <f t="shared" si="5"/>
        <v>124.88629699476651</v>
      </c>
      <c r="P19" s="119"/>
      <c r="Q19" s="119"/>
      <c r="R19" s="119"/>
      <c r="U19" s="120"/>
      <c r="V19" s="130"/>
      <c r="X19" s="160">
        <f>NPV(Rate_of_Return,F19:O19)</f>
        <v>761.7985797483658</v>
      </c>
      <c r="Y19" s="160">
        <f>-PMT(Rate_of_Return,10,X19)</f>
        <v>110.42654557057071</v>
      </c>
      <c r="Z19" s="120"/>
      <c r="AA19" s="120"/>
    </row>
    <row r="20" spans="2:27" x14ac:dyDescent="0.25">
      <c r="C20" s="143" t="s">
        <v>12</v>
      </c>
      <c r="D20" s="143"/>
      <c r="E20" s="143"/>
      <c r="F20" s="144">
        <f t="shared" ref="F20:O20" si="6">F19/$Y$19</f>
        <v>0.90557935579079241</v>
      </c>
      <c r="G20" s="144">
        <f t="shared" si="6"/>
        <v>0.92821883968556207</v>
      </c>
      <c r="H20" s="144">
        <f t="shared" si="6"/>
        <v>0.95142431067770095</v>
      </c>
      <c r="I20" s="144">
        <f t="shared" si="6"/>
        <v>0.97520991844464344</v>
      </c>
      <c r="J20" s="144">
        <f t="shared" si="6"/>
        <v>0.99959016640575948</v>
      </c>
      <c r="K20" s="144">
        <f t="shared" si="6"/>
        <v>1.0245799205659034</v>
      </c>
      <c r="L20" s="144">
        <f t="shared" si="6"/>
        <v>1.0501944185800509</v>
      </c>
      <c r="M20" s="144">
        <f t="shared" si="6"/>
        <v>1.0764492790445519</v>
      </c>
      <c r="N20" s="144">
        <f t="shared" si="6"/>
        <v>1.1033605110206657</v>
      </c>
      <c r="O20" s="144">
        <f t="shared" si="6"/>
        <v>1.1309445237961822</v>
      </c>
      <c r="P20" s="119"/>
      <c r="Q20" s="119"/>
      <c r="R20" s="119"/>
      <c r="U20" s="120"/>
      <c r="V20" s="131"/>
      <c r="X20" s="159">
        <f>NPV(Rate_of_Return,F20:O20)</f>
        <v>6.8986906709086568</v>
      </c>
      <c r="Y20" s="159">
        <f>-PMT(Rate_of_Return,10,X20)</f>
        <v>1.0000000000000002</v>
      </c>
      <c r="Z20" s="120"/>
      <c r="AA20" s="120"/>
    </row>
    <row r="21" spans="2:27" x14ac:dyDescent="0.25">
      <c r="C21" s="114"/>
      <c r="D21" s="114"/>
      <c r="E21" s="141"/>
      <c r="F21" s="141"/>
      <c r="G21" s="141"/>
      <c r="H21" s="141"/>
      <c r="I21" s="141"/>
      <c r="J21" s="141"/>
      <c r="K21" s="141"/>
      <c r="L21" s="141"/>
      <c r="M21" s="142"/>
      <c r="N21" s="142"/>
      <c r="O21" s="142"/>
      <c r="P21" s="119"/>
      <c r="Q21" s="119"/>
      <c r="R21" s="119"/>
      <c r="S21" s="119"/>
      <c r="T21" s="119"/>
      <c r="U21" s="120"/>
      <c r="W21" s="114"/>
      <c r="X21" s="114"/>
    </row>
    <row r="22" spans="2:27" x14ac:dyDescent="0.25">
      <c r="B22" s="132" t="s">
        <v>13</v>
      </c>
      <c r="C22" s="133"/>
      <c r="D22" s="134"/>
      <c r="E22" s="134"/>
      <c r="F22" s="134"/>
      <c r="G22" s="134"/>
      <c r="H22" s="134"/>
      <c r="I22" s="134"/>
      <c r="J22" s="134"/>
      <c r="K22" s="134"/>
      <c r="L22" s="134"/>
      <c r="M22" s="134"/>
      <c r="N22" s="134"/>
      <c r="O22" s="134"/>
      <c r="Y22" s="129"/>
    </row>
    <row r="23" spans="2:27" x14ac:dyDescent="0.25">
      <c r="B23" s="135">
        <v>1</v>
      </c>
      <c r="C23" s="301" t="s">
        <v>141</v>
      </c>
      <c r="D23" s="134"/>
      <c r="E23" s="134"/>
      <c r="F23" s="134"/>
      <c r="G23" s="134"/>
      <c r="H23" s="134"/>
      <c r="I23" s="134"/>
      <c r="J23" s="134"/>
      <c r="K23" s="134"/>
      <c r="L23" s="134"/>
      <c r="M23" s="134"/>
      <c r="N23" s="134"/>
      <c r="O23" s="134"/>
      <c r="Y23" s="125"/>
    </row>
    <row r="24" spans="2:27" x14ac:dyDescent="0.25">
      <c r="B24" s="135">
        <v>2</v>
      </c>
      <c r="C24" s="134" t="s">
        <v>119</v>
      </c>
      <c r="D24" s="134"/>
      <c r="E24" s="134"/>
      <c r="F24" s="134"/>
      <c r="G24" s="134"/>
      <c r="H24" s="134"/>
      <c r="I24" s="134"/>
      <c r="J24" s="134"/>
      <c r="K24" s="134"/>
      <c r="L24" s="134"/>
      <c r="M24" s="134"/>
      <c r="N24" s="134"/>
      <c r="O24" s="134"/>
      <c r="Y24" s="126"/>
    </row>
    <row r="25" spans="2:27" x14ac:dyDescent="0.25">
      <c r="B25" s="135">
        <v>3</v>
      </c>
      <c r="C25" s="134" t="s">
        <v>49</v>
      </c>
      <c r="D25" s="134"/>
      <c r="E25" s="134"/>
      <c r="F25" s="134"/>
      <c r="G25" s="134"/>
      <c r="H25" s="134"/>
      <c r="I25" s="134"/>
      <c r="J25" s="134"/>
      <c r="K25" s="134"/>
      <c r="L25" s="134"/>
      <c r="M25" s="134"/>
      <c r="N25" s="134"/>
      <c r="O25" s="134"/>
      <c r="Y25" s="136"/>
    </row>
    <row r="26" spans="2:27" x14ac:dyDescent="0.25">
      <c r="B26" s="135">
        <v>4</v>
      </c>
      <c r="C26" s="134" t="s">
        <v>120</v>
      </c>
      <c r="D26" s="134"/>
      <c r="E26" s="134"/>
      <c r="F26" s="134"/>
      <c r="G26" s="134"/>
      <c r="H26" s="134"/>
      <c r="I26" s="134"/>
      <c r="J26" s="134"/>
      <c r="K26" s="134"/>
      <c r="L26" s="134"/>
      <c r="M26" s="134"/>
      <c r="N26" s="134"/>
      <c r="O26" s="134"/>
      <c r="Y26" s="136"/>
    </row>
    <row r="27" spans="2:27" x14ac:dyDescent="0.25">
      <c r="B27" s="135">
        <v>5</v>
      </c>
      <c r="C27" s="134" t="s">
        <v>89</v>
      </c>
      <c r="D27" s="134"/>
      <c r="E27" s="134"/>
      <c r="F27" s="134"/>
      <c r="G27" s="134"/>
      <c r="H27" s="134"/>
      <c r="I27" s="134"/>
      <c r="J27" s="134"/>
      <c r="K27" s="134"/>
      <c r="L27" s="134"/>
      <c r="M27" s="134"/>
      <c r="N27" s="134"/>
      <c r="O27" s="134"/>
      <c r="Y27" s="125"/>
    </row>
    <row r="28" spans="2:27" x14ac:dyDescent="0.25">
      <c r="B28" s="135">
        <v>6</v>
      </c>
      <c r="C28" s="134" t="s">
        <v>90</v>
      </c>
      <c r="D28" s="134"/>
      <c r="E28" s="134"/>
      <c r="F28" s="134"/>
      <c r="G28" s="134"/>
      <c r="H28" s="134"/>
      <c r="I28" s="134"/>
      <c r="J28" s="134"/>
      <c r="K28" s="134"/>
      <c r="L28" s="134"/>
      <c r="M28" s="134"/>
      <c r="N28" s="134"/>
      <c r="O28" s="134"/>
      <c r="Y28" s="126"/>
    </row>
    <row r="29" spans="2:27" x14ac:dyDescent="0.25">
      <c r="B29" s="135">
        <v>7</v>
      </c>
      <c r="C29" s="134" t="s">
        <v>91</v>
      </c>
      <c r="D29" s="134"/>
      <c r="E29" s="134"/>
      <c r="F29" s="134"/>
      <c r="G29" s="134"/>
      <c r="H29" s="134"/>
      <c r="I29" s="134"/>
      <c r="J29" s="134"/>
      <c r="K29" s="134"/>
      <c r="L29" s="134"/>
      <c r="M29" s="134"/>
      <c r="N29" s="134"/>
      <c r="O29" s="134"/>
      <c r="P29" s="134"/>
      <c r="Q29" s="134"/>
    </row>
    <row r="30" spans="2:27" x14ac:dyDescent="0.25">
      <c r="B30" s="135">
        <v>8</v>
      </c>
      <c r="C30" s="134" t="s">
        <v>58</v>
      </c>
      <c r="D30" s="134"/>
      <c r="E30" s="134"/>
      <c r="F30" s="134"/>
      <c r="G30" s="134"/>
      <c r="H30" s="134"/>
      <c r="I30" s="134"/>
      <c r="J30" s="134"/>
      <c r="K30" s="134"/>
      <c r="L30" s="134"/>
      <c r="M30" s="134"/>
      <c r="N30" s="134"/>
      <c r="O30" s="134"/>
      <c r="P30" s="134"/>
      <c r="Q30" s="134"/>
    </row>
    <row r="31" spans="2:27" x14ac:dyDescent="0.25">
      <c r="B31" s="135">
        <v>9</v>
      </c>
      <c r="C31" s="134" t="s">
        <v>92</v>
      </c>
      <c r="D31" s="134"/>
      <c r="E31" s="134"/>
      <c r="F31" s="134"/>
      <c r="G31" s="134"/>
      <c r="H31" s="134"/>
      <c r="I31" s="134"/>
      <c r="J31" s="134"/>
      <c r="K31" s="134"/>
      <c r="L31" s="134"/>
      <c r="M31" s="134"/>
      <c r="N31" s="134"/>
      <c r="O31" s="134"/>
      <c r="P31" s="134"/>
      <c r="Q31" s="134"/>
    </row>
    <row r="32" spans="2:27" x14ac:dyDescent="0.25">
      <c r="B32" s="135">
        <v>10</v>
      </c>
      <c r="C32" s="53" t="s">
        <v>93</v>
      </c>
    </row>
    <row r="33" spans="2:20" x14ac:dyDescent="0.25">
      <c r="B33" s="135">
        <v>11</v>
      </c>
      <c r="C33" s="53" t="s">
        <v>115</v>
      </c>
    </row>
    <row r="34" spans="2:20" ht="15.6" x14ac:dyDescent="0.3">
      <c r="B34" s="137"/>
      <c r="C34" s="5"/>
      <c r="D34" s="5"/>
      <c r="E34" s="5"/>
      <c r="F34" s="5"/>
    </row>
    <row r="35" spans="2:20" ht="15.6" x14ac:dyDescent="0.3">
      <c r="B35" s="137"/>
      <c r="C35" s="5"/>
      <c r="D35" s="5"/>
      <c r="E35" s="5"/>
      <c r="F35" s="5"/>
    </row>
    <row r="37" spans="2:20" x14ac:dyDescent="0.25">
      <c r="F37" s="120"/>
      <c r="G37" s="138"/>
      <c r="H37" s="138"/>
      <c r="I37" s="138"/>
      <c r="J37" s="138"/>
      <c r="K37" s="138"/>
      <c r="L37" s="138"/>
      <c r="M37" s="138"/>
      <c r="N37" s="138"/>
      <c r="O37" s="138"/>
      <c r="P37" s="138"/>
      <c r="Q37" s="138"/>
      <c r="R37" s="138"/>
      <c r="S37" s="138"/>
      <c r="T37" s="138"/>
    </row>
    <row r="38" spans="2:20" x14ac:dyDescent="0.25">
      <c r="G38" s="138"/>
      <c r="H38" s="138"/>
      <c r="I38" s="138"/>
      <c r="J38" s="138"/>
      <c r="K38" s="138"/>
      <c r="L38" s="138"/>
      <c r="M38" s="138"/>
      <c r="N38" s="138"/>
      <c r="O38" s="138"/>
      <c r="P38" s="138"/>
      <c r="Q38" s="138"/>
      <c r="R38" s="138"/>
      <c r="S38" s="138"/>
      <c r="T38" s="138"/>
    </row>
    <row r="39" spans="2:20" x14ac:dyDescent="0.25">
      <c r="F39" s="120"/>
      <c r="G39" s="120"/>
      <c r="H39" s="120"/>
      <c r="I39" s="120"/>
      <c r="J39" s="120"/>
      <c r="K39" s="120"/>
      <c r="L39" s="120"/>
      <c r="M39" s="120"/>
      <c r="N39" s="120"/>
      <c r="O39" s="120"/>
      <c r="P39" s="120"/>
      <c r="Q39" s="120"/>
      <c r="R39" s="120"/>
      <c r="S39" s="120"/>
      <c r="T39" s="120"/>
    </row>
    <row r="40" spans="2:20" x14ac:dyDescent="0.25">
      <c r="D40" s="130"/>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D1" workbookViewId="0">
      <selection activeCell="F5" sqref="F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15" t="s">
        <v>94</v>
      </c>
      <c r="D2" s="215"/>
      <c r="E2" s="215"/>
      <c r="F2" s="215"/>
      <c r="G2" s="215"/>
      <c r="H2" s="215"/>
      <c r="I2" s="215"/>
      <c r="J2" s="215"/>
      <c r="K2" s="215"/>
      <c r="L2" s="215"/>
    </row>
    <row r="3" spans="2:31" ht="15.6" x14ac:dyDescent="0.3">
      <c r="C3" s="42" t="s">
        <v>95</v>
      </c>
    </row>
    <row r="4" spans="2:31" s="111" customFormat="1" ht="45" x14ac:dyDescent="0.25">
      <c r="B4" s="110"/>
      <c r="C4" s="145" t="s">
        <v>0</v>
      </c>
      <c r="D4" s="145"/>
      <c r="E4" s="145" t="s">
        <v>1</v>
      </c>
      <c r="F4" s="145" t="s">
        <v>2</v>
      </c>
      <c r="G4" s="145" t="s">
        <v>3</v>
      </c>
      <c r="H4" s="145" t="s">
        <v>4</v>
      </c>
      <c r="I4" s="145" t="s">
        <v>5</v>
      </c>
      <c r="J4" s="145" t="s">
        <v>6</v>
      </c>
      <c r="K4" s="145" t="s">
        <v>7</v>
      </c>
      <c r="L4" s="146" t="s">
        <v>14</v>
      </c>
      <c r="M4" s="146"/>
    </row>
    <row r="5" spans="2:31" x14ac:dyDescent="0.25">
      <c r="C5" s="148"/>
      <c r="D5" s="149"/>
      <c r="E5" s="150">
        <v>15</v>
      </c>
      <c r="F5" s="304">
        <f>+'Capacity Delivered'!$G$5</f>
        <v>1</v>
      </c>
      <c r="G5" s="151" t="s">
        <v>8</v>
      </c>
      <c r="H5" s="152">
        <f>'Electric EES CE Std Energy'!D23</f>
        <v>2.2999689199971914E-2</v>
      </c>
      <c r="I5" s="153">
        <f>'Baseload Avoided Capacity Calcs'!X21</f>
        <v>1.4187687240880936E-2</v>
      </c>
      <c r="J5" s="153">
        <f>H5+I5</f>
        <v>3.7187376440852848E-2</v>
      </c>
      <c r="K5" s="154">
        <f>J5</f>
        <v>3.7187376440852848E-2</v>
      </c>
      <c r="L5" s="155">
        <f>K5*1000</f>
        <v>37.187376440852852</v>
      </c>
      <c r="M5" s="139"/>
    </row>
    <row r="6" spans="2:31" ht="15.6" x14ac:dyDescent="0.3">
      <c r="C6" s="147"/>
      <c r="D6" s="147"/>
      <c r="E6" s="114"/>
      <c r="F6" s="114"/>
      <c r="G6" s="114"/>
      <c r="H6" s="32">
        <f>H5*1000</f>
        <v>22.999689199971915</v>
      </c>
      <c r="I6" s="32">
        <f t="shared" ref="I6:K6" si="0">I5*1000</f>
        <v>14.187687240880935</v>
      </c>
      <c r="J6" s="32">
        <f t="shared" si="0"/>
        <v>37.187376440852852</v>
      </c>
      <c r="K6" s="32">
        <f t="shared" si="0"/>
        <v>37.187376440852852</v>
      </c>
      <c r="L6" s="116">
        <f>L5*(1-M6)</f>
        <v>36.071755147627265</v>
      </c>
      <c r="M6" s="245">
        <v>0.03</v>
      </c>
      <c r="N6" s="117" t="s">
        <v>41</v>
      </c>
    </row>
    <row r="7" spans="2:31" x14ac:dyDescent="0.25">
      <c r="C7" s="118"/>
      <c r="D7" s="115"/>
      <c r="H7" s="40"/>
      <c r="I7" s="113"/>
      <c r="J7" s="40"/>
      <c r="K7" s="113"/>
      <c r="L7" s="113"/>
      <c r="M7" s="114"/>
    </row>
    <row r="8" spans="2:31" ht="15.6" x14ac:dyDescent="0.3">
      <c r="C8" s="114"/>
      <c r="D8" s="114"/>
      <c r="E8" s="114"/>
      <c r="F8" s="114"/>
      <c r="G8" s="114"/>
      <c r="H8" s="119"/>
      <c r="I8" s="119"/>
      <c r="J8" s="119"/>
      <c r="K8" s="119"/>
      <c r="L8" s="119"/>
      <c r="M8" s="119"/>
      <c r="N8" s="119"/>
      <c r="O8" s="119"/>
      <c r="P8" s="119"/>
      <c r="Q8" s="119"/>
      <c r="R8" s="119"/>
      <c r="S8" s="119"/>
      <c r="T8" s="119"/>
      <c r="U8" s="120"/>
      <c r="V8" s="120"/>
      <c r="W8" s="120"/>
      <c r="X8" s="202" t="s">
        <v>84</v>
      </c>
      <c r="Y8" s="120"/>
      <c r="Z8" s="120"/>
      <c r="AA8" s="120"/>
      <c r="AB8" s="120"/>
      <c r="AC8" s="119"/>
      <c r="AD8" s="114"/>
    </row>
    <row r="9" spans="2:31" x14ac:dyDescent="0.25">
      <c r="C9" s="121" t="s">
        <v>9</v>
      </c>
      <c r="D9" s="121"/>
      <c r="E9" s="121"/>
      <c r="F9" s="122">
        <f>+L6</f>
        <v>36.071755147627265</v>
      </c>
      <c r="G9" s="122">
        <f t="shared" ref="G9:T9" si="1">F9</f>
        <v>36.071755147627265</v>
      </c>
      <c r="H9" s="122">
        <f t="shared" si="1"/>
        <v>36.071755147627265</v>
      </c>
      <c r="I9" s="122">
        <f t="shared" si="1"/>
        <v>36.071755147627265</v>
      </c>
      <c r="J9" s="122">
        <f t="shared" si="1"/>
        <v>36.071755147627265</v>
      </c>
      <c r="K9" s="122">
        <f t="shared" si="1"/>
        <v>36.071755147627265</v>
      </c>
      <c r="L9" s="122">
        <f t="shared" si="1"/>
        <v>36.071755147627265</v>
      </c>
      <c r="M9" s="122">
        <f t="shared" si="1"/>
        <v>36.071755147627265</v>
      </c>
      <c r="N9" s="122">
        <f t="shared" si="1"/>
        <v>36.071755147627265</v>
      </c>
      <c r="O9" s="122">
        <f t="shared" si="1"/>
        <v>36.071755147627265</v>
      </c>
      <c r="P9" s="122">
        <f t="shared" si="1"/>
        <v>36.071755147627265</v>
      </c>
      <c r="Q9" s="122">
        <f t="shared" si="1"/>
        <v>36.071755147627265</v>
      </c>
      <c r="R9" s="122">
        <f t="shared" si="1"/>
        <v>36.071755147627265</v>
      </c>
      <c r="S9" s="122">
        <f t="shared" si="1"/>
        <v>36.071755147627265</v>
      </c>
      <c r="T9" s="122">
        <f t="shared" si="1"/>
        <v>36.071755147627265</v>
      </c>
      <c r="U9" s="40"/>
      <c r="V9" s="40"/>
      <c r="W9" s="40"/>
      <c r="X9" s="201">
        <f>NPV(Rate_of_Return,F9:T9)</f>
        <v>320.59633127141535</v>
      </c>
      <c r="Y9" s="201">
        <f>-PMT(Rate_of_Return,15,X9)</f>
        <v>36.071755147627258</v>
      </c>
      <c r="Z9" s="40"/>
      <c r="AA9" s="40"/>
      <c r="AB9" s="40"/>
    </row>
    <row r="10" spans="2:31" x14ac:dyDescent="0.25">
      <c r="C10" s="114"/>
      <c r="D10" s="114"/>
      <c r="E10" s="114"/>
      <c r="F10" s="123"/>
      <c r="G10" s="123"/>
      <c r="H10" s="123"/>
      <c r="I10" s="123"/>
      <c r="J10" s="123"/>
      <c r="K10" s="123"/>
      <c r="L10" s="123"/>
      <c r="M10" s="123"/>
      <c r="N10" s="123"/>
      <c r="O10" s="123"/>
      <c r="P10" s="123"/>
      <c r="Q10" s="123"/>
      <c r="R10" s="123"/>
      <c r="S10" s="123"/>
      <c r="T10" s="123"/>
      <c r="U10" s="40"/>
      <c r="V10" s="40"/>
      <c r="W10" s="40"/>
      <c r="X10" s="32"/>
      <c r="Y10" s="32"/>
      <c r="Z10" s="40"/>
      <c r="AA10" s="40"/>
      <c r="AB10" s="40"/>
    </row>
    <row r="11" spans="2:31" x14ac:dyDescent="0.25">
      <c r="C11" s="53" t="s">
        <v>63</v>
      </c>
      <c r="F11" s="210">
        <v>1</v>
      </c>
      <c r="G11" s="210">
        <v>2</v>
      </c>
      <c r="H11" s="210">
        <v>3</v>
      </c>
      <c r="I11" s="210">
        <v>4</v>
      </c>
      <c r="J11" s="210">
        <v>5</v>
      </c>
      <c r="K11" s="210">
        <v>6</v>
      </c>
      <c r="L11" s="210">
        <v>7</v>
      </c>
      <c r="M11" s="210">
        <v>8</v>
      </c>
      <c r="N11" s="210">
        <v>9</v>
      </c>
      <c r="O11" s="210">
        <v>10</v>
      </c>
      <c r="P11" s="210">
        <v>11</v>
      </c>
      <c r="Q11" s="210">
        <v>12</v>
      </c>
      <c r="R11" s="210">
        <v>13</v>
      </c>
      <c r="S11" s="210">
        <v>14</v>
      </c>
      <c r="T11" s="210">
        <v>15</v>
      </c>
      <c r="U11" s="210">
        <v>16</v>
      </c>
      <c r="V11" s="210">
        <v>17</v>
      </c>
      <c r="W11" s="40"/>
      <c r="X11" s="40"/>
      <c r="Y11" s="40"/>
      <c r="Z11" s="40"/>
      <c r="AA11" s="40"/>
      <c r="AB11" s="40"/>
    </row>
    <row r="12" spans="2:31" ht="15.6" x14ac:dyDescent="0.3">
      <c r="C12" s="114"/>
      <c r="D12" s="112"/>
      <c r="E12" s="114"/>
      <c r="F12" s="124">
        <f>'Energy Prices'!$C$6</f>
        <v>2020</v>
      </c>
      <c r="G12" s="124">
        <f>F12+1</f>
        <v>2021</v>
      </c>
      <c r="H12" s="124">
        <f>G12+1</f>
        <v>2022</v>
      </c>
      <c r="I12" s="124">
        <f t="shared" ref="I12:T12" si="2">H12+1</f>
        <v>2023</v>
      </c>
      <c r="J12" s="124">
        <f t="shared" si="2"/>
        <v>2024</v>
      </c>
      <c r="K12" s="124">
        <f t="shared" si="2"/>
        <v>2025</v>
      </c>
      <c r="L12" s="124">
        <f t="shared" si="2"/>
        <v>2026</v>
      </c>
      <c r="M12" s="124">
        <f t="shared" si="2"/>
        <v>2027</v>
      </c>
      <c r="N12" s="124">
        <f t="shared" si="2"/>
        <v>2028</v>
      </c>
      <c r="O12" s="124">
        <f t="shared" si="2"/>
        <v>2029</v>
      </c>
      <c r="P12" s="124">
        <f t="shared" si="2"/>
        <v>2030</v>
      </c>
      <c r="Q12" s="124">
        <f t="shared" si="2"/>
        <v>2031</v>
      </c>
      <c r="R12" s="124">
        <f t="shared" si="2"/>
        <v>2032</v>
      </c>
      <c r="S12" s="124">
        <f t="shared" si="2"/>
        <v>2033</v>
      </c>
      <c r="T12" s="124">
        <f t="shared" si="2"/>
        <v>2034</v>
      </c>
      <c r="U12" s="124">
        <f>T12+1</f>
        <v>2035</v>
      </c>
      <c r="V12" s="124">
        <f>U12+1</f>
        <v>2036</v>
      </c>
      <c r="W12" s="208"/>
      <c r="X12" s="202" t="s">
        <v>84</v>
      </c>
      <c r="Y12" s="32"/>
      <c r="Z12" s="120"/>
      <c r="AA12" s="120"/>
      <c r="AB12" s="120"/>
    </row>
    <row r="13" spans="2:31" ht="52.5" customHeight="1" x14ac:dyDescent="0.25">
      <c r="B13" s="114"/>
      <c r="C13" s="211" t="s">
        <v>104</v>
      </c>
      <c r="D13" s="114"/>
      <c r="F13" s="156">
        <f>F$9*F$20</f>
        <v>31.170434688822887</v>
      </c>
      <c r="G13" s="157">
        <f t="shared" ref="G13:T13" si="3">G$9*G$20</f>
        <v>31.949695556043459</v>
      </c>
      <c r="H13" s="158">
        <f t="shared" si="3"/>
        <v>32.748437944944541</v>
      </c>
      <c r="I13" s="158">
        <f t="shared" si="3"/>
        <v>33.567148893568152</v>
      </c>
      <c r="J13" s="158">
        <f t="shared" si="3"/>
        <v>34.406327615907351</v>
      </c>
      <c r="K13" s="158">
        <f t="shared" si="3"/>
        <v>35.266485806305035</v>
      </c>
      <c r="L13" s="158">
        <f t="shared" si="3"/>
        <v>36.148147951462654</v>
      </c>
      <c r="M13" s="158">
        <f t="shared" si="3"/>
        <v>37.051851650249219</v>
      </c>
      <c r="N13" s="158">
        <f t="shared" si="3"/>
        <v>37.978147941505448</v>
      </c>
      <c r="O13" s="158">
        <f t="shared" si="3"/>
        <v>38.927601640043079</v>
      </c>
      <c r="P13" s="158">
        <f t="shared" si="3"/>
        <v>39.900791681044154</v>
      </c>
      <c r="Q13" s="158">
        <f t="shared" si="3"/>
        <v>40.898311473070244</v>
      </c>
      <c r="R13" s="158">
        <f t="shared" si="3"/>
        <v>41.920769259897</v>
      </c>
      <c r="S13" s="158">
        <f t="shared" si="3"/>
        <v>42.96878849139442</v>
      </c>
      <c r="T13" s="158">
        <f t="shared" si="3"/>
        <v>44.043008203679271</v>
      </c>
      <c r="U13" s="207">
        <f>T13*1.025</f>
        <v>45.144083408771252</v>
      </c>
      <c r="V13" s="207">
        <f>U13*1.025</f>
        <v>46.272685493990529</v>
      </c>
      <c r="W13" s="126"/>
      <c r="X13" s="201">
        <f>NPV(Rate_of_Return,F13:T13)</f>
        <v>320.59633127141547</v>
      </c>
      <c r="Y13" s="201">
        <f>-PMT(Rate_of_Return,15,X13)</f>
        <v>36.071755147627265</v>
      </c>
      <c r="Z13" s="126"/>
      <c r="AA13" s="126"/>
      <c r="AB13" s="126"/>
      <c r="AE13" s="127"/>
    </row>
    <row r="14" spans="2:31" x14ac:dyDescent="0.25">
      <c r="C14" s="125"/>
      <c r="E14" s="128"/>
      <c r="F14" s="126"/>
      <c r="G14" s="126"/>
      <c r="H14" s="126"/>
      <c r="I14" s="126"/>
      <c r="J14" s="126"/>
      <c r="K14" s="126"/>
      <c r="L14" s="126"/>
      <c r="M14" s="126"/>
      <c r="N14" s="126"/>
      <c r="O14" s="126"/>
      <c r="P14" s="126"/>
      <c r="Q14" s="126"/>
      <c r="R14" s="126"/>
      <c r="S14" s="126"/>
      <c r="T14" s="126"/>
      <c r="U14" s="126"/>
      <c r="V14" s="126"/>
      <c r="W14" s="126"/>
      <c r="X14" s="120"/>
      <c r="Y14" s="120"/>
      <c r="Z14" s="120"/>
      <c r="AA14" s="120"/>
      <c r="AB14" s="120"/>
      <c r="AC14" s="119"/>
      <c r="AD14" s="114"/>
    </row>
    <row r="15" spans="2:31" x14ac:dyDescent="0.25">
      <c r="C15" s="129"/>
      <c r="E15" s="128"/>
      <c r="F15" s="126"/>
      <c r="G15" s="126"/>
      <c r="H15" s="126"/>
      <c r="I15" s="126"/>
      <c r="J15" s="126"/>
      <c r="K15" s="126"/>
      <c r="L15" s="126"/>
      <c r="M15" s="126"/>
      <c r="N15" s="126"/>
      <c r="O15" s="126"/>
      <c r="P15" s="126"/>
      <c r="Q15" s="126"/>
      <c r="R15" s="126"/>
      <c r="S15" s="126"/>
      <c r="T15" s="126"/>
      <c r="U15" s="126"/>
      <c r="V15" s="126"/>
      <c r="W15" s="126"/>
      <c r="X15" s="120"/>
      <c r="Y15" s="120"/>
      <c r="Z15" s="120"/>
      <c r="AA15" s="120"/>
      <c r="AB15" s="120"/>
      <c r="AC15" s="120"/>
    </row>
    <row r="16" spans="2:31" x14ac:dyDescent="0.25">
      <c r="C16" s="53" t="s">
        <v>10</v>
      </c>
      <c r="Q16" s="120"/>
      <c r="R16" s="120"/>
    </row>
    <row r="17" spans="2:28" x14ac:dyDescent="0.25">
      <c r="Q17" s="120"/>
      <c r="R17" s="120"/>
    </row>
    <row r="18" spans="2:28" ht="15.6" x14ac:dyDescent="0.3">
      <c r="C18" s="114"/>
      <c r="D18" s="114"/>
      <c r="E18" s="114"/>
      <c r="F18" s="114"/>
      <c r="G18" s="114"/>
      <c r="H18" s="114"/>
      <c r="I18" s="114"/>
      <c r="J18" s="114"/>
      <c r="K18" s="114"/>
      <c r="L18" s="114"/>
      <c r="M18" s="114"/>
      <c r="N18" s="114"/>
      <c r="O18" s="114"/>
      <c r="P18" s="114"/>
      <c r="Q18" s="119"/>
      <c r="R18" s="119"/>
      <c r="S18" s="114"/>
      <c r="T18" s="114"/>
      <c r="X18" s="202" t="s">
        <v>84</v>
      </c>
      <c r="Y18" s="114"/>
    </row>
    <row r="19" spans="2:28" x14ac:dyDescent="0.25">
      <c r="C19" s="121" t="s">
        <v>11</v>
      </c>
      <c r="D19" s="121"/>
      <c r="E19" s="121"/>
      <c r="F19" s="140">
        <v>100</v>
      </c>
      <c r="G19" s="140">
        <f t="shared" ref="G19:T19" si="4">F19*1.025</f>
        <v>102.49999999999999</v>
      </c>
      <c r="H19" s="140">
        <f t="shared" si="4"/>
        <v>105.06249999999997</v>
      </c>
      <c r="I19" s="140">
        <f t="shared" si="4"/>
        <v>107.68906249999996</v>
      </c>
      <c r="J19" s="140">
        <f t="shared" si="4"/>
        <v>110.38128906249996</v>
      </c>
      <c r="K19" s="140">
        <f t="shared" si="4"/>
        <v>113.14082128906244</v>
      </c>
      <c r="L19" s="140">
        <f t="shared" si="4"/>
        <v>115.96934182128899</v>
      </c>
      <c r="M19" s="140">
        <f t="shared" si="4"/>
        <v>118.8685753668212</v>
      </c>
      <c r="N19" s="140">
        <f t="shared" si="4"/>
        <v>121.84028975099173</v>
      </c>
      <c r="O19" s="140">
        <f t="shared" si="4"/>
        <v>124.88629699476651</v>
      </c>
      <c r="P19" s="140">
        <f t="shared" si="4"/>
        <v>128.00845441963565</v>
      </c>
      <c r="Q19" s="140">
        <f t="shared" si="4"/>
        <v>131.20866578012652</v>
      </c>
      <c r="R19" s="140">
        <f t="shared" si="4"/>
        <v>134.48888242462968</v>
      </c>
      <c r="S19" s="140">
        <f t="shared" si="4"/>
        <v>137.8511044852454</v>
      </c>
      <c r="T19" s="140">
        <f t="shared" si="4"/>
        <v>141.29738209737653</v>
      </c>
      <c r="U19" s="130"/>
      <c r="V19" s="130"/>
      <c r="W19" s="130"/>
      <c r="X19" s="160">
        <f>NPV(Rate_of_Return,F19:T19)</f>
        <v>1028.5269822893265</v>
      </c>
      <c r="Y19" s="160">
        <f>-PMT(Rate_of_Return,15,X19)</f>
        <v>115.72426085081801</v>
      </c>
      <c r="Z19" s="120"/>
      <c r="AA19" s="120"/>
      <c r="AB19" s="120"/>
    </row>
    <row r="20" spans="2:28" x14ac:dyDescent="0.25">
      <c r="C20" s="143" t="s">
        <v>12</v>
      </c>
      <c r="D20" s="143"/>
      <c r="E20" s="143"/>
      <c r="F20" s="144">
        <f>F19/$Y$19</f>
        <v>0.86412303923817313</v>
      </c>
      <c r="G20" s="144">
        <f t="shared" ref="G20:T20" si="5">G19/$Y$19</f>
        <v>0.88572611521912736</v>
      </c>
      <c r="H20" s="144">
        <f t="shared" si="5"/>
        <v>0.90786926809960544</v>
      </c>
      <c r="I20" s="144">
        <f t="shared" si="5"/>
        <v>0.93056599980209553</v>
      </c>
      <c r="J20" s="144">
        <f t="shared" si="5"/>
        <v>0.95383014979714786</v>
      </c>
      <c r="K20" s="144">
        <f t="shared" si="5"/>
        <v>0.97767590354207645</v>
      </c>
      <c r="L20" s="144">
        <f t="shared" si="5"/>
        <v>1.0021178011306282</v>
      </c>
      <c r="M20" s="144">
        <f t="shared" si="5"/>
        <v>1.0271707461588939</v>
      </c>
      <c r="N20" s="144">
        <f t="shared" si="5"/>
        <v>1.0528500148128661</v>
      </c>
      <c r="O20" s="144">
        <f t="shared" si="5"/>
        <v>1.0791712651831877</v>
      </c>
      <c r="P20" s="144">
        <f t="shared" si="5"/>
        <v>1.1061505468127673</v>
      </c>
      <c r="Q20" s="144">
        <f t="shared" si="5"/>
        <v>1.1338043104830862</v>
      </c>
      <c r="R20" s="144">
        <f t="shared" si="5"/>
        <v>1.1621494182451633</v>
      </c>
      <c r="S20" s="144">
        <f t="shared" si="5"/>
        <v>1.1912031537012922</v>
      </c>
      <c r="T20" s="144">
        <f t="shared" si="5"/>
        <v>1.2209832325438243</v>
      </c>
      <c r="U20" s="131"/>
      <c r="V20" s="131"/>
      <c r="W20" s="131"/>
      <c r="X20" s="159">
        <f>NPV(Rate_of_Return,F20:T20)</f>
        <v>8.8877386187431942</v>
      </c>
      <c r="Y20" s="159">
        <f>-PMT(Rate_of_Return,15,X20)</f>
        <v>1</v>
      </c>
      <c r="Z20" s="120"/>
      <c r="AA20" s="120"/>
      <c r="AB20" s="120"/>
    </row>
    <row r="21" spans="2:28" x14ac:dyDescent="0.25">
      <c r="C21" s="114"/>
      <c r="D21" s="114"/>
      <c r="E21" s="141"/>
      <c r="F21" s="141"/>
      <c r="G21" s="141"/>
      <c r="H21" s="141"/>
      <c r="I21" s="141"/>
      <c r="J21" s="141"/>
      <c r="K21" s="141"/>
      <c r="L21" s="141"/>
      <c r="M21" s="142"/>
      <c r="N21" s="142"/>
      <c r="O21" s="142"/>
      <c r="P21" s="142"/>
      <c r="Q21" s="142"/>
      <c r="R21" s="142"/>
      <c r="S21" s="142"/>
      <c r="T21" s="142"/>
      <c r="X21" s="114"/>
      <c r="Y21" s="114"/>
    </row>
    <row r="22" spans="2:28" x14ac:dyDescent="0.25">
      <c r="B22" s="132" t="s">
        <v>13</v>
      </c>
      <c r="C22" s="133"/>
      <c r="D22" s="134"/>
      <c r="E22" s="134"/>
      <c r="F22" s="134"/>
      <c r="G22" s="134"/>
      <c r="H22" s="134"/>
      <c r="I22" s="134"/>
      <c r="J22" s="134"/>
      <c r="K22" s="134"/>
      <c r="L22" s="134"/>
      <c r="M22" s="134"/>
      <c r="N22" s="134"/>
      <c r="O22" s="134"/>
      <c r="Z22" s="129"/>
    </row>
    <row r="23" spans="2:28" x14ac:dyDescent="0.25">
      <c r="B23" s="135">
        <v>1</v>
      </c>
      <c r="C23" s="301" t="s">
        <v>141</v>
      </c>
      <c r="D23" s="134"/>
      <c r="E23" s="134"/>
      <c r="F23" s="134"/>
      <c r="G23" s="134"/>
      <c r="H23" s="134"/>
      <c r="I23" s="134"/>
      <c r="J23" s="134"/>
      <c r="K23" s="134"/>
      <c r="L23" s="134"/>
      <c r="M23" s="134"/>
      <c r="N23" s="134"/>
      <c r="O23" s="134"/>
      <c r="Z23" s="125"/>
    </row>
    <row r="24" spans="2:28" x14ac:dyDescent="0.25">
      <c r="B24" s="135">
        <v>2</v>
      </c>
      <c r="C24" s="134" t="s">
        <v>119</v>
      </c>
      <c r="D24" s="134"/>
      <c r="E24" s="134"/>
      <c r="F24" s="134"/>
      <c r="G24" s="134"/>
      <c r="H24" s="134"/>
      <c r="I24" s="134"/>
      <c r="J24" s="134"/>
      <c r="K24" s="134"/>
      <c r="L24" s="134"/>
      <c r="M24" s="134"/>
      <c r="N24" s="134"/>
      <c r="O24" s="134"/>
      <c r="Z24" s="126"/>
    </row>
    <row r="25" spans="2:28" x14ac:dyDescent="0.25">
      <c r="B25" s="135">
        <v>3</v>
      </c>
      <c r="C25" s="134" t="s">
        <v>49</v>
      </c>
      <c r="D25" s="134"/>
      <c r="E25" s="134"/>
      <c r="F25" s="134"/>
      <c r="G25" s="134"/>
      <c r="H25" s="134"/>
      <c r="I25" s="134"/>
      <c r="J25" s="134"/>
      <c r="K25" s="134"/>
      <c r="L25" s="134"/>
      <c r="M25" s="134"/>
      <c r="N25" s="134"/>
      <c r="O25" s="134"/>
      <c r="Z25" s="136"/>
    </row>
    <row r="26" spans="2:28" x14ac:dyDescent="0.25">
      <c r="B26" s="135">
        <v>4</v>
      </c>
      <c r="C26" s="134" t="s">
        <v>120</v>
      </c>
      <c r="D26" s="134"/>
      <c r="E26" s="134"/>
      <c r="F26" s="134"/>
      <c r="G26" s="134"/>
      <c r="H26" s="134"/>
      <c r="I26" s="134"/>
      <c r="J26" s="134"/>
      <c r="K26" s="134"/>
      <c r="L26" s="134"/>
      <c r="M26" s="134"/>
      <c r="N26" s="134"/>
      <c r="O26" s="134"/>
      <c r="Z26" s="136"/>
    </row>
    <row r="27" spans="2:28" x14ac:dyDescent="0.25">
      <c r="B27" s="135">
        <v>5</v>
      </c>
      <c r="C27" s="134" t="s">
        <v>89</v>
      </c>
      <c r="D27" s="134"/>
      <c r="E27" s="134"/>
      <c r="F27" s="134"/>
      <c r="G27" s="134"/>
      <c r="H27" s="134"/>
      <c r="I27" s="134"/>
      <c r="J27" s="134"/>
      <c r="K27" s="134"/>
      <c r="L27" s="134"/>
      <c r="M27" s="134"/>
      <c r="N27" s="134"/>
      <c r="O27" s="134"/>
      <c r="Z27" s="125"/>
    </row>
    <row r="28" spans="2:28" x14ac:dyDescent="0.25">
      <c r="B28" s="135">
        <v>6</v>
      </c>
      <c r="C28" s="134" t="s">
        <v>90</v>
      </c>
      <c r="D28" s="134"/>
      <c r="E28" s="134"/>
      <c r="F28" s="134"/>
      <c r="G28" s="134"/>
      <c r="H28" s="134"/>
      <c r="I28" s="134"/>
      <c r="J28" s="134"/>
      <c r="K28" s="134"/>
      <c r="L28" s="134"/>
      <c r="M28" s="134"/>
      <c r="N28" s="134"/>
      <c r="O28" s="134"/>
      <c r="Z28" s="126"/>
    </row>
    <row r="29" spans="2:28" x14ac:dyDescent="0.25">
      <c r="B29" s="135">
        <v>7</v>
      </c>
      <c r="C29" s="134" t="s">
        <v>91</v>
      </c>
      <c r="D29" s="134"/>
      <c r="E29" s="134"/>
      <c r="F29" s="134"/>
      <c r="G29" s="134"/>
      <c r="H29" s="134"/>
      <c r="I29" s="134"/>
      <c r="J29" s="134"/>
      <c r="K29" s="134"/>
      <c r="L29" s="134"/>
      <c r="M29" s="134"/>
      <c r="N29" s="134"/>
      <c r="O29" s="134"/>
      <c r="P29" s="134"/>
      <c r="Q29" s="134"/>
    </row>
    <row r="30" spans="2:28" x14ac:dyDescent="0.25">
      <c r="B30" s="135">
        <v>8</v>
      </c>
      <c r="C30" s="134" t="s">
        <v>58</v>
      </c>
      <c r="D30" s="134"/>
      <c r="E30" s="134"/>
      <c r="F30" s="134"/>
      <c r="G30" s="134"/>
      <c r="H30" s="134"/>
      <c r="I30" s="134"/>
      <c r="J30" s="134"/>
      <c r="K30" s="134"/>
      <c r="L30" s="134"/>
      <c r="M30" s="134"/>
      <c r="N30" s="134"/>
      <c r="O30" s="134"/>
      <c r="P30" s="134"/>
      <c r="Q30" s="134"/>
    </row>
    <row r="31" spans="2:28" x14ac:dyDescent="0.25">
      <c r="B31" s="135">
        <v>9</v>
      </c>
      <c r="C31" s="134" t="s">
        <v>92</v>
      </c>
      <c r="D31" s="134"/>
      <c r="E31" s="134"/>
      <c r="F31" s="134"/>
      <c r="G31" s="134"/>
      <c r="H31" s="134"/>
      <c r="I31" s="134"/>
      <c r="J31" s="134"/>
      <c r="K31" s="134"/>
      <c r="L31" s="134"/>
      <c r="M31" s="134"/>
      <c r="N31" s="134"/>
      <c r="O31" s="134"/>
      <c r="P31" s="134"/>
      <c r="Q31" s="134"/>
    </row>
    <row r="32" spans="2:28" x14ac:dyDescent="0.25">
      <c r="B32" s="135">
        <v>10</v>
      </c>
      <c r="C32" s="53" t="s">
        <v>93</v>
      </c>
    </row>
    <row r="33" spans="2:20" x14ac:dyDescent="0.25">
      <c r="B33" s="135">
        <v>11</v>
      </c>
      <c r="C33" s="53" t="s">
        <v>115</v>
      </c>
    </row>
    <row r="34" spans="2:20" ht="15.6" x14ac:dyDescent="0.3">
      <c r="B34" s="137"/>
      <c r="C34" s="5"/>
      <c r="D34" s="5"/>
      <c r="E34" s="5"/>
      <c r="F34" s="5"/>
    </row>
    <row r="35" spans="2:20" ht="15.6" x14ac:dyDescent="0.3">
      <c r="B35" s="137"/>
      <c r="C35" s="5"/>
      <c r="D35" s="5"/>
      <c r="E35" s="5"/>
      <c r="F35" s="5"/>
    </row>
    <row r="37" spans="2:20" x14ac:dyDescent="0.25">
      <c r="F37" s="120"/>
      <c r="G37" s="138"/>
      <c r="H37" s="138"/>
      <c r="I37" s="138"/>
      <c r="J37" s="138"/>
      <c r="K37" s="138"/>
      <c r="L37" s="138"/>
      <c r="M37" s="138"/>
      <c r="N37" s="138"/>
      <c r="O37" s="138"/>
      <c r="P37" s="138"/>
      <c r="Q37" s="138"/>
      <c r="R37" s="138"/>
      <c r="S37" s="138"/>
      <c r="T37" s="138"/>
    </row>
    <row r="38" spans="2:20" x14ac:dyDescent="0.25">
      <c r="G38" s="138"/>
      <c r="H38" s="138"/>
      <c r="I38" s="138"/>
      <c r="J38" s="138"/>
      <c r="K38" s="138"/>
      <c r="L38" s="138"/>
      <c r="M38" s="138"/>
      <c r="N38" s="138"/>
      <c r="O38" s="138"/>
      <c r="P38" s="138"/>
      <c r="Q38" s="138"/>
      <c r="R38" s="138"/>
      <c r="S38" s="138"/>
      <c r="T38" s="138"/>
    </row>
    <row r="39" spans="2:20" x14ac:dyDescent="0.25">
      <c r="F39" s="120"/>
      <c r="G39" s="120"/>
      <c r="H39" s="120"/>
      <c r="I39" s="120"/>
      <c r="J39" s="120"/>
      <c r="K39" s="120"/>
      <c r="L39" s="120"/>
      <c r="M39" s="120"/>
      <c r="N39" s="120"/>
      <c r="O39" s="120"/>
      <c r="P39" s="120"/>
      <c r="Q39" s="120"/>
      <c r="R39" s="120"/>
      <c r="S39" s="120"/>
      <c r="T39" s="120"/>
    </row>
    <row r="40" spans="2:20" x14ac:dyDescent="0.25">
      <c r="D40" s="130"/>
    </row>
  </sheetData>
  <phoneticPr fontId="7"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election activeCell="F5" sqref="F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15" t="s">
        <v>94</v>
      </c>
      <c r="D2" s="215"/>
      <c r="E2" s="215"/>
      <c r="F2" s="215"/>
      <c r="G2" s="215"/>
      <c r="H2" s="215"/>
      <c r="I2" s="215"/>
      <c r="J2" s="215"/>
      <c r="K2" s="215"/>
      <c r="L2" s="215"/>
    </row>
    <row r="3" spans="2:30" ht="15.6" x14ac:dyDescent="0.3">
      <c r="C3" s="42" t="s">
        <v>47</v>
      </c>
    </row>
    <row r="4" spans="2:30" s="111" customFormat="1" ht="45" x14ac:dyDescent="0.25">
      <c r="B4" s="110"/>
      <c r="C4" s="145" t="s">
        <v>0</v>
      </c>
      <c r="D4" s="145"/>
      <c r="E4" s="145" t="s">
        <v>1</v>
      </c>
      <c r="F4" s="145" t="s">
        <v>2</v>
      </c>
      <c r="G4" s="145" t="s">
        <v>3</v>
      </c>
      <c r="H4" s="145" t="s">
        <v>4</v>
      </c>
      <c r="I4" s="145" t="s">
        <v>5</v>
      </c>
      <c r="J4" s="145" t="s">
        <v>6</v>
      </c>
      <c r="K4" s="145" t="s">
        <v>7</v>
      </c>
      <c r="L4" s="146" t="s">
        <v>14</v>
      </c>
      <c r="M4" s="146"/>
    </row>
    <row r="5" spans="2:30" x14ac:dyDescent="0.25">
      <c r="C5" s="148"/>
      <c r="D5" s="149"/>
      <c r="E5" s="150">
        <v>10</v>
      </c>
      <c r="F5" s="304">
        <f>+'Capacity Delivered'!$H$5</f>
        <v>0.16</v>
      </c>
      <c r="G5" s="151" t="s">
        <v>8</v>
      </c>
      <c r="H5" s="152">
        <f>'Electric EES CE Std Energy'!D18</f>
        <v>2.2001125877428761E-2</v>
      </c>
      <c r="I5" s="153">
        <f>'Wind Avoided Capacity Calcs'!X16</f>
        <v>9.4484384867019027E-3</v>
      </c>
      <c r="J5" s="153">
        <f>H5+I5</f>
        <v>3.1449564364130662E-2</v>
      </c>
      <c r="K5" s="154">
        <f>J5</f>
        <v>3.1449564364130662E-2</v>
      </c>
      <c r="L5" s="155">
        <f>K5*1000</f>
        <v>31.449564364130662</v>
      </c>
      <c r="M5" s="139"/>
    </row>
    <row r="6" spans="2:30" ht="15.6" x14ac:dyDescent="0.3">
      <c r="C6" s="147"/>
      <c r="D6" s="147"/>
      <c r="E6" s="114"/>
      <c r="F6" s="114"/>
      <c r="G6" s="114"/>
      <c r="H6" s="32">
        <f>H5*1000</f>
        <v>22.001125877428763</v>
      </c>
      <c r="I6" s="32">
        <f t="shared" ref="I6:K6" si="0">I5*1000</f>
        <v>9.4484384867019031</v>
      </c>
      <c r="J6" s="32">
        <f t="shared" si="0"/>
        <v>31.449564364130662</v>
      </c>
      <c r="K6" s="32">
        <f t="shared" si="0"/>
        <v>31.449564364130662</v>
      </c>
      <c r="L6" s="116">
        <f>L5*(1-M6)</f>
        <v>30.506077433206741</v>
      </c>
      <c r="M6" s="245">
        <v>0.03</v>
      </c>
      <c r="N6" s="117" t="s">
        <v>41</v>
      </c>
    </row>
    <row r="7" spans="2:30" x14ac:dyDescent="0.25">
      <c r="C7" s="118"/>
      <c r="D7" s="115"/>
      <c r="H7" s="40"/>
      <c r="I7" s="113"/>
      <c r="J7" s="40"/>
      <c r="K7" s="113"/>
      <c r="L7" s="113"/>
      <c r="M7" s="114"/>
    </row>
    <row r="8" spans="2:30" ht="15.6" x14ac:dyDescent="0.3">
      <c r="C8" s="114"/>
      <c r="D8" s="114"/>
      <c r="E8" s="114"/>
      <c r="F8" s="114"/>
      <c r="G8" s="114"/>
      <c r="H8" s="119"/>
      <c r="I8" s="119"/>
      <c r="J8" s="119"/>
      <c r="K8" s="119"/>
      <c r="L8" s="119"/>
      <c r="M8" s="119"/>
      <c r="N8" s="119"/>
      <c r="O8" s="119"/>
      <c r="P8" s="119"/>
      <c r="Q8" s="119"/>
      <c r="R8" s="119"/>
      <c r="U8" s="120"/>
      <c r="V8" s="120"/>
      <c r="X8" s="202" t="s">
        <v>84</v>
      </c>
      <c r="Y8" s="120"/>
      <c r="Z8" s="120"/>
      <c r="AA8" s="120"/>
      <c r="AB8" s="120"/>
    </row>
    <row r="9" spans="2:30" x14ac:dyDescent="0.25">
      <c r="C9" s="121" t="s">
        <v>9</v>
      </c>
      <c r="D9" s="121"/>
      <c r="E9" s="121"/>
      <c r="F9" s="122">
        <f>+L6</f>
        <v>30.506077433206741</v>
      </c>
      <c r="G9" s="122">
        <f t="shared" ref="G9:O9" si="1">F9</f>
        <v>30.506077433206741</v>
      </c>
      <c r="H9" s="122">
        <f t="shared" si="1"/>
        <v>30.506077433206741</v>
      </c>
      <c r="I9" s="122">
        <f t="shared" si="1"/>
        <v>30.506077433206741</v>
      </c>
      <c r="J9" s="122">
        <f t="shared" si="1"/>
        <v>30.506077433206741</v>
      </c>
      <c r="K9" s="122">
        <f t="shared" si="1"/>
        <v>30.506077433206741</v>
      </c>
      <c r="L9" s="122">
        <f t="shared" si="1"/>
        <v>30.506077433206741</v>
      </c>
      <c r="M9" s="122">
        <f t="shared" si="1"/>
        <v>30.506077433206741</v>
      </c>
      <c r="N9" s="122">
        <f t="shared" si="1"/>
        <v>30.506077433206741</v>
      </c>
      <c r="O9" s="122">
        <f t="shared" si="1"/>
        <v>30.506077433206741</v>
      </c>
      <c r="P9" s="119"/>
      <c r="Q9" s="119"/>
      <c r="R9" s="119"/>
      <c r="U9" s="120"/>
      <c r="V9" s="40"/>
      <c r="X9" s="201">
        <f>NPV(Rate_of_Return,F9:O9)</f>
        <v>210.45199179448036</v>
      </c>
      <c r="Y9" s="201">
        <f>-PMT(Rate_of_Return,$E$5,X9)</f>
        <v>30.506077433206734</v>
      </c>
      <c r="Z9" s="40"/>
      <c r="AA9" s="40"/>
    </row>
    <row r="10" spans="2:30" x14ac:dyDescent="0.25">
      <c r="C10" s="114"/>
      <c r="D10" s="114"/>
      <c r="E10" s="114"/>
      <c r="F10" s="123"/>
      <c r="G10" s="123"/>
      <c r="H10" s="123"/>
      <c r="I10" s="123"/>
      <c r="J10" s="123"/>
      <c r="K10" s="123"/>
      <c r="L10" s="123"/>
      <c r="M10" s="123"/>
      <c r="N10" s="123"/>
      <c r="O10" s="123"/>
      <c r="P10" s="119"/>
      <c r="Q10" s="119"/>
      <c r="R10" s="119"/>
      <c r="U10" s="120"/>
      <c r="V10" s="40"/>
      <c r="X10" s="32"/>
      <c r="Y10" s="32"/>
      <c r="Z10" s="40"/>
      <c r="AA10" s="40"/>
    </row>
    <row r="11" spans="2:30" x14ac:dyDescent="0.25">
      <c r="C11" s="53" t="s">
        <v>63</v>
      </c>
      <c r="F11" s="210">
        <v>1</v>
      </c>
      <c r="G11" s="210">
        <v>2</v>
      </c>
      <c r="H11" s="210">
        <v>3</v>
      </c>
      <c r="I11" s="210">
        <v>4</v>
      </c>
      <c r="J11" s="210">
        <v>5</v>
      </c>
      <c r="K11" s="210">
        <v>6</v>
      </c>
      <c r="L11" s="210">
        <v>7</v>
      </c>
      <c r="M11" s="210">
        <v>8</v>
      </c>
      <c r="N11" s="210">
        <v>9</v>
      </c>
      <c r="O11" s="210">
        <v>10</v>
      </c>
      <c r="P11" s="210">
        <v>11</v>
      </c>
      <c r="Q11" s="210">
        <v>12</v>
      </c>
      <c r="R11" s="119"/>
      <c r="U11" s="120"/>
      <c r="V11" s="40"/>
      <c r="X11" s="40"/>
      <c r="Y11" s="40"/>
      <c r="Z11" s="40"/>
      <c r="AA11" s="40"/>
    </row>
    <row r="12" spans="2:30" ht="15.6" x14ac:dyDescent="0.3">
      <c r="C12" s="114"/>
      <c r="D12" s="112"/>
      <c r="E12" s="114"/>
      <c r="F12" s="124">
        <f>'Energy Prices'!$C$6</f>
        <v>2020</v>
      </c>
      <c r="G12" s="124">
        <f>F12+1</f>
        <v>2021</v>
      </c>
      <c r="H12" s="124">
        <f>G12+1</f>
        <v>2022</v>
      </c>
      <c r="I12" s="124">
        <f t="shared" ref="I12:O12" si="2">H12+1</f>
        <v>2023</v>
      </c>
      <c r="J12" s="124">
        <f t="shared" si="2"/>
        <v>2024</v>
      </c>
      <c r="K12" s="124">
        <f t="shared" si="2"/>
        <v>2025</v>
      </c>
      <c r="L12" s="124">
        <f t="shared" si="2"/>
        <v>2026</v>
      </c>
      <c r="M12" s="124">
        <f t="shared" si="2"/>
        <v>2027</v>
      </c>
      <c r="N12" s="124">
        <f t="shared" si="2"/>
        <v>2028</v>
      </c>
      <c r="O12" s="124">
        <f t="shared" si="2"/>
        <v>2029</v>
      </c>
      <c r="P12" s="124">
        <f>O12+1</f>
        <v>2030</v>
      </c>
      <c r="Q12" s="124">
        <f>P12+1</f>
        <v>2031</v>
      </c>
      <c r="R12" s="119"/>
      <c r="U12" s="120"/>
      <c r="V12" s="208"/>
      <c r="X12" s="202" t="s">
        <v>84</v>
      </c>
      <c r="Y12" s="32"/>
      <c r="Z12" s="120"/>
      <c r="AA12" s="120"/>
    </row>
    <row r="13" spans="2:30" ht="52.95" customHeight="1" x14ac:dyDescent="0.25">
      <c r="B13" s="114"/>
      <c r="C13" s="212" t="s">
        <v>87</v>
      </c>
      <c r="D13" s="114"/>
      <c r="F13" s="156">
        <f t="shared" ref="F13:O13" si="3">F$9*F$20</f>
        <v>27.625673949667391</v>
      </c>
      <c r="G13" s="157">
        <f t="shared" si="3"/>
        <v>28.316315798409072</v>
      </c>
      <c r="H13" s="158">
        <f t="shared" si="3"/>
        <v>29.024223693369294</v>
      </c>
      <c r="I13" s="158">
        <f t="shared" si="3"/>
        <v>29.749829285703523</v>
      </c>
      <c r="J13" s="158">
        <f t="shared" si="3"/>
        <v>30.493575017846112</v>
      </c>
      <c r="K13" s="158">
        <f t="shared" si="3"/>
        <v>31.255914393292262</v>
      </c>
      <c r="L13" s="158">
        <f t="shared" si="3"/>
        <v>32.037312253124568</v>
      </c>
      <c r="M13" s="158">
        <f t="shared" si="3"/>
        <v>32.838245059452667</v>
      </c>
      <c r="N13" s="158">
        <f t="shared" si="3"/>
        <v>33.65920118593899</v>
      </c>
      <c r="O13" s="158">
        <f t="shared" si="3"/>
        <v>34.500681215587456</v>
      </c>
      <c r="P13" s="207">
        <f>O13*1.025</f>
        <v>35.363198245977138</v>
      </c>
      <c r="Q13" s="207">
        <f>P13*1.025</f>
        <v>36.247278202126566</v>
      </c>
      <c r="R13" s="119"/>
      <c r="U13" s="120"/>
      <c r="V13" s="126"/>
      <c r="X13" s="201">
        <f>NPV(Rate_of_Return,F13:O13)</f>
        <v>210.45199179448048</v>
      </c>
      <c r="Y13" s="201">
        <f>-PMT(Rate_of_Return,$E$5,X13)</f>
        <v>30.506077433206748</v>
      </c>
      <c r="Z13" s="126"/>
      <c r="AA13" s="126"/>
      <c r="AD13" s="127"/>
    </row>
    <row r="14" spans="2:30" x14ac:dyDescent="0.25">
      <c r="C14" s="125"/>
      <c r="E14" s="128"/>
      <c r="F14" s="126"/>
      <c r="G14" s="126"/>
      <c r="H14" s="126"/>
      <c r="I14" s="126"/>
      <c r="J14" s="126"/>
      <c r="K14" s="126"/>
      <c r="L14" s="126"/>
      <c r="M14" s="126"/>
      <c r="N14" s="126"/>
      <c r="O14" s="126"/>
      <c r="P14" s="119"/>
      <c r="Q14" s="119"/>
      <c r="R14" s="119"/>
      <c r="U14" s="120"/>
      <c r="V14" s="126"/>
      <c r="X14" s="120"/>
      <c r="Y14" s="120"/>
      <c r="Z14" s="120"/>
      <c r="AA14" s="120"/>
      <c r="AB14" s="120"/>
    </row>
    <row r="15" spans="2:30" x14ac:dyDescent="0.25">
      <c r="C15" s="129"/>
      <c r="E15" s="128"/>
      <c r="F15" s="126"/>
      <c r="G15" s="126"/>
      <c r="H15" s="126"/>
      <c r="I15" s="126"/>
      <c r="J15" s="126"/>
      <c r="K15" s="126"/>
      <c r="L15" s="126"/>
      <c r="M15" s="126"/>
      <c r="N15" s="126"/>
      <c r="O15" s="126"/>
      <c r="P15" s="119"/>
      <c r="Q15" s="119"/>
      <c r="R15" s="119"/>
      <c r="U15" s="120"/>
      <c r="V15" s="126"/>
      <c r="X15" s="120"/>
      <c r="Y15" s="120"/>
      <c r="Z15" s="120"/>
      <c r="AA15" s="120"/>
      <c r="AB15" s="120"/>
    </row>
    <row r="16" spans="2:30" x14ac:dyDescent="0.25">
      <c r="C16" s="53" t="s">
        <v>10</v>
      </c>
      <c r="P16" s="119"/>
      <c r="Q16" s="119"/>
      <c r="R16" s="119"/>
      <c r="U16" s="120"/>
    </row>
    <row r="17" spans="2:27" x14ac:dyDescent="0.25">
      <c r="P17" s="119"/>
      <c r="Q17" s="119"/>
      <c r="R17" s="119"/>
      <c r="U17" s="120"/>
    </row>
    <row r="18" spans="2:27" ht="15.6" x14ac:dyDescent="0.3">
      <c r="C18" s="114"/>
      <c r="D18" s="114"/>
      <c r="E18" s="114"/>
      <c r="F18" s="114"/>
      <c r="G18" s="114"/>
      <c r="H18" s="114"/>
      <c r="I18" s="114"/>
      <c r="J18" s="114"/>
      <c r="K18" s="114"/>
      <c r="L18" s="114"/>
      <c r="M18" s="114"/>
      <c r="N18" s="114"/>
      <c r="O18" s="114"/>
      <c r="P18" s="119"/>
      <c r="Q18" s="119"/>
      <c r="R18" s="119"/>
      <c r="U18" s="120"/>
      <c r="X18" s="202" t="s">
        <v>84</v>
      </c>
      <c r="Y18" s="114"/>
    </row>
    <row r="19" spans="2:27" x14ac:dyDescent="0.25">
      <c r="C19" s="121" t="s">
        <v>11</v>
      </c>
      <c r="D19" s="121"/>
      <c r="E19" s="121"/>
      <c r="F19" s="140">
        <v>100</v>
      </c>
      <c r="G19" s="140">
        <f t="shared" ref="G19:O19" si="4">F19*1.025</f>
        <v>102.49999999999999</v>
      </c>
      <c r="H19" s="140">
        <f t="shared" si="4"/>
        <v>105.06249999999997</v>
      </c>
      <c r="I19" s="140">
        <f t="shared" si="4"/>
        <v>107.68906249999996</v>
      </c>
      <c r="J19" s="140">
        <f t="shared" si="4"/>
        <v>110.38128906249996</v>
      </c>
      <c r="K19" s="140">
        <f t="shared" si="4"/>
        <v>113.14082128906244</v>
      </c>
      <c r="L19" s="140">
        <f>K19*1.025</f>
        <v>115.96934182128899</v>
      </c>
      <c r="M19" s="140">
        <f t="shared" si="4"/>
        <v>118.8685753668212</v>
      </c>
      <c r="N19" s="140">
        <f t="shared" si="4"/>
        <v>121.84028975099173</v>
      </c>
      <c r="O19" s="140">
        <f t="shared" si="4"/>
        <v>124.88629699476651</v>
      </c>
      <c r="P19" s="119"/>
      <c r="Q19" s="119"/>
      <c r="R19" s="119"/>
      <c r="U19" s="120"/>
      <c r="V19" s="130"/>
      <c r="X19" s="201">
        <f>NPV(Rate_of_Return,F19:O19)</f>
        <v>761.7985797483658</v>
      </c>
      <c r="Y19" s="201">
        <f>-PMT(Rate_of_Return,$E$5,X19)</f>
        <v>110.42654557057071</v>
      </c>
      <c r="Z19" s="120"/>
      <c r="AA19" s="120"/>
    </row>
    <row r="20" spans="2:27" x14ac:dyDescent="0.25">
      <c r="C20" s="143" t="s">
        <v>12</v>
      </c>
      <c r="D20" s="143"/>
      <c r="E20" s="143"/>
      <c r="F20" s="144">
        <f t="shared" ref="F20:O20" si="5">F19/$Y$19</f>
        <v>0.90557935579079241</v>
      </c>
      <c r="G20" s="144">
        <f t="shared" si="5"/>
        <v>0.92821883968556207</v>
      </c>
      <c r="H20" s="144">
        <f t="shared" si="5"/>
        <v>0.95142431067770095</v>
      </c>
      <c r="I20" s="144">
        <f t="shared" si="5"/>
        <v>0.97520991844464344</v>
      </c>
      <c r="J20" s="144">
        <f t="shared" si="5"/>
        <v>0.99959016640575948</v>
      </c>
      <c r="K20" s="144">
        <f t="shared" si="5"/>
        <v>1.0245799205659034</v>
      </c>
      <c r="L20" s="144">
        <f t="shared" si="5"/>
        <v>1.0501944185800509</v>
      </c>
      <c r="M20" s="144">
        <f t="shared" si="5"/>
        <v>1.0764492790445519</v>
      </c>
      <c r="N20" s="144">
        <f t="shared" si="5"/>
        <v>1.1033605110206657</v>
      </c>
      <c r="O20" s="144">
        <f t="shared" si="5"/>
        <v>1.1309445237961822</v>
      </c>
      <c r="P20" s="119"/>
      <c r="Q20" s="119"/>
      <c r="R20" s="119"/>
      <c r="U20" s="120"/>
      <c r="V20" s="131"/>
      <c r="X20" s="201">
        <f>NPV(Rate_of_Return,F20:O20)</f>
        <v>6.8986906709086568</v>
      </c>
      <c r="Y20" s="201">
        <f>-PMT(Rate_of_Return,$E$5,X20)</f>
        <v>1.0000000000000002</v>
      </c>
      <c r="Z20" s="120"/>
      <c r="AA20" s="120"/>
    </row>
    <row r="21" spans="2:27" x14ac:dyDescent="0.25">
      <c r="C21" s="114"/>
      <c r="D21" s="114"/>
      <c r="E21" s="141"/>
      <c r="F21" s="141"/>
      <c r="G21" s="141"/>
      <c r="H21" s="141"/>
      <c r="I21" s="141"/>
      <c r="J21" s="141"/>
      <c r="K21" s="141"/>
      <c r="L21" s="141"/>
      <c r="M21" s="142"/>
      <c r="N21" s="142"/>
      <c r="O21" s="142"/>
      <c r="P21" s="142"/>
      <c r="Q21" s="142"/>
      <c r="R21" s="142"/>
      <c r="S21" s="142"/>
      <c r="T21" s="142"/>
      <c r="W21" s="114"/>
      <c r="X21" s="114"/>
    </row>
    <row r="22" spans="2:27" x14ac:dyDescent="0.25">
      <c r="B22" s="132" t="s">
        <v>13</v>
      </c>
      <c r="C22" s="133"/>
      <c r="D22" s="134"/>
      <c r="E22" s="134"/>
      <c r="F22" s="134"/>
      <c r="G22" s="134"/>
      <c r="H22" s="134"/>
      <c r="I22" s="134"/>
      <c r="J22" s="134"/>
      <c r="K22" s="134"/>
      <c r="L22" s="134"/>
      <c r="M22" s="134"/>
      <c r="N22" s="134"/>
      <c r="O22" s="134"/>
      <c r="Y22" s="129"/>
    </row>
    <row r="23" spans="2:27" x14ac:dyDescent="0.25">
      <c r="B23" s="135">
        <v>1</v>
      </c>
      <c r="C23" s="301" t="s">
        <v>141</v>
      </c>
      <c r="D23" s="134"/>
      <c r="E23" s="134"/>
      <c r="F23" s="134"/>
      <c r="G23" s="134"/>
      <c r="H23" s="134"/>
      <c r="I23" s="134"/>
      <c r="J23" s="134"/>
      <c r="K23" s="134"/>
      <c r="L23" s="134"/>
      <c r="M23" s="134"/>
      <c r="N23" s="134"/>
      <c r="O23" s="134"/>
      <c r="Y23" s="125"/>
    </row>
    <row r="24" spans="2:27" x14ac:dyDescent="0.25">
      <c r="B24" s="135">
        <v>2</v>
      </c>
      <c r="C24" s="134" t="s">
        <v>119</v>
      </c>
      <c r="D24" s="134"/>
      <c r="E24" s="134"/>
      <c r="F24" s="134"/>
      <c r="G24" s="134"/>
      <c r="H24" s="134"/>
      <c r="I24" s="134"/>
      <c r="J24" s="134"/>
      <c r="K24" s="134"/>
      <c r="L24" s="134"/>
      <c r="M24" s="134"/>
      <c r="N24" s="134"/>
      <c r="O24" s="134"/>
      <c r="Y24" s="126"/>
    </row>
    <row r="25" spans="2:27" x14ac:dyDescent="0.25">
      <c r="B25" s="135">
        <v>3</v>
      </c>
      <c r="C25" s="134" t="s">
        <v>49</v>
      </c>
      <c r="D25" s="134"/>
      <c r="E25" s="134"/>
      <c r="F25" s="134"/>
      <c r="G25" s="134"/>
      <c r="H25" s="134"/>
      <c r="I25" s="134"/>
      <c r="J25" s="134"/>
      <c r="K25" s="134"/>
      <c r="L25" s="134"/>
      <c r="M25" s="134"/>
      <c r="N25" s="134"/>
      <c r="O25" s="134"/>
      <c r="Y25" s="136"/>
    </row>
    <row r="26" spans="2:27" x14ac:dyDescent="0.25">
      <c r="B26" s="135">
        <v>4</v>
      </c>
      <c r="C26" s="134" t="s">
        <v>120</v>
      </c>
      <c r="D26" s="134"/>
      <c r="E26" s="134"/>
      <c r="F26" s="134"/>
      <c r="G26" s="134"/>
      <c r="H26" s="134"/>
      <c r="I26" s="134"/>
      <c r="J26" s="134"/>
      <c r="K26" s="134"/>
      <c r="L26" s="134"/>
      <c r="M26" s="134"/>
      <c r="N26" s="134"/>
      <c r="O26" s="134"/>
      <c r="Y26" s="136"/>
    </row>
    <row r="27" spans="2:27" x14ac:dyDescent="0.25">
      <c r="B27" s="135">
        <v>5</v>
      </c>
      <c r="C27" s="134" t="s">
        <v>89</v>
      </c>
      <c r="D27" s="134"/>
      <c r="E27" s="134"/>
      <c r="F27" s="134"/>
      <c r="G27" s="134"/>
      <c r="H27" s="134"/>
      <c r="I27" s="134"/>
      <c r="J27" s="134"/>
      <c r="K27" s="134"/>
      <c r="L27" s="134"/>
      <c r="M27" s="134"/>
      <c r="N27" s="134"/>
      <c r="O27" s="134"/>
      <c r="Y27" s="125"/>
    </row>
    <row r="28" spans="2:27" x14ac:dyDescent="0.25">
      <c r="B28" s="135">
        <v>6</v>
      </c>
      <c r="C28" s="134" t="s">
        <v>90</v>
      </c>
      <c r="D28" s="134"/>
      <c r="E28" s="134"/>
      <c r="F28" s="134"/>
      <c r="G28" s="134"/>
      <c r="H28" s="134"/>
      <c r="I28" s="134"/>
      <c r="J28" s="134"/>
      <c r="K28" s="134"/>
      <c r="L28" s="134"/>
      <c r="M28" s="134"/>
      <c r="N28" s="134"/>
      <c r="O28" s="134"/>
      <c r="Y28" s="126"/>
    </row>
    <row r="29" spans="2:27" x14ac:dyDescent="0.25">
      <c r="B29" s="135">
        <v>7</v>
      </c>
      <c r="C29" s="134" t="s">
        <v>91</v>
      </c>
      <c r="D29" s="134"/>
      <c r="E29" s="134"/>
      <c r="F29" s="134"/>
      <c r="G29" s="134"/>
      <c r="H29" s="134"/>
      <c r="I29" s="134"/>
      <c r="J29" s="134"/>
      <c r="K29" s="134"/>
      <c r="L29" s="134"/>
      <c r="M29" s="134"/>
      <c r="N29" s="134"/>
      <c r="O29" s="134"/>
      <c r="P29" s="134"/>
      <c r="Q29" s="134"/>
    </row>
    <row r="30" spans="2:27" x14ac:dyDescent="0.25">
      <c r="B30" s="135">
        <v>8</v>
      </c>
      <c r="C30" s="134" t="s">
        <v>58</v>
      </c>
      <c r="D30" s="134"/>
      <c r="E30" s="134"/>
      <c r="F30" s="134"/>
      <c r="G30" s="134"/>
      <c r="H30" s="134"/>
      <c r="I30" s="134"/>
      <c r="J30" s="134"/>
      <c r="K30" s="134"/>
      <c r="L30" s="134"/>
      <c r="M30" s="134"/>
      <c r="N30" s="134"/>
      <c r="O30" s="134"/>
      <c r="P30" s="134"/>
      <c r="Q30" s="134"/>
    </row>
    <row r="31" spans="2:27" x14ac:dyDescent="0.25">
      <c r="B31" s="135">
        <v>9</v>
      </c>
      <c r="C31" s="134" t="s">
        <v>92</v>
      </c>
      <c r="D31" s="134"/>
      <c r="E31" s="134"/>
      <c r="F31" s="134"/>
      <c r="G31" s="134"/>
      <c r="H31" s="134"/>
      <c r="I31" s="134"/>
      <c r="J31" s="134"/>
      <c r="K31" s="134"/>
      <c r="L31" s="134"/>
      <c r="M31" s="134"/>
      <c r="N31" s="134"/>
      <c r="O31" s="134"/>
      <c r="P31" s="134"/>
      <c r="Q31" s="134"/>
    </row>
    <row r="32" spans="2:27" x14ac:dyDescent="0.25">
      <c r="B32" s="135">
        <v>10</v>
      </c>
      <c r="C32" s="53" t="s">
        <v>93</v>
      </c>
    </row>
    <row r="33" spans="2:20" x14ac:dyDescent="0.25">
      <c r="B33" s="135">
        <v>11</v>
      </c>
      <c r="C33" s="53" t="s">
        <v>115</v>
      </c>
    </row>
    <row r="34" spans="2:20" ht="15.6" x14ac:dyDescent="0.3">
      <c r="B34" s="137"/>
      <c r="C34" s="5"/>
      <c r="D34" s="5"/>
      <c r="E34" s="5"/>
      <c r="F34" s="5"/>
    </row>
    <row r="35" spans="2:20" ht="15.6" x14ac:dyDescent="0.3">
      <c r="B35" s="137"/>
      <c r="C35" s="209"/>
      <c r="D35" s="5"/>
      <c r="E35" s="5"/>
      <c r="F35" s="5"/>
    </row>
    <row r="37" spans="2:20" x14ac:dyDescent="0.25">
      <c r="F37" s="120"/>
      <c r="G37" s="138"/>
      <c r="H37" s="138"/>
      <c r="I37" s="138"/>
      <c r="J37" s="138"/>
      <c r="K37" s="138"/>
      <c r="L37" s="138"/>
      <c r="M37" s="138"/>
      <c r="N37" s="138"/>
      <c r="O37" s="138"/>
      <c r="P37" s="138"/>
      <c r="Q37" s="138"/>
      <c r="R37" s="138"/>
      <c r="S37" s="138"/>
      <c r="T37" s="138"/>
    </row>
    <row r="38" spans="2:20" x14ac:dyDescent="0.25">
      <c r="G38" s="138"/>
      <c r="H38" s="138"/>
      <c r="I38" s="138"/>
      <c r="J38" s="138"/>
      <c r="K38" s="138"/>
      <c r="L38" s="138"/>
      <c r="M38" s="138"/>
      <c r="N38" s="138"/>
      <c r="O38" s="138"/>
      <c r="P38" s="138"/>
      <c r="Q38" s="138"/>
      <c r="R38" s="138"/>
      <c r="S38" s="138"/>
      <c r="T38" s="138"/>
    </row>
    <row r="39" spans="2:20" x14ac:dyDescent="0.25">
      <c r="F39" s="120"/>
      <c r="G39" s="120"/>
      <c r="H39" s="120"/>
      <c r="I39" s="120"/>
      <c r="J39" s="120"/>
      <c r="K39" s="120"/>
      <c r="L39" s="120"/>
      <c r="M39" s="120"/>
      <c r="N39" s="120"/>
      <c r="O39" s="120"/>
      <c r="P39" s="120"/>
      <c r="Q39" s="120"/>
      <c r="R39" s="120"/>
      <c r="S39" s="120"/>
      <c r="T39" s="120"/>
    </row>
    <row r="40" spans="2:20" x14ac:dyDescent="0.25">
      <c r="D40" s="130"/>
    </row>
  </sheetData>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election activeCell="F5" sqref="F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15" t="s">
        <v>94</v>
      </c>
      <c r="D2" s="215"/>
      <c r="E2" s="215"/>
      <c r="F2" s="215"/>
      <c r="G2" s="215"/>
      <c r="H2" s="215"/>
      <c r="I2" s="215"/>
      <c r="J2" s="215"/>
      <c r="K2" s="215"/>
      <c r="L2" s="215"/>
    </row>
    <row r="3" spans="2:31" ht="15.6" x14ac:dyDescent="0.3">
      <c r="C3" s="42" t="s">
        <v>47</v>
      </c>
    </row>
    <row r="4" spans="2:31" s="111" customFormat="1" ht="45" x14ac:dyDescent="0.25">
      <c r="B4" s="110"/>
      <c r="C4" s="145" t="s">
        <v>0</v>
      </c>
      <c r="D4" s="145"/>
      <c r="E4" s="145" t="s">
        <v>1</v>
      </c>
      <c r="F4" s="145" t="s">
        <v>2</v>
      </c>
      <c r="G4" s="145" t="s">
        <v>3</v>
      </c>
      <c r="H4" s="145" t="s">
        <v>4</v>
      </c>
      <c r="I4" s="145" t="s">
        <v>5</v>
      </c>
      <c r="J4" s="145" t="s">
        <v>6</v>
      </c>
      <c r="K4" s="145" t="s">
        <v>7</v>
      </c>
      <c r="L4" s="146" t="s">
        <v>14</v>
      </c>
      <c r="M4" s="146"/>
    </row>
    <row r="5" spans="2:31" x14ac:dyDescent="0.25">
      <c r="C5" s="148"/>
      <c r="D5" s="149"/>
      <c r="E5" s="150">
        <v>15</v>
      </c>
      <c r="F5" s="304">
        <f>+'Capacity Delivered'!$H$5</f>
        <v>0.16</v>
      </c>
      <c r="G5" s="151" t="s">
        <v>8</v>
      </c>
      <c r="H5" s="152">
        <f>'Electric EES CE Std Energy'!D23</f>
        <v>2.2999689199971914E-2</v>
      </c>
      <c r="I5" s="153">
        <f>'Wind Avoided Capacity Calcs'!X21</f>
        <v>9.6196185523768178E-3</v>
      </c>
      <c r="J5" s="153">
        <f>H5+I5</f>
        <v>3.2619307752348732E-2</v>
      </c>
      <c r="K5" s="154">
        <f>J5</f>
        <v>3.2619307752348732E-2</v>
      </c>
      <c r="L5" s="155">
        <f>K5*1000</f>
        <v>32.619307752348732</v>
      </c>
      <c r="M5" s="139"/>
    </row>
    <row r="6" spans="2:31" ht="15.6" x14ac:dyDescent="0.3">
      <c r="C6" s="147"/>
      <c r="D6" s="147"/>
      <c r="E6" s="114"/>
      <c r="F6" s="114"/>
      <c r="G6" s="114"/>
      <c r="H6" s="32">
        <f>H5*1000</f>
        <v>22.999689199971915</v>
      </c>
      <c r="I6" s="32">
        <f t="shared" ref="I6:K6" si="0">I5*1000</f>
        <v>9.6196185523768172</v>
      </c>
      <c r="J6" s="32">
        <f t="shared" si="0"/>
        <v>32.619307752348732</v>
      </c>
      <c r="K6" s="32">
        <f t="shared" si="0"/>
        <v>32.619307752348732</v>
      </c>
      <c r="L6" s="116">
        <f>L5*(1-M6)</f>
        <v>31.640728519778268</v>
      </c>
      <c r="M6" s="245">
        <v>0.03</v>
      </c>
      <c r="N6" s="117" t="s">
        <v>41</v>
      </c>
    </row>
    <row r="7" spans="2:31" x14ac:dyDescent="0.25">
      <c r="C7" s="118"/>
      <c r="D7" s="115"/>
      <c r="H7" s="40"/>
      <c r="I7" s="113"/>
      <c r="J7" s="40"/>
      <c r="K7" s="113"/>
      <c r="L7" s="113"/>
      <c r="M7" s="114"/>
    </row>
    <row r="8" spans="2:31" ht="15.6" x14ac:dyDescent="0.3">
      <c r="C8" s="114"/>
      <c r="D8" s="114"/>
      <c r="E8" s="114"/>
      <c r="F8" s="114"/>
      <c r="G8" s="114"/>
      <c r="H8" s="119"/>
      <c r="I8" s="119"/>
      <c r="J8" s="119"/>
      <c r="K8" s="119"/>
      <c r="L8" s="119"/>
      <c r="M8" s="119"/>
      <c r="N8" s="119"/>
      <c r="O8" s="119"/>
      <c r="P8" s="119"/>
      <c r="Q8" s="119"/>
      <c r="R8" s="119"/>
      <c r="S8" s="119"/>
      <c r="T8" s="119"/>
      <c r="U8" s="120"/>
      <c r="V8" s="120"/>
      <c r="W8" s="120"/>
      <c r="X8" s="202" t="s">
        <v>84</v>
      </c>
      <c r="Y8" s="120"/>
      <c r="Z8" s="120"/>
      <c r="AA8" s="120"/>
      <c r="AB8" s="120"/>
      <c r="AC8" s="120"/>
    </row>
    <row r="9" spans="2:31" x14ac:dyDescent="0.25">
      <c r="C9" s="121" t="s">
        <v>9</v>
      </c>
      <c r="D9" s="121"/>
      <c r="E9" s="121"/>
      <c r="F9" s="122">
        <f>+L6</f>
        <v>31.640728519778268</v>
      </c>
      <c r="G9" s="122">
        <f t="shared" ref="G9:T9" si="1">F9</f>
        <v>31.640728519778268</v>
      </c>
      <c r="H9" s="122">
        <f t="shared" si="1"/>
        <v>31.640728519778268</v>
      </c>
      <c r="I9" s="122">
        <f t="shared" si="1"/>
        <v>31.640728519778268</v>
      </c>
      <c r="J9" s="122">
        <f t="shared" si="1"/>
        <v>31.640728519778268</v>
      </c>
      <c r="K9" s="122">
        <f t="shared" si="1"/>
        <v>31.640728519778268</v>
      </c>
      <c r="L9" s="122">
        <f t="shared" si="1"/>
        <v>31.640728519778268</v>
      </c>
      <c r="M9" s="122">
        <f t="shared" si="1"/>
        <v>31.640728519778268</v>
      </c>
      <c r="N9" s="122">
        <f t="shared" si="1"/>
        <v>31.640728519778268</v>
      </c>
      <c r="O9" s="122">
        <f t="shared" si="1"/>
        <v>31.640728519778268</v>
      </c>
      <c r="P9" s="122">
        <f t="shared" si="1"/>
        <v>31.640728519778268</v>
      </c>
      <c r="Q9" s="122">
        <f t="shared" si="1"/>
        <v>31.640728519778268</v>
      </c>
      <c r="R9" s="122">
        <f t="shared" si="1"/>
        <v>31.640728519778268</v>
      </c>
      <c r="S9" s="122">
        <f t="shared" si="1"/>
        <v>31.640728519778268</v>
      </c>
      <c r="T9" s="122">
        <f t="shared" si="1"/>
        <v>31.640728519778268</v>
      </c>
      <c r="U9" s="40"/>
      <c r="V9" s="40"/>
      <c r="W9" s="40"/>
      <c r="X9" s="201">
        <f>NPV(Rate_of_Return,F9:T9)</f>
        <v>281.21452479040238</v>
      </c>
      <c r="Y9" s="201">
        <f>-PMT(Rate_of_Return,15,X9)</f>
        <v>31.640728519778257</v>
      </c>
      <c r="Z9" s="40"/>
      <c r="AA9" s="40"/>
      <c r="AB9" s="40"/>
    </row>
    <row r="10" spans="2:31" x14ac:dyDescent="0.25">
      <c r="C10" s="114"/>
      <c r="D10" s="114"/>
      <c r="E10" s="114"/>
      <c r="F10" s="123"/>
      <c r="G10" s="123"/>
      <c r="H10" s="123"/>
      <c r="I10" s="123"/>
      <c r="J10" s="123"/>
      <c r="K10" s="123"/>
      <c r="L10" s="123"/>
      <c r="M10" s="123"/>
      <c r="N10" s="123"/>
      <c r="O10" s="123"/>
      <c r="P10" s="123"/>
      <c r="Q10" s="123"/>
      <c r="R10" s="123"/>
      <c r="S10" s="123"/>
      <c r="T10" s="123"/>
      <c r="U10" s="40"/>
      <c r="V10" s="40"/>
      <c r="W10" s="40"/>
      <c r="X10" s="32"/>
      <c r="Y10" s="32"/>
      <c r="Z10" s="40"/>
      <c r="AA10" s="40"/>
      <c r="AB10" s="40"/>
    </row>
    <row r="11" spans="2:31" x14ac:dyDescent="0.25">
      <c r="C11" s="53" t="s">
        <v>63</v>
      </c>
      <c r="F11" s="210">
        <v>1</v>
      </c>
      <c r="G11" s="210">
        <v>2</v>
      </c>
      <c r="H11" s="210">
        <v>3</v>
      </c>
      <c r="I11" s="210">
        <v>4</v>
      </c>
      <c r="J11" s="210">
        <v>5</v>
      </c>
      <c r="K11" s="210">
        <v>6</v>
      </c>
      <c r="L11" s="210">
        <v>7</v>
      </c>
      <c r="M11" s="210">
        <v>8</v>
      </c>
      <c r="N11" s="210">
        <v>9</v>
      </c>
      <c r="O11" s="210">
        <v>10</v>
      </c>
      <c r="P11" s="210">
        <v>11</v>
      </c>
      <c r="Q11" s="210">
        <v>12</v>
      </c>
      <c r="R11" s="210">
        <v>13</v>
      </c>
      <c r="S11" s="210">
        <v>14</v>
      </c>
      <c r="T11" s="210">
        <v>15</v>
      </c>
      <c r="U11" s="210">
        <v>16</v>
      </c>
      <c r="V11" s="210">
        <v>17</v>
      </c>
      <c r="W11" s="40"/>
      <c r="X11" s="40"/>
      <c r="Y11" s="40"/>
      <c r="Z11" s="40"/>
      <c r="AA11" s="40"/>
      <c r="AB11" s="40"/>
    </row>
    <row r="12" spans="2:31" ht="15.6" x14ac:dyDescent="0.3">
      <c r="C12" s="114"/>
      <c r="D12" s="112"/>
      <c r="E12" s="114"/>
      <c r="F12" s="124">
        <f>'Energy Prices'!$C$6</f>
        <v>2020</v>
      </c>
      <c r="G12" s="124">
        <f>F12+1</f>
        <v>2021</v>
      </c>
      <c r="H12" s="124">
        <f>G12+1</f>
        <v>2022</v>
      </c>
      <c r="I12" s="124">
        <f t="shared" ref="I12:T12" si="2">H12+1</f>
        <v>2023</v>
      </c>
      <c r="J12" s="124">
        <f t="shared" si="2"/>
        <v>2024</v>
      </c>
      <c r="K12" s="124">
        <f t="shared" si="2"/>
        <v>2025</v>
      </c>
      <c r="L12" s="124">
        <f t="shared" si="2"/>
        <v>2026</v>
      </c>
      <c r="M12" s="124">
        <f t="shared" si="2"/>
        <v>2027</v>
      </c>
      <c r="N12" s="124">
        <f t="shared" si="2"/>
        <v>2028</v>
      </c>
      <c r="O12" s="124">
        <f t="shared" si="2"/>
        <v>2029</v>
      </c>
      <c r="P12" s="124">
        <f t="shared" si="2"/>
        <v>2030</v>
      </c>
      <c r="Q12" s="124">
        <f t="shared" si="2"/>
        <v>2031</v>
      </c>
      <c r="R12" s="124">
        <f t="shared" si="2"/>
        <v>2032</v>
      </c>
      <c r="S12" s="124">
        <f t="shared" si="2"/>
        <v>2033</v>
      </c>
      <c r="T12" s="124">
        <f t="shared" si="2"/>
        <v>2034</v>
      </c>
      <c r="U12" s="124">
        <f>T12+1</f>
        <v>2035</v>
      </c>
      <c r="V12" s="124">
        <f>U12+1</f>
        <v>2036</v>
      </c>
      <c r="W12" s="208"/>
      <c r="X12" s="202" t="s">
        <v>84</v>
      </c>
      <c r="Y12" s="32"/>
      <c r="Z12" s="120"/>
      <c r="AA12" s="120"/>
      <c r="AB12" s="120"/>
    </row>
    <row r="13" spans="2:31" ht="52.95" customHeight="1" x14ac:dyDescent="0.25">
      <c r="B13" s="114"/>
      <c r="C13" s="212" t="s">
        <v>87</v>
      </c>
      <c r="D13" s="114"/>
      <c r="F13" s="156">
        <f t="shared" ref="F13:T13" si="3">F$9*F$20</f>
        <v>27.341482492220738</v>
      </c>
      <c r="G13" s="157">
        <f t="shared" si="3"/>
        <v>28.025019554526256</v>
      </c>
      <c r="H13" s="158">
        <f t="shared" si="3"/>
        <v>28.725645043389409</v>
      </c>
      <c r="I13" s="158">
        <f t="shared" si="3"/>
        <v>29.443786169474141</v>
      </c>
      <c r="J13" s="158">
        <f t="shared" si="3"/>
        <v>30.179880823710995</v>
      </c>
      <c r="K13" s="158">
        <f t="shared" si="3"/>
        <v>30.934377844303764</v>
      </c>
      <c r="L13" s="158">
        <f t="shared" si="3"/>
        <v>31.707737290411355</v>
      </c>
      <c r="M13" s="158">
        <f t="shared" si="3"/>
        <v>32.500430722671638</v>
      </c>
      <c r="N13" s="158">
        <f t="shared" si="3"/>
        <v>33.312941490738424</v>
      </c>
      <c r="O13" s="158">
        <f t="shared" si="3"/>
        <v>34.145765028006885</v>
      </c>
      <c r="P13" s="158">
        <f t="shared" si="3"/>
        <v>34.999409153707049</v>
      </c>
      <c r="Q13" s="158">
        <f t="shared" si="3"/>
        <v>35.874394382549717</v>
      </c>
      <c r="R13" s="158">
        <f t="shared" si="3"/>
        <v>36.771254242113457</v>
      </c>
      <c r="S13" s="158">
        <f t="shared" si="3"/>
        <v>37.690535598166292</v>
      </c>
      <c r="T13" s="158">
        <f t="shared" si="3"/>
        <v>38.632798988120442</v>
      </c>
      <c r="U13" s="207">
        <f>T13*1.025</f>
        <v>39.598618962823451</v>
      </c>
      <c r="V13" s="207">
        <f>U13*1.025</f>
        <v>40.588584436894031</v>
      </c>
      <c r="W13" s="126"/>
      <c r="X13" s="201">
        <f>NPV(Rate_of_Return,F13:T13)</f>
        <v>281.21452479040249</v>
      </c>
      <c r="Y13" s="201">
        <f>-PMT(Rate_of_Return,15,X13)</f>
        <v>31.640728519778268</v>
      </c>
      <c r="Z13" s="126"/>
      <c r="AA13" s="126"/>
      <c r="AB13" s="126"/>
      <c r="AE13" s="127"/>
    </row>
    <row r="14" spans="2:31" x14ac:dyDescent="0.25">
      <c r="C14" s="125"/>
      <c r="E14" s="128"/>
      <c r="F14" s="126"/>
      <c r="G14" s="126"/>
      <c r="H14" s="126"/>
      <c r="I14" s="126"/>
      <c r="J14" s="126"/>
      <c r="K14" s="126"/>
      <c r="L14" s="126"/>
      <c r="M14" s="126"/>
      <c r="N14" s="126"/>
      <c r="O14" s="126"/>
      <c r="P14" s="126"/>
      <c r="Q14" s="126"/>
      <c r="R14" s="126"/>
      <c r="S14" s="126"/>
      <c r="T14" s="126"/>
      <c r="U14" s="126"/>
      <c r="V14" s="126"/>
      <c r="W14" s="126"/>
      <c r="X14" s="120"/>
      <c r="Y14" s="120"/>
      <c r="Z14" s="120"/>
      <c r="AA14" s="120"/>
      <c r="AB14" s="120"/>
      <c r="AC14" s="120"/>
    </row>
    <row r="15" spans="2:31" x14ac:dyDescent="0.25">
      <c r="C15" s="129"/>
      <c r="E15" s="128"/>
      <c r="F15" s="126"/>
      <c r="G15" s="126"/>
      <c r="H15" s="126"/>
      <c r="I15" s="126"/>
      <c r="J15" s="126"/>
      <c r="K15" s="126"/>
      <c r="L15" s="126"/>
      <c r="M15" s="126"/>
      <c r="N15" s="126"/>
      <c r="O15" s="126"/>
      <c r="P15" s="126"/>
      <c r="Q15" s="126"/>
      <c r="R15" s="126"/>
      <c r="S15" s="126"/>
      <c r="T15" s="126"/>
      <c r="U15" s="126"/>
      <c r="V15" s="126"/>
      <c r="W15" s="126"/>
      <c r="X15" s="120"/>
      <c r="Y15" s="120"/>
      <c r="Z15" s="120"/>
      <c r="AA15" s="120"/>
      <c r="AB15" s="120"/>
      <c r="AC15" s="120"/>
    </row>
    <row r="16" spans="2:31" x14ac:dyDescent="0.25">
      <c r="C16" s="53" t="s">
        <v>10</v>
      </c>
      <c r="Q16" s="120"/>
      <c r="R16" s="120"/>
    </row>
    <row r="17" spans="2:28" x14ac:dyDescent="0.25">
      <c r="Q17" s="120"/>
      <c r="R17" s="120"/>
    </row>
    <row r="18" spans="2:28" ht="15.6" x14ac:dyDescent="0.3">
      <c r="C18" s="114"/>
      <c r="D18" s="114"/>
      <c r="E18" s="114"/>
      <c r="F18" s="114"/>
      <c r="G18" s="114"/>
      <c r="H18" s="114"/>
      <c r="I18" s="114"/>
      <c r="J18" s="114"/>
      <c r="K18" s="114"/>
      <c r="L18" s="114"/>
      <c r="M18" s="114"/>
      <c r="N18" s="114"/>
      <c r="O18" s="114"/>
      <c r="P18" s="114"/>
      <c r="Q18" s="119"/>
      <c r="R18" s="119"/>
      <c r="S18" s="114"/>
      <c r="T18" s="114"/>
      <c r="X18" s="202" t="s">
        <v>84</v>
      </c>
      <c r="Y18" s="114"/>
    </row>
    <row r="19" spans="2:28" x14ac:dyDescent="0.25">
      <c r="C19" s="121" t="s">
        <v>11</v>
      </c>
      <c r="D19" s="121"/>
      <c r="E19" s="121"/>
      <c r="F19" s="140">
        <v>100</v>
      </c>
      <c r="G19" s="140">
        <f t="shared" ref="G19:T19" si="4">F19*1.025</f>
        <v>102.49999999999999</v>
      </c>
      <c r="H19" s="140">
        <f t="shared" si="4"/>
        <v>105.06249999999997</v>
      </c>
      <c r="I19" s="140">
        <f t="shared" si="4"/>
        <v>107.68906249999996</v>
      </c>
      <c r="J19" s="140">
        <f t="shared" si="4"/>
        <v>110.38128906249996</v>
      </c>
      <c r="K19" s="140">
        <f t="shared" si="4"/>
        <v>113.14082128906244</v>
      </c>
      <c r="L19" s="140">
        <f>K19*1.025</f>
        <v>115.96934182128899</v>
      </c>
      <c r="M19" s="140">
        <f t="shared" si="4"/>
        <v>118.8685753668212</v>
      </c>
      <c r="N19" s="140">
        <f t="shared" si="4"/>
        <v>121.84028975099173</v>
      </c>
      <c r="O19" s="140">
        <f t="shared" si="4"/>
        <v>124.88629699476651</v>
      </c>
      <c r="P19" s="140">
        <f t="shared" si="4"/>
        <v>128.00845441963565</v>
      </c>
      <c r="Q19" s="140">
        <f t="shared" si="4"/>
        <v>131.20866578012652</v>
      </c>
      <c r="R19" s="140">
        <f t="shared" si="4"/>
        <v>134.48888242462968</v>
      </c>
      <c r="S19" s="140">
        <f t="shared" si="4"/>
        <v>137.8511044852454</v>
      </c>
      <c r="T19" s="140">
        <f t="shared" si="4"/>
        <v>141.29738209737653</v>
      </c>
      <c r="U19" s="130"/>
      <c r="V19" s="130"/>
      <c r="W19" s="130"/>
      <c r="X19" s="160">
        <f>NPV(Rate_of_Return,F19:T19)</f>
        <v>1028.5269822893265</v>
      </c>
      <c r="Y19" s="160">
        <f>-PMT(Rate_of_Return,15,X19)</f>
        <v>115.72426085081801</v>
      </c>
      <c r="Z19" s="120"/>
      <c r="AA19" s="120"/>
      <c r="AB19" s="120"/>
    </row>
    <row r="20" spans="2:28" x14ac:dyDescent="0.25">
      <c r="C20" s="143" t="s">
        <v>12</v>
      </c>
      <c r="D20" s="143"/>
      <c r="E20" s="143"/>
      <c r="F20" s="144">
        <f>F19/$Y$19</f>
        <v>0.86412303923817313</v>
      </c>
      <c r="G20" s="144">
        <f t="shared" ref="G20:T20" si="5">G19/$Y$19</f>
        <v>0.88572611521912736</v>
      </c>
      <c r="H20" s="144">
        <f t="shared" si="5"/>
        <v>0.90786926809960544</v>
      </c>
      <c r="I20" s="144">
        <f t="shared" si="5"/>
        <v>0.93056599980209553</v>
      </c>
      <c r="J20" s="144">
        <f t="shared" si="5"/>
        <v>0.95383014979714786</v>
      </c>
      <c r="K20" s="144">
        <f t="shared" si="5"/>
        <v>0.97767590354207645</v>
      </c>
      <c r="L20" s="144">
        <f t="shared" si="5"/>
        <v>1.0021178011306282</v>
      </c>
      <c r="M20" s="144">
        <f t="shared" si="5"/>
        <v>1.0271707461588939</v>
      </c>
      <c r="N20" s="144">
        <f t="shared" si="5"/>
        <v>1.0528500148128661</v>
      </c>
      <c r="O20" s="144">
        <f t="shared" si="5"/>
        <v>1.0791712651831877</v>
      </c>
      <c r="P20" s="144">
        <f t="shared" si="5"/>
        <v>1.1061505468127673</v>
      </c>
      <c r="Q20" s="144">
        <f t="shared" si="5"/>
        <v>1.1338043104830862</v>
      </c>
      <c r="R20" s="144">
        <f t="shared" si="5"/>
        <v>1.1621494182451633</v>
      </c>
      <c r="S20" s="144">
        <f t="shared" si="5"/>
        <v>1.1912031537012922</v>
      </c>
      <c r="T20" s="144">
        <f t="shared" si="5"/>
        <v>1.2209832325438243</v>
      </c>
      <c r="U20" s="131"/>
      <c r="V20" s="131"/>
      <c r="W20" s="131"/>
      <c r="X20" s="159">
        <f>NPV(Rate_of_Return,F20:T20)</f>
        <v>8.8877386187431942</v>
      </c>
      <c r="Y20" s="159">
        <f>-PMT(Rate_of_Return,15,X20)</f>
        <v>1</v>
      </c>
      <c r="Z20" s="120"/>
      <c r="AA20" s="120"/>
      <c r="AB20" s="120"/>
    </row>
    <row r="21" spans="2:28" x14ac:dyDescent="0.25">
      <c r="C21" s="114"/>
      <c r="D21" s="114"/>
      <c r="E21" s="141"/>
      <c r="F21" s="141"/>
      <c r="G21" s="141"/>
      <c r="H21" s="141"/>
      <c r="I21" s="141"/>
      <c r="J21" s="141"/>
      <c r="K21" s="141"/>
      <c r="L21" s="141"/>
      <c r="M21" s="142"/>
      <c r="N21" s="142"/>
      <c r="O21" s="142"/>
      <c r="P21" s="142"/>
      <c r="Q21" s="142"/>
      <c r="R21" s="142"/>
      <c r="S21" s="142"/>
      <c r="T21" s="142"/>
      <c r="X21" s="114"/>
      <c r="Y21" s="114"/>
    </row>
    <row r="22" spans="2:28" x14ac:dyDescent="0.25">
      <c r="B22" s="132" t="s">
        <v>13</v>
      </c>
      <c r="C22" s="133"/>
      <c r="D22" s="134"/>
      <c r="E22" s="134"/>
      <c r="F22" s="134"/>
      <c r="G22" s="134"/>
      <c r="H22" s="134"/>
      <c r="I22" s="134"/>
      <c r="J22" s="134"/>
      <c r="K22" s="134"/>
      <c r="L22" s="134"/>
      <c r="M22" s="134"/>
      <c r="N22" s="134"/>
      <c r="O22" s="134"/>
      <c r="Z22" s="129"/>
    </row>
    <row r="23" spans="2:28" x14ac:dyDescent="0.25">
      <c r="B23" s="135">
        <v>1</v>
      </c>
      <c r="C23" s="301" t="s">
        <v>141</v>
      </c>
      <c r="D23" s="134"/>
      <c r="E23" s="134"/>
      <c r="F23" s="134"/>
      <c r="G23" s="134"/>
      <c r="H23" s="134"/>
      <c r="I23" s="134"/>
      <c r="J23" s="134"/>
      <c r="K23" s="134"/>
      <c r="L23" s="134"/>
      <c r="M23" s="134"/>
      <c r="N23" s="134"/>
      <c r="O23" s="134"/>
      <c r="Z23" s="125"/>
    </row>
    <row r="24" spans="2:28" x14ac:dyDescent="0.25">
      <c r="B24" s="135">
        <v>2</v>
      </c>
      <c r="C24" s="134" t="s">
        <v>119</v>
      </c>
      <c r="D24" s="134"/>
      <c r="E24" s="134"/>
      <c r="F24" s="134"/>
      <c r="G24" s="134"/>
      <c r="H24" s="134"/>
      <c r="I24" s="134"/>
      <c r="J24" s="134"/>
      <c r="K24" s="134"/>
      <c r="L24" s="134"/>
      <c r="M24" s="134"/>
      <c r="N24" s="134"/>
      <c r="O24" s="134"/>
      <c r="Z24" s="126"/>
    </row>
    <row r="25" spans="2:28" x14ac:dyDescent="0.25">
      <c r="B25" s="135">
        <v>3</v>
      </c>
      <c r="C25" s="134" t="s">
        <v>49</v>
      </c>
      <c r="D25" s="134"/>
      <c r="E25" s="134"/>
      <c r="F25" s="134"/>
      <c r="G25" s="134"/>
      <c r="H25" s="134"/>
      <c r="I25" s="134"/>
      <c r="J25" s="134"/>
      <c r="K25" s="134"/>
      <c r="L25" s="134"/>
      <c r="M25" s="134"/>
      <c r="N25" s="134"/>
      <c r="O25" s="134"/>
      <c r="Z25" s="136"/>
    </row>
    <row r="26" spans="2:28" x14ac:dyDescent="0.25">
      <c r="B26" s="135">
        <v>4</v>
      </c>
      <c r="C26" s="134" t="s">
        <v>120</v>
      </c>
      <c r="D26" s="134"/>
      <c r="E26" s="134"/>
      <c r="F26" s="134"/>
      <c r="G26" s="134"/>
      <c r="H26" s="134"/>
      <c r="I26" s="134"/>
      <c r="J26" s="134"/>
      <c r="K26" s="134"/>
      <c r="L26" s="134"/>
      <c r="M26" s="134"/>
      <c r="N26" s="134"/>
      <c r="O26" s="134"/>
      <c r="Z26" s="136"/>
    </row>
    <row r="27" spans="2:28" x14ac:dyDescent="0.25">
      <c r="B27" s="135">
        <v>5</v>
      </c>
      <c r="C27" s="134" t="s">
        <v>89</v>
      </c>
      <c r="D27" s="134"/>
      <c r="E27" s="134"/>
      <c r="F27" s="134"/>
      <c r="G27" s="134"/>
      <c r="H27" s="134"/>
      <c r="I27" s="134"/>
      <c r="J27" s="134"/>
      <c r="K27" s="134"/>
      <c r="L27" s="134"/>
      <c r="M27" s="134"/>
      <c r="N27" s="134"/>
      <c r="O27" s="134"/>
      <c r="Z27" s="125"/>
    </row>
    <row r="28" spans="2:28" x14ac:dyDescent="0.25">
      <c r="B28" s="135">
        <v>6</v>
      </c>
      <c r="C28" s="134" t="s">
        <v>90</v>
      </c>
      <c r="D28" s="134"/>
      <c r="E28" s="134"/>
      <c r="F28" s="134"/>
      <c r="G28" s="134"/>
      <c r="H28" s="134"/>
      <c r="I28" s="134"/>
      <c r="J28" s="134"/>
      <c r="K28" s="134"/>
      <c r="L28" s="134"/>
      <c r="M28" s="134"/>
      <c r="N28" s="134"/>
      <c r="O28" s="134"/>
      <c r="Z28" s="126"/>
    </row>
    <row r="29" spans="2:28" x14ac:dyDescent="0.25">
      <c r="B29" s="135">
        <v>7</v>
      </c>
      <c r="C29" s="134" t="s">
        <v>91</v>
      </c>
      <c r="D29" s="134"/>
      <c r="E29" s="134"/>
      <c r="F29" s="134"/>
      <c r="G29" s="134"/>
      <c r="H29" s="134"/>
      <c r="I29" s="134"/>
      <c r="J29" s="134"/>
      <c r="K29" s="134"/>
      <c r="L29" s="134"/>
      <c r="M29" s="134"/>
      <c r="N29" s="134"/>
      <c r="O29" s="134"/>
      <c r="P29" s="134"/>
      <c r="Q29" s="134"/>
    </row>
    <row r="30" spans="2:28" x14ac:dyDescent="0.25">
      <c r="B30" s="135">
        <v>8</v>
      </c>
      <c r="C30" s="134" t="s">
        <v>58</v>
      </c>
      <c r="D30" s="134"/>
      <c r="E30" s="134"/>
      <c r="F30" s="134"/>
      <c r="G30" s="134"/>
      <c r="H30" s="134"/>
      <c r="I30" s="134"/>
      <c r="J30" s="134"/>
      <c r="K30" s="134"/>
      <c r="L30" s="134"/>
      <c r="M30" s="134"/>
      <c r="N30" s="134"/>
      <c r="O30" s="134"/>
      <c r="P30" s="134"/>
      <c r="Q30" s="134"/>
    </row>
    <row r="31" spans="2:28" x14ac:dyDescent="0.25">
      <c r="B31" s="135">
        <v>9</v>
      </c>
      <c r="C31" s="134" t="s">
        <v>92</v>
      </c>
      <c r="D31" s="134"/>
      <c r="E31" s="134"/>
      <c r="F31" s="134"/>
      <c r="G31" s="134"/>
      <c r="H31" s="134"/>
      <c r="I31" s="134"/>
      <c r="J31" s="134"/>
      <c r="K31" s="134"/>
      <c r="L31" s="134"/>
      <c r="M31" s="134"/>
      <c r="N31" s="134"/>
      <c r="O31" s="134"/>
      <c r="P31" s="134"/>
      <c r="Q31" s="134"/>
    </row>
    <row r="32" spans="2:28" x14ac:dyDescent="0.25">
      <c r="B32" s="135">
        <v>10</v>
      </c>
      <c r="C32" s="53" t="s">
        <v>93</v>
      </c>
    </row>
    <row r="33" spans="2:20" x14ac:dyDescent="0.25">
      <c r="B33" s="135">
        <v>11</v>
      </c>
      <c r="C33" s="53" t="s">
        <v>115</v>
      </c>
    </row>
    <row r="34" spans="2:20" ht="15.6" x14ac:dyDescent="0.3">
      <c r="B34" s="137"/>
      <c r="C34" s="5"/>
      <c r="D34" s="5"/>
      <c r="E34" s="5"/>
      <c r="F34" s="5"/>
    </row>
    <row r="35" spans="2:20" ht="15.6" x14ac:dyDescent="0.3">
      <c r="B35" s="137"/>
      <c r="C35" s="209"/>
      <c r="D35" s="5"/>
      <c r="E35" s="5"/>
      <c r="F35" s="5"/>
    </row>
    <row r="37" spans="2:20" x14ac:dyDescent="0.25">
      <c r="F37" s="120"/>
      <c r="G37" s="138"/>
      <c r="H37" s="138"/>
      <c r="I37" s="138"/>
      <c r="J37" s="138"/>
      <c r="K37" s="138"/>
      <c r="L37" s="138"/>
      <c r="M37" s="138"/>
      <c r="N37" s="138"/>
      <c r="O37" s="138"/>
      <c r="P37" s="138"/>
      <c r="Q37" s="138"/>
      <c r="R37" s="138"/>
      <c r="S37" s="138"/>
      <c r="T37" s="138"/>
    </row>
    <row r="38" spans="2:20" x14ac:dyDescent="0.25">
      <c r="G38" s="138"/>
      <c r="H38" s="138"/>
      <c r="I38" s="138"/>
      <c r="J38" s="138"/>
      <c r="K38" s="138"/>
      <c r="L38" s="138"/>
      <c r="M38" s="138"/>
      <c r="N38" s="138"/>
      <c r="O38" s="138"/>
      <c r="P38" s="138"/>
      <c r="Q38" s="138"/>
      <c r="R38" s="138"/>
      <c r="S38" s="138"/>
      <c r="T38" s="138"/>
    </row>
    <row r="39" spans="2:20" x14ac:dyDescent="0.25">
      <c r="F39" s="120"/>
      <c r="G39" s="120"/>
      <c r="H39" s="120"/>
      <c r="I39" s="120"/>
      <c r="J39" s="120"/>
      <c r="K39" s="120"/>
      <c r="L39" s="120"/>
      <c r="M39" s="120"/>
      <c r="N39" s="120"/>
      <c r="O39" s="120"/>
      <c r="P39" s="120"/>
      <c r="Q39" s="120"/>
      <c r="R39" s="120"/>
      <c r="S39" s="120"/>
      <c r="T39" s="120"/>
    </row>
    <row r="40" spans="2:20" x14ac:dyDescent="0.25">
      <c r="D40" s="130"/>
    </row>
  </sheetData>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election activeCell="F5" sqref="F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17" width="12.6640625" style="53" customWidth="1"/>
    <col min="18" max="20" width="12.6640625" customWidth="1"/>
    <col min="21"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15" t="s">
        <v>94</v>
      </c>
      <c r="D2" s="215"/>
      <c r="E2" s="215"/>
      <c r="F2" s="215"/>
      <c r="G2" s="215"/>
      <c r="H2" s="215"/>
      <c r="I2" s="215"/>
      <c r="J2" s="215"/>
      <c r="K2" s="215"/>
      <c r="L2" s="215"/>
    </row>
    <row r="3" spans="2:30" ht="15.6" x14ac:dyDescent="0.3">
      <c r="C3" s="42" t="s">
        <v>48</v>
      </c>
    </row>
    <row r="4" spans="2:30" s="111" customFormat="1" ht="45" x14ac:dyDescent="0.25">
      <c r="B4" s="110"/>
      <c r="C4" s="145" t="s">
        <v>0</v>
      </c>
      <c r="D4" s="145"/>
      <c r="E4" s="145" t="s">
        <v>1</v>
      </c>
      <c r="F4" s="145" t="s">
        <v>2</v>
      </c>
      <c r="G4" s="145" t="s">
        <v>3</v>
      </c>
      <c r="H4" s="145" t="s">
        <v>4</v>
      </c>
      <c r="I4" s="145" t="s">
        <v>5</v>
      </c>
      <c r="J4" s="145" t="s">
        <v>6</v>
      </c>
      <c r="K4" s="145" t="s">
        <v>7</v>
      </c>
      <c r="L4" s="146" t="s">
        <v>14</v>
      </c>
      <c r="M4" s="146"/>
    </row>
    <row r="5" spans="2:30" x14ac:dyDescent="0.25">
      <c r="C5" s="148"/>
      <c r="D5" s="149"/>
      <c r="E5" s="150">
        <v>10</v>
      </c>
      <c r="F5" s="304">
        <f>+'Capacity Delivered'!$I$5</f>
        <v>0.02</v>
      </c>
      <c r="G5" s="151" t="s">
        <v>8</v>
      </c>
      <c r="H5" s="152">
        <f>'Electric EES CE Std Energy'!D18</f>
        <v>2.2001125877428761E-2</v>
      </c>
      <c r="I5" s="153">
        <f>'Solar Avoided Capacity Calcs'!X16</f>
        <v>4.9549232431835843E-3</v>
      </c>
      <c r="J5" s="153">
        <f>H5+I5</f>
        <v>2.6956049120612346E-2</v>
      </c>
      <c r="K5" s="154">
        <f>J5</f>
        <v>2.6956049120612346E-2</v>
      </c>
      <c r="L5" s="155">
        <f>K5*1000</f>
        <v>26.956049120612345</v>
      </c>
      <c r="M5" s="139"/>
    </row>
    <row r="6" spans="2:30" ht="15.6" x14ac:dyDescent="0.3">
      <c r="C6" s="147"/>
      <c r="D6" s="147"/>
      <c r="E6" s="114"/>
      <c r="F6" s="114"/>
      <c r="G6" s="114"/>
      <c r="H6" s="32">
        <f>H5*1000</f>
        <v>22.001125877428763</v>
      </c>
      <c r="I6" s="32">
        <f t="shared" ref="I6:K6" si="0">I5*1000</f>
        <v>4.9549232431835843</v>
      </c>
      <c r="J6" s="32">
        <f t="shared" si="0"/>
        <v>26.956049120612345</v>
      </c>
      <c r="K6" s="32">
        <f t="shared" si="0"/>
        <v>26.956049120612345</v>
      </c>
      <c r="L6" s="116">
        <f>L5*(1-M6)</f>
        <v>26.147367646993974</v>
      </c>
      <c r="M6" s="245">
        <v>0.03</v>
      </c>
      <c r="N6" s="117" t="s">
        <v>41</v>
      </c>
    </row>
    <row r="7" spans="2:30" x14ac:dyDescent="0.25">
      <c r="C7" s="118"/>
      <c r="D7" s="115"/>
      <c r="H7" s="40"/>
      <c r="I7" s="113"/>
      <c r="J7" s="40"/>
      <c r="K7" s="113"/>
      <c r="L7" s="113"/>
      <c r="M7" s="114"/>
    </row>
    <row r="8" spans="2:30" ht="15.6" x14ac:dyDescent="0.3">
      <c r="C8" s="114"/>
      <c r="D8" s="114"/>
      <c r="E8" s="114"/>
      <c r="F8" s="114"/>
      <c r="G8" s="114"/>
      <c r="H8" s="119"/>
      <c r="I8" s="119"/>
      <c r="J8" s="119"/>
      <c r="K8" s="119"/>
      <c r="L8" s="119"/>
      <c r="M8" s="119"/>
      <c r="N8" s="119"/>
      <c r="O8" s="119"/>
      <c r="P8" s="119"/>
      <c r="Q8" s="119"/>
      <c r="U8" s="120"/>
      <c r="V8" s="120"/>
      <c r="W8" s="119"/>
      <c r="X8" s="202" t="s">
        <v>84</v>
      </c>
      <c r="Y8" s="120"/>
      <c r="Z8" s="120"/>
    </row>
    <row r="9" spans="2:30" x14ac:dyDescent="0.25">
      <c r="C9" s="121" t="s">
        <v>9</v>
      </c>
      <c r="D9" s="121"/>
      <c r="E9" s="121"/>
      <c r="F9" s="122">
        <f>+L6</f>
        <v>26.147367646993974</v>
      </c>
      <c r="G9" s="122">
        <f t="shared" ref="G9:O9" si="1">F9</f>
        <v>26.147367646993974</v>
      </c>
      <c r="H9" s="122">
        <f t="shared" si="1"/>
        <v>26.147367646993974</v>
      </c>
      <c r="I9" s="122">
        <f t="shared" si="1"/>
        <v>26.147367646993974</v>
      </c>
      <c r="J9" s="122">
        <f t="shared" si="1"/>
        <v>26.147367646993974</v>
      </c>
      <c r="K9" s="122">
        <f t="shared" si="1"/>
        <v>26.147367646993974</v>
      </c>
      <c r="L9" s="122">
        <f t="shared" si="1"/>
        <v>26.147367646993974</v>
      </c>
      <c r="M9" s="122">
        <f t="shared" si="1"/>
        <v>26.147367646993974</v>
      </c>
      <c r="N9" s="122">
        <f t="shared" si="1"/>
        <v>26.147367646993974</v>
      </c>
      <c r="O9" s="122">
        <f t="shared" si="1"/>
        <v>26.147367646993974</v>
      </c>
      <c r="V9" s="40"/>
      <c r="X9" s="201">
        <f>NPV(Rate_of_Return,F9:O9)</f>
        <v>180.38260125513611</v>
      </c>
      <c r="Y9" s="201">
        <f>-PMT(Rate_of_Return,$E$5,X9)</f>
        <v>26.147367646993967</v>
      </c>
      <c r="Z9" s="40"/>
    </row>
    <row r="10" spans="2:30" x14ac:dyDescent="0.25">
      <c r="C10" s="114"/>
      <c r="D10" s="114"/>
      <c r="E10" s="114"/>
      <c r="F10" s="123"/>
      <c r="G10" s="123"/>
      <c r="H10" s="123"/>
      <c r="I10" s="123"/>
      <c r="J10" s="123"/>
      <c r="K10" s="123"/>
      <c r="L10" s="123"/>
      <c r="M10" s="123"/>
      <c r="N10" s="123"/>
      <c r="O10" s="123"/>
      <c r="P10" s="119"/>
      <c r="Q10" s="119"/>
      <c r="U10" s="120"/>
      <c r="V10" s="40"/>
      <c r="W10" s="119"/>
      <c r="X10" s="32"/>
      <c r="Y10" s="32"/>
      <c r="Z10" s="40"/>
    </row>
    <row r="11" spans="2:30" x14ac:dyDescent="0.25">
      <c r="C11" s="53" t="s">
        <v>63</v>
      </c>
      <c r="F11" s="210">
        <v>1</v>
      </c>
      <c r="G11" s="210">
        <v>2</v>
      </c>
      <c r="H11" s="210">
        <v>3</v>
      </c>
      <c r="I11" s="210">
        <v>4</v>
      </c>
      <c r="J11" s="210">
        <v>5</v>
      </c>
      <c r="K11" s="210">
        <v>6</v>
      </c>
      <c r="L11" s="210">
        <v>7</v>
      </c>
      <c r="M11" s="210">
        <v>8</v>
      </c>
      <c r="N11" s="210">
        <v>9</v>
      </c>
      <c r="O11" s="210">
        <v>10</v>
      </c>
      <c r="P11" s="210">
        <v>11</v>
      </c>
      <c r="Q11" s="210">
        <v>12</v>
      </c>
      <c r="V11" s="40"/>
      <c r="X11" s="40"/>
      <c r="Y11" s="40"/>
      <c r="Z11" s="40"/>
    </row>
    <row r="12" spans="2:30" ht="15.6" x14ac:dyDescent="0.3">
      <c r="C12" s="114"/>
      <c r="D12" s="112"/>
      <c r="E12" s="114"/>
      <c r="F12" s="124">
        <f>'Energy Prices'!$C$6</f>
        <v>2020</v>
      </c>
      <c r="G12" s="124">
        <f>F12+1</f>
        <v>2021</v>
      </c>
      <c r="H12" s="124">
        <f>G12+1</f>
        <v>2022</v>
      </c>
      <c r="I12" s="124">
        <f t="shared" ref="I12:O12" si="2">H12+1</f>
        <v>2023</v>
      </c>
      <c r="J12" s="124">
        <f t="shared" si="2"/>
        <v>2024</v>
      </c>
      <c r="K12" s="124">
        <f t="shared" si="2"/>
        <v>2025</v>
      </c>
      <c r="L12" s="124">
        <f t="shared" si="2"/>
        <v>2026</v>
      </c>
      <c r="M12" s="124">
        <f t="shared" si="2"/>
        <v>2027</v>
      </c>
      <c r="N12" s="124">
        <f t="shared" si="2"/>
        <v>2028</v>
      </c>
      <c r="O12" s="124">
        <f t="shared" si="2"/>
        <v>2029</v>
      </c>
      <c r="P12" s="124">
        <f>O12+1</f>
        <v>2030</v>
      </c>
      <c r="Q12" s="124">
        <f>P12+1</f>
        <v>2031</v>
      </c>
      <c r="U12" s="120"/>
      <c r="V12" s="208"/>
      <c r="W12" s="119"/>
      <c r="X12" s="202" t="s">
        <v>84</v>
      </c>
      <c r="Y12" s="32"/>
      <c r="Z12" s="120"/>
    </row>
    <row r="13" spans="2:30" ht="52.95" customHeight="1" x14ac:dyDescent="0.25">
      <c r="B13" s="114"/>
      <c r="C13" s="211" t="s">
        <v>88</v>
      </c>
      <c r="D13" s="114"/>
      <c r="F13" s="156">
        <f t="shared" ref="F13:O13" si="3">F$9*F$20</f>
        <v>23.67851634938981</v>
      </c>
      <c r="G13" s="157">
        <f t="shared" si="3"/>
        <v>24.270479258124553</v>
      </c>
      <c r="H13" s="158">
        <f t="shared" si="3"/>
        <v>24.877241239577661</v>
      </c>
      <c r="I13" s="158">
        <f t="shared" si="3"/>
        <v>25.499172270567101</v>
      </c>
      <c r="J13" s="158">
        <f t="shared" si="3"/>
        <v>26.136651577331278</v>
      </c>
      <c r="K13" s="158">
        <f t="shared" si="3"/>
        <v>26.790067866764559</v>
      </c>
      <c r="L13" s="158">
        <f t="shared" si="3"/>
        <v>27.459819563433669</v>
      </c>
      <c r="M13" s="158">
        <f t="shared" si="3"/>
        <v>28.146315052519505</v>
      </c>
      <c r="N13" s="158">
        <f t="shared" si="3"/>
        <v>28.849972928832493</v>
      </c>
      <c r="O13" s="158">
        <f t="shared" si="3"/>
        <v>29.5712222520533</v>
      </c>
      <c r="P13" s="207">
        <f>O13*1.025</f>
        <v>30.310502808354631</v>
      </c>
      <c r="Q13" s="207">
        <f>P13*1.025</f>
        <v>31.068265378563495</v>
      </c>
      <c r="V13" s="126"/>
      <c r="X13" s="201">
        <f>NPV(Rate_of_Return,F13:O13)</f>
        <v>180.38260125513617</v>
      </c>
      <c r="Y13" s="201">
        <f>-PMT(Rate_of_Return,$E$5,X13)</f>
        <v>26.147367646993974</v>
      </c>
      <c r="Z13" s="126"/>
      <c r="AD13" s="127"/>
    </row>
    <row r="14" spans="2:30" x14ac:dyDescent="0.25">
      <c r="C14" s="125"/>
      <c r="E14" s="128"/>
      <c r="F14" s="126"/>
      <c r="G14" s="126"/>
      <c r="H14" s="126"/>
      <c r="I14" s="126"/>
      <c r="J14" s="126"/>
      <c r="K14" s="126"/>
      <c r="L14" s="126"/>
      <c r="M14" s="126"/>
      <c r="N14" s="126"/>
      <c r="O14" s="126"/>
      <c r="P14" s="119"/>
      <c r="Q14" s="119"/>
      <c r="U14" s="120"/>
      <c r="V14" s="126"/>
      <c r="W14" s="119"/>
      <c r="X14" s="120"/>
      <c r="Y14" s="120"/>
      <c r="Z14" s="120"/>
    </row>
    <row r="15" spans="2:30" x14ac:dyDescent="0.25">
      <c r="C15" s="129"/>
      <c r="E15" s="128"/>
      <c r="F15" s="126"/>
      <c r="G15" s="126"/>
      <c r="H15" s="126"/>
      <c r="I15" s="126"/>
      <c r="J15" s="126"/>
      <c r="K15" s="126"/>
      <c r="L15" s="126"/>
      <c r="M15" s="126"/>
      <c r="N15" s="126"/>
      <c r="O15" s="126"/>
      <c r="V15" s="126"/>
      <c r="X15" s="120"/>
      <c r="Y15" s="120"/>
      <c r="Z15" s="120"/>
    </row>
    <row r="16" spans="2:30" x14ac:dyDescent="0.25">
      <c r="C16" s="53" t="s">
        <v>10</v>
      </c>
      <c r="P16" s="119"/>
      <c r="Q16" s="119"/>
      <c r="U16" s="120"/>
      <c r="W16" s="119"/>
    </row>
    <row r="18" spans="2:26" ht="15.6" x14ac:dyDescent="0.3">
      <c r="C18" s="114"/>
      <c r="D18" s="114"/>
      <c r="E18" s="114"/>
      <c r="F18" s="114"/>
      <c r="G18" s="114"/>
      <c r="H18" s="114"/>
      <c r="I18" s="114"/>
      <c r="J18" s="114"/>
      <c r="K18" s="114"/>
      <c r="L18" s="114"/>
      <c r="M18" s="114"/>
      <c r="N18" s="114"/>
      <c r="O18" s="114"/>
      <c r="P18" s="119"/>
      <c r="Q18" s="119"/>
      <c r="U18" s="120"/>
      <c r="W18" s="119"/>
      <c r="X18" s="202" t="s">
        <v>84</v>
      </c>
      <c r="Y18" s="114"/>
    </row>
    <row r="19" spans="2:26" x14ac:dyDescent="0.25">
      <c r="C19" s="121" t="s">
        <v>11</v>
      </c>
      <c r="D19" s="121"/>
      <c r="E19" s="121"/>
      <c r="F19" s="140">
        <v>100</v>
      </c>
      <c r="G19" s="140">
        <f t="shared" ref="G19:O19" si="4">F19*1.025</f>
        <v>102.49999999999999</v>
      </c>
      <c r="H19" s="140">
        <f t="shared" si="4"/>
        <v>105.06249999999997</v>
      </c>
      <c r="I19" s="140">
        <f t="shared" si="4"/>
        <v>107.68906249999996</v>
      </c>
      <c r="J19" s="140">
        <f t="shared" si="4"/>
        <v>110.38128906249996</v>
      </c>
      <c r="K19" s="140">
        <f t="shared" si="4"/>
        <v>113.14082128906244</v>
      </c>
      <c r="L19" s="140">
        <f t="shared" si="4"/>
        <v>115.96934182128899</v>
      </c>
      <c r="M19" s="140">
        <f t="shared" si="4"/>
        <v>118.8685753668212</v>
      </c>
      <c r="N19" s="140">
        <f t="shared" si="4"/>
        <v>121.84028975099173</v>
      </c>
      <c r="O19" s="140">
        <f t="shared" si="4"/>
        <v>124.88629699476651</v>
      </c>
      <c r="V19" s="130"/>
      <c r="X19" s="201">
        <f>NPV(Rate_of_Return,F19:O19)</f>
        <v>761.7985797483658</v>
      </c>
      <c r="Y19" s="201">
        <f>-PMT(Rate_of_Return,$E$5,X19)</f>
        <v>110.42654557057071</v>
      </c>
      <c r="Z19" s="120"/>
    </row>
    <row r="20" spans="2:26" x14ac:dyDescent="0.25">
      <c r="C20" s="143" t="s">
        <v>12</v>
      </c>
      <c r="D20" s="143"/>
      <c r="E20" s="143"/>
      <c r="F20" s="144">
        <f t="shared" ref="F20:O20" si="5">F19/$Y$19</f>
        <v>0.90557935579079241</v>
      </c>
      <c r="G20" s="144">
        <f t="shared" si="5"/>
        <v>0.92821883968556207</v>
      </c>
      <c r="H20" s="144">
        <f t="shared" si="5"/>
        <v>0.95142431067770095</v>
      </c>
      <c r="I20" s="144">
        <f t="shared" si="5"/>
        <v>0.97520991844464344</v>
      </c>
      <c r="J20" s="144">
        <f t="shared" si="5"/>
        <v>0.99959016640575948</v>
      </c>
      <c r="K20" s="144">
        <f t="shared" si="5"/>
        <v>1.0245799205659034</v>
      </c>
      <c r="L20" s="144">
        <f t="shared" si="5"/>
        <v>1.0501944185800509</v>
      </c>
      <c r="M20" s="144">
        <f t="shared" si="5"/>
        <v>1.0764492790445519</v>
      </c>
      <c r="N20" s="144">
        <f t="shared" si="5"/>
        <v>1.1033605110206657</v>
      </c>
      <c r="O20" s="144">
        <f t="shared" si="5"/>
        <v>1.1309445237961822</v>
      </c>
      <c r="P20" s="119"/>
      <c r="Q20" s="119"/>
      <c r="U20" s="120"/>
      <c r="V20" s="131"/>
      <c r="W20" s="119"/>
      <c r="X20" s="201">
        <f>NPV(Rate_of_Return,F20:O20)</f>
        <v>6.8986906709086568</v>
      </c>
      <c r="Y20" s="201">
        <f>-PMT(Rate_of_Return,$E$5,X20)</f>
        <v>1.0000000000000002</v>
      </c>
      <c r="Z20" s="120"/>
    </row>
    <row r="21" spans="2:26" x14ac:dyDescent="0.25">
      <c r="C21" s="114"/>
      <c r="D21" s="114"/>
      <c r="E21" s="141"/>
      <c r="F21" s="141"/>
      <c r="G21" s="141"/>
      <c r="H21" s="141"/>
      <c r="I21" s="141"/>
      <c r="J21" s="141"/>
      <c r="K21" s="141"/>
      <c r="L21" s="141"/>
      <c r="M21" s="142"/>
      <c r="N21" s="142"/>
      <c r="O21" s="142"/>
      <c r="P21" s="142"/>
      <c r="Q21" s="142"/>
      <c r="W21" s="142"/>
      <c r="X21" s="142"/>
      <c r="Y21" s="142"/>
    </row>
    <row r="22" spans="2:26" x14ac:dyDescent="0.25">
      <c r="B22" s="132" t="s">
        <v>13</v>
      </c>
      <c r="C22" s="133"/>
      <c r="D22" s="134"/>
      <c r="E22" s="134"/>
      <c r="F22" s="134"/>
      <c r="G22" s="134"/>
      <c r="H22" s="134"/>
      <c r="I22" s="134"/>
      <c r="J22" s="134"/>
      <c r="K22" s="134"/>
      <c r="L22" s="134"/>
      <c r="M22" s="134"/>
      <c r="N22" s="134"/>
      <c r="O22" s="134"/>
    </row>
    <row r="23" spans="2:26" x14ac:dyDescent="0.25">
      <c r="B23" s="135">
        <v>1</v>
      </c>
      <c r="C23" s="301" t="s">
        <v>141</v>
      </c>
      <c r="D23" s="134"/>
      <c r="E23" s="134"/>
      <c r="F23" s="134"/>
      <c r="G23" s="134"/>
      <c r="H23" s="134"/>
      <c r="I23" s="134"/>
      <c r="J23" s="134"/>
      <c r="K23" s="134"/>
      <c r="L23" s="134"/>
      <c r="M23" s="134"/>
      <c r="N23" s="134"/>
      <c r="O23" s="134"/>
    </row>
    <row r="24" spans="2:26" x14ac:dyDescent="0.25">
      <c r="B24" s="135">
        <v>2</v>
      </c>
      <c r="C24" s="134" t="s">
        <v>119</v>
      </c>
      <c r="D24" s="134"/>
      <c r="E24" s="134"/>
      <c r="F24" s="134"/>
      <c r="G24" s="134"/>
      <c r="H24" s="134"/>
      <c r="I24" s="134"/>
      <c r="J24" s="134"/>
      <c r="K24" s="134"/>
      <c r="L24" s="134"/>
      <c r="M24" s="134"/>
      <c r="N24" s="134"/>
      <c r="O24" s="134"/>
    </row>
    <row r="25" spans="2:26" x14ac:dyDescent="0.25">
      <c r="B25" s="135">
        <v>3</v>
      </c>
      <c r="C25" s="134" t="s">
        <v>49</v>
      </c>
      <c r="D25" s="134"/>
      <c r="E25" s="134"/>
      <c r="F25" s="134"/>
      <c r="G25" s="134"/>
      <c r="H25" s="134"/>
      <c r="I25" s="134"/>
      <c r="J25" s="134"/>
      <c r="K25" s="134"/>
      <c r="L25" s="134"/>
      <c r="M25" s="134"/>
      <c r="N25" s="134"/>
      <c r="O25" s="134"/>
    </row>
    <row r="26" spans="2:26" x14ac:dyDescent="0.25">
      <c r="B26" s="135">
        <v>4</v>
      </c>
      <c r="C26" s="134" t="s">
        <v>120</v>
      </c>
      <c r="D26" s="134"/>
      <c r="E26" s="134"/>
      <c r="F26" s="134"/>
      <c r="G26" s="134"/>
      <c r="H26" s="134"/>
      <c r="I26" s="134"/>
      <c r="J26" s="134"/>
      <c r="K26" s="134"/>
      <c r="L26" s="134"/>
      <c r="M26" s="134"/>
      <c r="N26" s="134"/>
      <c r="O26" s="134"/>
    </row>
    <row r="27" spans="2:26" x14ac:dyDescent="0.25">
      <c r="B27" s="135">
        <v>5</v>
      </c>
      <c r="C27" s="134" t="s">
        <v>89</v>
      </c>
      <c r="D27" s="134"/>
      <c r="E27" s="134"/>
      <c r="F27" s="134"/>
      <c r="G27" s="134"/>
      <c r="H27" s="134"/>
      <c r="I27" s="134"/>
      <c r="J27" s="134"/>
      <c r="K27" s="134"/>
      <c r="L27" s="134"/>
      <c r="M27" s="134"/>
      <c r="N27" s="134"/>
      <c r="O27" s="134"/>
    </row>
    <row r="28" spans="2:26" x14ac:dyDescent="0.25">
      <c r="B28" s="135">
        <v>6</v>
      </c>
      <c r="C28" s="134" t="s">
        <v>90</v>
      </c>
      <c r="D28" s="134"/>
      <c r="E28" s="134"/>
      <c r="F28" s="134"/>
      <c r="G28" s="134"/>
      <c r="H28" s="134"/>
      <c r="I28" s="134"/>
      <c r="J28" s="134"/>
      <c r="K28" s="134"/>
      <c r="L28" s="134"/>
      <c r="M28" s="134"/>
      <c r="N28" s="134"/>
      <c r="O28" s="134"/>
    </row>
    <row r="29" spans="2:26" x14ac:dyDescent="0.25">
      <c r="B29" s="135">
        <v>7</v>
      </c>
      <c r="C29" s="134" t="s">
        <v>91</v>
      </c>
      <c r="D29" s="134"/>
      <c r="E29" s="134"/>
      <c r="F29" s="134"/>
      <c r="G29" s="134"/>
      <c r="H29" s="134"/>
      <c r="I29" s="134"/>
      <c r="J29" s="134"/>
      <c r="K29" s="134"/>
      <c r="L29" s="134"/>
      <c r="M29" s="134"/>
      <c r="N29" s="134"/>
      <c r="O29" s="134"/>
      <c r="P29" s="134"/>
      <c r="Q29" s="134"/>
    </row>
    <row r="30" spans="2:26" x14ac:dyDescent="0.25">
      <c r="B30" s="135">
        <v>8</v>
      </c>
      <c r="C30" s="134" t="s">
        <v>58</v>
      </c>
      <c r="D30" s="134"/>
      <c r="E30" s="134"/>
      <c r="F30" s="134"/>
      <c r="G30" s="134"/>
      <c r="H30" s="134"/>
      <c r="I30" s="134"/>
      <c r="J30" s="134"/>
      <c r="K30" s="134"/>
      <c r="L30" s="134"/>
      <c r="M30" s="134"/>
      <c r="N30" s="134"/>
      <c r="O30" s="134"/>
      <c r="P30" s="134"/>
      <c r="Q30" s="134"/>
    </row>
    <row r="31" spans="2:26" x14ac:dyDescent="0.25">
      <c r="B31" s="135">
        <v>9</v>
      </c>
      <c r="C31" s="134" t="s">
        <v>92</v>
      </c>
      <c r="D31" s="134"/>
      <c r="E31" s="134"/>
      <c r="F31" s="134"/>
      <c r="G31" s="134"/>
      <c r="H31" s="134"/>
      <c r="I31" s="134"/>
      <c r="J31" s="134"/>
      <c r="K31" s="134"/>
      <c r="L31" s="134"/>
      <c r="M31" s="134"/>
      <c r="N31" s="134"/>
      <c r="O31" s="134"/>
      <c r="P31" s="134"/>
      <c r="Q31" s="134"/>
    </row>
    <row r="32" spans="2:26" x14ac:dyDescent="0.25">
      <c r="B32" s="135">
        <v>10</v>
      </c>
      <c r="C32" s="53" t="s">
        <v>93</v>
      </c>
    </row>
    <row r="33" spans="2:25" x14ac:dyDescent="0.25">
      <c r="B33" s="135">
        <v>11</v>
      </c>
      <c r="C33" s="53" t="s">
        <v>115</v>
      </c>
    </row>
    <row r="34" spans="2:25" ht="15.6" x14ac:dyDescent="0.3">
      <c r="B34" s="137"/>
      <c r="C34" s="5"/>
      <c r="D34" s="5"/>
      <c r="E34" s="5"/>
      <c r="F34" s="5"/>
    </row>
    <row r="35" spans="2:25" ht="15.6" x14ac:dyDescent="0.3">
      <c r="B35" s="137"/>
      <c r="C35" s="5"/>
      <c r="D35" s="5"/>
      <c r="E35" s="5"/>
      <c r="F35" s="5"/>
    </row>
    <row r="37" spans="2:25" x14ac:dyDescent="0.25">
      <c r="F37" s="120"/>
      <c r="G37" s="138"/>
      <c r="H37" s="138"/>
      <c r="I37" s="138"/>
      <c r="J37" s="138"/>
      <c r="K37" s="138"/>
      <c r="L37" s="138"/>
      <c r="M37" s="138"/>
      <c r="N37" s="138"/>
      <c r="O37" s="138"/>
      <c r="P37" s="138"/>
      <c r="Q37" s="138"/>
      <c r="W37" s="138"/>
      <c r="X37" s="138"/>
      <c r="Y37" s="138"/>
    </row>
    <row r="38" spans="2:25" x14ac:dyDescent="0.25">
      <c r="G38" s="138"/>
      <c r="H38" s="138"/>
      <c r="I38" s="138"/>
      <c r="J38" s="138"/>
      <c r="K38" s="138"/>
      <c r="L38" s="138"/>
      <c r="M38" s="138"/>
      <c r="N38" s="138"/>
      <c r="O38" s="138"/>
      <c r="P38" s="138"/>
      <c r="Q38" s="138"/>
      <c r="W38" s="138"/>
      <c r="X38" s="138"/>
      <c r="Y38" s="138"/>
    </row>
    <row r="39" spans="2:25" x14ac:dyDescent="0.25">
      <c r="F39" s="120"/>
      <c r="G39" s="120"/>
      <c r="H39" s="120"/>
      <c r="I39" s="120"/>
      <c r="J39" s="120"/>
      <c r="K39" s="120"/>
      <c r="L39" s="120"/>
      <c r="M39" s="120"/>
      <c r="N39" s="120"/>
      <c r="O39" s="120"/>
      <c r="P39" s="120"/>
      <c r="Q39" s="120"/>
      <c r="W39" s="120"/>
      <c r="X39" s="120"/>
      <c r="Y39" s="120"/>
    </row>
    <row r="40" spans="2:25" x14ac:dyDescent="0.25">
      <c r="D40" s="130"/>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election activeCell="F5" sqref="F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15" t="s">
        <v>94</v>
      </c>
      <c r="D2" s="215"/>
      <c r="E2" s="215"/>
      <c r="F2" s="215"/>
      <c r="G2" s="215"/>
      <c r="H2" s="215"/>
      <c r="I2" s="215"/>
      <c r="J2" s="215"/>
      <c r="K2" s="215"/>
      <c r="L2" s="215"/>
    </row>
    <row r="3" spans="2:31" ht="15.6" x14ac:dyDescent="0.3">
      <c r="C3" s="42" t="s">
        <v>48</v>
      </c>
    </row>
    <row r="4" spans="2:31" s="111" customFormat="1" ht="45" x14ac:dyDescent="0.25">
      <c r="B4" s="110"/>
      <c r="C4" s="145" t="s">
        <v>0</v>
      </c>
      <c r="D4" s="145"/>
      <c r="E4" s="145" t="s">
        <v>1</v>
      </c>
      <c r="F4" s="145" t="s">
        <v>2</v>
      </c>
      <c r="G4" s="145" t="s">
        <v>3</v>
      </c>
      <c r="H4" s="145" t="s">
        <v>4</v>
      </c>
      <c r="I4" s="145" t="s">
        <v>5</v>
      </c>
      <c r="J4" s="145" t="s">
        <v>6</v>
      </c>
      <c r="K4" s="145" t="s">
        <v>7</v>
      </c>
      <c r="L4" s="146" t="s">
        <v>14</v>
      </c>
      <c r="M4" s="146"/>
    </row>
    <row r="5" spans="2:31" x14ac:dyDescent="0.25">
      <c r="C5" s="148"/>
      <c r="D5" s="149"/>
      <c r="E5" s="150">
        <v>15</v>
      </c>
      <c r="F5" s="304">
        <f>+'Capacity Delivered'!$I$5</f>
        <v>0.02</v>
      </c>
      <c r="G5" s="151" t="s">
        <v>8</v>
      </c>
      <c r="H5" s="152">
        <f>'Electric EES CE Std Energy'!D23</f>
        <v>2.2999689199971914E-2</v>
      </c>
      <c r="I5" s="153">
        <f>'Solar Avoided Capacity Calcs'!X21</f>
        <v>5.1519469779057539E-3</v>
      </c>
      <c r="J5" s="153">
        <f>H5+I5</f>
        <v>2.8151636177877668E-2</v>
      </c>
      <c r="K5" s="154">
        <f>J5</f>
        <v>2.8151636177877668E-2</v>
      </c>
      <c r="L5" s="155">
        <f>K5*1000</f>
        <v>28.15163617787767</v>
      </c>
      <c r="M5" s="139"/>
    </row>
    <row r="6" spans="2:31" ht="15.6" x14ac:dyDescent="0.3">
      <c r="C6" s="147"/>
      <c r="D6" s="147"/>
      <c r="E6" s="114"/>
      <c r="F6" s="114"/>
      <c r="G6" s="114"/>
      <c r="H6" s="32">
        <f>H5*1000</f>
        <v>22.999689199971915</v>
      </c>
      <c r="I6" s="32">
        <f t="shared" ref="I6:K6" si="0">I5*1000</f>
        <v>5.1519469779057543</v>
      </c>
      <c r="J6" s="32">
        <f t="shared" si="0"/>
        <v>28.15163617787767</v>
      </c>
      <c r="K6" s="32">
        <f t="shared" si="0"/>
        <v>28.15163617787767</v>
      </c>
      <c r="L6" s="116">
        <f>L5*(1-M6)</f>
        <v>27.307087092541337</v>
      </c>
      <c r="M6" s="245">
        <v>0.03</v>
      </c>
      <c r="N6" s="117" t="s">
        <v>41</v>
      </c>
    </row>
    <row r="7" spans="2:31" x14ac:dyDescent="0.25">
      <c r="C7" s="118"/>
      <c r="D7" s="115"/>
      <c r="H7" s="40"/>
      <c r="I7" s="113"/>
      <c r="J7" s="40"/>
      <c r="K7" s="113"/>
      <c r="L7" s="113"/>
      <c r="M7" s="114"/>
    </row>
    <row r="8" spans="2:31" ht="15.6" x14ac:dyDescent="0.3">
      <c r="C8" s="114"/>
      <c r="D8" s="114"/>
      <c r="E8" s="114"/>
      <c r="F8" s="114"/>
      <c r="G8" s="114"/>
      <c r="H8" s="119"/>
      <c r="I8" s="119"/>
      <c r="J8" s="119"/>
      <c r="K8" s="119"/>
      <c r="L8" s="119"/>
      <c r="M8" s="119"/>
      <c r="N8" s="119"/>
      <c r="O8" s="119"/>
      <c r="P8" s="119"/>
      <c r="Q8" s="119"/>
      <c r="R8" s="119"/>
      <c r="S8" s="119"/>
      <c r="T8" s="119"/>
      <c r="U8" s="120"/>
      <c r="V8" s="120"/>
      <c r="W8" s="120"/>
      <c r="X8" s="202" t="s">
        <v>84</v>
      </c>
      <c r="Y8" s="120"/>
      <c r="Z8" s="120"/>
      <c r="AA8" s="120"/>
    </row>
    <row r="9" spans="2:31" x14ac:dyDescent="0.25">
      <c r="C9" s="121" t="s">
        <v>9</v>
      </c>
      <c r="D9" s="121"/>
      <c r="E9" s="121"/>
      <c r="F9" s="122">
        <f>+L6</f>
        <v>27.307087092541337</v>
      </c>
      <c r="G9" s="122">
        <f t="shared" ref="G9:T9" si="1">F9</f>
        <v>27.307087092541337</v>
      </c>
      <c r="H9" s="122">
        <f t="shared" si="1"/>
        <v>27.307087092541337</v>
      </c>
      <c r="I9" s="122">
        <f t="shared" si="1"/>
        <v>27.307087092541337</v>
      </c>
      <c r="J9" s="122">
        <f t="shared" si="1"/>
        <v>27.307087092541337</v>
      </c>
      <c r="K9" s="122">
        <f t="shared" si="1"/>
        <v>27.307087092541337</v>
      </c>
      <c r="L9" s="122">
        <f t="shared" si="1"/>
        <v>27.307087092541337</v>
      </c>
      <c r="M9" s="122">
        <f t="shared" si="1"/>
        <v>27.307087092541337</v>
      </c>
      <c r="N9" s="122">
        <f t="shared" si="1"/>
        <v>27.307087092541337</v>
      </c>
      <c r="O9" s="122">
        <f t="shared" si="1"/>
        <v>27.307087092541337</v>
      </c>
      <c r="P9" s="122">
        <f t="shared" si="1"/>
        <v>27.307087092541337</v>
      </c>
      <c r="Q9" s="122">
        <f t="shared" si="1"/>
        <v>27.307087092541337</v>
      </c>
      <c r="R9" s="122">
        <f t="shared" si="1"/>
        <v>27.307087092541337</v>
      </c>
      <c r="S9" s="122">
        <f t="shared" si="1"/>
        <v>27.307087092541337</v>
      </c>
      <c r="T9" s="122">
        <f t="shared" si="1"/>
        <v>27.307087092541337</v>
      </c>
      <c r="U9" s="40"/>
      <c r="V9" s="40"/>
      <c r="W9" s="40"/>
      <c r="X9" s="201">
        <f>NPV(Rate_of_Return,F9:T9)</f>
        <v>242.69825251776334</v>
      </c>
      <c r="Y9" s="201">
        <f>-PMT(Rate_of_Return,15,X9)</f>
        <v>27.307087092541323</v>
      </c>
      <c r="Z9" s="40"/>
      <c r="AA9" s="40"/>
    </row>
    <row r="10" spans="2:31" x14ac:dyDescent="0.25">
      <c r="C10" s="114"/>
      <c r="D10" s="114"/>
      <c r="E10" s="114"/>
      <c r="F10" s="123"/>
      <c r="G10" s="123"/>
      <c r="H10" s="123"/>
      <c r="I10" s="123"/>
      <c r="J10" s="123"/>
      <c r="K10" s="123"/>
      <c r="L10" s="123"/>
      <c r="M10" s="123"/>
      <c r="N10" s="123"/>
      <c r="O10" s="123"/>
      <c r="P10" s="123"/>
      <c r="Q10" s="123"/>
      <c r="R10" s="123"/>
      <c r="S10" s="123"/>
      <c r="T10" s="123"/>
      <c r="U10" s="40"/>
      <c r="V10" s="40"/>
      <c r="W10" s="40"/>
      <c r="X10" s="32"/>
      <c r="Y10" s="32"/>
      <c r="Z10" s="40"/>
      <c r="AA10" s="40"/>
    </row>
    <row r="11" spans="2:31" x14ac:dyDescent="0.25">
      <c r="C11" s="53" t="s">
        <v>63</v>
      </c>
      <c r="F11" s="210">
        <v>1</v>
      </c>
      <c r="G11" s="210">
        <v>2</v>
      </c>
      <c r="H11" s="210">
        <v>3</v>
      </c>
      <c r="I11" s="210">
        <v>4</v>
      </c>
      <c r="J11" s="210">
        <v>5</v>
      </c>
      <c r="K11" s="210">
        <v>6</v>
      </c>
      <c r="L11" s="210">
        <v>7</v>
      </c>
      <c r="M11" s="210">
        <v>8</v>
      </c>
      <c r="N11" s="210">
        <v>9</v>
      </c>
      <c r="O11" s="210">
        <v>10</v>
      </c>
      <c r="P11" s="210">
        <v>11</v>
      </c>
      <c r="Q11" s="210">
        <v>12</v>
      </c>
      <c r="R11" s="210">
        <v>13</v>
      </c>
      <c r="S11" s="210">
        <v>14</v>
      </c>
      <c r="T11" s="210">
        <v>15</v>
      </c>
      <c r="U11" s="210">
        <v>16</v>
      </c>
      <c r="V11" s="210">
        <v>17</v>
      </c>
      <c r="W11" s="40"/>
      <c r="X11" s="40"/>
      <c r="Y11" s="40"/>
      <c r="Z11" s="40"/>
      <c r="AA11" s="40"/>
    </row>
    <row r="12" spans="2:31" ht="15.6" x14ac:dyDescent="0.3">
      <c r="C12" s="114"/>
      <c r="D12" s="112"/>
      <c r="E12" s="114"/>
      <c r="F12" s="124">
        <f>'Energy Prices'!$C$6</f>
        <v>2020</v>
      </c>
      <c r="G12" s="124">
        <f>F12+1</f>
        <v>2021</v>
      </c>
      <c r="H12" s="124">
        <f>G12+1</f>
        <v>2022</v>
      </c>
      <c r="I12" s="124">
        <f t="shared" ref="I12:T12" si="2">H12+1</f>
        <v>2023</v>
      </c>
      <c r="J12" s="124">
        <f t="shared" si="2"/>
        <v>2024</v>
      </c>
      <c r="K12" s="124">
        <f t="shared" si="2"/>
        <v>2025</v>
      </c>
      <c r="L12" s="124">
        <f t="shared" si="2"/>
        <v>2026</v>
      </c>
      <c r="M12" s="124">
        <f t="shared" si="2"/>
        <v>2027</v>
      </c>
      <c r="N12" s="124">
        <f t="shared" si="2"/>
        <v>2028</v>
      </c>
      <c r="O12" s="124">
        <f t="shared" si="2"/>
        <v>2029</v>
      </c>
      <c r="P12" s="124">
        <f t="shared" si="2"/>
        <v>2030</v>
      </c>
      <c r="Q12" s="124">
        <f t="shared" si="2"/>
        <v>2031</v>
      </c>
      <c r="R12" s="124">
        <f t="shared" si="2"/>
        <v>2032</v>
      </c>
      <c r="S12" s="124">
        <f t="shared" si="2"/>
        <v>2033</v>
      </c>
      <c r="T12" s="124">
        <f t="shared" si="2"/>
        <v>2034</v>
      </c>
      <c r="U12" s="124">
        <f>T12+1</f>
        <v>2035</v>
      </c>
      <c r="V12" s="124">
        <f>U12+1</f>
        <v>2036</v>
      </c>
      <c r="W12" s="208"/>
      <c r="X12" s="202" t="s">
        <v>84</v>
      </c>
      <c r="Y12" s="32"/>
      <c r="Z12" s="120"/>
      <c r="AA12" s="120"/>
    </row>
    <row r="13" spans="2:31" ht="52.95" customHeight="1" x14ac:dyDescent="0.25">
      <c r="B13" s="114"/>
      <c r="C13" s="211" t="s">
        <v>88</v>
      </c>
      <c r="D13" s="114"/>
      <c r="F13" s="156">
        <f t="shared" ref="F13:T13" si="3">F$9*F$20</f>
        <v>23.596683091148311</v>
      </c>
      <c r="G13" s="157">
        <f>G$9*G$20</f>
        <v>24.186600168427013</v>
      </c>
      <c r="H13" s="158">
        <f t="shared" si="3"/>
        <v>24.791265172637686</v>
      </c>
      <c r="I13" s="158">
        <f t="shared" si="3"/>
        <v>25.411046801953628</v>
      </c>
      <c r="J13" s="158">
        <f t="shared" si="3"/>
        <v>26.046322972002468</v>
      </c>
      <c r="K13" s="158">
        <f t="shared" si="3"/>
        <v>26.697481046302524</v>
      </c>
      <c r="L13" s="158">
        <f t="shared" si="3"/>
        <v>27.364918072460085</v>
      </c>
      <c r="M13" s="158">
        <f t="shared" si="3"/>
        <v>28.049041024271588</v>
      </c>
      <c r="N13" s="158">
        <f t="shared" si="3"/>
        <v>28.750267049878371</v>
      </c>
      <c r="O13" s="158">
        <f t="shared" si="3"/>
        <v>29.469023726125332</v>
      </c>
      <c r="P13" s="158">
        <f t="shared" si="3"/>
        <v>30.205749319278461</v>
      </c>
      <c r="Q13" s="158">
        <f t="shared" si="3"/>
        <v>30.960893052260413</v>
      </c>
      <c r="R13" s="158">
        <f t="shared" si="3"/>
        <v>31.734915378566921</v>
      </c>
      <c r="S13" s="158">
        <f t="shared" si="3"/>
        <v>32.528288263031087</v>
      </c>
      <c r="T13" s="158">
        <f t="shared" si="3"/>
        <v>33.341495469606862</v>
      </c>
      <c r="U13" s="207">
        <f>T13*1.025</f>
        <v>34.17503285634703</v>
      </c>
      <c r="V13" s="207">
        <f>U13*1.025</f>
        <v>35.029408677755704</v>
      </c>
      <c r="W13" s="126"/>
      <c r="X13" s="201">
        <f>NPV(Rate_of_Return,F13:T13)</f>
        <v>242.69825251776345</v>
      </c>
      <c r="Y13" s="201">
        <f>-PMT(Rate_of_Return,15,X13)</f>
        <v>27.307087092541337</v>
      </c>
      <c r="Z13" s="126"/>
      <c r="AA13" s="126"/>
      <c r="AE13" s="127"/>
    </row>
    <row r="14" spans="2:31" x14ac:dyDescent="0.25">
      <c r="C14" s="125"/>
      <c r="E14" s="128"/>
      <c r="F14" s="126"/>
      <c r="G14" s="126"/>
      <c r="H14" s="126"/>
      <c r="I14" s="126"/>
      <c r="J14" s="126"/>
      <c r="K14" s="126"/>
      <c r="L14" s="126"/>
      <c r="M14" s="126"/>
      <c r="N14" s="126"/>
      <c r="O14" s="126"/>
      <c r="P14" s="126"/>
      <c r="Q14" s="126"/>
      <c r="R14" s="126"/>
      <c r="S14" s="126"/>
      <c r="T14" s="126"/>
      <c r="U14" s="126"/>
      <c r="V14" s="126"/>
      <c r="W14" s="126"/>
      <c r="X14" s="120"/>
      <c r="Y14" s="120"/>
      <c r="Z14" s="120"/>
      <c r="AA14" s="120"/>
    </row>
    <row r="15" spans="2:31" x14ac:dyDescent="0.25">
      <c r="C15" s="129"/>
      <c r="E15" s="128"/>
      <c r="F15" s="126"/>
      <c r="G15" s="214"/>
      <c r="H15" s="126"/>
      <c r="I15" s="126"/>
      <c r="J15" s="126"/>
      <c r="K15" s="126"/>
      <c r="L15" s="126"/>
      <c r="M15" s="126"/>
      <c r="N15" s="126"/>
      <c r="O15" s="126"/>
      <c r="P15" s="126"/>
      <c r="Q15" s="126"/>
      <c r="R15" s="126"/>
      <c r="S15" s="126"/>
      <c r="T15" s="126"/>
      <c r="U15" s="126"/>
      <c r="V15" s="126"/>
      <c r="W15" s="126"/>
      <c r="X15" s="120"/>
      <c r="Y15" s="120"/>
      <c r="Z15" s="120"/>
      <c r="AA15" s="120"/>
    </row>
    <row r="16" spans="2:31" x14ac:dyDescent="0.25">
      <c r="C16" s="53" t="s">
        <v>10</v>
      </c>
      <c r="Q16" s="120"/>
      <c r="R16" s="120"/>
    </row>
    <row r="17" spans="2:27" x14ac:dyDescent="0.25">
      <c r="Q17" s="120"/>
      <c r="R17" s="120"/>
    </row>
    <row r="18" spans="2:27" ht="15.6" x14ac:dyDescent="0.3">
      <c r="C18" s="114"/>
      <c r="D18" s="114"/>
      <c r="E18" s="114"/>
      <c r="F18" s="114"/>
      <c r="G18" s="114"/>
      <c r="H18" s="114"/>
      <c r="I18" s="114"/>
      <c r="J18" s="114"/>
      <c r="K18" s="114"/>
      <c r="L18" s="114"/>
      <c r="M18" s="114"/>
      <c r="N18" s="114"/>
      <c r="O18" s="114"/>
      <c r="P18" s="114"/>
      <c r="Q18" s="119"/>
      <c r="R18" s="119"/>
      <c r="S18" s="114"/>
      <c r="T18" s="114"/>
      <c r="X18" s="202" t="s">
        <v>84</v>
      </c>
      <c r="Y18" s="114"/>
    </row>
    <row r="19" spans="2:27" x14ac:dyDescent="0.25">
      <c r="C19" s="121" t="s">
        <v>11</v>
      </c>
      <c r="D19" s="121"/>
      <c r="E19" s="121"/>
      <c r="F19" s="140">
        <v>100</v>
      </c>
      <c r="G19" s="140">
        <f t="shared" ref="G19:T19" si="4">F19*1.025</f>
        <v>102.49999999999999</v>
      </c>
      <c r="H19" s="140">
        <f t="shared" si="4"/>
        <v>105.06249999999997</v>
      </c>
      <c r="I19" s="140">
        <f t="shared" si="4"/>
        <v>107.68906249999996</v>
      </c>
      <c r="J19" s="140">
        <f t="shared" si="4"/>
        <v>110.38128906249996</v>
      </c>
      <c r="K19" s="140">
        <f t="shared" si="4"/>
        <v>113.14082128906244</v>
      </c>
      <c r="L19" s="140">
        <f t="shared" si="4"/>
        <v>115.96934182128899</v>
      </c>
      <c r="M19" s="140">
        <f t="shared" si="4"/>
        <v>118.8685753668212</v>
      </c>
      <c r="N19" s="140">
        <f t="shared" si="4"/>
        <v>121.84028975099173</v>
      </c>
      <c r="O19" s="140">
        <f t="shared" si="4"/>
        <v>124.88629699476651</v>
      </c>
      <c r="P19" s="140">
        <f t="shared" si="4"/>
        <v>128.00845441963565</v>
      </c>
      <c r="Q19" s="140">
        <f t="shared" si="4"/>
        <v>131.20866578012652</v>
      </c>
      <c r="R19" s="140">
        <f t="shared" si="4"/>
        <v>134.48888242462968</v>
      </c>
      <c r="S19" s="140">
        <f t="shared" si="4"/>
        <v>137.8511044852454</v>
      </c>
      <c r="T19" s="140">
        <f t="shared" si="4"/>
        <v>141.29738209737653</v>
      </c>
      <c r="U19" s="130"/>
      <c r="V19" s="130"/>
      <c r="W19" s="130"/>
      <c r="X19" s="160">
        <f>NPV(Rate_of_Return,F19:T19)</f>
        <v>1028.5269822893265</v>
      </c>
      <c r="Y19" s="160">
        <f>-PMT(Rate_of_Return,15,X19)</f>
        <v>115.72426085081801</v>
      </c>
      <c r="Z19" s="120"/>
      <c r="AA19" s="120"/>
    </row>
    <row r="20" spans="2:27" x14ac:dyDescent="0.25">
      <c r="C20" s="143" t="s">
        <v>12</v>
      </c>
      <c r="D20" s="143"/>
      <c r="E20" s="143"/>
      <c r="F20" s="144">
        <f>F19/$Y$19</f>
        <v>0.86412303923817313</v>
      </c>
      <c r="G20" s="144">
        <f t="shared" ref="G20:T20" si="5">G19/$Y$19</f>
        <v>0.88572611521912736</v>
      </c>
      <c r="H20" s="144">
        <f t="shared" si="5"/>
        <v>0.90786926809960544</v>
      </c>
      <c r="I20" s="144">
        <f t="shared" si="5"/>
        <v>0.93056599980209553</v>
      </c>
      <c r="J20" s="144">
        <f t="shared" si="5"/>
        <v>0.95383014979714786</v>
      </c>
      <c r="K20" s="144">
        <f t="shared" si="5"/>
        <v>0.97767590354207645</v>
      </c>
      <c r="L20" s="144">
        <f t="shared" si="5"/>
        <v>1.0021178011306282</v>
      </c>
      <c r="M20" s="144">
        <f t="shared" si="5"/>
        <v>1.0271707461588939</v>
      </c>
      <c r="N20" s="144">
        <f t="shared" si="5"/>
        <v>1.0528500148128661</v>
      </c>
      <c r="O20" s="144">
        <f t="shared" si="5"/>
        <v>1.0791712651831877</v>
      </c>
      <c r="P20" s="144">
        <f t="shared" si="5"/>
        <v>1.1061505468127673</v>
      </c>
      <c r="Q20" s="144">
        <f t="shared" si="5"/>
        <v>1.1338043104830862</v>
      </c>
      <c r="R20" s="144">
        <f t="shared" si="5"/>
        <v>1.1621494182451633</v>
      </c>
      <c r="S20" s="144">
        <f t="shared" si="5"/>
        <v>1.1912031537012922</v>
      </c>
      <c r="T20" s="144">
        <f t="shared" si="5"/>
        <v>1.2209832325438243</v>
      </c>
      <c r="U20" s="131"/>
      <c r="V20" s="131"/>
      <c r="W20" s="131"/>
      <c r="X20" s="159">
        <f>NPV(Rate_of_Return,F20:T20)</f>
        <v>8.8877386187431942</v>
      </c>
      <c r="Y20" s="159">
        <f>-PMT(Rate_of_Return,15,X20)</f>
        <v>1</v>
      </c>
      <c r="Z20" s="120"/>
      <c r="AA20" s="120"/>
    </row>
    <row r="21" spans="2:27" x14ac:dyDescent="0.25">
      <c r="C21" s="114"/>
      <c r="D21" s="114"/>
      <c r="E21" s="141"/>
      <c r="F21" s="141"/>
      <c r="G21" s="141"/>
      <c r="H21" s="141"/>
      <c r="I21" s="141"/>
      <c r="J21" s="141"/>
      <c r="K21" s="141"/>
      <c r="L21" s="141"/>
      <c r="M21" s="142"/>
      <c r="N21" s="142"/>
      <c r="O21" s="142"/>
      <c r="P21" s="142"/>
      <c r="Q21" s="142"/>
      <c r="R21" s="142"/>
      <c r="S21" s="142"/>
      <c r="T21" s="142"/>
      <c r="X21" s="114"/>
      <c r="Y21" s="114"/>
    </row>
    <row r="22" spans="2:27" x14ac:dyDescent="0.25">
      <c r="B22" s="132" t="s">
        <v>13</v>
      </c>
      <c r="C22" s="133"/>
      <c r="D22" s="134"/>
      <c r="E22" s="134"/>
      <c r="F22" s="134"/>
      <c r="G22" s="134"/>
      <c r="H22" s="134"/>
      <c r="I22" s="134"/>
      <c r="J22" s="134"/>
      <c r="K22" s="134"/>
      <c r="L22" s="134"/>
      <c r="M22" s="134"/>
      <c r="N22" s="134"/>
      <c r="O22" s="134"/>
      <c r="Z22" s="129"/>
    </row>
    <row r="23" spans="2:27" x14ac:dyDescent="0.25">
      <c r="B23" s="135">
        <v>1</v>
      </c>
      <c r="C23" s="301" t="s">
        <v>141</v>
      </c>
      <c r="D23" s="134"/>
      <c r="E23" s="134"/>
      <c r="F23" s="134"/>
      <c r="G23" s="134"/>
      <c r="H23" s="134"/>
      <c r="I23" s="134"/>
      <c r="J23" s="134"/>
      <c r="K23" s="134"/>
      <c r="L23" s="134"/>
      <c r="M23" s="134"/>
      <c r="N23" s="134"/>
      <c r="O23" s="134"/>
      <c r="Z23" s="125"/>
    </row>
    <row r="24" spans="2:27" x14ac:dyDescent="0.25">
      <c r="B24" s="135">
        <v>2</v>
      </c>
      <c r="C24" s="134" t="s">
        <v>119</v>
      </c>
      <c r="D24" s="134"/>
      <c r="E24" s="134"/>
      <c r="F24" s="134"/>
      <c r="G24" s="134"/>
      <c r="H24" s="134"/>
      <c r="I24" s="134"/>
      <c r="J24" s="134"/>
      <c r="K24" s="134"/>
      <c r="L24" s="134"/>
      <c r="M24" s="134"/>
      <c r="N24" s="134"/>
      <c r="O24" s="134"/>
      <c r="Z24" s="126"/>
    </row>
    <row r="25" spans="2:27" x14ac:dyDescent="0.25">
      <c r="B25" s="135">
        <v>3</v>
      </c>
      <c r="C25" s="134" t="s">
        <v>49</v>
      </c>
      <c r="D25" s="134"/>
      <c r="E25" s="134"/>
      <c r="F25" s="134"/>
      <c r="G25" s="134"/>
      <c r="H25" s="134"/>
      <c r="I25" s="134"/>
      <c r="J25" s="134"/>
      <c r="K25" s="134"/>
      <c r="L25" s="134"/>
      <c r="M25" s="134"/>
      <c r="N25" s="134"/>
      <c r="O25" s="134"/>
      <c r="Z25" s="136"/>
    </row>
    <row r="26" spans="2:27" x14ac:dyDescent="0.25">
      <c r="B26" s="135">
        <v>4</v>
      </c>
      <c r="C26" s="134" t="s">
        <v>120</v>
      </c>
      <c r="D26" s="134"/>
      <c r="E26" s="134"/>
      <c r="F26" s="134"/>
      <c r="G26" s="134"/>
      <c r="H26" s="134"/>
      <c r="I26" s="134"/>
      <c r="J26" s="134"/>
      <c r="K26" s="134"/>
      <c r="L26" s="134"/>
      <c r="M26" s="134"/>
      <c r="N26" s="134"/>
      <c r="O26" s="134"/>
      <c r="Z26" s="136"/>
    </row>
    <row r="27" spans="2:27" x14ac:dyDescent="0.25">
      <c r="B27" s="135">
        <v>5</v>
      </c>
      <c r="C27" s="134" t="s">
        <v>89</v>
      </c>
      <c r="D27" s="134"/>
      <c r="E27" s="134"/>
      <c r="F27" s="134"/>
      <c r="G27" s="134"/>
      <c r="H27" s="134"/>
      <c r="I27" s="134"/>
      <c r="J27" s="134"/>
      <c r="K27" s="134"/>
      <c r="L27" s="134"/>
      <c r="M27" s="134"/>
      <c r="N27" s="134"/>
      <c r="O27" s="134"/>
      <c r="Z27" s="125"/>
    </row>
    <row r="28" spans="2:27" x14ac:dyDescent="0.25">
      <c r="B28" s="135">
        <v>6</v>
      </c>
      <c r="C28" s="134" t="s">
        <v>90</v>
      </c>
      <c r="D28" s="134"/>
      <c r="E28" s="134"/>
      <c r="F28" s="134"/>
      <c r="G28" s="134"/>
      <c r="H28" s="134"/>
      <c r="I28" s="134"/>
      <c r="J28" s="134"/>
      <c r="K28" s="134"/>
      <c r="L28" s="134"/>
      <c r="M28" s="134"/>
      <c r="N28" s="134"/>
      <c r="O28" s="134"/>
      <c r="Z28" s="126"/>
    </row>
    <row r="29" spans="2:27" x14ac:dyDescent="0.25">
      <c r="B29" s="135">
        <v>7</v>
      </c>
      <c r="C29" s="134" t="s">
        <v>91</v>
      </c>
      <c r="D29" s="134"/>
      <c r="E29" s="134"/>
      <c r="F29" s="134"/>
      <c r="G29" s="134"/>
      <c r="H29" s="134"/>
      <c r="I29" s="134"/>
      <c r="J29" s="134"/>
      <c r="K29" s="134"/>
      <c r="L29" s="134"/>
      <c r="M29" s="134"/>
      <c r="N29" s="134"/>
      <c r="O29" s="134"/>
      <c r="P29" s="134"/>
      <c r="Q29" s="134"/>
    </row>
    <row r="30" spans="2:27" x14ac:dyDescent="0.25">
      <c r="B30" s="135">
        <v>8</v>
      </c>
      <c r="C30" s="134" t="s">
        <v>58</v>
      </c>
      <c r="D30" s="134"/>
      <c r="E30" s="134"/>
      <c r="F30" s="134"/>
      <c r="G30" s="134"/>
      <c r="H30" s="134"/>
      <c r="I30" s="134"/>
      <c r="J30" s="134"/>
      <c r="K30" s="134"/>
      <c r="L30" s="134"/>
      <c r="M30" s="134"/>
      <c r="N30" s="134"/>
      <c r="O30" s="134"/>
      <c r="P30" s="134"/>
      <c r="Q30" s="134"/>
    </row>
    <row r="31" spans="2:27" x14ac:dyDescent="0.25">
      <c r="B31" s="135">
        <v>9</v>
      </c>
      <c r="C31" s="134" t="s">
        <v>92</v>
      </c>
      <c r="D31" s="134"/>
      <c r="E31" s="134"/>
      <c r="F31" s="134"/>
      <c r="G31" s="134"/>
      <c r="H31" s="134"/>
      <c r="I31" s="134"/>
      <c r="J31" s="134"/>
      <c r="K31" s="134"/>
      <c r="L31" s="134"/>
      <c r="M31" s="134"/>
      <c r="N31" s="134"/>
      <c r="O31" s="134"/>
      <c r="P31" s="134"/>
      <c r="Q31" s="134"/>
    </row>
    <row r="32" spans="2:27" x14ac:dyDescent="0.25">
      <c r="B32" s="135">
        <v>10</v>
      </c>
      <c r="C32" s="53" t="s">
        <v>93</v>
      </c>
    </row>
    <row r="33" spans="2:20" x14ac:dyDescent="0.25">
      <c r="B33" s="135">
        <v>11</v>
      </c>
      <c r="C33" s="53" t="s">
        <v>115</v>
      </c>
    </row>
    <row r="34" spans="2:20" ht="15.6" x14ac:dyDescent="0.3">
      <c r="B34" s="137"/>
      <c r="C34" s="5"/>
      <c r="D34" s="5"/>
      <c r="E34" s="5"/>
      <c r="F34" s="5"/>
    </row>
    <row r="35" spans="2:20" ht="15.6" x14ac:dyDescent="0.3">
      <c r="B35" s="137"/>
      <c r="C35" s="5"/>
      <c r="D35" s="5"/>
      <c r="E35" s="5"/>
      <c r="F35" s="5"/>
    </row>
    <row r="37" spans="2:20" x14ac:dyDescent="0.25">
      <c r="F37" s="120"/>
      <c r="G37" s="138"/>
      <c r="H37" s="138"/>
      <c r="I37" s="138"/>
      <c r="J37" s="138"/>
      <c r="K37" s="138"/>
      <c r="L37" s="138"/>
      <c r="M37" s="138"/>
      <c r="N37" s="138"/>
      <c r="O37" s="138"/>
      <c r="P37" s="138"/>
      <c r="Q37" s="138"/>
      <c r="R37" s="138"/>
      <c r="S37" s="138"/>
      <c r="T37" s="138"/>
    </row>
    <row r="38" spans="2:20" x14ac:dyDescent="0.25">
      <c r="G38" s="138"/>
      <c r="H38" s="138"/>
      <c r="I38" s="138"/>
      <c r="J38" s="138"/>
      <c r="K38" s="138"/>
      <c r="L38" s="138"/>
      <c r="M38" s="138"/>
      <c r="N38" s="138"/>
      <c r="O38" s="138"/>
      <c r="P38" s="138"/>
      <c r="Q38" s="138"/>
      <c r="R38" s="138"/>
      <c r="S38" s="138"/>
      <c r="T38" s="138"/>
    </row>
    <row r="39" spans="2:20" x14ac:dyDescent="0.25">
      <c r="F39" s="120"/>
      <c r="G39" s="120"/>
      <c r="H39" s="120"/>
      <c r="I39" s="120"/>
      <c r="J39" s="120"/>
      <c r="K39" s="120"/>
      <c r="L39" s="120"/>
      <c r="M39" s="120"/>
      <c r="N39" s="120"/>
      <c r="O39" s="120"/>
      <c r="P39" s="120"/>
      <c r="Q39" s="120"/>
      <c r="R39" s="120"/>
      <c r="S39" s="120"/>
      <c r="T39" s="120"/>
    </row>
    <row r="40" spans="2:20" x14ac:dyDescent="0.25">
      <c r="D40" s="130"/>
    </row>
  </sheetData>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selection activeCell="C10" sqref="C10"/>
    </sheetView>
  </sheetViews>
  <sheetFormatPr defaultRowHeight="13.2" x14ac:dyDescent="0.25"/>
  <cols>
    <col min="1" max="1" width="2.6640625" customWidth="1"/>
    <col min="2" max="2" width="12.44140625" customWidth="1"/>
    <col min="3" max="4" width="14.6640625" customWidth="1"/>
    <col min="5" max="5" width="12.44140625" customWidth="1"/>
  </cols>
  <sheetData>
    <row r="2" spans="2:6" ht="15.6" x14ac:dyDescent="0.3">
      <c r="B2" s="5" t="str">
        <f>+FlatLoadShapeEnergy_perMWh!P4</f>
        <v>Levelized Cost Effectiveness Standard-Energy</v>
      </c>
    </row>
    <row r="3" spans="2:6" ht="13.8" x14ac:dyDescent="0.25">
      <c r="B3" s="328" t="s">
        <v>59</v>
      </c>
      <c r="C3" s="328"/>
      <c r="D3" s="35"/>
    </row>
    <row r="4" spans="2:6" x14ac:dyDescent="0.25">
      <c r="B4" s="329" t="str">
        <f>+FlatLoadShapeEnergy_perMWh!C6</f>
        <v xml:space="preserve"> T&amp;D Line Loss Reduction [4]</v>
      </c>
      <c r="C4" s="330"/>
      <c r="D4" s="162">
        <f>+FlatLoadShapeEnergy_perMWh!E6</f>
        <v>2.7E-2</v>
      </c>
      <c r="E4" s="35"/>
    </row>
    <row r="5" spans="2:6" x14ac:dyDescent="0.25">
      <c r="B5" s="331" t="s">
        <v>52</v>
      </c>
      <c r="C5" s="331"/>
      <c r="D5" s="163">
        <f>Rate_of_Return</f>
        <v>7.3899999999999993E-2</v>
      </c>
      <c r="E5" s="43"/>
    </row>
    <row r="6" spans="2:6" x14ac:dyDescent="0.25">
      <c r="B6" s="7"/>
      <c r="C6" s="29"/>
      <c r="D6" s="43"/>
      <c r="E6" s="1"/>
    </row>
    <row r="7" spans="2:6" x14ac:dyDescent="0.25">
      <c r="C7" s="2"/>
      <c r="D7" s="2"/>
    </row>
    <row r="8" spans="2:6" s="7" customFormat="1" ht="45.75" customHeight="1" x14ac:dyDescent="0.25">
      <c r="B8" s="6" t="s">
        <v>1</v>
      </c>
      <c r="C8" s="6" t="s">
        <v>85</v>
      </c>
      <c r="D8" s="30" t="s">
        <v>86</v>
      </c>
      <c r="E8"/>
      <c r="F8"/>
    </row>
    <row r="9" spans="2:6" x14ac:dyDescent="0.25">
      <c r="B9" s="8">
        <v>1</v>
      </c>
      <c r="C9" s="36">
        <f>+FlatLoadShapeEnergy_perMWh!P7</f>
        <v>20.005959999999995</v>
      </c>
      <c r="D9" s="161">
        <f t="shared" ref="D9:D27" si="0">C9/1000</f>
        <v>2.0005959999999996E-2</v>
      </c>
    </row>
    <row r="10" spans="2:6" x14ac:dyDescent="0.25">
      <c r="B10" s="8">
        <v>2</v>
      </c>
      <c r="C10" s="36">
        <f>+FlatLoadShapeEnergy_perMWh!P8</f>
        <v>21.674791669800854</v>
      </c>
      <c r="D10" s="161">
        <f t="shared" si="0"/>
        <v>2.1674791669800852E-2</v>
      </c>
    </row>
    <row r="11" spans="2:6" x14ac:dyDescent="0.25">
      <c r="B11" s="8">
        <v>3</v>
      </c>
      <c r="C11" s="36">
        <f>+FlatLoadShapeEnergy_perMWh!P9</f>
        <v>21.701855186159595</v>
      </c>
      <c r="D11" s="161">
        <f t="shared" si="0"/>
        <v>2.1701855186159594E-2</v>
      </c>
    </row>
    <row r="12" spans="2:6" x14ac:dyDescent="0.25">
      <c r="B12" s="8">
        <v>4</v>
      </c>
      <c r="C12" s="36">
        <f>+FlatLoadShapeEnergy_perMWh!P10</f>
        <v>21.563567276408119</v>
      </c>
      <c r="D12" s="161">
        <f t="shared" si="0"/>
        <v>2.1563567276408117E-2</v>
      </c>
    </row>
    <row r="13" spans="2:6" x14ac:dyDescent="0.25">
      <c r="B13" s="8">
        <v>5</v>
      </c>
      <c r="C13" s="36">
        <f>+FlatLoadShapeEnergy_perMWh!P11</f>
        <v>21.349745673655153</v>
      </c>
      <c r="D13" s="161">
        <f t="shared" si="0"/>
        <v>2.1349745673655152E-2</v>
      </c>
    </row>
    <row r="14" spans="2:6" x14ac:dyDescent="0.25">
      <c r="B14" s="8">
        <v>6</v>
      </c>
      <c r="C14" s="36">
        <f>+FlatLoadShapeEnergy_perMWh!P12</f>
        <v>21.202112546409023</v>
      </c>
      <c r="D14" s="161">
        <f t="shared" si="0"/>
        <v>2.1202112546409021E-2</v>
      </c>
    </row>
    <row r="15" spans="2:6" x14ac:dyDescent="0.25">
      <c r="B15" s="8">
        <v>7</v>
      </c>
      <c r="C15" s="36">
        <f>+FlatLoadShapeEnergy_perMWh!P13</f>
        <v>21.122992016097555</v>
      </c>
      <c r="D15" s="161">
        <f t="shared" si="0"/>
        <v>2.1122992016097554E-2</v>
      </c>
    </row>
    <row r="16" spans="2:6" x14ac:dyDescent="0.25">
      <c r="B16" s="8">
        <v>8</v>
      </c>
      <c r="C16" s="36">
        <f>+FlatLoadShapeEnergy_perMWh!P14</f>
        <v>21.381822859457564</v>
      </c>
      <c r="D16" s="161">
        <f t="shared" si="0"/>
        <v>2.1381822859457566E-2</v>
      </c>
    </row>
    <row r="17" spans="2:4" x14ac:dyDescent="0.25">
      <c r="B17" s="8">
        <v>9</v>
      </c>
      <c r="C17" s="36">
        <f>+FlatLoadShapeEnergy_perMWh!P15</f>
        <v>21.685546754526044</v>
      </c>
      <c r="D17" s="161">
        <f t="shared" si="0"/>
        <v>2.1685546754526042E-2</v>
      </c>
    </row>
    <row r="18" spans="2:4" x14ac:dyDescent="0.25">
      <c r="B18" s="8">
        <v>10</v>
      </c>
      <c r="C18" s="36">
        <f>+FlatLoadShapeEnergy_perMWh!P16</f>
        <v>22.001125877428763</v>
      </c>
      <c r="D18" s="161">
        <f t="shared" si="0"/>
        <v>2.2001125877428761E-2</v>
      </c>
    </row>
    <row r="19" spans="2:4" x14ac:dyDescent="0.25">
      <c r="B19" s="8">
        <v>11</v>
      </c>
      <c r="C19" s="36">
        <f>+FlatLoadShapeEnergy_perMWh!P17</f>
        <v>22.232310464449156</v>
      </c>
      <c r="D19" s="161">
        <f t="shared" si="0"/>
        <v>2.2232310464449158E-2</v>
      </c>
    </row>
    <row r="20" spans="2:4" x14ac:dyDescent="0.25">
      <c r="B20" s="8">
        <v>12</v>
      </c>
      <c r="C20" s="36">
        <f>+FlatLoadShapeEnergy_perMWh!P18</f>
        <v>22.408046557683559</v>
      </c>
      <c r="D20" s="161">
        <f t="shared" si="0"/>
        <v>2.240804655768356E-2</v>
      </c>
    </row>
    <row r="21" spans="2:4" x14ac:dyDescent="0.25">
      <c r="B21" s="8">
        <v>13</v>
      </c>
      <c r="C21" s="36">
        <f>+FlatLoadShapeEnergy_perMWh!P19</f>
        <v>22.585090190839583</v>
      </c>
      <c r="D21" s="161">
        <f t="shared" si="0"/>
        <v>2.2585090190839582E-2</v>
      </c>
    </row>
    <row r="22" spans="2:4" x14ac:dyDescent="0.25">
      <c r="B22" s="8">
        <v>14</v>
      </c>
      <c r="C22" s="36">
        <f>+FlatLoadShapeEnergy_perMWh!P20</f>
        <v>22.793233902662163</v>
      </c>
      <c r="D22" s="161">
        <f t="shared" si="0"/>
        <v>2.2793233902662163E-2</v>
      </c>
    </row>
    <row r="23" spans="2:4" x14ac:dyDescent="0.25">
      <c r="B23" s="302">
        <v>15</v>
      </c>
      <c r="C23" s="303">
        <f>+FlatLoadShapeEnergy_perMWh!P21</f>
        <v>22.999689199971915</v>
      </c>
      <c r="D23" s="161">
        <f>C23/1000</f>
        <v>2.2999689199971914E-2</v>
      </c>
    </row>
    <row r="24" spans="2:4" x14ac:dyDescent="0.25">
      <c r="B24" s="8">
        <v>16</v>
      </c>
      <c r="C24" s="36">
        <f>+FlatLoadShapeEnergy_perMWh!P22</f>
        <v>23.208398106210581</v>
      </c>
      <c r="D24" s="161">
        <f t="shared" si="0"/>
        <v>2.320839810621058E-2</v>
      </c>
    </row>
    <row r="25" spans="2:4" x14ac:dyDescent="0.25">
      <c r="B25" s="8">
        <v>17</v>
      </c>
      <c r="C25" s="36">
        <f>+FlatLoadShapeEnergy_perMWh!P23</f>
        <v>23.437070682805043</v>
      </c>
      <c r="D25" s="161">
        <f t="shared" si="0"/>
        <v>2.3437070682805042E-2</v>
      </c>
    </row>
    <row r="26" spans="2:4" x14ac:dyDescent="0.25">
      <c r="B26" s="8">
        <v>18</v>
      </c>
      <c r="C26" s="36">
        <f>+FlatLoadShapeEnergy_perMWh!P24</f>
        <v>23.629351028849676</v>
      </c>
      <c r="D26" s="161">
        <f t="shared" si="0"/>
        <v>2.3629351028849676E-2</v>
      </c>
    </row>
    <row r="27" spans="2:4" x14ac:dyDescent="0.25">
      <c r="B27" s="8">
        <v>19</v>
      </c>
      <c r="C27" s="36">
        <f>+FlatLoadShapeEnergy_perMWh!P25</f>
        <v>23.796216634950248</v>
      </c>
      <c r="D27" s="161">
        <f t="shared" si="0"/>
        <v>2.3796216634950247E-2</v>
      </c>
    </row>
    <row r="28" spans="2:4" x14ac:dyDescent="0.25">
      <c r="B28" s="8">
        <v>20</v>
      </c>
      <c r="C28" s="36">
        <f>+FlatLoadShapeEnergy_perMWh!P26</f>
        <v>23.939026645427798</v>
      </c>
      <c r="D28" s="161">
        <f t="shared" ref="D28:D29" si="1">C28/1000</f>
        <v>2.39390266454278E-2</v>
      </c>
    </row>
    <row r="29" spans="2:4" x14ac:dyDescent="0.25">
      <c r="B29" s="8">
        <v>21</v>
      </c>
      <c r="C29" s="36">
        <f>+FlatLoadShapeEnergy_perMWh!P27</f>
        <v>24.071822376255298</v>
      </c>
      <c r="D29" s="161">
        <f t="shared" si="1"/>
        <v>2.4071822376255297E-2</v>
      </c>
    </row>
    <row r="39" spans="2:3" x14ac:dyDescent="0.25">
      <c r="C39" s="9"/>
    </row>
    <row r="40" spans="2:3" x14ac:dyDescent="0.25">
      <c r="C40" s="10"/>
    </row>
    <row r="41" spans="2:3" s="13" customFormat="1" x14ac:dyDescent="0.25">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2020-10-27T07:00:00+00:00</OpenedDate>
    <SignificantOrder xmlns="dc463f71-b30c-4ab2-9473-d307f9d35888">false</SignificantOrder>
    <Date1 xmlns="dc463f71-b30c-4ab2-9473-d307f9d35888">2020-11-25T08:00:00+00:00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200886</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5FC7936A7DF4540999B8277454E47E0" ma:contentTypeVersion="52" ma:contentTypeDescription="" ma:contentTypeScope="" ma:versionID="25e5bf68d3a2efe0b7fec56274d660b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1af0c028-e016-4365-948e-cc2e26d65303" ContentTypeId="0x0101006E56B4D1795A2E4DB2F0B01679ED314A" PreviousValue="false"/>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3E0F919-B37F-4217-AEE8-BC978C1FFF41}">
  <ds:schemaRefs>
    <ds:schemaRef ds:uri="http://schemas.microsoft.com/office/2006/metadata/properties"/>
    <ds:schemaRef ds:uri="dc463f71-b30c-4ab2-9473-d307f9d35888"/>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3.xml><?xml version="1.0" encoding="utf-8"?>
<ds:datastoreItem xmlns:ds="http://schemas.openxmlformats.org/officeDocument/2006/customXml" ds:itemID="{56E5ECDD-9671-434D-BC9D-5632F47CB4D1}"/>
</file>

<file path=customXml/itemProps4.xml><?xml version="1.0" encoding="utf-8"?>
<ds:datastoreItem xmlns:ds="http://schemas.openxmlformats.org/officeDocument/2006/customXml" ds:itemID="{22A81EF2-52C2-4B8E-BCE7-35C226F6BB9E}">
  <ds:schemaRefs>
    <ds:schemaRef ds:uri="Microsoft.SharePoint.Taxonomy.ContentTypeSync"/>
  </ds:schemaRefs>
</ds:datastoreItem>
</file>

<file path=customXml/itemProps5.xml><?xml version="1.0" encoding="utf-8"?>
<ds:datastoreItem xmlns:ds="http://schemas.openxmlformats.org/officeDocument/2006/customXml" ds:itemID="{E8E3B021-23D5-4C33-8BF0-8199B62267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Cass, Mei</cp:lastModifiedBy>
  <cp:lastPrinted>2019-09-23T18:45:11Z</cp:lastPrinted>
  <dcterms:created xsi:type="dcterms:W3CDTF">2011-10-18T17:21:29Z</dcterms:created>
  <dcterms:modified xsi:type="dcterms:W3CDTF">2020-11-23T19:41:37Z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0x0101006E56B4D1795A2E4DB2F0B01679ED314A00C5FC7936A7DF4540999B8277454E47E0</vt:lpwstr>
  </property>
  <property fmtid="{D5CDD505-2E9C-101B-9397-08002B2CF9AE}" pid="3" name="_docset_NoMedatataSyncRequired">
    <vt:lpwstr>False</vt:lpwstr>
  </property>
  <property fmtid="{D5CDD505-2E9C-101B-9397-08002B2CF9AE}" pid="4" name="IsEFSEC">
    <vt:bool>false</vt:bool>
  </property>
</Properties>
</file>