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5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7.xml" ContentType="application/vnd.openxmlformats-officedocument.spreadsheetml.externalLink+xml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externalLinks/externalLink3.xml" ContentType="application/vnd.openxmlformats-officedocument.spreadsheetml.externalLink+xml"/>
  <Override PartName="/xl/customProperty2.bin" ContentType="application/vnd.openxmlformats-officedocument.spreadsheetml.customProperty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ustomProperty1.bin" ContentType="application/vnd.openxmlformats-officedocument.spreadsheetml.customProperty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4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19\To File Dec 2019 CBR\To File Electric 2019 CBR\"/>
    </mc:Choice>
  </mc:AlternateContent>
  <bookViews>
    <workbookView xWindow="-12" yWindow="-12" windowWidth="20652" windowHeight="13740" tabRatio="874"/>
  </bookViews>
  <sheets>
    <sheet name="1.01 ROR ROE" sheetId="9" r:id="rId1"/>
    <sheet name="Summaries" sheetId="2" r:id="rId2"/>
    <sheet name="1.02 COC" sheetId="49" r:id="rId3"/>
    <sheet name="Electric Earnings Sharing" sheetId="53" r:id="rId4"/>
    <sheet name="Restating Print Macros" sheetId="4" state="veryHidden" r:id="rId5"/>
    <sheet name="Module13" sheetId="5" state="veryHidden" r:id="rId6"/>
    <sheet name="Module14" sheetId="6" state="veryHidden" r:id="rId7"/>
    <sheet name="Module15" sheetId="7" state="veryHidden" r:id="rId8"/>
    <sheet name="Module1" sheetId="8" state="very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3.01_TempNorm">Summaries!$A$2:$G$55</definedName>
    <definedName name="_3.02_RevAndExp">Summaries!$H$2:$L$52</definedName>
    <definedName name="_3.03_FIT">Summaries!$M$2:$O$36</definedName>
    <definedName name="_3.04_TBofRE">Summaries!$P$2:$S$30</definedName>
    <definedName name="_3.05_Pass_Thru">Summaries!$T$2:$X$51</definedName>
    <definedName name="_3.06_RateCaseExp">Summaries!$Y$2:$AB$31</definedName>
    <definedName name="_3.07_Bad_Debt">Summaries!$AC$2:$AK$36</definedName>
    <definedName name="_3.08_Incentives">Summaries!$AL$2:$AP$20</definedName>
    <definedName name="_3.09_ExciseTax">Summaries!$AQ$2:$AT$26</definedName>
    <definedName name="_3.10_DO_Ins">Summaries!$AU$2:$AY$20</definedName>
    <definedName name="_3.11_IntOnCustDep">Summaries!$AZ$2:$BC$15</definedName>
    <definedName name="_3.12_PensionPlan">Summaries!$BD$2:$BH$19</definedName>
    <definedName name="_3.13_InjDamages">Summaries!$BI$2:$BM$19</definedName>
    <definedName name="_3.15_ASC815">Summaries!$BN$2:$BR$20</definedName>
    <definedName name="_3.16_Storm">Summaries!$BS$3:$BY$37</definedName>
    <definedName name="_3.17_PwrCost">Summaries!$BZ$2:$CD$25</definedName>
    <definedName name="_3.18_Montana_En">Summaries!$AZ$2:$BD$30</definedName>
    <definedName name="_3.19_WHSolar">Summaries!$CJ$2:$CN$25</definedName>
    <definedName name="_3A">Summaries!$CT$1:$DG$60</definedName>
    <definedName name="_3B">Summaries!$DH$1:$DQ$60</definedName>
    <definedName name="_3Summary">Summaries!$DR$1:$DV$60</definedName>
    <definedName name="_4.01_ConvFact">Summaries!$CO$1:$CS$20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BD">Summaries!$CS$12</definedName>
    <definedName name="CBWorkbookPriority">-2060790043</definedName>
    <definedName name="DOCKET">Summaries!$A$7</definedName>
    <definedName name="FF">Summaries!$CS$13</definedName>
    <definedName name="FIT">Summaries!$CR$19</definedName>
    <definedName name="HTML_CodePage">1252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k_FITrate">'Electric Earnings Sharing'!$L$20</definedName>
    <definedName name="MOTANA">Summaries!$CE$3:$CI$21</definedName>
    <definedName name="MT">Summaries!$CS$15</definedName>
    <definedName name="_xlnm.Print_Area" localSheetId="1">Summaries!$CO$1:$CS$23</definedName>
    <definedName name="PSPL">Summaries!$A$4</definedName>
    <definedName name="PWRCSTRS">Summaries!$BZ$3:$CD$29</definedName>
    <definedName name="RATEBASE">Summaries!$A$4:$F$51</definedName>
    <definedName name="RESTATING">Summaries!$CV$5:$DQ$51</definedName>
    <definedName name="REVADJ">Summaries!$A$4:$G$34</definedName>
    <definedName name="ROR">Summaries!$CO$25:$CS$40</definedName>
    <definedName name="SAPBEXhrIndnt">"Wide"</definedName>
    <definedName name="SAPsysID">"708C5W7SBKP804JT78WJ0JNKI"</definedName>
    <definedName name="SAPwbID">"ARS"</definedName>
    <definedName name="TAXBENEFIT">Summaries!$P$3:$S$20</definedName>
    <definedName name="TAXEXCISE">Summaries!$AQ$3:$AT$27</definedName>
    <definedName name="TAXINCOME">Summaries!$M$3:$O$28</definedName>
    <definedName name="TESTYEAR">Summaries!$A$6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">Summaries!$CR$14</definedName>
    <definedName name="UTN">Summaries!$CS$14</definedName>
    <definedName name="Z_067119CC_1C61_43DB_B4BB_54397DC63A91_.wvu.PrintArea" localSheetId="1">Summaries!$A$1:$G$60</definedName>
    <definedName name="Z_14262664_129C_4E9B_8245_4B43AF19E33A_.wvu.PrintArea" localSheetId="1">Summaries!$A$1:$G$60</definedName>
    <definedName name="Z_17768135_68BF_4539_94C0_50ED7816A698_.wvu.PrintArea" localSheetId="1">Summaries!$A$1:$G$60</definedName>
    <definedName name="Z_1E64D771_8C52_4EFE_8F0D_67326F432767_.wvu.PrintArea" localSheetId="1">Summaries!$A$1:$G$60</definedName>
    <definedName name="Z_28C5A156_92F3_4234_9C7A_A32D75F798CC_.wvu.PrintArea" localSheetId="1">Summaries!$A$1:$G$60</definedName>
    <definedName name="Z_2DBDF3D7_BA4D_404D_AE4B_DFD7008C0411_.wvu.PrintArea" localSheetId="1">Summaries!$A$1:$G$60</definedName>
    <definedName name="Z_3797879C_3298_4122_A12D_3DFD0284FBDD_.wvu.PrintArea" localSheetId="1">Summaries!$A$1:$G$60</definedName>
    <definedName name="Z_3834E606_B28A_4696_9192_7BDA898195A1_.wvu.PrintArea" localSheetId="1">Summaries!$A$1:$G$60</definedName>
    <definedName name="Z_3DB8EC99_BD55_4ABF_B71E_F70797B0173C_.wvu.PrintArea" localSheetId="1">Summaries!$A$1:$G$60</definedName>
    <definedName name="Z_40B7FB48_DAE3_4682_852F_AC0650D2BE14_.wvu.PrintArea" localSheetId="1">Summaries!$A$1:$G$60</definedName>
    <definedName name="Z_41713566_6DDC_4C14_8259_D9C15B9E45DD_.wvu.PrintArea" localSheetId="1">Summaries!$A$1:$G$60</definedName>
    <definedName name="Z_423F2953_9177_4482_AE78_C7C47BA8995B_.wvu.PrintArea" localSheetId="1">Summaries!$A$1:$G$60</definedName>
    <definedName name="Z_46E5C546_9AEA_4E06_B017_805B7E255C92_.wvu.PrintArea" localSheetId="1">Summaries!$A$1:$G$60</definedName>
    <definedName name="Z_4840C72E_33E7_45CF_A897_030BC56F6B90_.wvu.PrintArea" localSheetId="1">Summaries!$A$1:$G$60</definedName>
    <definedName name="Z_605C023E_A5C7_400F_9AAA_827B8FDB13A8_.wvu.PrintArea" localSheetId="1">Summaries!$A$1:$G$60</definedName>
    <definedName name="Z_62EE4FB2_B9F8_4C5D_BC5C_181361F6DD86_.wvu.PrintArea" localSheetId="1">Summaries!$A$1:$G$60</definedName>
    <definedName name="Z_813D7A4F_EDF6_49ED_B8FD_B74D0B9276AB_.wvu.PrintArea" localSheetId="1">Summaries!$A$1:$G$60</definedName>
    <definedName name="Z_88A240CE_F5A6_4995_A526_0E22BADCFF6D_.wvu.PrintArea" localSheetId="1">Summaries!$A$1:$G$60</definedName>
    <definedName name="Z_8920654A_B782_40BF_9A51_A43F20A27C02_.wvu.PrintArea" localSheetId="1">Summaries!$A$1:$G$60</definedName>
    <definedName name="Z_8E7EA697_A1C1_4FA5_9CC7_93304413A154_.wvu.PrintArea" localSheetId="1">Summaries!$A$1:$G$60</definedName>
    <definedName name="Z_990691EF_FF43_4000_BCD8_6862D2BAD44A_.wvu.PrintArea" localSheetId="1">Summaries!$A$1:$G$60</definedName>
    <definedName name="Z_A3FBC4C2_6ECB_480C_89DD_35506B048870_.wvu.PrintArea" localSheetId="1">Summaries!$A$1:$G$60</definedName>
    <definedName name="Z_ACABE5FC_E604_45C9_ACB7_53C863CA19F6_.wvu.PrintArea" localSheetId="1">Summaries!$CO$1:$CS$21</definedName>
    <definedName name="Z_BA39091D_C7FC_45D0_82A3_5E4EAAFABA5A_.wvu.PrintArea" localSheetId="1">Summaries!$A$1:$G$60</definedName>
    <definedName name="Z_BBEC464C_25F9_4835_BB05_13062D5DEAC1_.wvu.PrintArea" localSheetId="1">Summaries!$A$1:$G$60</definedName>
    <definedName name="Z_C3CE34FF_D7D7_4ECF_B6E1_4700E3130E94_.wvu.PrintArea" localSheetId="1">Summaries!$A$1:$G$60</definedName>
    <definedName name="Z_CD5012F4_E6A6_495E_BF90_5F6D9EE7AF29_.wvu.PrintArea" localSheetId="1">Summaries!$A$1:$G$60</definedName>
    <definedName name="Z_D034A8AA_A968_4D12_B6AF_09F53E5CD513_.wvu.PrintArea" localSheetId="1">Summaries!$H$1:$L$48</definedName>
    <definedName name="Z_D358E58B_5EA6_4EB2_8562_4D9FEBA8EA54_.wvu.PrintArea" localSheetId="1">Summaries!$CO$22:$CS$42</definedName>
    <definedName name="Z_D564613F_7CF3_40DE_8CDA_0C25C1F35855_.wvu.PrintArea" localSheetId="1">Summaries!$A$1:$G$60</definedName>
    <definedName name="Z_DD70B4E1_CC64_4568_BFD6_83390A7B0268_.wvu.PrintArea" localSheetId="1">Summaries!$A$1:$G$60</definedName>
    <definedName name="Z_DF4E3B04_E442_43A1_A47D_E26F6CE7F11C_.wvu.PrintArea" localSheetId="1">Summaries!$A$1:$G$60</definedName>
    <definedName name="Z_E2C26153_D457_4603_B564_60CFADB5026B_.wvu.PrintArea" localSheetId="1">Summaries!$A$1:$G$60</definedName>
    <definedName name="Z_E98B4028_3602_46AA_8C00_41FD8ABF8836_.wvu.PrintArea" localSheetId="1">Summaries!$A$1:$G$60</definedName>
    <definedName name="Z_EDF3DC03_FBB9_4397_9335_6FA548B9B5CD_.wvu.PrintArea" localSheetId="1">Summaries!$A$1:$G$60</definedName>
    <definedName name="Z_F531E925_9E0B_409C_9EAA_ADCDD51D6BA7_.wvu.PrintArea" localSheetId="1">Summaries!$A$1:$G$60</definedName>
    <definedName name="Z_F985D028_064A_46CA_9D34_E4E9B88A9B3C_.wvu.PrintArea" localSheetId="1">Summaries!$A$1:$G$60</definedName>
    <definedName name="Z_FEFCE477_944B_4DAC_AD75_686CC83D0F0B_.wvu.PrintArea" localSheetId="1">Summaries!$A$1:$G$60</definedName>
  </definedNames>
  <calcPr calcId="162913"/>
  <customWorkbookViews>
    <customWorkbookView name="Page 4.02" guid="{D358E58B-5EA6-4EB2-8562-4D9FEBA8EA54}" maximized="1" windowWidth="1276" windowHeight="719" tabRatio="588" activeSheetId="1"/>
    <customWorkbookView name="Page 2.03" guid="{DD70B4E1-CC64-4568-BFD6-83390A7B0268}" maximized="1" windowWidth="1020" windowHeight="606" tabRatio="588" activeSheetId="1"/>
    <customWorkbookView name="Page 2.04" guid="{1E64D771-8C52-4EFE-8F0D-67326F432767}" maximized="1" windowWidth="1020" windowHeight="606" tabRatio="588" activeSheetId="1"/>
    <customWorkbookView name="Page 2.05" guid="{8920654A-B782-40BF-9A51-A43F20A27C02}" maximized="1" windowWidth="1020" windowHeight="606" tabRatio="588" activeSheetId="1"/>
    <customWorkbookView name="Page 2.06" guid="{F985D028-064A-46CA-9D34-E4E9B88A9B3C}" maximized="1" windowWidth="1020" windowHeight="606" tabRatio="588" activeSheetId="1"/>
    <customWorkbookView name="Page 2.07" guid="{CD5012F4-E6A6-495E-BF90-5F6D9EE7AF29}" maximized="1" windowWidth="1020" windowHeight="606" tabRatio="588" activeSheetId="1"/>
    <customWorkbookView name="Page 2.08" guid="{14262664-129C-4E9B-8245-4B43AF19E33A}" maximized="1" windowWidth="1020" windowHeight="606" tabRatio="588" activeSheetId="1"/>
    <customWorkbookView name="Page 2.09" guid="{8E7EA697-A1C1-4FA5-9CC7-93304413A154}" maximized="1" windowWidth="1020" windowHeight="606" tabRatio="588" activeSheetId="1"/>
    <customWorkbookView name="Page 2.10" guid="{F531E925-9E0B-409C-9EAA-ADCDD51D6BA7}" maximized="1" windowWidth="1020" windowHeight="606" tabRatio="588" activeSheetId="1"/>
    <customWorkbookView name="Page 2.11" guid="{4840C72E-33E7-45CF-A897-030BC56F6B90}" maximized="1" windowWidth="1020" windowHeight="606" tabRatio="588" activeSheetId="1"/>
    <customWorkbookView name="Page 2.12" guid="{40B7FB48-DAE3-4682-852F-AC0650D2BE14}" maximized="1" windowWidth="1020" windowHeight="606" tabRatio="588" activeSheetId="1"/>
    <customWorkbookView name="Page 2.13" guid="{A3FBC4C2-6ECB-480C-89DD-35506B048870}" maximized="1" windowWidth="1020" windowHeight="606" tabRatio="588" activeSheetId="1"/>
    <customWorkbookView name="Page 2.14" guid="{EDF3DC03-FBB9-4397-9335-6FA548B9B5CD}" maximized="1" windowWidth="1020" windowHeight="606" tabRatio="588" activeSheetId="1"/>
    <customWorkbookView name="Page 2.15" guid="{605C023E-A5C7-400F-9AAA-827B8FDB13A8}" maximized="1" windowWidth="1020" windowHeight="606" tabRatio="588" activeSheetId="1"/>
    <customWorkbookView name="Page 2.16" guid="{3DB8EC99-BD55-4ABF-B71E-F70797B0173C}" maximized="1" windowWidth="1020" windowHeight="606" tabRatio="588" activeSheetId="1"/>
    <customWorkbookView name="Page 2.17" guid="{62EE4FB2-B9F8-4C5D-BC5C-181361F6DD86}" maximized="1" windowWidth="1020" windowHeight="606" tabRatio="588" activeSheetId="1"/>
    <customWorkbookView name="Page 2.18" guid="{BBEC464C-25F9-4835-BB05-13062D5DEAC1}" maximized="1" windowWidth="1020" windowHeight="606" tabRatio="588" activeSheetId="1"/>
    <customWorkbookView name="Page 2.19" guid="{88A240CE-F5A6-4995-A526-0E22BADCFF6D}" maximized="1" windowWidth="1020" windowHeight="606" tabRatio="588" activeSheetId="1"/>
    <customWorkbookView name="Page 2.20" guid="{3834E606-B28A-4696-9192-7BDA898195A1}" maximized="1" windowWidth="1020" windowHeight="606" tabRatio="588" activeSheetId="1"/>
    <customWorkbookView name="Page 2.21" guid="{D564613F-7CF3-40DE-8CDA-0C25C1F35855}" maximized="1" windowWidth="1020" windowHeight="606" tabRatio="588" activeSheetId="1"/>
    <customWorkbookView name="Page 2.22" guid="{BA39091D-C7FC-45D0-82A3-5E4EAAFABA5A}" maximized="1" windowWidth="1020" windowHeight="606" tabRatio="588" activeSheetId="1"/>
    <customWorkbookView name="Page 2.23" guid="{3797879C-3298-4122-A12D-3DFD0284FBDD}" maximized="1" windowWidth="1020" windowHeight="606" tabRatio="588" activeSheetId="1"/>
    <customWorkbookView name="Page 2.24" guid="{46E5C546-9AEA-4E06-B017-805B7E255C92}" maximized="1" windowWidth="1020" windowHeight="606" tabRatio="588" activeSheetId="1"/>
    <customWorkbookView name="Page 2.25" guid="{813D7A4F-EDF6-49ED-B8FD-B74D0B9276AB}" maximized="1" windowWidth="1020" windowHeight="606" tabRatio="588" activeSheetId="1"/>
    <customWorkbookView name="Page 2.26" guid="{28C5A156-92F3-4234-9C7A-A32D75F798CC}" maximized="1" windowWidth="1020" windowHeight="606" tabRatio="588" activeSheetId="1"/>
    <customWorkbookView name="Page 2.27" guid="{E98B4028-3602-46AA-8C00-41FD8ABF8836}" maximized="1" windowWidth="1020" windowHeight="606" tabRatio="588" activeSheetId="1"/>
    <customWorkbookView name="Page 2.28" guid="{41713566-6DDC-4C14-8259-D9C15B9E45DD}" maximized="1" windowWidth="1020" windowHeight="606" tabRatio="588" activeSheetId="1"/>
    <customWorkbookView name="Page 2.29" guid="{990691EF-FF43-4000-BCD8-6862D2BAD44A}" maximized="1" windowWidth="1020" windowHeight="606" tabRatio="588" activeSheetId="1"/>
    <customWorkbookView name="Page 2.30" guid="{17768135-68BF-4539-94C0-50ED7816A698}" maximized="1" windowWidth="1020" windowHeight="606" tabRatio="588" activeSheetId="1"/>
    <customWorkbookView name="Page 4.00" guid="{DF4E3B04-E442-43A1-A47D-E26F6CE7F11C}" maximized="1" windowWidth="1020" windowHeight="606" tabRatio="588" activeSheetId="1"/>
    <customWorkbookView name="Page E3A" guid="{2DBDF3D7-BA4D-404D-AE4B-DFD7008C0411}" maximized="1" windowWidth="1020" windowHeight="606" tabRatio="588" activeSheetId="1"/>
    <customWorkbookView name="Page E3B" guid="{423F2953-9177-4482-AE78-C7C47BA8995B}" maximized="1" windowWidth="1020" windowHeight="606" tabRatio="588" activeSheetId="1"/>
    <customWorkbookView name="Page E3C" guid="{E2C26153-D457-4603-B564-60CFADB5026B}" maximized="1" windowWidth="1020" windowHeight="606" tabRatio="588" activeSheetId="1"/>
    <customWorkbookView name="Page E3D" guid="{C3CE34FF-D7D7-4ECF-B6E1-4700E3130E94}" maximized="1" windowWidth="1020" windowHeight="606" tabRatio="588" activeSheetId="1"/>
    <customWorkbookView name="Summary" guid="{067119CC-1C61-43DB-B4BB-54397DC63A91}" maximized="1" windowWidth="1020" windowHeight="606" tabRatio="588" activeSheetId="1"/>
    <customWorkbookView name="Page 2.01" guid="{FEFCE477-944B-4DAC-AD75-686CC83D0F0B}" maximized="1" windowWidth="1020" windowHeight="606" tabRatio="588" activeSheetId="1"/>
    <customWorkbookView name="Page 2.02" guid="{D034A8AA-A968-4D12-B6AF-09F53E5CD513}" maximized="1" windowWidth="1020" windowHeight="606" tabRatio="588" activeSheetId="1"/>
    <customWorkbookView name="Page 4.03" guid="{ACABE5FC-E604-45C9-ACB7-53C863CA19F6}" maximized="1" windowWidth="1020" windowHeight="606" tabRatio="588" activeSheetId="1"/>
  </customWorkbookViews>
</workbook>
</file>

<file path=xl/calcChain.xml><?xml version="1.0" encoding="utf-8"?>
<calcChain xmlns="http://schemas.openxmlformats.org/spreadsheetml/2006/main">
  <c r="BT18" i="2" l="1"/>
  <c r="BT17" i="2"/>
  <c r="BT16" i="2"/>
  <c r="BT15" i="2"/>
  <c r="BT14" i="2"/>
  <c r="BT13" i="2"/>
  <c r="K33" i="2" l="1"/>
  <c r="X45" i="2" l="1"/>
  <c r="T45" i="2"/>
  <c r="T46" i="2" s="1"/>
  <c r="T47" i="2" s="1"/>
  <c r="T48" i="2" s="1"/>
  <c r="T49" i="2" s="1"/>
  <c r="T50" i="2" s="1"/>
  <c r="X44" i="2"/>
  <c r="X43" i="2"/>
  <c r="X42" i="2"/>
  <c r="X41" i="2"/>
  <c r="X40" i="2"/>
  <c r="X39" i="2"/>
  <c r="X38" i="2"/>
  <c r="DA34" i="2" s="1"/>
  <c r="X37" i="2"/>
  <c r="X36" i="2"/>
  <c r="X35" i="2"/>
  <c r="DA40" i="2" l="1"/>
  <c r="X25" i="2"/>
  <c r="D11" i="53" l="1"/>
  <c r="CI21" i="2" l="1"/>
  <c r="CI17" i="2"/>
  <c r="CI14" i="2"/>
  <c r="CI13" i="2"/>
  <c r="CI12" i="2"/>
  <c r="E11" i="53" l="1"/>
  <c r="F11" i="53" s="1"/>
  <c r="G11" i="53" s="1"/>
  <c r="H11" i="53" s="1"/>
  <c r="I11" i="53" s="1"/>
  <c r="J11" i="53" s="1"/>
  <c r="K11" i="53" s="1"/>
  <c r="L11" i="53" s="1"/>
  <c r="BG12" i="2" l="1"/>
  <c r="BF12" i="2"/>
  <c r="CL20" i="2" l="1"/>
  <c r="CL16" i="2"/>
  <c r="CL15" i="2"/>
  <c r="CL14" i="2"/>
  <c r="AO14" i="2" l="1"/>
  <c r="AN14" i="2"/>
  <c r="AO12" i="2"/>
  <c r="AN12" i="2"/>
  <c r="AN15" i="2" l="1"/>
  <c r="AO15" i="2"/>
  <c r="X24" i="2"/>
  <c r="X23" i="2"/>
  <c r="X22" i="2"/>
  <c r="X21" i="2"/>
  <c r="X19" i="2"/>
  <c r="X18" i="2"/>
  <c r="X17" i="2"/>
  <c r="X16" i="2"/>
  <c r="X15" i="2"/>
  <c r="X14" i="2"/>
  <c r="X13" i="2"/>
  <c r="DA18" i="2" l="1"/>
  <c r="X46" i="2"/>
  <c r="K30" i="2"/>
  <c r="K13" i="2"/>
  <c r="K14" i="2"/>
  <c r="K12" i="2"/>
  <c r="CD18" i="2" l="1"/>
  <c r="CD17" i="2"/>
  <c r="CD16" i="2"/>
  <c r="CD15" i="2"/>
  <c r="CD14" i="2"/>
  <c r="CD13" i="2"/>
  <c r="CB18" i="2"/>
  <c r="F36" i="2" l="1"/>
  <c r="F35" i="2"/>
  <c r="F34" i="2"/>
  <c r="F33" i="2"/>
  <c r="F32" i="2"/>
  <c r="F31" i="2"/>
  <c r="F30" i="2"/>
  <c r="F29" i="2"/>
  <c r="F28" i="2"/>
  <c r="E36" i="2"/>
  <c r="E35" i="2"/>
  <c r="E34" i="2"/>
  <c r="E33" i="2"/>
  <c r="E32" i="2"/>
  <c r="E31" i="2"/>
  <c r="E30" i="2"/>
  <c r="E29" i="2"/>
  <c r="E28" i="2"/>
  <c r="D25" i="2"/>
  <c r="D24" i="2"/>
  <c r="D23" i="2"/>
  <c r="D22" i="2"/>
  <c r="D21" i="2"/>
  <c r="D20" i="2"/>
  <c r="D19" i="2"/>
  <c r="D18" i="2"/>
  <c r="D17" i="2"/>
  <c r="D16" i="2"/>
  <c r="D15" i="2"/>
  <c r="D14" i="2"/>
  <c r="C25" i="2"/>
  <c r="C24" i="2"/>
  <c r="C23" i="2"/>
  <c r="C22" i="2"/>
  <c r="C21" i="2"/>
  <c r="C20" i="2"/>
  <c r="C19" i="2"/>
  <c r="C18" i="2"/>
  <c r="C17" i="2"/>
  <c r="C16" i="2"/>
  <c r="C15" i="2"/>
  <c r="C14" i="2"/>
  <c r="AJ24" i="2" l="1"/>
  <c r="AE12" i="2"/>
  <c r="AF12" i="2"/>
  <c r="AG12" i="2"/>
  <c r="AH12" i="2"/>
  <c r="AI12" i="2"/>
  <c r="AE13" i="2"/>
  <c r="AF13" i="2"/>
  <c r="AG13" i="2"/>
  <c r="AH13" i="2"/>
  <c r="AI13" i="2"/>
  <c r="AE14" i="2"/>
  <c r="AF14" i="2"/>
  <c r="AG14" i="2"/>
  <c r="AH14" i="2"/>
  <c r="AI14" i="2"/>
  <c r="CD36" i="2" l="1"/>
  <c r="CB36" i="2"/>
  <c r="CD35" i="2"/>
  <c r="CD34" i="2"/>
  <c r="CD33" i="2"/>
  <c r="CD32" i="2"/>
  <c r="CD31" i="2"/>
  <c r="BX24" i="2"/>
  <c r="BW24" i="2"/>
  <c r="BV24" i="2"/>
  <c r="BU24" i="2"/>
  <c r="BX18" i="2"/>
  <c r="BW18" i="2"/>
  <c r="BV18" i="2"/>
  <c r="BU18" i="2"/>
  <c r="BX17" i="2"/>
  <c r="BW17" i="2"/>
  <c r="BV17" i="2"/>
  <c r="BU17" i="2"/>
  <c r="BX16" i="2"/>
  <c r="BW16" i="2"/>
  <c r="BV16" i="2"/>
  <c r="BU16" i="2"/>
  <c r="BX15" i="2"/>
  <c r="BW15" i="2"/>
  <c r="BV15" i="2"/>
  <c r="BU15" i="2"/>
  <c r="BX14" i="2"/>
  <c r="BW14" i="2"/>
  <c r="BV14" i="2"/>
  <c r="BU14" i="2"/>
  <c r="BX13" i="2"/>
  <c r="BW13" i="2"/>
  <c r="BV13" i="2"/>
  <c r="BU13" i="2"/>
  <c r="AX12" i="2"/>
  <c r="AW12" i="2"/>
  <c r="CS14" i="2" l="1"/>
  <c r="CS13" i="2"/>
  <c r="CS12" i="2"/>
  <c r="F16" i="49" l="1"/>
  <c r="E18" i="49"/>
  <c r="D18" i="49"/>
  <c r="D16" i="49"/>
  <c r="C18" i="49"/>
  <c r="C16" i="49"/>
  <c r="F18" i="49" l="1"/>
  <c r="AA24" i="2"/>
  <c r="AA18" i="2"/>
  <c r="AA21" i="2"/>
  <c r="AA15" i="2"/>
  <c r="AA17" i="2" s="1"/>
  <c r="CV59" i="2" l="1"/>
  <c r="CV58" i="2"/>
  <c r="CV57" i="2"/>
  <c r="CV56" i="2"/>
  <c r="CV55" i="2"/>
  <c r="CV54" i="2"/>
  <c r="BY24" i="2" l="1"/>
  <c r="BY18" i="2"/>
  <c r="BY17" i="2"/>
  <c r="BY16" i="2"/>
  <c r="BY15" i="2"/>
  <c r="BY14" i="2"/>
  <c r="BY13" i="2"/>
  <c r="BX19" i="2"/>
  <c r="BX21" i="2" s="1"/>
  <c r="BX26" i="2" s="1"/>
  <c r="DM36" i="2" s="1"/>
  <c r="BW19" i="2"/>
  <c r="BW21" i="2" s="1"/>
  <c r="BW26" i="2" s="1"/>
  <c r="DM42" i="2" s="1"/>
  <c r="O24" i="2" l="1"/>
  <c r="O23" i="2"/>
  <c r="O22" i="2"/>
  <c r="O18" i="2"/>
  <c r="O17" i="2"/>
  <c r="BL13" i="2" l="1"/>
  <c r="BL12" i="2"/>
  <c r="BK13" i="2"/>
  <c r="BK12" i="2"/>
  <c r="BC12" i="2"/>
  <c r="AT17" i="2" l="1"/>
  <c r="AT16" i="2"/>
  <c r="AT13" i="2"/>
  <c r="AT12" i="2"/>
  <c r="CV44" i="2" l="1"/>
  <c r="CV43" i="2"/>
  <c r="CV42" i="2"/>
  <c r="CV41" i="2"/>
  <c r="CV40" i="2"/>
  <c r="CV39" i="2"/>
  <c r="CV38" i="2"/>
  <c r="CV37" i="2"/>
  <c r="CV36" i="2"/>
  <c r="CV35" i="2"/>
  <c r="CV34" i="2"/>
  <c r="CV33" i="2"/>
  <c r="CV32" i="2"/>
  <c r="CV31" i="2"/>
  <c r="CV30" i="2"/>
  <c r="CV27" i="2"/>
  <c r="CV26" i="2"/>
  <c r="CV25" i="2"/>
  <c r="CV24" i="2"/>
  <c r="CV18" i="2"/>
  <c r="AH18" i="2" s="1"/>
  <c r="CV17" i="2"/>
  <c r="AG18" i="2" s="1"/>
  <c r="CV16" i="2"/>
  <c r="AI18" i="2" s="1"/>
  <c r="CV15" i="2"/>
  <c r="DL19" i="2" l="1"/>
  <c r="DL28" i="2"/>
  <c r="DL60" i="2"/>
  <c r="DL61" i="2" l="1"/>
  <c r="M13" i="2" l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CZ44" i="2" l="1"/>
  <c r="B42" i="53" l="1"/>
  <c r="B40" i="53"/>
  <c r="B36" i="53"/>
  <c r="E36" i="53"/>
  <c r="E38" i="53" l="1"/>
  <c r="E40" i="53" s="1"/>
  <c r="E41" i="53" s="1"/>
  <c r="E42" i="53" l="1"/>
  <c r="K19" i="53" l="1"/>
  <c r="G19" i="53"/>
  <c r="J19" i="53"/>
  <c r="F19" i="53"/>
  <c r="E19" i="53"/>
  <c r="I19" i="53"/>
  <c r="L19" i="53"/>
  <c r="H19" i="53"/>
  <c r="D19" i="53"/>
  <c r="CC18" i="2" l="1"/>
  <c r="CB23" i="2"/>
  <c r="CC36" i="2" l="1"/>
  <c r="CD37" i="2"/>
  <c r="CD39" i="2" s="1"/>
  <c r="CD41" i="2" s="1"/>
  <c r="CD42" i="2" s="1"/>
  <c r="L34" i="2" l="1"/>
  <c r="CX40" i="2" s="1"/>
  <c r="DQ40" i="2" s="1"/>
  <c r="BU28" i="2"/>
  <c r="W49" i="2" l="1"/>
  <c r="R22" i="2" l="1"/>
  <c r="AJ28" i="2"/>
  <c r="AO18" i="2"/>
  <c r="AS24" i="2"/>
  <c r="AX18" i="2"/>
  <c r="BG17" i="2"/>
  <c r="BL17" i="2"/>
  <c r="BP18" i="2"/>
  <c r="CG24" i="2"/>
  <c r="A5" i="53" l="1"/>
  <c r="A23" i="49" l="1"/>
  <c r="C20" i="49" l="1"/>
  <c r="E9" i="53" l="1"/>
  <c r="F9" i="53"/>
  <c r="G9" i="53"/>
  <c r="H9" i="53"/>
  <c r="I9" i="53"/>
  <c r="J9" i="53"/>
  <c r="K9" i="53"/>
  <c r="A10" i="53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DM60" i="2" l="1"/>
  <c r="BS13" i="2"/>
  <c r="BS14" i="2" s="1"/>
  <c r="BS15" i="2" s="1"/>
  <c r="BS16" i="2" s="1"/>
  <c r="BS17" i="2" s="1"/>
  <c r="BS18" i="2" s="1"/>
  <c r="BS19" i="2" s="1"/>
  <c r="BS20" i="2" s="1"/>
  <c r="BS21" i="2" s="1"/>
  <c r="BS22" i="2" s="1"/>
  <c r="BS23" i="2" s="1"/>
  <c r="BS24" i="2" s="1"/>
  <c r="BS25" i="2" s="1"/>
  <c r="BS26" i="2" s="1"/>
  <c r="BS27" i="2" s="1"/>
  <c r="BS28" i="2" s="1"/>
  <c r="BS29" i="2" s="1"/>
  <c r="BS30" i="2" s="1"/>
  <c r="DM28" i="2"/>
  <c r="DM19" i="2"/>
  <c r="BS7" i="2"/>
  <c r="BS6" i="2"/>
  <c r="BS4" i="2"/>
  <c r="CJ6" i="2"/>
  <c r="CJ7" i="2"/>
  <c r="W30" i="2" l="1"/>
  <c r="X30" i="2" s="1"/>
  <c r="E40" i="2" l="1"/>
  <c r="J21" i="2"/>
  <c r="A6" i="49" l="1"/>
  <c r="E16" i="49" l="1"/>
  <c r="C20" i="9" l="1"/>
  <c r="D20" i="49"/>
  <c r="E15" i="2" l="1"/>
  <c r="F15" i="2" s="1"/>
  <c r="E17" i="2"/>
  <c r="F17" i="2" s="1"/>
  <c r="E19" i="2"/>
  <c r="F19" i="2" s="1"/>
  <c r="E21" i="2"/>
  <c r="F21" i="2" s="1"/>
  <c r="E23" i="2"/>
  <c r="F23" i="2" s="1"/>
  <c r="E25" i="2"/>
  <c r="F25" i="2" s="1"/>
  <c r="E14" i="2"/>
  <c r="F14" i="2" s="1"/>
  <c r="E16" i="2"/>
  <c r="F16" i="2" s="1"/>
  <c r="E18" i="2"/>
  <c r="F18" i="2" s="1"/>
  <c r="E20" i="2"/>
  <c r="F20" i="2" s="1"/>
  <c r="E22" i="2"/>
  <c r="F22" i="2" s="1"/>
  <c r="E24" i="2"/>
  <c r="F24" i="2" s="1"/>
  <c r="F26" i="2" l="1"/>
  <c r="A2" i="9" l="1"/>
  <c r="CX18" i="2" l="1"/>
  <c r="CX15" i="2" l="1"/>
  <c r="AJ13" i="2" l="1"/>
  <c r="AJ14" i="2"/>
  <c r="AJ12" i="2" l="1"/>
  <c r="D19" i="9" l="1"/>
  <c r="D21" i="9" s="1"/>
  <c r="CI18" i="2" l="1"/>
  <c r="CI15" i="2"/>
  <c r="BC15" i="2" l="1"/>
  <c r="DA25" i="2" l="1"/>
  <c r="DA35" i="2" l="1"/>
  <c r="DA27" i="2"/>
  <c r="CI20" i="2" l="1"/>
  <c r="AK14" i="2" l="1"/>
  <c r="BD13" i="2" l="1"/>
  <c r="AA23" i="2" l="1"/>
  <c r="AK12" i="2" l="1"/>
  <c r="AK13" i="2"/>
  <c r="CM23" i="2" l="1"/>
  <c r="DK28" i="2"/>
  <c r="DP28" i="2"/>
  <c r="DK19" i="2"/>
  <c r="DP19" i="2"/>
  <c r="DD60" i="2"/>
  <c r="CM21" i="2"/>
  <c r="CJ4" i="2"/>
  <c r="CJ13" i="2"/>
  <c r="CJ14" i="2" s="1"/>
  <c r="CJ15" i="2" s="1"/>
  <c r="CJ16" i="2" s="1"/>
  <c r="CJ17" i="2" s="1"/>
  <c r="CJ18" i="2" s="1"/>
  <c r="CJ19" i="2" s="1"/>
  <c r="CJ20" i="2" s="1"/>
  <c r="CJ21" i="2" s="1"/>
  <c r="CJ22" i="2" s="1"/>
  <c r="CJ23" i="2" s="1"/>
  <c r="CJ24" i="2" s="1"/>
  <c r="CN14" i="2" l="1"/>
  <c r="DP54" i="2" s="1"/>
  <c r="CN20" i="2"/>
  <c r="DP37" i="2" s="1"/>
  <c r="CL21" i="2"/>
  <c r="CN15" i="2"/>
  <c r="DP55" i="2" s="1"/>
  <c r="CN16" i="2"/>
  <c r="DP57" i="2" s="1"/>
  <c r="CM17" i="2"/>
  <c r="CL17" i="2"/>
  <c r="CN21" i="2" l="1"/>
  <c r="CN23" i="2" s="1"/>
  <c r="DP43" i="2" s="1"/>
  <c r="CN17" i="2"/>
  <c r="CN24" i="2" l="1"/>
  <c r="DP60" i="2"/>
  <c r="DP49" i="2"/>
  <c r="DP45" i="2"/>
  <c r="DP47" i="2" s="1"/>
  <c r="CN1" i="2" l="1"/>
  <c r="AA25" i="2" l="1"/>
  <c r="AB25" i="2" s="1"/>
  <c r="CP20" i="2"/>
  <c r="CP18" i="2"/>
  <c r="CX12" i="2"/>
  <c r="H12" i="2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CI22" i="2"/>
  <c r="DO42" i="2" s="1"/>
  <c r="BI13" i="2"/>
  <c r="BI14" i="2" s="1"/>
  <c r="BI15" i="2" s="1"/>
  <c r="BI16" i="2" s="1"/>
  <c r="BI17" i="2" s="1"/>
  <c r="BI18" i="2" s="1"/>
  <c r="BI19" i="2" s="1"/>
  <c r="DK60" i="2"/>
  <c r="BI7" i="2"/>
  <c r="BI6" i="2"/>
  <c r="BI4" i="2"/>
  <c r="DB60" i="2"/>
  <c r="AA30" i="2"/>
  <c r="Y7" i="2"/>
  <c r="Y6" i="2"/>
  <c r="Y4" i="2"/>
  <c r="AL4" i="2"/>
  <c r="AL6" i="2"/>
  <c r="AL7" i="2"/>
  <c r="AL13" i="2"/>
  <c r="G3" i="2"/>
  <c r="DD61" i="2"/>
  <c r="DD28" i="2"/>
  <c r="E48" i="2"/>
  <c r="J37" i="2"/>
  <c r="CO4" i="2"/>
  <c r="CO6" i="2"/>
  <c r="CO7" i="2"/>
  <c r="DG19" i="2"/>
  <c r="DG28" i="2"/>
  <c r="DG33" i="2"/>
  <c r="DO19" i="2"/>
  <c r="DO28" i="2"/>
  <c r="DF19" i="2"/>
  <c r="DF28" i="2"/>
  <c r="DE19" i="2"/>
  <c r="DE28" i="2"/>
  <c r="DC19" i="2"/>
  <c r="DC28" i="2"/>
  <c r="DH15" i="2"/>
  <c r="DH16" i="2" s="1"/>
  <c r="DH17" i="2" s="1"/>
  <c r="DH18" i="2" s="1"/>
  <c r="CY28" i="2"/>
  <c r="CY19" i="2"/>
  <c r="CX28" i="2"/>
  <c r="CW28" i="2"/>
  <c r="T13" i="2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T42" i="2" s="1"/>
  <c r="T43" i="2" s="1"/>
  <c r="T44" i="2" s="1"/>
  <c r="BZ13" i="2"/>
  <c r="BZ14" i="2" s="1"/>
  <c r="BZ15" i="2" s="1"/>
  <c r="BZ16" i="2" s="1"/>
  <c r="BZ17" i="2" s="1"/>
  <c r="BZ18" i="2" s="1"/>
  <c r="BZ19" i="2" s="1"/>
  <c r="BZ20" i="2" s="1"/>
  <c r="BZ21" i="2" s="1"/>
  <c r="BZ22" i="2" s="1"/>
  <c r="BZ23" i="2" s="1"/>
  <c r="BZ24" i="2" s="1"/>
  <c r="BZ25" i="2" s="1"/>
  <c r="BZ26" i="2" s="1"/>
  <c r="BZ27" i="2" s="1"/>
  <c r="BZ28" i="2" s="1"/>
  <c r="BZ29" i="2" s="1"/>
  <c r="BZ30" i="2" s="1"/>
  <c r="BZ31" i="2" s="1"/>
  <c r="BZ32" i="2" s="1"/>
  <c r="BZ33" i="2" s="1"/>
  <c r="BZ34" i="2" s="1"/>
  <c r="BZ35" i="2" s="1"/>
  <c r="BZ36" i="2" s="1"/>
  <c r="BZ37" i="2" s="1"/>
  <c r="BZ38" i="2" s="1"/>
  <c r="BZ39" i="2" s="1"/>
  <c r="BZ40" i="2" s="1"/>
  <c r="BZ41" i="2" s="1"/>
  <c r="BZ42" i="2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U13" i="2"/>
  <c r="AU14" i="2" s="1"/>
  <c r="AU15" i="2" s="1"/>
  <c r="AU16" i="2" s="1"/>
  <c r="AU17" i="2" s="1"/>
  <c r="AU18" i="2" s="1"/>
  <c r="AU19" i="2" s="1"/>
  <c r="AU20" i="2" s="1"/>
  <c r="H6" i="2"/>
  <c r="DJ60" i="2"/>
  <c r="BD14" i="2"/>
  <c r="BD15" i="2" s="1"/>
  <c r="BD16" i="2" s="1"/>
  <c r="BD17" i="2" s="1"/>
  <c r="BD18" i="2" s="1"/>
  <c r="BD19" i="2" s="1"/>
  <c r="BD7" i="2"/>
  <c r="BD6" i="2"/>
  <c r="BD4" i="2"/>
  <c r="AC13" i="2"/>
  <c r="DR15" i="2"/>
  <c r="DR16" i="2" s="1"/>
  <c r="DR17" i="2" s="1"/>
  <c r="DR18" i="2" s="1"/>
  <c r="DR19" i="2" s="1"/>
  <c r="DR20" i="2" s="1"/>
  <c r="DR21" i="2" s="1"/>
  <c r="DR22" i="2" s="1"/>
  <c r="DR23" i="2" s="1"/>
  <c r="DR24" i="2" s="1"/>
  <c r="DR25" i="2" s="1"/>
  <c r="DR26" i="2" s="1"/>
  <c r="DR27" i="2" s="1"/>
  <c r="DR28" i="2" s="1"/>
  <c r="DR29" i="2" s="1"/>
  <c r="DR30" i="2" s="1"/>
  <c r="DR31" i="2" s="1"/>
  <c r="DR32" i="2" s="1"/>
  <c r="DR33" i="2" s="1"/>
  <c r="DR34" i="2" s="1"/>
  <c r="DR35" i="2" s="1"/>
  <c r="DR36" i="2" s="1"/>
  <c r="DR37" i="2" s="1"/>
  <c r="DR38" i="2" s="1"/>
  <c r="DR39" i="2" s="1"/>
  <c r="DR40" i="2" s="1"/>
  <c r="DR41" i="2" s="1"/>
  <c r="DR42" i="2" s="1"/>
  <c r="DR43" i="2" s="1"/>
  <c r="DR44" i="2" s="1"/>
  <c r="DR45" i="2" s="1"/>
  <c r="DR46" i="2" s="1"/>
  <c r="DR47" i="2" s="1"/>
  <c r="DR48" i="2" s="1"/>
  <c r="DR49" i="2" s="1"/>
  <c r="DR50" i="2" s="1"/>
  <c r="DR51" i="2" s="1"/>
  <c r="DR52" i="2" s="1"/>
  <c r="DR53" i="2" s="1"/>
  <c r="DR54" i="2" s="1"/>
  <c r="DR55" i="2" s="1"/>
  <c r="DR56" i="2" s="1"/>
  <c r="DR57" i="2" s="1"/>
  <c r="DR58" i="2" s="1"/>
  <c r="DR59" i="2" s="1"/>
  <c r="DR60" i="2" s="1"/>
  <c r="CT15" i="2"/>
  <c r="CT16" i="2" s="1"/>
  <c r="CT17" i="2" s="1"/>
  <c r="CT18" i="2" s="1"/>
  <c r="CT19" i="2" s="1"/>
  <c r="CT20" i="2" s="1"/>
  <c r="CT21" i="2" s="1"/>
  <c r="CT22" i="2" s="1"/>
  <c r="CT23" i="2" s="1"/>
  <c r="CT24" i="2" s="1"/>
  <c r="CT25" i="2" s="1"/>
  <c r="CT26" i="2" s="1"/>
  <c r="CT27" i="2" s="1"/>
  <c r="CT28" i="2" s="1"/>
  <c r="CT29" i="2" s="1"/>
  <c r="CT30" i="2" s="1"/>
  <c r="CT31" i="2" s="1"/>
  <c r="CT32" i="2" s="1"/>
  <c r="CT33" i="2" s="1"/>
  <c r="CT34" i="2" s="1"/>
  <c r="CT35" i="2" s="1"/>
  <c r="CT36" i="2" s="1"/>
  <c r="CT37" i="2" s="1"/>
  <c r="CT38" i="2" s="1"/>
  <c r="CT39" i="2" s="1"/>
  <c r="CT40" i="2" s="1"/>
  <c r="CT41" i="2" s="1"/>
  <c r="CT42" i="2" s="1"/>
  <c r="CT43" i="2" s="1"/>
  <c r="CT44" i="2" s="1"/>
  <c r="CT45" i="2" s="1"/>
  <c r="CT46" i="2" s="1"/>
  <c r="CT47" i="2" s="1"/>
  <c r="CT48" i="2" s="1"/>
  <c r="CT49" i="2" s="1"/>
  <c r="CT50" i="2" s="1"/>
  <c r="CT51" i="2" s="1"/>
  <c r="CT52" i="2" s="1"/>
  <c r="CT53" i="2" s="1"/>
  <c r="CT54" i="2" s="1"/>
  <c r="CT55" i="2" s="1"/>
  <c r="CT56" i="2" s="1"/>
  <c r="CT57" i="2" s="1"/>
  <c r="CT58" i="2" s="1"/>
  <c r="CT59" i="2" s="1"/>
  <c r="CT60" i="2" s="1"/>
  <c r="P13" i="2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CT7" i="2"/>
  <c r="DH7" i="2"/>
  <c r="AZ13" i="2"/>
  <c r="AZ14" i="2" s="1"/>
  <c r="AZ15" i="2" s="1"/>
  <c r="CX60" i="2"/>
  <c r="CP14" i="2"/>
  <c r="CP19" i="2"/>
  <c r="BZ4" i="2"/>
  <c r="BZ6" i="2"/>
  <c r="BZ7" i="2"/>
  <c r="CW60" i="2"/>
  <c r="BN7" i="2"/>
  <c r="CE7" i="2"/>
  <c r="BN13" i="2"/>
  <c r="BN14" i="2" s="1"/>
  <c r="BN15" i="2" s="1"/>
  <c r="BN16" i="2" s="1"/>
  <c r="BN17" i="2" s="1"/>
  <c r="BN18" i="2" s="1"/>
  <c r="BN19" i="2" s="1"/>
  <c r="BN20" i="2" s="1"/>
  <c r="DO60" i="2"/>
  <c r="DE60" i="2"/>
  <c r="DG60" i="2"/>
  <c r="DC60" i="2"/>
  <c r="DA60" i="2"/>
  <c r="DF60" i="2"/>
  <c r="CZ60" i="2"/>
  <c r="CY60" i="2"/>
  <c r="DN60" i="2"/>
  <c r="DH6" i="2"/>
  <c r="DH4" i="2"/>
  <c r="BQ14" i="2"/>
  <c r="AZ7" i="2"/>
  <c r="BN6" i="2"/>
  <c r="BN4" i="2"/>
  <c r="DR5" i="2"/>
  <c r="P7" i="2"/>
  <c r="P6" i="2"/>
  <c r="P4" i="2"/>
  <c r="CE12" i="2"/>
  <c r="CE13" i="2" s="1"/>
  <c r="CE14" i="2" s="1"/>
  <c r="CE15" i="2" s="1"/>
  <c r="CE16" i="2" s="1"/>
  <c r="CE17" i="2" s="1"/>
  <c r="CE18" i="2" s="1"/>
  <c r="CE19" i="2" s="1"/>
  <c r="CE20" i="2" s="1"/>
  <c r="CE21" i="2" s="1"/>
  <c r="CE22" i="2" s="1"/>
  <c r="CE23" i="2" s="1"/>
  <c r="CE24" i="2" s="1"/>
  <c r="CE25" i="2" s="1"/>
  <c r="T7" i="2"/>
  <c r="T6" i="2"/>
  <c r="T4" i="2"/>
  <c r="DR8" i="2"/>
  <c r="AQ7" i="2"/>
  <c r="M7" i="2"/>
  <c r="AC7" i="2"/>
  <c r="AU7" i="2"/>
  <c r="CE6" i="2"/>
  <c r="CE4" i="2"/>
  <c r="AU4" i="2"/>
  <c r="AC4" i="2"/>
  <c r="M4" i="2"/>
  <c r="AQ4" i="2"/>
  <c r="CT4" i="2"/>
  <c r="AZ4" i="2"/>
  <c r="AU6" i="2"/>
  <c r="AC6" i="2"/>
  <c r="M6" i="2"/>
  <c r="AQ6" i="2"/>
  <c r="CT6" i="2"/>
  <c r="AZ6" i="2"/>
  <c r="DR7" i="2"/>
  <c r="DS47" i="2"/>
  <c r="DS49" i="2"/>
  <c r="DS51" i="2"/>
  <c r="CZ28" i="2"/>
  <c r="DJ19" i="2"/>
  <c r="CZ19" i="2"/>
  <c r="DJ28" i="2"/>
  <c r="AK16" i="2"/>
  <c r="CY12" i="2" l="1"/>
  <c r="W29" i="2"/>
  <c r="X29" i="2" s="1"/>
  <c r="E43" i="2"/>
  <c r="E39" i="2"/>
  <c r="J20" i="2"/>
  <c r="AJ21" i="2"/>
  <c r="DN61" i="2"/>
  <c r="DA61" i="2"/>
  <c r="DO61" i="2"/>
  <c r="DB61" i="2"/>
  <c r="DK61" i="2"/>
  <c r="CZ61" i="2"/>
  <c r="CY61" i="2"/>
  <c r="DC61" i="2"/>
  <c r="CW61" i="2"/>
  <c r="DG61" i="2"/>
  <c r="DF61" i="2"/>
  <c r="DE61" i="2"/>
  <c r="CX61" i="2"/>
  <c r="DJ61" i="2"/>
  <c r="AL14" i="2"/>
  <c r="AL15" i="2" s="1"/>
  <c r="AL16" i="2" s="1"/>
  <c r="AL17" i="2" s="1"/>
  <c r="AL18" i="2" s="1"/>
  <c r="AL19" i="2" s="1"/>
  <c r="AL20" i="2" s="1"/>
  <c r="AC14" i="2"/>
  <c r="AC15" i="2" s="1"/>
  <c r="AC16" i="2" s="1"/>
  <c r="AC17" i="2" s="1"/>
  <c r="AC18" i="2" s="1"/>
  <c r="AC19" i="2" s="1"/>
  <c r="AC20" i="2" s="1"/>
  <c r="L3" i="2"/>
  <c r="DG45" i="2"/>
  <c r="DG47" i="2" s="1"/>
  <c r="A36" i="2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DH19" i="2"/>
  <c r="DH20" i="2" s="1"/>
  <c r="DH21" i="2" s="1"/>
  <c r="DH22" i="2" s="1"/>
  <c r="DH23" i="2" s="1"/>
  <c r="DH24" i="2" s="1"/>
  <c r="CI24" i="2"/>
  <c r="DO43" i="2" s="1"/>
  <c r="CZ12" i="2" l="1"/>
  <c r="BC1" i="2"/>
  <c r="J24" i="2"/>
  <c r="W31" i="2"/>
  <c r="X31" i="2" s="1"/>
  <c r="AC21" i="2"/>
  <c r="AC22" i="2" s="1"/>
  <c r="AC23" i="2" s="1"/>
  <c r="AC24" i="2" s="1"/>
  <c r="AC25" i="2" s="1"/>
  <c r="AC26" i="2" s="1"/>
  <c r="AC27" i="2" s="1"/>
  <c r="AC28" i="2" s="1"/>
  <c r="AC29" i="2" s="1"/>
  <c r="BH51" i="2"/>
  <c r="CI25" i="2"/>
  <c r="O3" i="2"/>
  <c r="DO45" i="2"/>
  <c r="DO47" i="2" s="1"/>
  <c r="DH25" i="2"/>
  <c r="DA12" i="2" l="1"/>
  <c r="S3" i="2"/>
  <c r="CI1" i="2"/>
  <c r="X3" i="2"/>
  <c r="I13" i="53"/>
  <c r="E20" i="9"/>
  <c r="BD51" i="2"/>
  <c r="DH26" i="2"/>
  <c r="DB12" i="2" l="1"/>
  <c r="DH27" i="2"/>
  <c r="DC12" i="2" l="1"/>
  <c r="AB3" i="2"/>
  <c r="DH28" i="2"/>
  <c r="DH29" i="2" s="1"/>
  <c r="DH30" i="2" s="1"/>
  <c r="DQ27" i="2"/>
  <c r="DD12" i="2" l="1"/>
  <c r="AK3" i="2"/>
  <c r="DH31" i="2"/>
  <c r="DH32" i="2" s="1"/>
  <c r="DE12" i="2" l="1"/>
  <c r="AP3" i="2"/>
  <c r="DH33" i="2"/>
  <c r="DF12" i="2" l="1"/>
  <c r="AT3" i="2"/>
  <c r="DH34" i="2"/>
  <c r="DQ34" i="2" s="1"/>
  <c r="DG12" i="2" l="1"/>
  <c r="BC3" i="2" s="1"/>
  <c r="AY3" i="2"/>
  <c r="DH35" i="2"/>
  <c r="DQ35" i="2" s="1"/>
  <c r="DJ12" i="2" l="1"/>
  <c r="DH36" i="2"/>
  <c r="DK12" i="2" l="1"/>
  <c r="DL12" i="2" s="1"/>
  <c r="BH3" i="2"/>
  <c r="DH37" i="2"/>
  <c r="DQ37" i="2" s="1"/>
  <c r="DH38" i="2" l="1"/>
  <c r="DQ38" i="2" s="1"/>
  <c r="DU37" i="2"/>
  <c r="BM3" i="2"/>
  <c r="DH39" i="2" l="1"/>
  <c r="DQ39" i="2" s="1"/>
  <c r="DM12" i="2" l="1"/>
  <c r="BR3" i="2"/>
  <c r="DU38" i="2"/>
  <c r="DU39" i="2"/>
  <c r="DH40" i="2"/>
  <c r="DN12" i="2" l="1"/>
  <c r="BY3" i="2"/>
  <c r="DH41" i="2"/>
  <c r="DO12" i="2" l="1"/>
  <c r="CD3" i="2"/>
  <c r="DH42" i="2"/>
  <c r="DP12" i="2" l="1"/>
  <c r="CI3" i="2"/>
  <c r="DH43" i="2"/>
  <c r="CN3" i="2" l="1"/>
  <c r="DH44" i="2"/>
  <c r="DH45" i="2" l="1"/>
  <c r="DH46" i="2" s="1"/>
  <c r="DH47" i="2" s="1"/>
  <c r="DH48" i="2" s="1"/>
  <c r="DH49" i="2" s="1"/>
  <c r="DQ49" i="2" l="1"/>
  <c r="DU49" i="2" s="1"/>
  <c r="DH50" i="2"/>
  <c r="DH51" i="2" s="1"/>
  <c r="DH52" i="2" s="1"/>
  <c r="DH53" i="2" s="1"/>
  <c r="DH54" i="2" l="1"/>
  <c r="DH55" i="2" l="1"/>
  <c r="DQ55" i="2" s="1"/>
  <c r="DU55" i="2" s="1"/>
  <c r="DQ54" i="2"/>
  <c r="DH56" i="2" l="1"/>
  <c r="DQ56" i="2" s="1"/>
  <c r="DU56" i="2" s="1"/>
  <c r="DU54" i="2"/>
  <c r="DH57" i="2" l="1"/>
  <c r="DQ57" i="2" s="1"/>
  <c r="DH58" i="2" l="1"/>
  <c r="DQ58" i="2" s="1"/>
  <c r="DU58" i="2" s="1"/>
  <c r="DU57" i="2"/>
  <c r="DH59" i="2" l="1"/>
  <c r="DQ59" i="2" s="1"/>
  <c r="DH60" i="2" l="1"/>
  <c r="DU59" i="2"/>
  <c r="DU60" i="2" s="1"/>
  <c r="DQ60" i="2"/>
  <c r="DQ61" i="2" l="1"/>
  <c r="AX14" i="2" l="1"/>
  <c r="AW14" i="2"/>
  <c r="AY12" i="2" l="1"/>
  <c r="AY14" i="2" s="1"/>
  <c r="AY16" i="2" l="1"/>
  <c r="DF36" i="2"/>
  <c r="AY18" i="2" l="1"/>
  <c r="DF43" i="2" s="1"/>
  <c r="AY20" i="2" l="1"/>
  <c r="DF45" i="2"/>
  <c r="DF47" i="2" s="1"/>
  <c r="AY1" i="2" l="1"/>
  <c r="AY51" i="2"/>
  <c r="DU27" i="2" l="1"/>
  <c r="DU35" i="2" l="1"/>
  <c r="DU34" i="2" l="1"/>
  <c r="DA28" i="2" l="1"/>
  <c r="DN18" i="2" l="1"/>
  <c r="DQ18" i="2" s="1"/>
  <c r="DU18" i="2" l="1"/>
  <c r="DA36" i="2" l="1"/>
  <c r="DU40" i="2" l="1"/>
  <c r="K16" i="2"/>
  <c r="L19" i="2" s="1"/>
  <c r="K21" i="2" l="1"/>
  <c r="CX36" i="2" l="1"/>
  <c r="CX19" i="2"/>
  <c r="C26" i="2" l="1"/>
  <c r="D26" i="2"/>
  <c r="E26" i="2" l="1"/>
  <c r="CW16" i="2" l="1"/>
  <c r="DQ16" i="2" l="1"/>
  <c r="DU16" i="2" s="1"/>
  <c r="G37" i="2" l="1"/>
  <c r="F37" i="2"/>
  <c r="F40" i="2" l="1"/>
  <c r="CW15" i="2"/>
  <c r="F43" i="2"/>
  <c r="G44" i="2" l="1"/>
  <c r="CW42" i="2" s="1"/>
  <c r="CW36" i="2"/>
  <c r="CW19" i="2"/>
  <c r="BM12" i="2" l="1"/>
  <c r="E37" i="2" l="1"/>
  <c r="AA19" i="2" l="1"/>
  <c r="AB19" i="2" s="1"/>
  <c r="AB28" i="2" s="1"/>
  <c r="AB30" i="2" l="1"/>
  <c r="DB43" i="2" s="1"/>
  <c r="DB36" i="2"/>
  <c r="AB31" i="2" l="1"/>
  <c r="DB45" i="2"/>
  <c r="DB47" i="2" s="1"/>
  <c r="AB1" i="2" l="1"/>
  <c r="G13" i="53"/>
  <c r="BF14" i="2" l="1"/>
  <c r="BG14" i="2" l="1"/>
  <c r="BH12" i="2"/>
  <c r="BH14" i="2" s="1"/>
  <c r="DJ36" i="2" l="1"/>
  <c r="BH16" i="2"/>
  <c r="BH17" i="2" l="1"/>
  <c r="DJ43" i="2" s="1"/>
  <c r="BH19" i="2" l="1"/>
  <c r="DJ45" i="2"/>
  <c r="DJ47" i="2" s="1"/>
  <c r="BH1" i="2" l="1"/>
  <c r="BY50" i="2"/>
  <c r="BU19" i="2" l="1"/>
  <c r="BU21" i="2" s="1"/>
  <c r="BV19" i="2"/>
  <c r="BV21" i="2" s="1"/>
  <c r="BV26" i="2" s="1"/>
  <c r="DM32" i="2" s="1"/>
  <c r="DQ32" i="2" s="1"/>
  <c r="DU32" i="2" s="1"/>
  <c r="BY21" i="2" l="1"/>
  <c r="BU26" i="2"/>
  <c r="DM31" i="2" s="1"/>
  <c r="BY19" i="2"/>
  <c r="BY26" i="2" l="1"/>
  <c r="BY28" i="2" s="1"/>
  <c r="BY30" i="2" l="1"/>
  <c r="DM43" i="2"/>
  <c r="DM45" i="2" l="1"/>
  <c r="DM47" i="2" s="1"/>
  <c r="K13" i="53" l="1"/>
  <c r="BY1" i="2"/>
  <c r="K24" i="2"/>
  <c r="L26" i="2" s="1"/>
  <c r="CX42" i="2" l="1"/>
  <c r="AP12" i="2" l="1"/>
  <c r="DD36" i="2" l="1"/>
  <c r="F39" i="2" l="1"/>
  <c r="CW33" i="2" l="1"/>
  <c r="G41" i="2"/>
  <c r="G46" i="2" s="1"/>
  <c r="G48" i="2" l="1"/>
  <c r="CW43" i="2" s="1"/>
  <c r="CW45" i="2" l="1"/>
  <c r="CW47" i="2" s="1"/>
  <c r="G49" i="2"/>
  <c r="E13" i="53" l="1"/>
  <c r="G1" i="2"/>
  <c r="CS16" i="2"/>
  <c r="CS18" i="2" l="1"/>
  <c r="CS19" i="2"/>
  <c r="CS20" i="2" s="1"/>
  <c r="DA42" i="2" l="1"/>
  <c r="K20" i="2" l="1"/>
  <c r="X32" i="2" l="1"/>
  <c r="DA33" i="2"/>
  <c r="CX33" i="2"/>
  <c r="L23" i="2"/>
  <c r="L36" i="2" s="1"/>
  <c r="L38" i="2" l="1"/>
  <c r="CX43" i="2" s="1"/>
  <c r="L40" i="2" l="1"/>
  <c r="CX45" i="2"/>
  <c r="CX47" i="2" s="1"/>
  <c r="L1" i="2" l="1"/>
  <c r="DT56" i="2" l="1"/>
  <c r="DV56" i="2" s="1"/>
  <c r="F20" i="49" l="1"/>
  <c r="R14" i="2"/>
  <c r="DT59" i="2" l="1"/>
  <c r="DV59" i="2" s="1"/>
  <c r="DT55" i="2" l="1"/>
  <c r="DV55" i="2" s="1"/>
  <c r="DT57" i="2"/>
  <c r="DV57" i="2" s="1"/>
  <c r="DT54" i="2" l="1"/>
  <c r="DV54" i="2" l="1"/>
  <c r="DT58" i="2" l="1"/>
  <c r="CV60" i="2"/>
  <c r="CV49" i="2" l="1"/>
  <c r="DV58" i="2"/>
  <c r="DT60" i="2"/>
  <c r="DT49" i="2" s="1"/>
  <c r="CV61" i="2" l="1"/>
  <c r="DV60" i="2"/>
  <c r="DV49" i="2"/>
  <c r="R12" i="2" s="1"/>
  <c r="C8" i="9" l="1"/>
  <c r="D10" i="53"/>
  <c r="E8" i="9" l="1"/>
  <c r="E19" i="9" s="1"/>
  <c r="E21" i="9" s="1"/>
  <c r="C19" i="9"/>
  <c r="E10" i="53"/>
  <c r="D12" i="53"/>
  <c r="C21" i="9" l="1"/>
  <c r="E12" i="53"/>
  <c r="F10" i="53"/>
  <c r="F12" i="53" l="1"/>
  <c r="G10" i="53"/>
  <c r="G12" i="53" l="1"/>
  <c r="H10" i="53"/>
  <c r="H12" i="53" l="1"/>
  <c r="I10" i="53"/>
  <c r="I12" i="53" l="1"/>
  <c r="J10" i="53"/>
  <c r="J12" i="53" l="1"/>
  <c r="K10" i="53"/>
  <c r="K12" i="53" l="1"/>
  <c r="L10" i="53"/>
  <c r="L12" i="53" s="1"/>
  <c r="AT18" i="2" l="1"/>
  <c r="DE36" i="2" l="1"/>
  <c r="AP14" i="2" l="1"/>
  <c r="DD42" i="2" l="1"/>
  <c r="AP15" i="2"/>
  <c r="AP17" i="2" s="1"/>
  <c r="AP18" i="2" l="1"/>
  <c r="DD43" i="2" s="1"/>
  <c r="DD45" i="2" l="1"/>
  <c r="DD47" i="2" s="1"/>
  <c r="AP20" i="2"/>
  <c r="AP1" i="2" l="1"/>
  <c r="DN17" i="2" l="1"/>
  <c r="DN19" i="2" l="1"/>
  <c r="DQ17" i="2"/>
  <c r="DU17" i="2" l="1"/>
  <c r="DN24" i="2" l="1"/>
  <c r="DQ24" i="2" l="1"/>
  <c r="DU24" i="2" l="1"/>
  <c r="DQ31" i="2" l="1"/>
  <c r="DU31" i="2" s="1"/>
  <c r="DN30" i="2"/>
  <c r="DQ30" i="2" s="1"/>
  <c r="DU30" i="2" s="1"/>
  <c r="DQ26" i="2"/>
  <c r="DU26" i="2" s="1"/>
  <c r="DN25" i="2" l="1"/>
  <c r="CD19" i="2"/>
  <c r="CD21" i="2" s="1"/>
  <c r="CD23" i="2" s="1"/>
  <c r="CD24" i="2" l="1"/>
  <c r="CD44" i="2" s="1"/>
  <c r="F13" i="53" s="1"/>
  <c r="DN43" i="2"/>
  <c r="DQ25" i="2"/>
  <c r="DN28" i="2"/>
  <c r="DN45" i="2" l="1"/>
  <c r="DN47" i="2" s="1"/>
  <c r="DU25" i="2"/>
  <c r="DQ28" i="2"/>
  <c r="CD1" i="2" l="1"/>
  <c r="DU28" i="2"/>
  <c r="AT14" i="2" l="1"/>
  <c r="DE42" i="2" l="1"/>
  <c r="DQ42" i="2" s="1"/>
  <c r="AT22" i="2"/>
  <c r="AT20" i="2"/>
  <c r="AT24" i="2" l="1"/>
  <c r="DE43" i="2" s="1"/>
  <c r="DU42" i="2"/>
  <c r="DE45" i="2" l="1"/>
  <c r="DE47" i="2" s="1"/>
  <c r="AT26" i="2"/>
  <c r="AT1" i="2" l="1"/>
  <c r="AT51" i="2"/>
  <c r="O28" i="2" l="1"/>
  <c r="CY44" i="2" l="1"/>
  <c r="DT31" i="2" l="1"/>
  <c r="DV31" i="2" s="1"/>
  <c r="DT25" i="2"/>
  <c r="DV25" i="2" s="1"/>
  <c r="DT32" i="2"/>
  <c r="DV32" i="2" s="1"/>
  <c r="DT40" i="2"/>
  <c r="DV40" i="2" s="1"/>
  <c r="DT43" i="2" l="1"/>
  <c r="DT18" i="2"/>
  <c r="DV18" i="2" s="1"/>
  <c r="DT35" i="2"/>
  <c r="DV35" i="2" s="1"/>
  <c r="DT17" i="2"/>
  <c r="DV17" i="2" s="1"/>
  <c r="DT39" i="2"/>
  <c r="DV39" i="2" s="1"/>
  <c r="BP12" i="2"/>
  <c r="DT41" i="2"/>
  <c r="DT27" i="2"/>
  <c r="DV27" i="2" s="1"/>
  <c r="DT26" i="2"/>
  <c r="DV26" i="2" s="1"/>
  <c r="DT34" i="2"/>
  <c r="DV34" i="2" s="1"/>
  <c r="DT24" i="2" l="1"/>
  <c r="CV28" i="2"/>
  <c r="BR12" i="2"/>
  <c r="DL41" i="2" s="1"/>
  <c r="BP14" i="2"/>
  <c r="DT16" i="2"/>
  <c r="DV16" i="2" s="1"/>
  <c r="DT30" i="2"/>
  <c r="DV30" i="2" s="1"/>
  <c r="DT15" i="2"/>
  <c r="CV19" i="2"/>
  <c r="AF18" i="2" s="1"/>
  <c r="DT19" i="2" l="1"/>
  <c r="AJ18" i="2"/>
  <c r="AJ22" i="2" s="1"/>
  <c r="AK25" i="2" s="1"/>
  <c r="BR14" i="2"/>
  <c r="BR16" i="2" s="1"/>
  <c r="DT28" i="2"/>
  <c r="DV24" i="2"/>
  <c r="DV28" i="2" s="1"/>
  <c r="BR18" i="2" l="1"/>
  <c r="DL44" i="2" s="1"/>
  <c r="DL45" i="2" s="1"/>
  <c r="DL47" i="2" s="1"/>
  <c r="AK27" i="2"/>
  <c r="AK28" i="2"/>
  <c r="DC43" i="2" s="1"/>
  <c r="DC33" i="2"/>
  <c r="DQ41" i="2"/>
  <c r="DU41" i="2" s="1"/>
  <c r="DV41" i="2" s="1"/>
  <c r="BR20" i="2" l="1"/>
  <c r="BR1" i="2" s="1"/>
  <c r="AK29" i="2"/>
  <c r="DC45" i="2"/>
  <c r="DC47" i="2" s="1"/>
  <c r="DQ33" i="2"/>
  <c r="DQ44" i="2"/>
  <c r="DU44" i="2" s="1"/>
  <c r="BM51" i="2" l="1"/>
  <c r="DU33" i="2"/>
  <c r="AK1" i="2"/>
  <c r="H13" i="53"/>
  <c r="DT44" i="2" l="1"/>
  <c r="DT42" i="2"/>
  <c r="DV42" i="2" s="1"/>
  <c r="DT38" i="2"/>
  <c r="DV38" i="2" s="1"/>
  <c r="DT36" i="2"/>
  <c r="DT33" i="2" l="1"/>
  <c r="DV44" i="2"/>
  <c r="DT37" i="2"/>
  <c r="DV37" i="2" s="1"/>
  <c r="CV45" i="2" l="1"/>
  <c r="CV47" i="2" s="1"/>
  <c r="DV33" i="2"/>
  <c r="DT45" i="2"/>
  <c r="DT47" i="2" s="1"/>
  <c r="DT51" i="2" l="1"/>
  <c r="CV51" i="2"/>
  <c r="BK14" i="2" l="1"/>
  <c r="BM13" i="2" l="1"/>
  <c r="BM14" i="2" s="1"/>
  <c r="BM16" i="2" s="1"/>
  <c r="BL14" i="2"/>
  <c r="BM17" i="2" l="1"/>
  <c r="DK43" i="2" s="1"/>
  <c r="DK36" i="2"/>
  <c r="BM19" i="2" l="1"/>
  <c r="DK45" i="2"/>
  <c r="DK47" i="2" s="1"/>
  <c r="DQ36" i="2"/>
  <c r="DU36" i="2" l="1"/>
  <c r="J13" i="53"/>
  <c r="BM1" i="2"/>
  <c r="DV36" i="2" l="1"/>
  <c r="S15" i="2" l="1"/>
  <c r="C16" i="9" l="1"/>
  <c r="S20" i="2"/>
  <c r="S22" i="2" s="1"/>
  <c r="S24" i="2" s="1"/>
  <c r="E16" i="9" l="1"/>
  <c r="CZ43" i="2"/>
  <c r="CZ45" i="2" s="1"/>
  <c r="CZ47" i="2" s="1"/>
  <c r="S1" i="2" l="1"/>
  <c r="O21" i="2" l="1"/>
  <c r="O25" i="2" s="1"/>
  <c r="O12" i="2" l="1"/>
  <c r="O14" i="2" l="1"/>
  <c r="O15" i="2" s="1"/>
  <c r="O27" i="2" l="1"/>
  <c r="O19" i="2"/>
  <c r="CY43" i="2" l="1"/>
  <c r="O29" i="2"/>
  <c r="CY45" i="2" l="1"/>
  <c r="CY47" i="2" s="1"/>
  <c r="O1" i="2" l="1"/>
  <c r="X20" i="2" l="1"/>
  <c r="DA15" i="2" l="1"/>
  <c r="X26" i="2"/>
  <c r="X48" i="2" s="1"/>
  <c r="X49" i="2" l="1"/>
  <c r="DA43" i="2" s="1"/>
  <c r="DQ15" i="2"/>
  <c r="DA19" i="2"/>
  <c r="X50" i="2" l="1"/>
  <c r="DQ19" i="2"/>
  <c r="DU15" i="2"/>
  <c r="DA45" i="2"/>
  <c r="DA47" i="2" s="1"/>
  <c r="DQ43" i="2"/>
  <c r="X1" i="2" l="1"/>
  <c r="DV15" i="2"/>
  <c r="DV19" i="2" s="1"/>
  <c r="DU19" i="2"/>
  <c r="DQ45" i="2"/>
  <c r="DQ47" i="2" s="1"/>
  <c r="DU43" i="2"/>
  <c r="DV43" i="2" l="1"/>
  <c r="DU45" i="2"/>
  <c r="DU47" i="2" s="1"/>
  <c r="DV45" i="2" l="1"/>
  <c r="DV47" i="2" s="1"/>
  <c r="D14" i="53" l="1"/>
  <c r="C7" i="9"/>
  <c r="DV51" i="2"/>
  <c r="C10" i="9" l="1"/>
  <c r="C15" i="9"/>
  <c r="D15" i="53"/>
  <c r="D16" i="53" s="1"/>
  <c r="D18" i="53" s="1"/>
  <c r="D20" i="53" s="1"/>
  <c r="E14" i="53"/>
  <c r="D22" i="53"/>
  <c r="E22" i="53" l="1"/>
  <c r="F14" i="53"/>
  <c r="E15" i="53"/>
  <c r="E16" i="53" s="1"/>
  <c r="E18" i="53" s="1"/>
  <c r="E20" i="53" s="1"/>
  <c r="C17" i="9"/>
  <c r="C23" i="9" l="1"/>
  <c r="F15" i="53"/>
  <c r="F16" i="53" s="1"/>
  <c r="F18" i="53" s="1"/>
  <c r="F20" i="53" s="1"/>
  <c r="F22" i="53"/>
  <c r="G14" i="53"/>
  <c r="G15" i="53" l="1"/>
  <c r="G16" i="53" s="1"/>
  <c r="G18" i="53" s="1"/>
  <c r="G20" i="53" s="1"/>
  <c r="H14" i="53"/>
  <c r="G22" i="53"/>
  <c r="H22" i="53" l="1"/>
  <c r="H15" i="53"/>
  <c r="H16" i="53" s="1"/>
  <c r="H18" i="53" s="1"/>
  <c r="H20" i="53" s="1"/>
  <c r="I14" i="53"/>
  <c r="I22" i="53" l="1"/>
  <c r="J14" i="53"/>
  <c r="I15" i="53"/>
  <c r="I16" i="53" s="1"/>
  <c r="I18" i="53" s="1"/>
  <c r="I20" i="53" s="1"/>
  <c r="J15" i="53" l="1"/>
  <c r="J16" i="53" s="1"/>
  <c r="J18" i="53" s="1"/>
  <c r="J20" i="53" s="1"/>
  <c r="J22" i="53"/>
  <c r="K14" i="53"/>
  <c r="L14" i="53" l="1"/>
  <c r="K22" i="53"/>
  <c r="K15" i="53"/>
  <c r="K16" i="53" s="1"/>
  <c r="K18" i="53" s="1"/>
  <c r="K20" i="53" s="1"/>
  <c r="L22" i="53" l="1"/>
  <c r="L23" i="53" s="1"/>
  <c r="L15" i="53"/>
  <c r="L16" i="53" s="1"/>
  <c r="L18" i="53" s="1"/>
  <c r="L20" i="53" l="1"/>
  <c r="B41" i="53" s="1"/>
  <c r="D7" i="9"/>
  <c r="D15" i="9" l="1"/>
  <c r="D17" i="9" s="1"/>
  <c r="E7" i="9"/>
  <c r="E15" i="9" l="1"/>
  <c r="E17" i="9" s="1"/>
  <c r="E23" i="9" s="1"/>
  <c r="D23" i="9" s="1"/>
  <c r="E10" i="9"/>
  <c r="D10" i="9" s="1"/>
  <c r="CB17" i="2" l="1"/>
  <c r="CC17" i="2" s="1"/>
  <c r="CB16" i="2"/>
  <c r="CC16" i="2" s="1"/>
  <c r="CB15" i="2"/>
  <c r="CC15" i="2" s="1"/>
  <c r="CB14" i="2"/>
  <c r="CC14" i="2" s="1"/>
  <c r="CB13" i="2" l="1"/>
  <c r="CC13" i="2" l="1"/>
  <c r="CC19" i="2" s="1"/>
  <c r="CB19" i="2"/>
  <c r="CB31" i="2"/>
  <c r="CC31" i="2" l="1"/>
  <c r="CB35" i="2" l="1"/>
  <c r="CC35" i="2" s="1"/>
  <c r="CB34" i="2" l="1"/>
  <c r="CC34" i="2" s="1"/>
  <c r="CB33" i="2"/>
  <c r="CC33" i="2" s="1"/>
  <c r="CB32" i="2"/>
  <c r="CC32" i="2" l="1"/>
  <c r="CC37" i="2" s="1"/>
  <c r="CB37" i="2"/>
</calcChain>
</file>

<file path=xl/sharedStrings.xml><?xml version="1.0" encoding="utf-8"?>
<sst xmlns="http://schemas.openxmlformats.org/spreadsheetml/2006/main" count="714" uniqueCount="392">
  <si>
    <t>EXCISE TAX &amp;</t>
  </si>
  <si>
    <t>COMMISSION BASIS REPORT</t>
  </si>
  <si>
    <t>SALES TO CUSTOMERS:</t>
  </si>
  <si>
    <t>RESTATED EXCISE TAXES</t>
  </si>
  <si>
    <t>INCREASE(DECREASE) EXCISE TAX</t>
  </si>
  <si>
    <t>INCREASE (DECREASE) OPERATING INCOME</t>
  </si>
  <si>
    <t>D&amp;O</t>
  </si>
  <si>
    <t>INCREASE(DECREASE) OPERATING INCOME</t>
  </si>
  <si>
    <t>INCREASE(DECREASE) FIT @</t>
  </si>
  <si>
    <t>RESTATED WUTC FILING FEE</t>
  </si>
  <si>
    <t>CHARGED TO EXPENSE</t>
  </si>
  <si>
    <t>WEIGHTED COST OF DEBT</t>
  </si>
  <si>
    <t>INCREASE (DECREASE) TAXES OTHER</t>
  </si>
  <si>
    <t>INCREASE (DECREASE) IN EXPENSE</t>
  </si>
  <si>
    <t>INCREASE (DECREASE) FIT @</t>
  </si>
  <si>
    <t>UNCOLLECTIBLES CHARGED TO EXPENSE IN TEST YEAR</t>
  </si>
  <si>
    <t>INCREASE(DECREASE) NOI</t>
  </si>
  <si>
    <t>INCREASE (DECREASE) INCOME</t>
  </si>
  <si>
    <t>INCREASE(DECREASE) WUTC FILING FEE</t>
  </si>
  <si>
    <t>SUM OF TAXES OTHER</t>
  </si>
  <si>
    <t xml:space="preserve">INCREASE (DECREASE) FIT @ </t>
  </si>
  <si>
    <t>INCREASE (DECREASE) EXPENSE</t>
  </si>
  <si>
    <t>INCREASE(DECREASE) FIT</t>
  </si>
  <si>
    <t>PURCHASED AND INTERCHANGED</t>
  </si>
  <si>
    <t>OTHER POWER SUPPLY EXPENSES</t>
  </si>
  <si>
    <t xml:space="preserve">INCREASE(DECREASE) NOI </t>
  </si>
  <si>
    <t>RATE BASE:</t>
  </si>
  <si>
    <t>CUSTOMER ACCOUNT EXPENSES</t>
  </si>
  <si>
    <t>INCREASE (DECREASE) SALES TO CUSTOMERS</t>
  </si>
  <si>
    <t>UNCOLLECTIBLES @</t>
  </si>
  <si>
    <t>ANNUAL FILING FEE @</t>
  </si>
  <si>
    <t>STATE UTILITY TAX @</t>
  </si>
  <si>
    <t>OPERATING REVENUES:</t>
  </si>
  <si>
    <t>SALES TO CUSTOMERS</t>
  </si>
  <si>
    <t>SALES FROM RESALE-FIRM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</si>
  <si>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</si>
  <si>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</si>
  <si>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</si>
  <si>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</si>
  <si>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</si>
  <si>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</si>
  <si>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</si>
  <si>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</si>
  <si>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>RESIDENTIAL EXCHANGE</t>
  </si>
  <si>
    <t>TOTAL PRODUCTION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</si>
  <si>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</si>
  <si>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</si>
  <si>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</si>
  <si>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</si>
  <si>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</si>
  <si>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</si>
  <si>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OTHER OPERATING EXPENSES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</si>
  <si>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</si>
  <si>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</si>
  <si>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</si>
  <si>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</si>
  <si>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</si>
  <si>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</si>
  <si>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/>
  </si>
  <si>
    <t xml:space="preserve"> </t>
  </si>
  <si>
    <t>POWER COSTS</t>
  </si>
  <si>
    <t>BAD DEBTS</t>
  </si>
  <si>
    <t>CONVERSION FACTOR</t>
  </si>
  <si>
    <t>RESULTS OF OPERATIONS</t>
  </si>
  <si>
    <t>&gt;</t>
  </si>
  <si>
    <t>LINE</t>
  </si>
  <si>
    <t>INCREASE</t>
  </si>
  <si>
    <t>NET</t>
  </si>
  <si>
    <t>GROSS</t>
  </si>
  <si>
    <t>SALES FOR</t>
  </si>
  <si>
    <t>WRITEOFF'S</t>
  </si>
  <si>
    <t xml:space="preserve">LINE </t>
  </si>
  <si>
    <t>POWER</t>
  </si>
  <si>
    <t>FEDERAL</t>
  </si>
  <si>
    <t>BAD</t>
  </si>
  <si>
    <t xml:space="preserve">INTEREST ON </t>
  </si>
  <si>
    <t>MONTANA</t>
  </si>
  <si>
    <t>ACTUAL</t>
  </si>
  <si>
    <t>NO.</t>
  </si>
  <si>
    <t>DESCRIPTION</t>
  </si>
  <si>
    <t>RESTATED</t>
  </si>
  <si>
    <t>(DECREASE)</t>
  </si>
  <si>
    <t>AMOUNT</t>
  </si>
  <si>
    <t>ADJUSTMENT</t>
  </si>
  <si>
    <t>TEST YEAR</t>
  </si>
  <si>
    <t>YEAR</t>
  </si>
  <si>
    <t>REVENUES</t>
  </si>
  <si>
    <t>RESALE OTHER</t>
  </si>
  <si>
    <t>RESALE FIRM</t>
  </si>
  <si>
    <t>TOTAL</t>
  </si>
  <si>
    <t>COSTS</t>
  </si>
  <si>
    <t>INCOME TAX</t>
  </si>
  <si>
    <t>INSURANCE</t>
  </si>
  <si>
    <t>DEBTS</t>
  </si>
  <si>
    <t>AMORTIZATION</t>
  </si>
  <si>
    <t>CUST DEPOSITS</t>
  </si>
  <si>
    <t>ENERGY TAX</t>
  </si>
  <si>
    <t>RESULTS OF</t>
  </si>
  <si>
    <t>OPERATIONS</t>
  </si>
  <si>
    <t>RATE</t>
  </si>
  <si>
    <t>PRODUCTION EXPENSES:</t>
  </si>
  <si>
    <t>1</t>
  </si>
  <si>
    <t>INTEREST EXPENSE FOR TEST YEAR</t>
  </si>
  <si>
    <t>D &amp; O INS. CHG  EXPENSE</t>
  </si>
  <si>
    <t>-</t>
  </si>
  <si>
    <t>TEMP ADJ</t>
  </si>
  <si>
    <t>ADJ FOR LOSSES</t>
  </si>
  <si>
    <t>FUEL</t>
  </si>
  <si>
    <t>CHARGED TO EXPENSE FOR TEST YEAR</t>
  </si>
  <si>
    <t>OPERATING REVENUES</t>
  </si>
  <si>
    <t>CHANGE</t>
  </si>
  <si>
    <t>INCREASE(DECREASE) INCOME</t>
  </si>
  <si>
    <t>RATE BASE</t>
  </si>
  <si>
    <t>ANNUAL FILING FEE</t>
  </si>
  <si>
    <t>WHEELING</t>
  </si>
  <si>
    <t>INCREASE (DECREASE) NOI</t>
  </si>
  <si>
    <t>RESTATED ENERGY TAX</t>
  </si>
  <si>
    <t>STATEMENT OF OPERATING INCOME AND ADJUSTMENTS</t>
  </si>
  <si>
    <t xml:space="preserve"> RESIDENTIAL EXCHANGE</t>
  </si>
  <si>
    <t>TEMPERATURE NORMALIZATION ADJUSTMENT:</t>
  </si>
  <si>
    <t>ADJUSTMENTS</t>
  </si>
  <si>
    <t>TAXES OTHER THAN F.I.T.</t>
  </si>
  <si>
    <t xml:space="preserve">  DEFERRED DEBITS</t>
  </si>
  <si>
    <t xml:space="preserve">  DEFERRED TAXES</t>
  </si>
  <si>
    <t xml:space="preserve">  OTHER</t>
  </si>
  <si>
    <t xml:space="preserve">  ALLOWANCE FOR WORKING CAPITAL</t>
  </si>
  <si>
    <t>TOTAL RATE BASE</t>
  </si>
  <si>
    <t>PUGET SOUND ENERGY-ELECTRIC</t>
  </si>
  <si>
    <t>AMORTIZ OF PROPERTY GAIN/LOSS</t>
  </si>
  <si>
    <t>INCREASE(DECREASE) EXPENSE</t>
  </si>
  <si>
    <t>FEDERAL INCOME TAX</t>
  </si>
  <si>
    <t>D&amp;O INSURANCE</t>
  </si>
  <si>
    <t>INTEREST ON CUSTOMER DEPOSITS</t>
  </si>
  <si>
    <t>FILING FEE</t>
  </si>
  <si>
    <t xml:space="preserve">INCREASE (DECREASE) DEFERRED FIT @ </t>
  </si>
  <si>
    <t>TEMPERATURE</t>
  </si>
  <si>
    <t>NORMALIZATION</t>
  </si>
  <si>
    <t>REVENUE ADJUSTMENT:</t>
  </si>
  <si>
    <t>Schedule 7</t>
  </si>
  <si>
    <t>Schedule 24</t>
  </si>
  <si>
    <t>Schedule 25</t>
  </si>
  <si>
    <t>Schedule 26</t>
  </si>
  <si>
    <t>Schedule 29</t>
  </si>
  <si>
    <t>Schedule 31</t>
  </si>
  <si>
    <t>Schedule 43</t>
  </si>
  <si>
    <t>Firm Resale</t>
  </si>
  <si>
    <t>DEPRECIATION</t>
  </si>
  <si>
    <t>QUALIFIED RETIREMENT FUND</t>
  </si>
  <si>
    <t>TAX BENEFIT OF RESTATED INTEREST</t>
  </si>
  <si>
    <t xml:space="preserve">PERCENT </t>
  </si>
  <si>
    <t>TO REVENUE</t>
  </si>
  <si>
    <t xml:space="preserve">INCREASE (DECREASE) NOI </t>
  </si>
  <si>
    <t>FAS 133</t>
  </si>
  <si>
    <t>WRITEOFFS</t>
  </si>
  <si>
    <t>PENSION PLAN</t>
  </si>
  <si>
    <t>INCREASE (DECREASE ) IN EXPENSE</t>
  </si>
  <si>
    <t xml:space="preserve">PENSION </t>
  </si>
  <si>
    <t>PLAN</t>
  </si>
  <si>
    <t xml:space="preserve">TAX BENEFIT OF </t>
  </si>
  <si>
    <t>RESTATED INTEREST</t>
  </si>
  <si>
    <t>a</t>
  </si>
  <si>
    <t>b</t>
  </si>
  <si>
    <t>c=a/b</t>
  </si>
  <si>
    <t>d=a</t>
  </si>
  <si>
    <t>e</t>
  </si>
  <si>
    <t>f=d-e</t>
  </si>
  <si>
    <t>g=b</t>
  </si>
  <si>
    <t>h</t>
  </si>
  <si>
    <t>Equity Rate Base</t>
  </si>
  <si>
    <t>i=g*h</t>
  </si>
  <si>
    <t>j=f/i</t>
  </si>
  <si>
    <t>Restated Net Operating Income</t>
  </si>
  <si>
    <t>Restated Rate Base</t>
  </si>
  <si>
    <t>Actual Equity Percent</t>
  </si>
  <si>
    <t>Restated Return on Actual Equity</t>
  </si>
  <si>
    <t>Normalized Overall Rate of Return</t>
  </si>
  <si>
    <t>INCREASE (DECREASE) REVENUES</t>
  </si>
  <si>
    <t>REMOVE REVENUES ASSOCIATED WITH RIDERS:</t>
  </si>
  <si>
    <t>TOTAL (INCREASE) DECREASE REVENUES</t>
  </si>
  <si>
    <t>DECREASE REVENUE SENSITIVE ITEMS FOR DECREASE IN REVENUES:</t>
  </si>
  <si>
    <t>STATE UTILITY TAX</t>
  </si>
  <si>
    <t xml:space="preserve">TOTAL </t>
  </si>
  <si>
    <t>REMOVE EXPENSES ASSOCIATED WITH RIDERS</t>
  </si>
  <si>
    <t>GREEN POWER - SCH 135/136 BENEFITS PORTION OF ADMIN</t>
  </si>
  <si>
    <t>GREEN POWER - SCH 135/136 TAXES PORTION OF ADMIN</t>
  </si>
  <si>
    <t>TOTAL INCREASE (DECREASE) EXPENSE</t>
  </si>
  <si>
    <t>INCREASE (DECREASE) OPERATING INCOME BEFORE FIT</t>
  </si>
  <si>
    <t>PASS-THROUGH</t>
  </si>
  <si>
    <t>REVENUE &amp; EXPENSE RESTATING</t>
  </si>
  <si>
    <t>PASS-THROUGH REVENUE &amp; EXPENSE</t>
  </si>
  <si>
    <t>EXCISE TAX &amp; FILING FEE</t>
  </si>
  <si>
    <t>MONTANA ENERGY TAX</t>
  </si>
  <si>
    <t>REVENUE</t>
  </si>
  <si>
    <t>&amp; EXPENSE</t>
  </si>
  <si>
    <t>INCREASE(DECREASE ) IN EXPENSE</t>
  </si>
  <si>
    <t>OTHER</t>
  </si>
  <si>
    <t>OPERATING</t>
  </si>
  <si>
    <t>Restated Interest Expense</t>
  </si>
  <si>
    <t>Restated NOI less Restated Interest Exp</t>
  </si>
  <si>
    <t>INCENTIVE PLAN</t>
  </si>
  <si>
    <t>INCENTIVE</t>
  </si>
  <si>
    <t>PAY</t>
  </si>
  <si>
    <t>PAYROLL TAXES ASSOCI WITH MERIT PAY</t>
  </si>
  <si>
    <t>Description</t>
  </si>
  <si>
    <t>Total</t>
  </si>
  <si>
    <t>WILD HORSE</t>
  </si>
  <si>
    <t>SOLAR</t>
  </si>
  <si>
    <t>WILD HORSE SOLAR RATEBASE (AMA)</t>
  </si>
  <si>
    <t>UTILITY PLANT RATEBASE</t>
  </si>
  <si>
    <t>PLANT BALANCE</t>
  </si>
  <si>
    <t xml:space="preserve">ACCUM DEPRECIATION </t>
  </si>
  <si>
    <t>DEFERRED INCOME TAX LIABILITY</t>
  </si>
  <si>
    <t>NET WH SOLAR PLANT RATEBASE</t>
  </si>
  <si>
    <t>DEPRECIATION EXPENSE</t>
  </si>
  <si>
    <t>INCREASE (DECREASE ) EXPENSE</t>
  </si>
  <si>
    <t>TEMPERATURE NORMALIZATION</t>
  </si>
  <si>
    <t>RATE CASE</t>
  </si>
  <si>
    <t>EXPENSES</t>
  </si>
  <si>
    <t>LESS TEST YEAR EXPENSE</t>
  </si>
  <si>
    <t>RATE CASE EXPENSES</t>
  </si>
  <si>
    <t>INJURIES &amp;</t>
  </si>
  <si>
    <t>DAMAGES</t>
  </si>
  <si>
    <t>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</si>
  <si>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</si>
  <si>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</si>
  <si>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</si>
  <si>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</si>
  <si>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PUGET SOUND ENERGY</t>
  </si>
  <si>
    <t>ASC 815</t>
  </si>
  <si>
    <t>REMOVE SCHEDULE 95A TREASURY GRANTS</t>
  </si>
  <si>
    <t>OTHER OPERATING EXPENSES:</t>
  </si>
  <si>
    <t xml:space="preserve">REMOVE ACCRUAL FOR FUTURE PTC LIABILITY </t>
  </si>
  <si>
    <t>(ACTUAL PTC'S REMOVED IN FIT ADJUSTMENT NO. 3.06)</t>
  </si>
  <si>
    <t>INCREASE (DECREASE) OPERATING EXPENSES</t>
  </si>
  <si>
    <t>SUBTOTAL - POWER COSTS TO BE ADJUSTED</t>
  </si>
  <si>
    <t>WILD HORSE SOLAR OPERATING EXPENSE</t>
  </si>
  <si>
    <t>3-YR AVERAGE OF NET WRITE OFF RATE</t>
  </si>
  <si>
    <t>REPORTING PERIOD REVENUES</t>
  </si>
  <si>
    <t>WILD HORSE SOLAR</t>
  </si>
  <si>
    <t>ASC 815 OPERATING EXPENSE</t>
  </si>
  <si>
    <t>Schedule 40</t>
  </si>
  <si>
    <t>GPI KWH</t>
  </si>
  <si>
    <t>KWH</t>
  </si>
  <si>
    <r>
      <t xml:space="preserve">ANNUAL NORMALIZATION (LINE 4 </t>
    </r>
    <r>
      <rPr>
        <sz val="11.5"/>
        <rFont val="Symbol"/>
        <family val="1"/>
        <charset val="2"/>
      </rPr>
      <t>¸</t>
    </r>
    <r>
      <rPr>
        <sz val="10"/>
        <rFont val="Times New Roman"/>
        <family val="1"/>
      </rPr>
      <t xml:space="preserve"> 2 YEARS)</t>
    </r>
  </si>
  <si>
    <r>
      <t xml:space="preserve">ANNUAL NORMALIZATION (LINE 10 </t>
    </r>
    <r>
      <rPr>
        <sz val="11.5"/>
        <rFont val="Symbol"/>
        <family val="1"/>
        <charset val="2"/>
      </rPr>
      <t>¸</t>
    </r>
    <r>
      <rPr>
        <sz val="10"/>
        <rFont val="Times New Roman"/>
        <family val="1"/>
      </rPr>
      <t xml:space="preserve"> 4 YEARS)</t>
    </r>
  </si>
  <si>
    <t>REV &amp; EXP</t>
  </si>
  <si>
    <t>AMORTIZATION OF INTEREST AND GRANTS</t>
  </si>
  <si>
    <t>GROSS UTILITY PLANT IN SERVICE</t>
  </si>
  <si>
    <t>ACCUMULATED DEPRECIATION</t>
  </si>
  <si>
    <t>EXPENSES TO BE NORMALIZED</t>
  </si>
  <si>
    <t>OF OPERATIONS</t>
  </si>
  <si>
    <t>ACTUAL RESULTS</t>
  </si>
  <si>
    <t>GREEN POWER - SCH 135/136 ELIMINATE OVER EXPENSED</t>
  </si>
  <si>
    <t>GREEN POWER - SCH 135/136</t>
  </si>
  <si>
    <t>GREEN POWER - SCH 135/136 TAGS CHARGED TO 557</t>
  </si>
  <si>
    <t>GREEN POWER - SCH 135/136 CHARGED TO 908/909</t>
  </si>
  <si>
    <t>CONSERVATION RIDER - SCHEDULE 120</t>
  </si>
  <si>
    <t>PROPERTY TAX TRACKER - SCHEDULE 140</t>
  </si>
  <si>
    <t>MUNICIPAL TAXES - SCHEDULE 81</t>
  </si>
  <si>
    <t>LOW INCOME RIDER - SCHEDULE 129</t>
  </si>
  <si>
    <t>RESIDENTIAL EXCHANGE - SCH 194</t>
  </si>
  <si>
    <t>DECOUPLING SCH 142 REVENUE</t>
  </si>
  <si>
    <t>DECOUPLING SCH 142 SURCHARGE AMORT EXPENSE</t>
  </si>
  <si>
    <t>CONSERVATION AMORTIZATON - SCHEDULE 120</t>
  </si>
  <si>
    <t>PROPERTY TAX AMORTIZATION EXP - SCHEDULE 140</t>
  </si>
  <si>
    <t>LOW INCOME AMORTIZATION - SCHEDULE 129</t>
  </si>
  <si>
    <t>AMORT ON INTEREST ON REC PROCEEDS - SCH 137</t>
  </si>
  <si>
    <t>EXPENSE OFFSET FOR SCH 137 REC AND BIOGAS PROCEEDS</t>
  </si>
  <si>
    <t>REC PROCEEDS - SCH 137 REC AND BIOGAS PROCEEDS</t>
  </si>
  <si>
    <t>REMOVE JPUD GAIN ON SALE SCH 133</t>
  </si>
  <si>
    <t>After Earnings</t>
  </si>
  <si>
    <t>Sharing</t>
  </si>
  <si>
    <t xml:space="preserve">Earnings </t>
  </si>
  <si>
    <t>Electric Commission Basis Report Cover Letter</t>
  </si>
  <si>
    <t>Adjusted Results</t>
  </si>
  <si>
    <t>of Operations</t>
  </si>
  <si>
    <t>2014 AND 2013 PCORC EXPENSES TO BE NORMALIZED</t>
  </si>
  <si>
    <t>INCREASE(DECREASE) DEFERRED FIT</t>
  </si>
  <si>
    <t>REMOVE TEST YEAR EARNINGS SHARING ACCRUAL</t>
  </si>
  <si>
    <t>REMOVE MERGER RATE CREDIT SCH 132</t>
  </si>
  <si>
    <t>PROFORMA BAD DEBT RATE</t>
  </si>
  <si>
    <t>PROFORMA BAD DEBTS</t>
  </si>
  <si>
    <t>Difference</t>
  </si>
  <si>
    <t>ACTUAL KWH</t>
  </si>
  <si>
    <t>TRANSMISSION LINE LOSS % FOR WECC</t>
  </si>
  <si>
    <t>WETT TAX RATE</t>
  </si>
  <si>
    <t xml:space="preserve">     WETT TAX</t>
  </si>
  <si>
    <t>EEELT TAX RATE</t>
  </si>
  <si>
    <t xml:space="preserve">     EEELT TAX</t>
  </si>
  <si>
    <t>TOTAL INCENTIVE / MERIT PAY</t>
  </si>
  <si>
    <t>TOTAL CHARGED TO EXPENSE</t>
  </si>
  <si>
    <t>Utility Capital Structure</t>
  </si>
  <si>
    <t>Cost of Capital and Rate of Return</t>
  </si>
  <si>
    <t>(A)</t>
  </si>
  <si>
    <t>(B)</t>
  </si>
  <si>
    <t>(C)</t>
  </si>
  <si>
    <t>(D)</t>
  </si>
  <si>
    <t>(E)</t>
  </si>
  <si>
    <t>Weighted</t>
  </si>
  <si>
    <t>Cost of</t>
  </si>
  <si>
    <t>Amount (i)</t>
  </si>
  <si>
    <t>Ratio</t>
  </si>
  <si>
    <t>Cost</t>
  </si>
  <si>
    <t>Capital</t>
  </si>
  <si>
    <t>Common Stock</t>
  </si>
  <si>
    <r>
      <t>(i)</t>
    </r>
    <r>
      <rPr>
        <sz val="10"/>
        <rFont val="Arial"/>
        <family val="2"/>
      </rPr>
      <t xml:space="preserve"> - Average of Month-End Balances</t>
    </r>
  </si>
  <si>
    <t>Rate Case Expense</t>
  </si>
  <si>
    <t>December</t>
  </si>
  <si>
    <t>August</t>
  </si>
  <si>
    <t>Bad Debt</t>
  </si>
  <si>
    <t>Conversion Factor</t>
  </si>
  <si>
    <t xml:space="preserve">TAXABLE INCOME  </t>
  </si>
  <si>
    <t>STORM NORMALIZATION</t>
  </si>
  <si>
    <t xml:space="preserve">STORM </t>
  </si>
  <si>
    <t>Transmission</t>
  </si>
  <si>
    <t>Distribution</t>
  </si>
  <si>
    <t>TOTAL NORMAL STORMS</t>
  </si>
  <si>
    <t>ACTUAL O&amp;M:</t>
  </si>
  <si>
    <t>Storm Normalization</t>
  </si>
  <si>
    <t>POWER COSTS ADJUSTEMENT W/O NORMALIZATION FOR EARNINGS SHARING ONLY:</t>
  </si>
  <si>
    <t>(Source:  UE-170033/UG-170034)</t>
  </si>
  <si>
    <t>Line 10 ÷ Line11, &amp; for adj:  (Line 10 - Previous Line 10) ÷ Line11</t>
  </si>
  <si>
    <t>Incremental Earnings Sharing for CY 2017 for Cost of Svc</t>
  </si>
  <si>
    <t>Line 8 x Line 9</t>
  </si>
  <si>
    <t>After-Tax Earnings Sharing (Cumulative)</t>
  </si>
  <si>
    <t>Earnings Sharing %</t>
  </si>
  <si>
    <t>Greater of zero or line 7</t>
  </si>
  <si>
    <t>Excess Earnings (Cumulative)</t>
  </si>
  <si>
    <t>Line 4 - Line 6</t>
  </si>
  <si>
    <t>Previous Column + Line 5</t>
  </si>
  <si>
    <t>Restated Net Operating Income (Cumulative)</t>
  </si>
  <si>
    <t>Commission basis report pg 3-A thru 3-B</t>
  </si>
  <si>
    <t>Normalizing Adjustments</t>
  </si>
  <si>
    <t>Line 2 x Line 3</t>
  </si>
  <si>
    <t>Maximum Net Operating Income</t>
  </si>
  <si>
    <t>Commission basis report pg 1.01 line b</t>
  </si>
  <si>
    <t xml:space="preserve">Restated Rate Base </t>
  </si>
  <si>
    <t>Rate Base Adjustments</t>
  </si>
  <si>
    <t>Injuries &amp; Damages</t>
  </si>
  <si>
    <t>Montana Tax</t>
  </si>
  <si>
    <t>Temp Related Power Costs</t>
  </si>
  <si>
    <t>Temp Normalization</t>
  </si>
  <si>
    <t>Source</t>
  </si>
  <si>
    <t>Line No.</t>
  </si>
  <si>
    <t>Normalizing Adjustments to Remove</t>
  </si>
  <si>
    <t>UE-121697</t>
  </si>
  <si>
    <t xml:space="preserve">      2017 AND 2011 GRC EXPENSES TO BE NORMALIZED</t>
  </si>
  <si>
    <t>Electric Earnings Sharing Test (Excludes Normalizing Adjustments per UE-170033 / UG-170034)</t>
  </si>
  <si>
    <t>Commission Basis Report</t>
  </si>
  <si>
    <t>Total Debt</t>
  </si>
  <si>
    <t>Adj. 4.01</t>
  </si>
  <si>
    <t>Summary-2</t>
  </si>
  <si>
    <t>Summary-3</t>
  </si>
  <si>
    <t>Summary-1</t>
  </si>
  <si>
    <t>SIX-YEAR AVERAGE STORM EXPENSE FOR RATE YEAR (LINE 9 ÷ 6 YEARS)</t>
  </si>
  <si>
    <t>CHARGED TO EXPENSE  12 MONTH ENDED 12/30/18</t>
  </si>
  <si>
    <t>INCREASE (DECREASE) OPERATING EXPENSE (LINE 11-LINE 14)</t>
  </si>
  <si>
    <t xml:space="preserve">INCREASE (DECREASE) FIT </t>
  </si>
  <si>
    <t>FUEL (501, 547)</t>
  </si>
  <si>
    <t>PURCH &amp; INT +ALL OTHER (555, 447)</t>
  </si>
  <si>
    <t xml:space="preserve">OTHER PWR COSTS (557) </t>
  </si>
  <si>
    <t>WHEELING (565)</t>
  </si>
  <si>
    <t>SALES TO OTHER UTILITIES (447)</t>
  </si>
  <si>
    <t>PURCH/SALES OF NON-CORE GAS (456)</t>
  </si>
  <si>
    <t>Weather componentthat must be removed from NOI for earnings sharing</t>
  </si>
  <si>
    <t>GENERAL RATE CASE</t>
  </si>
  <si>
    <t>12 ME 12/01/2016 AND 8/31/2016</t>
  </si>
  <si>
    <t>12 ME 12/01/2017 AND 8/31/2017</t>
  </si>
  <si>
    <t>FEDERAL INCOME TAX @</t>
  </si>
  <si>
    <t>CURRENTLY PAYABLE</t>
  </si>
  <si>
    <t>DEFERRED FIT - DEBIT</t>
  </si>
  <si>
    <t>DEFERRED FIT - OTHER</t>
  </si>
  <si>
    <t>TOTAL RESTATED FIT</t>
  </si>
  <si>
    <t>FIT PER BOOKS:</t>
  </si>
  <si>
    <t>DEFERRED FIT - CREDIT</t>
  </si>
  <si>
    <t>DEFERRED FIT - INV TAX CREDIT, NET OF AMORT.</t>
  </si>
  <si>
    <t>FOR THE TWELVE MONTHS ENDED SEPTEMBER 30, 2016</t>
  </si>
  <si>
    <t>Actual Return</t>
  </si>
  <si>
    <t>check</t>
  </si>
  <si>
    <t>12 ME Dec 31, 2019</t>
  </si>
  <si>
    <t>Payroll Tax</t>
  </si>
  <si>
    <t>Benefits</t>
  </si>
  <si>
    <t>FOR THE TWELVE MONTHS ENDED DECEMBER 31, 2019</t>
  </si>
  <si>
    <t>2019 CBR as Filed</t>
  </si>
  <si>
    <t>2019 Adjusted CBR Earnings Test</t>
  </si>
  <si>
    <t>12 ME 12/01/2015 AND 8/31/2015</t>
  </si>
  <si>
    <t>Two months 17GRC; Ten months 18ERF</t>
  </si>
  <si>
    <t>(Source:  UE-170033/UG-170034 and UE-180899/UG-180900)</t>
  </si>
  <si>
    <t>UE 170033 / UG170034</t>
  </si>
  <si>
    <t>UE 180899 / UG 180900</t>
  </si>
  <si>
    <t>REMOVE TRANSITION OF MICROSOFT LOAD TO SPECIAL CONTRACT</t>
  </si>
  <si>
    <t xml:space="preserve">  STORM DAMAGE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</si>
</sst>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6" formatCode="0.0000000"/>
    <numFmt numFmtId="167" formatCode="#,##0.0000000;\(#,##0.0000000\)"/>
    <numFmt numFmtId="168" formatCode="#,##0;\(#,##0\)"/>
    <numFmt numFmtId="169" formatCode="_(* #,##0_);_(* \(#,##0\);_(* &quot;-&quot;??_);_(@_)"/>
    <numFmt numFmtId="170" formatCode="_(&quot;$&quot;* #,##0_);_(&quot;$&quot;* \(#,##0\);_(&quot;$&quot;* &quot;-&quot;??_);_(@_)"/>
    <numFmt numFmtId="171" formatCode="_(* #,##0_);[Red]_(* \(#,##0\);_(* &quot;-&quot;_);_(@_)"/>
    <numFmt numFmtId="172" formatCode="_(&quot;$&quot;* #,##0_);[Red]_(&quot;$&quot;* \(#,##0\);_(&quot;$&quot;* &quot;-&quot;_);_(@_)"/>
    <numFmt numFmtId="174" formatCode="0.000000"/>
    <numFmt numFmtId="176" formatCode="0.0000%"/>
    <numFmt numFmtId="177" formatCode="&quot;PAGE&quot;\ 0.00"/>
    <numFmt numFmtId="188" formatCode="[$-409]mmmm\ d\,\ yyyy;@"/>
    <numFmt numFmtId="189" formatCode="_(* #,##0.00000_);_(* \(#,##0.00000\);_(* &quot;-&quot;?????_);_(@_)"/>
    <numFmt numFmtId="190" formatCode="0.00000%"/>
    <numFmt numFmtId="198" formatCode="yyyy"/>
    <numFmt numFmtId="203" formatCode="#,##0.0000"/>
    <numFmt numFmtId="204" formatCode="_(&quot;$&quot;* #,##0.00000_);_(&quot;$&quot;* \(#,##0.00000\);_(&quot;$&quot;* &quot;-&quot;??_);_(@_)"/>
    <numFmt numFmtId="232" formatCode="&quot;Adj.&quot;\ 0.00"/>
  </numFmts>
  <fonts count="31" x14ac:knownFonts="1">
    <font>
      <sz val="8"/>
      <name val="Helv"/>
    </font>
    <font>
      <b/>
      <sz val="8"/>
      <name val="Helv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8"/>
      <name val="Helv"/>
    </font>
    <font>
      <sz val="8"/>
      <name val="Arial"/>
      <family val="2"/>
    </font>
    <font>
      <b/>
      <sz val="10"/>
      <name val="Arial"/>
      <family val="2"/>
    </font>
    <font>
      <sz val="11.5"/>
      <name val="Symbol"/>
      <family val="1"/>
      <charset val="2"/>
    </font>
    <font>
      <sz val="10"/>
      <name val="Helv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rgb="FFFF0000"/>
      <name val="Times New Roman"/>
      <family val="1"/>
    </font>
    <font>
      <b/>
      <u/>
      <sz val="10"/>
      <color rgb="FFFF0000"/>
      <name val="Times New Roman"/>
      <family val="1"/>
    </font>
    <font>
      <b/>
      <sz val="8"/>
      <color rgb="FFFF0000"/>
      <name val="Helv"/>
    </font>
    <font>
      <b/>
      <sz val="10"/>
      <color rgb="FFFF0000"/>
      <name val="Arial"/>
      <family val="2"/>
    </font>
    <font>
      <sz val="8"/>
      <color rgb="FFFF0000"/>
      <name val="Helv"/>
    </font>
    <font>
      <b/>
      <u/>
      <sz val="10"/>
      <name val="Arial"/>
      <family val="2"/>
    </font>
    <font>
      <u/>
      <sz val="10"/>
      <name val="Arial"/>
      <family val="2"/>
    </font>
    <font>
      <b/>
      <u val="double"/>
      <sz val="10"/>
      <name val="Arial"/>
      <family val="2"/>
    </font>
    <font>
      <sz val="8"/>
      <color rgb="FF0000FF"/>
      <name val="Arial"/>
      <family val="2"/>
    </font>
    <font>
      <sz val="8"/>
      <color rgb="FFFF0000"/>
      <name val="Arial"/>
      <family val="2"/>
    </font>
    <font>
      <sz val="10"/>
      <color rgb="FFFF0000"/>
      <name val="Times New Roman"/>
      <family val="1"/>
    </font>
    <font>
      <b/>
      <i/>
      <sz val="10"/>
      <color rgb="FF0000FF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174" fontId="0" fillId="0" borderId="0">
      <alignment horizontal="left" wrapText="1"/>
    </xf>
  </cellStyleXfs>
  <cellXfs count="520">
    <xf numFmtId="0" fontId="0" fillId="0" borderId="0" xfId="0" applyNumberFormat="1" applyAlignment="1"/>
    <xf numFmtId="0" fontId="3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 applyProtection="1">
      <alignment horizontal="center"/>
      <protection locked="0"/>
    </xf>
    <xf numFmtId="41" fontId="2" fillId="0" borderId="3" xfId="0" applyNumberFormat="1" applyFont="1" applyFill="1" applyBorder="1" applyAlignment="1" applyProtection="1">
      <protection locked="0"/>
    </xf>
    <xf numFmtId="42" fontId="2" fillId="0" borderId="0" xfId="0" applyNumberFormat="1" applyFont="1" applyFill="1" applyAlignment="1"/>
    <xf numFmtId="0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3" fillId="0" borderId="3" xfId="0" applyNumberFormat="1" applyFont="1" applyFill="1" applyBorder="1" applyAlignment="1">
      <alignment horizontal="center"/>
    </xf>
    <xf numFmtId="0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NumberFormat="1" applyFont="1" applyFill="1" applyAlignment="1">
      <alignment horizontal="fill"/>
    </xf>
    <xf numFmtId="41" fontId="2" fillId="0" borderId="0" xfId="0" applyNumberFormat="1" applyFont="1" applyFill="1" applyAlignment="1"/>
    <xf numFmtId="168" fontId="2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5" xfId="0" applyNumberFormat="1" applyFont="1" applyFill="1" applyBorder="1" applyAlignment="1">
      <alignment horizontal="center"/>
    </xf>
    <xf numFmtId="15" fontId="3" fillId="0" borderId="0" xfId="0" applyNumberFormat="1" applyFont="1" applyFill="1" applyAlignment="1">
      <alignment horizontal="centerContinuous"/>
    </xf>
    <xf numFmtId="18" fontId="3" fillId="0" borderId="0" xfId="0" applyNumberFormat="1" applyFont="1" applyFill="1" applyAlignment="1">
      <alignment horizontal="centerContinuous"/>
    </xf>
    <xf numFmtId="0" fontId="3" fillId="0" borderId="3" xfId="0" applyNumberFormat="1" applyFont="1" applyFill="1" applyBorder="1" applyAlignment="1" applyProtection="1">
      <alignment horizontal="center"/>
      <protection locked="0"/>
    </xf>
    <xf numFmtId="1" fontId="2" fillId="0" borderId="0" xfId="0" applyNumberFormat="1" applyFont="1" applyFill="1" applyAlignment="1">
      <alignment horizontal="center"/>
    </xf>
    <xf numFmtId="42" fontId="2" fillId="0" borderId="0" xfId="0" applyNumberFormat="1" applyFont="1" applyFill="1" applyAlignment="1">
      <alignment horizontal="left"/>
    </xf>
    <xf numFmtId="0" fontId="1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>
      <alignment horizontal="fill"/>
    </xf>
    <xf numFmtId="0" fontId="3" fillId="0" borderId="0" xfId="0" quotePrefix="1" applyNumberFormat="1" applyFont="1" applyFill="1" applyAlignment="1">
      <alignment horizontal="lef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quotePrefix="1" applyNumberFormat="1" applyFont="1" applyFill="1" applyAlignment="1">
      <alignment horizontal="left"/>
    </xf>
    <xf numFmtId="0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center"/>
    </xf>
    <xf numFmtId="168" fontId="2" fillId="0" borderId="0" xfId="0" applyNumberFormat="1" applyFont="1" applyFill="1" applyAlignment="1" applyProtection="1">
      <protection locked="0"/>
    </xf>
    <xf numFmtId="41" fontId="2" fillId="0" borderId="0" xfId="0" applyNumberFormat="1" applyFont="1" applyFill="1" applyAlignment="1" applyProtection="1">
      <protection locked="0"/>
    </xf>
    <xf numFmtId="42" fontId="2" fillId="0" borderId="0" xfId="0" applyNumberFormat="1" applyFont="1" applyFill="1" applyAlignment="1" applyProtection="1">
      <protection locked="0"/>
    </xf>
    <xf numFmtId="0" fontId="2" fillId="0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0" fontId="3" fillId="0" borderId="6" xfId="0" quotePrefix="1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Continuous"/>
    </xf>
    <xf numFmtId="168" fontId="2" fillId="0" borderId="0" xfId="0" applyNumberFormat="1" applyFont="1" applyFill="1" applyAlignment="1" applyProtection="1">
      <alignment horizontal="right"/>
      <protection locked="0"/>
    </xf>
    <xf numFmtId="0" fontId="3" fillId="0" borderId="3" xfId="0" applyNumberFormat="1" applyFont="1" applyFill="1" applyBorder="1" applyAlignment="1"/>
    <xf numFmtId="0" fontId="2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Continuous"/>
    </xf>
    <xf numFmtId="49" fontId="3" fillId="0" borderId="0" xfId="0" applyNumberFormat="1" applyFont="1" applyFill="1" applyAlignment="1">
      <alignment horizontal="left"/>
    </xf>
    <xf numFmtId="0" fontId="3" fillId="0" borderId="0" xfId="0" quotePrefix="1" applyNumberFormat="1" applyFont="1" applyFill="1" applyAlignment="1">
      <alignment horizontal="fill"/>
    </xf>
    <xf numFmtId="3" fontId="3" fillId="0" borderId="0" xfId="0" applyNumberFormat="1" applyFont="1" applyFill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fill"/>
    </xf>
    <xf numFmtId="49" fontId="2" fillId="0" borderId="0" xfId="0" applyNumberFormat="1" applyFont="1" applyFill="1" applyAlignment="1">
      <alignment horizontal="center"/>
    </xf>
    <xf numFmtId="41" fontId="2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/>
    <xf numFmtId="42" fontId="2" fillId="0" borderId="0" xfId="0" applyNumberFormat="1" applyFont="1" applyFill="1" applyBorder="1" applyAlignment="1"/>
    <xf numFmtId="42" fontId="2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Alignment="1"/>
    <xf numFmtId="3" fontId="2" fillId="0" borderId="0" xfId="0" applyNumberFormat="1" applyFont="1" applyFill="1" applyAlignment="1"/>
    <xf numFmtId="168" fontId="2" fillId="0" borderId="0" xfId="0" applyNumberFormat="1" applyFont="1" applyFill="1" applyAlignment="1"/>
    <xf numFmtId="0" fontId="2" fillId="0" borderId="0" xfId="0" applyNumberFormat="1" applyFont="1" applyFill="1" applyBorder="1" applyAlignment="1"/>
    <xf numFmtId="49" fontId="2" fillId="0" borderId="0" xfId="0" applyNumberFormat="1" applyFont="1" applyFill="1" applyAlignment="1"/>
    <xf numFmtId="0" fontId="3" fillId="0" borderId="0" xfId="0" applyNumberFormat="1" applyFont="1" applyFill="1" applyAlignment="1"/>
    <xf numFmtId="0" fontId="3" fillId="0" borderId="0" xfId="0" applyNumberFormat="1" applyFont="1" applyFill="1" applyAlignment="1" applyProtection="1">
      <protection locked="0"/>
    </xf>
    <xf numFmtId="0" fontId="0" fillId="0" borderId="0" xfId="0" applyNumberFormat="1" applyFill="1" applyAlignment="1"/>
    <xf numFmtId="0" fontId="1" fillId="0" borderId="0" xfId="0" applyNumberFormat="1" applyFont="1" applyFill="1" applyAlignment="1"/>
    <xf numFmtId="3" fontId="3" fillId="0" borderId="0" xfId="0" applyNumberFormat="1" applyFont="1" applyFill="1" applyAlignment="1"/>
    <xf numFmtId="49" fontId="3" fillId="0" borderId="0" xfId="0" applyNumberFormat="1" applyFont="1" applyFill="1" applyAlignment="1"/>
    <xf numFmtId="0" fontId="3" fillId="0" borderId="3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/>
    <xf numFmtId="0" fontId="2" fillId="0" borderId="0" xfId="0" applyNumberFormat="1" applyFont="1" applyFill="1" applyAlignment="1" applyProtection="1">
      <protection locked="0"/>
    </xf>
    <xf numFmtId="168" fontId="2" fillId="0" borderId="0" xfId="0" applyNumberFormat="1" applyFont="1" applyFill="1" applyBorder="1" applyAlignment="1"/>
    <xf numFmtId="37" fontId="2" fillId="0" borderId="0" xfId="0" applyNumberFormat="1" applyFont="1" applyFill="1" applyAlignment="1"/>
    <xf numFmtId="42" fontId="2" fillId="0" borderId="0" xfId="0" applyNumberFormat="1" applyFont="1" applyFill="1" applyBorder="1" applyAlignment="1"/>
    <xf numFmtId="42" fontId="2" fillId="0" borderId="0" xfId="0" applyNumberFormat="1" applyFont="1" applyFill="1" applyBorder="1" applyAlignment="1"/>
    <xf numFmtId="37" fontId="2" fillId="0" borderId="0" xfId="0" applyNumberFormat="1" applyFont="1" applyFill="1" applyBorder="1" applyAlignment="1"/>
    <xf numFmtId="41" fontId="2" fillId="0" borderId="4" xfId="0" applyNumberFormat="1" applyFont="1" applyFill="1" applyBorder="1" applyAlignment="1" applyProtection="1">
      <protection locked="0"/>
    </xf>
    <xf numFmtId="41" fontId="2" fillId="0" borderId="3" xfId="0" applyNumberFormat="1" applyFont="1" applyFill="1" applyBorder="1" applyAlignment="1"/>
    <xf numFmtId="41" fontId="2" fillId="0" borderId="0" xfId="0" applyNumberFormat="1" applyFont="1" applyFill="1" applyAlignment="1"/>
    <xf numFmtId="41" fontId="2" fillId="0" borderId="0" xfId="0" applyNumberFormat="1" applyFont="1" applyFill="1" applyBorder="1" applyAlignment="1"/>
    <xf numFmtId="42" fontId="2" fillId="0" borderId="4" xfId="0" applyNumberFormat="1" applyFont="1" applyFill="1" applyBorder="1" applyAlignment="1"/>
    <xf numFmtId="166" fontId="2" fillId="0" borderId="0" xfId="0" applyNumberFormat="1" applyFont="1" applyFill="1" applyBorder="1" applyAlignment="1"/>
    <xf numFmtId="9" fontId="2" fillId="0" borderId="0" xfId="0" applyNumberFormat="1" applyFont="1" applyFill="1" applyAlignment="1"/>
    <xf numFmtId="10" fontId="2" fillId="0" borderId="0" xfId="0" applyNumberFormat="1" applyFont="1" applyFill="1" applyAlignment="1"/>
    <xf numFmtId="169" fontId="2" fillId="0" borderId="0" xfId="0" applyNumberFormat="1" applyFont="1" applyFill="1" applyAlignment="1"/>
    <xf numFmtId="37" fontId="2" fillId="0" borderId="0" xfId="0" applyNumberFormat="1" applyFont="1" applyFill="1" applyBorder="1" applyAlignment="1"/>
    <xf numFmtId="10" fontId="2" fillId="0" borderId="0" xfId="0" applyNumberFormat="1" applyFont="1" applyFill="1" applyBorder="1" applyAlignment="1"/>
    <xf numFmtId="0" fontId="6" fillId="0" borderId="0" xfId="0" applyNumberFormat="1" applyFont="1" applyFill="1" applyAlignment="1"/>
    <xf numFmtId="3" fontId="9" fillId="0" borderId="0" xfId="0" applyNumberFormat="1" applyFont="1" applyFill="1" applyAlignment="1"/>
    <xf numFmtId="49" fontId="6" fillId="0" borderId="0" xfId="0" applyNumberFormat="1" applyFont="1" applyFill="1" applyAlignment="1"/>
    <xf numFmtId="3" fontId="2" fillId="0" borderId="0" xfId="0" applyNumberFormat="1" applyFont="1" applyFill="1" applyBorder="1" applyAlignment="1"/>
    <xf numFmtId="0" fontId="2" fillId="0" borderId="0" xfId="0" applyNumberFormat="1" applyFont="1" applyFill="1" applyAlignment="1"/>
    <xf numFmtId="37" fontId="2" fillId="0" borderId="0" xfId="0" applyNumberFormat="1" applyFont="1" applyFill="1" applyAlignment="1"/>
    <xf numFmtId="0" fontId="7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 applyProtection="1">
      <alignment horizontal="centerContinuous"/>
      <protection locked="0"/>
    </xf>
    <xf numFmtId="18" fontId="2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 applyProtection="1">
      <alignment horizontal="centerContinuous"/>
      <protection locked="0"/>
    </xf>
    <xf numFmtId="168" fontId="2" fillId="0" borderId="0" xfId="0" applyNumberFormat="1" applyFont="1" applyFill="1" applyBorder="1" applyAlignment="1">
      <alignment horizontal="right"/>
    </xf>
    <xf numFmtId="167" fontId="2" fillId="0" borderId="0" xfId="0" applyNumberFormat="1" applyFont="1" applyFill="1" applyBorder="1" applyAlignment="1" applyProtection="1">
      <protection locked="0"/>
    </xf>
    <xf numFmtId="169" fontId="2" fillId="0" borderId="0" xfId="0" applyNumberFormat="1" applyFont="1" applyFill="1" applyBorder="1" applyAlignment="1"/>
    <xf numFmtId="174" fontId="2" fillId="0" borderId="0" xfId="0" applyFont="1" applyFill="1" applyAlignment="1">
      <alignment horizontal="left"/>
    </xf>
    <xf numFmtId="17" fontId="2" fillId="0" borderId="0" xfId="0" applyNumberFormat="1" applyFont="1" applyFill="1" applyBorder="1" applyAlignment="1">
      <alignment horizontal="left"/>
    </xf>
    <xf numFmtId="0" fontId="12" fillId="0" borderId="0" xfId="0" applyNumberFormat="1" applyFont="1" applyAlignment="1"/>
    <xf numFmtId="0" fontId="8" fillId="0" borderId="0" xfId="0" applyNumberFormat="1" applyFont="1" applyAlignment="1"/>
    <xf numFmtId="0" fontId="12" fillId="0" borderId="3" xfId="0" applyNumberFormat="1" applyFont="1" applyBorder="1" applyAlignment="1">
      <alignment horizontal="center"/>
    </xf>
    <xf numFmtId="170" fontId="8" fillId="0" borderId="0" xfId="0" applyNumberFormat="1" applyFont="1" applyFill="1" applyAlignment="1"/>
    <xf numFmtId="170" fontId="8" fillId="0" borderId="0" xfId="0" applyNumberFormat="1" applyFont="1" applyAlignment="1"/>
    <xf numFmtId="10" fontId="12" fillId="0" borderId="0" xfId="0" applyNumberFormat="1" applyFont="1" applyFill="1" applyAlignment="1"/>
    <xf numFmtId="10" fontId="8" fillId="0" borderId="0" xfId="0" applyNumberFormat="1" applyFont="1" applyAlignment="1"/>
    <xf numFmtId="9" fontId="8" fillId="0" borderId="0" xfId="0" applyNumberFormat="1" applyFont="1" applyFill="1" applyAlignment="1"/>
    <xf numFmtId="0" fontId="8" fillId="0" borderId="0" xfId="0" applyNumberFormat="1" applyFont="1" applyFill="1" applyAlignment="1"/>
    <xf numFmtId="170" fontId="8" fillId="0" borderId="0" xfId="0" applyNumberFormat="1" applyFont="1" applyFill="1" applyAlignment="1"/>
    <xf numFmtId="174" fontId="2" fillId="0" borderId="0" xfId="0" applyFont="1" applyFill="1" applyBorder="1" applyAlignment="1">
      <alignment horizontal="left"/>
    </xf>
    <xf numFmtId="10" fontId="2" fillId="0" borderId="0" xfId="0" applyNumberFormat="1" applyFont="1" applyFill="1" applyAlignment="1"/>
    <xf numFmtId="10" fontId="8" fillId="0" borderId="0" xfId="0" applyNumberFormat="1" applyFont="1" applyFill="1" applyAlignment="1"/>
    <xf numFmtId="0" fontId="3" fillId="0" borderId="0" xfId="0" applyNumberFormat="1" applyFont="1" applyFill="1" applyAlignment="1">
      <alignment horizontal="center" wrapText="1"/>
    </xf>
    <xf numFmtId="2" fontId="3" fillId="0" borderId="0" xfId="0" applyNumberFormat="1" applyFont="1" applyFill="1" applyAlignment="1" applyProtection="1">
      <alignment horizontal="center"/>
      <protection locked="0"/>
    </xf>
    <xf numFmtId="174" fontId="2" fillId="0" borderId="0" xfId="0" applyNumberFormat="1" applyFont="1" applyFill="1" applyAlignment="1">
      <alignment horizontal="left"/>
    </xf>
    <xf numFmtId="9" fontId="2" fillId="0" borderId="0" xfId="0" applyNumberFormat="1" applyFont="1" applyFill="1" applyAlignment="1">
      <alignment horizontal="center"/>
    </xf>
    <xf numFmtId="174" fontId="2" fillId="0" borderId="0" xfId="0" quotePrefix="1" applyFont="1" applyFill="1" applyAlignment="1">
      <alignment horizontal="left"/>
    </xf>
    <xf numFmtId="37" fontId="2" fillId="0" borderId="0" xfId="0" applyNumberFormat="1" applyFont="1" applyFill="1">
      <alignment horizontal="left" wrapText="1"/>
    </xf>
    <xf numFmtId="41" fontId="6" fillId="0" borderId="0" xfId="0" applyNumberFormat="1" applyFont="1" applyFill="1" applyAlignment="1"/>
    <xf numFmtId="15" fontId="3" fillId="0" borderId="0" xfId="0" applyNumberFormat="1" applyFont="1" applyFill="1" applyAlignment="1"/>
    <xf numFmtId="0" fontId="3" fillId="0" borderId="0" xfId="0" applyNumberFormat="1" applyFont="1" applyFill="1" applyAlignment="1" applyProtection="1">
      <alignment horizontal="left"/>
      <protection locked="0"/>
    </xf>
    <xf numFmtId="168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left"/>
    </xf>
    <xf numFmtId="42" fontId="3" fillId="0" borderId="0" xfId="0" applyNumberFormat="1" applyFont="1" applyFill="1" applyAlignment="1">
      <alignment horizontal="centerContinuous"/>
    </xf>
    <xf numFmtId="15" fontId="5" fillId="0" borderId="0" xfId="0" applyNumberFormat="1" applyFont="1" applyFill="1" applyAlignment="1">
      <alignment horizontal="centerContinuous"/>
    </xf>
    <xf numFmtId="168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 applyProtection="1">
      <alignment horizontal="centerContinuous" vertical="center"/>
      <protection locked="0"/>
    </xf>
    <xf numFmtId="0" fontId="3" fillId="0" borderId="0" xfId="0" applyNumberFormat="1" applyFont="1" applyFill="1" applyAlignment="1">
      <alignment horizontal="centerContinuous" vertical="center"/>
    </xf>
    <xf numFmtId="42" fontId="3" fillId="0" borderId="0" xfId="0" applyNumberFormat="1" applyFont="1" applyFill="1" applyAlignment="1"/>
    <xf numFmtId="43" fontId="3" fillId="0" borderId="0" xfId="0" applyNumberFormat="1" applyFont="1" applyFill="1" applyAlignment="1"/>
    <xf numFmtId="10" fontId="3" fillId="0" borderId="0" xfId="0" applyNumberFormat="1" applyFont="1" applyFill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168" fontId="3" fillId="0" borderId="3" xfId="0" applyNumberFormat="1" applyFont="1" applyFill="1" applyBorder="1" applyAlignment="1">
      <alignment horizontal="center"/>
    </xf>
    <xf numFmtId="0" fontId="3" fillId="0" borderId="3" xfId="0" quotePrefix="1" applyNumberFormat="1" applyFont="1" applyFill="1" applyBorder="1" applyAlignment="1" applyProtection="1">
      <alignment horizontal="center"/>
      <protection locked="0"/>
    </xf>
    <xf numFmtId="0" fontId="3" fillId="0" borderId="3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centerContinuous"/>
    </xf>
    <xf numFmtId="0" fontId="3" fillId="0" borderId="3" xfId="0" applyNumberFormat="1" applyFont="1" applyFill="1" applyBorder="1" applyAlignment="1">
      <alignment horizontal="right"/>
    </xf>
    <xf numFmtId="0" fontId="3" fillId="0" borderId="3" xfId="0" quotePrefix="1" applyNumberFormat="1" applyFont="1" applyFill="1" applyBorder="1" applyAlignment="1">
      <alignment horizontal="center"/>
    </xf>
    <xf numFmtId="174" fontId="3" fillId="0" borderId="0" xfId="0" applyFont="1" applyFill="1" applyAlignment="1">
      <alignment horizontal="center"/>
    </xf>
    <xf numFmtId="37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 applyProtection="1">
      <alignment horizontal="fill"/>
      <protection locked="0"/>
    </xf>
    <xf numFmtId="0" fontId="2" fillId="0" borderId="0" xfId="0" quotePrefix="1" applyNumberFormat="1" applyFont="1" applyFill="1" applyAlignment="1">
      <alignment horizontal="center"/>
    </xf>
    <xf numFmtId="37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 applyProtection="1">
      <alignment horizontal="left"/>
      <protection locked="0"/>
    </xf>
    <xf numFmtId="174" fontId="4" fillId="0" borderId="0" xfId="0" applyFont="1" applyFill="1" applyAlignment="1">
      <alignment horizontal="left"/>
    </xf>
    <xf numFmtId="0" fontId="3" fillId="0" borderId="0" xfId="0" applyNumberFormat="1" applyFont="1" applyFill="1" applyAlignment="1" applyProtection="1">
      <protection locked="0"/>
    </xf>
    <xf numFmtId="0" fontId="2" fillId="0" borderId="0" xfId="0" applyNumberFormat="1" applyFont="1" applyFill="1" applyAlignment="1" applyProtection="1">
      <protection locked="0"/>
    </xf>
    <xf numFmtId="168" fontId="2" fillId="0" borderId="0" xfId="0" applyNumberFormat="1" applyFont="1" applyFill="1" applyAlignment="1" applyProtection="1">
      <alignment horizontal="left"/>
      <protection locked="0"/>
    </xf>
    <xf numFmtId="0" fontId="4" fillId="0" borderId="0" xfId="0" quotePrefix="1" applyNumberFormat="1" applyFont="1" applyFill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37" fontId="4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 indent="2"/>
    </xf>
    <xf numFmtId="0" fontId="2" fillId="0" borderId="0" xfId="0" applyNumberFormat="1" applyFont="1" applyFill="1" applyAlignment="1"/>
    <xf numFmtId="174" fontId="2" fillId="0" borderId="0" xfId="0" applyFont="1" applyFill="1">
      <alignment horizontal="left" wrapText="1"/>
    </xf>
    <xf numFmtId="41" fontId="2" fillId="0" borderId="0" xfId="0" applyNumberFormat="1" applyFont="1" applyFill="1" applyBorder="1" applyAlignment="1" applyProtection="1">
      <protection locked="0"/>
    </xf>
    <xf numFmtId="174" fontId="2" fillId="0" borderId="0" xfId="0" applyFont="1" applyFill="1" applyAlignment="1">
      <alignment horizontal="left" indent="2"/>
    </xf>
    <xf numFmtId="0" fontId="2" fillId="0" borderId="0" xfId="0" applyNumberFormat="1" applyFont="1" applyFill="1" applyBorder="1" applyAlignment="1" applyProtection="1">
      <protection locked="0"/>
    </xf>
    <xf numFmtId="0" fontId="3" fillId="0" borderId="0" xfId="0" quotePrefix="1" applyNumberFormat="1" applyFont="1" applyFill="1" applyAlignment="1" applyProtection="1">
      <protection locked="0"/>
    </xf>
    <xf numFmtId="0" fontId="2" fillId="0" borderId="0" xfId="0" quotePrefix="1" applyNumberFormat="1" applyFont="1" applyFill="1" applyAlignment="1" applyProtection="1">
      <protection locked="0"/>
    </xf>
    <xf numFmtId="174" fontId="2" fillId="0" borderId="0" xfId="0" applyFont="1" applyFill="1" applyAlignment="1">
      <alignment horizontal="left"/>
    </xf>
    <xf numFmtId="1" fontId="2" fillId="0" borderId="0" xfId="0" quotePrefix="1" applyNumberFormat="1" applyFont="1" applyFill="1" applyAlignment="1">
      <alignment horizontal="left"/>
    </xf>
    <xf numFmtId="0" fontId="2" fillId="0" borderId="0" xfId="0" quotePrefix="1" applyNumberFormat="1" applyFont="1" applyFill="1" applyBorder="1" applyAlignment="1" applyProtection="1">
      <protection locked="0"/>
    </xf>
    <xf numFmtId="9" fontId="2" fillId="0" borderId="0" xfId="0" applyNumberFormat="1" applyFont="1" applyFill="1" applyAlignment="1"/>
    <xf numFmtId="1" fontId="2" fillId="0" borderId="0" xfId="0" applyNumberFormat="1" applyFont="1" applyFill="1" applyAlignment="1"/>
    <xf numFmtId="174" fontId="2" fillId="0" borderId="0" xfId="0" applyFont="1" applyFill="1" applyAlignment="1">
      <alignment horizontal="left" indent="1"/>
    </xf>
    <xf numFmtId="1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Alignment="1"/>
    <xf numFmtId="41" fontId="2" fillId="0" borderId="0" xfId="0" applyNumberFormat="1" applyFont="1" applyFill="1" applyBorder="1" applyAlignment="1"/>
    <xf numFmtId="0" fontId="2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/>
    <xf numFmtId="0" fontId="2" fillId="0" borderId="0" xfId="0" applyNumberFormat="1" applyFont="1" applyFill="1" applyAlignment="1"/>
    <xf numFmtId="0" fontId="3" fillId="0" borderId="0" xfId="0" applyNumberFormat="1" applyFont="1" applyFill="1" applyAlignment="1"/>
    <xf numFmtId="37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3" fillId="0" borderId="0" xfId="0" quotePrefix="1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Alignment="1">
      <alignment vertical="center"/>
    </xf>
    <xf numFmtId="189" fontId="3" fillId="0" borderId="0" xfId="0" applyNumberFormat="1" applyFont="1" applyFill="1" applyAlignment="1"/>
    <xf numFmtId="44" fontId="3" fillId="0" borderId="0" xfId="0" applyNumberFormat="1" applyFont="1" applyFill="1" applyAlignment="1"/>
    <xf numFmtId="177" fontId="3" fillId="0" borderId="0" xfId="0" applyNumberFormat="1" applyFont="1" applyFill="1" applyBorder="1" applyAlignment="1"/>
    <xf numFmtId="42" fontId="2" fillId="0" borderId="0" xfId="0" applyNumberFormat="1" applyFont="1" applyFill="1" applyBorder="1" applyAlignment="1"/>
    <xf numFmtId="174" fontId="2" fillId="0" borderId="3" xfId="0" applyFont="1" applyFill="1" applyBorder="1" applyAlignment="1">
      <alignment horizontal="left" indent="2"/>
    </xf>
    <xf numFmtId="190" fontId="12" fillId="0" borderId="0" xfId="0" applyNumberFormat="1" applyFont="1" applyFill="1" applyAlignment="1"/>
    <xf numFmtId="0" fontId="15" fillId="0" borderId="0" xfId="0" applyNumberFormat="1" applyFont="1" applyAlignment="1"/>
    <xf numFmtId="0" fontId="8" fillId="0" borderId="0" xfId="0" applyNumberFormat="1" applyFont="1" applyFill="1" applyAlignment="1">
      <alignment horizontal="center"/>
    </xf>
    <xf numFmtId="42" fontId="19" fillId="0" borderId="0" xfId="0" applyNumberFormat="1" applyFont="1" applyFill="1" applyAlignment="1">
      <alignment horizontal="centerContinuous"/>
    </xf>
    <xf numFmtId="0" fontId="19" fillId="0" borderId="0" xfId="0" applyNumberFormat="1" applyFont="1" applyFill="1" applyAlignment="1" applyProtection="1">
      <alignment horizontal="centerContinuous"/>
      <protection locked="0"/>
    </xf>
    <xf numFmtId="0" fontId="19" fillId="0" borderId="0" xfId="0" applyNumberFormat="1" applyFont="1" applyFill="1" applyAlignment="1">
      <alignment horizontal="centerContinuous"/>
    </xf>
    <xf numFmtId="15" fontId="20" fillId="0" borderId="0" xfId="0" applyNumberFormat="1" applyFont="1" applyFill="1" applyAlignment="1">
      <alignment horizontal="centerContinuous"/>
    </xf>
    <xf numFmtId="15" fontId="19" fillId="0" borderId="0" xfId="0" applyNumberFormat="1" applyFont="1" applyFill="1" applyAlignment="1">
      <alignment horizontal="centerContinuous"/>
    </xf>
    <xf numFmtId="3" fontId="19" fillId="0" borderId="0" xfId="0" applyNumberFormat="1" applyFont="1" applyFill="1" applyAlignment="1">
      <alignment horizontal="centerContinuous"/>
    </xf>
    <xf numFmtId="0" fontId="21" fillId="0" borderId="0" xfId="0" applyNumberFormat="1" applyFont="1" applyFill="1" applyAlignment="1">
      <alignment horizontal="centerContinuous"/>
    </xf>
    <xf numFmtId="168" fontId="19" fillId="0" borderId="0" xfId="0" applyNumberFormat="1" applyFont="1" applyFill="1" applyAlignment="1">
      <alignment horizontal="centerContinuous"/>
    </xf>
    <xf numFmtId="0" fontId="19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Alignment="1">
      <alignment horizontal="left" indent="4"/>
    </xf>
    <xf numFmtId="169" fontId="2" fillId="0" borderId="4" xfId="0" applyNumberFormat="1" applyFont="1" applyFill="1" applyBorder="1" applyAlignment="1">
      <alignment horizontal="right" wrapText="1"/>
    </xf>
    <xf numFmtId="37" fontId="2" fillId="0" borderId="0" xfId="0" applyNumberFormat="1" applyFont="1" applyFill="1" applyAlignment="1"/>
    <xf numFmtId="169" fontId="2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left"/>
    </xf>
    <xf numFmtId="166" fontId="2" fillId="0" borderId="0" xfId="0" applyNumberFormat="1" applyFont="1" applyFill="1" applyAlignment="1"/>
    <xf numFmtId="42" fontId="2" fillId="0" borderId="0" xfId="0" applyNumberFormat="1" applyFont="1" applyFill="1" applyAlignment="1">
      <alignment horizontal="right"/>
    </xf>
    <xf numFmtId="41" fontId="2" fillId="0" borderId="3" xfId="0" applyNumberFormat="1" applyFont="1" applyFill="1" applyBorder="1" applyAlignment="1">
      <alignment horizontal="right"/>
    </xf>
    <xf numFmtId="41" fontId="2" fillId="0" borderId="0" xfId="0" applyNumberFormat="1" applyFont="1" applyFill="1" applyAlignment="1"/>
    <xf numFmtId="42" fontId="2" fillId="0" borderId="3" xfId="0" applyNumberFormat="1" applyFont="1" applyFill="1" applyBorder="1" applyAlignment="1"/>
    <xf numFmtId="41" fontId="2" fillId="0" borderId="3" xfId="0" applyNumberFormat="1" applyFont="1" applyFill="1" applyBorder="1" applyAlignment="1"/>
    <xf numFmtId="9" fontId="2" fillId="0" borderId="0" xfId="0" applyNumberFormat="1" applyFont="1" applyFill="1" applyAlignment="1">
      <alignment horizontal="right"/>
    </xf>
    <xf numFmtId="42" fontId="2" fillId="0" borderId="7" xfId="0" applyNumberFormat="1" applyFont="1" applyFill="1" applyBorder="1" applyAlignment="1"/>
    <xf numFmtId="41" fontId="2" fillId="0" borderId="0" xfId="0" applyNumberFormat="1" applyFont="1" applyFill="1" applyBorder="1" applyAlignment="1">
      <alignment horizontal="right"/>
    </xf>
    <xf numFmtId="41" fontId="2" fillId="0" borderId="4" xfId="0" applyNumberFormat="1" applyFont="1" applyFill="1" applyBorder="1" applyAlignment="1"/>
    <xf numFmtId="0" fontId="2" fillId="0" borderId="4" xfId="0" applyNumberFormat="1" applyFont="1" applyFill="1" applyBorder="1" applyAlignment="1"/>
    <xf numFmtId="37" fontId="2" fillId="0" borderId="3" xfId="0" applyNumberFormat="1" applyFont="1" applyFill="1" applyBorder="1" applyAlignment="1"/>
    <xf numFmtId="42" fontId="2" fillId="0" borderId="0" xfId="0" applyNumberFormat="1" applyFont="1" applyFill="1" applyBorder="1" applyAlignment="1" applyProtection="1">
      <protection locked="0"/>
    </xf>
    <xf numFmtId="41" fontId="2" fillId="0" borderId="0" xfId="0" applyNumberFormat="1" applyFont="1" applyFill="1" applyBorder="1" applyAlignment="1" applyProtection="1">
      <alignment horizontal="right"/>
      <protection locked="0"/>
    </xf>
    <xf numFmtId="42" fontId="2" fillId="0" borderId="0" xfId="0" applyNumberFormat="1" applyFont="1" applyFill="1" applyBorder="1" applyAlignment="1" applyProtection="1">
      <protection locked="0"/>
    </xf>
    <xf numFmtId="170" fontId="2" fillId="0" borderId="0" xfId="0" applyNumberFormat="1" applyFont="1" applyFill="1" applyAlignment="1"/>
    <xf numFmtId="42" fontId="2" fillId="0" borderId="0" xfId="0" applyNumberFormat="1" applyFont="1" applyFill="1" applyBorder="1" applyAlignment="1" applyProtection="1">
      <alignment horizontal="right"/>
      <protection locked="0"/>
    </xf>
    <xf numFmtId="42" fontId="2" fillId="0" borderId="7" xfId="0" applyNumberFormat="1" applyFont="1" applyFill="1" applyBorder="1" applyAlignment="1" applyProtection="1">
      <protection locked="0"/>
    </xf>
    <xf numFmtId="42" fontId="3" fillId="0" borderId="3" xfId="0" applyNumberFormat="1" applyFont="1" applyFill="1" applyBorder="1" applyAlignment="1"/>
    <xf numFmtId="42" fontId="3" fillId="0" borderId="7" xfId="0" applyNumberFormat="1" applyFont="1" applyFill="1" applyBorder="1" applyAlignment="1" applyProtection="1">
      <protection locked="0"/>
    </xf>
    <xf numFmtId="41" fontId="2" fillId="0" borderId="3" xfId="0" applyNumberFormat="1" applyFont="1" applyFill="1" applyBorder="1" applyAlignment="1" applyProtection="1">
      <protection locked="0"/>
    </xf>
    <xf numFmtId="42" fontId="3" fillId="0" borderId="7" xfId="0" applyNumberFormat="1" applyFont="1" applyFill="1" applyBorder="1" applyAlignment="1"/>
    <xf numFmtId="176" fontId="2" fillId="0" borderId="0" xfId="0" applyNumberFormat="1" applyFont="1" applyFill="1" applyBorder="1" applyAlignment="1"/>
    <xf numFmtId="176" fontId="3" fillId="0" borderId="3" xfId="0" applyNumberFormat="1" applyFont="1" applyFill="1" applyBorder="1" applyAlignment="1"/>
    <xf numFmtId="37" fontId="2" fillId="0" borderId="3" xfId="0" applyNumberFormat="1" applyFont="1" applyFill="1" applyBorder="1" applyAlignment="1"/>
    <xf numFmtId="42" fontId="2" fillId="0" borderId="0" xfId="0" applyNumberFormat="1" applyFont="1" applyFill="1" applyAlignment="1" applyProtection="1">
      <protection locked="0"/>
    </xf>
    <xf numFmtId="42" fontId="2" fillId="0" borderId="0" xfId="0" applyNumberFormat="1" applyFont="1" applyFill="1" applyBorder="1" applyAlignment="1" applyProtection="1">
      <protection locked="0"/>
    </xf>
    <xf numFmtId="42" fontId="2" fillId="0" borderId="0" xfId="0" applyNumberFormat="1" applyFont="1" applyFill="1" applyBorder="1" applyAlignment="1"/>
    <xf numFmtId="170" fontId="2" fillId="0" borderId="0" xfId="0" applyNumberFormat="1" applyFont="1" applyFill="1" applyBorder="1" applyAlignment="1"/>
    <xf numFmtId="42" fontId="3" fillId="0" borderId="2" xfId="0" applyNumberFormat="1" applyFont="1" applyFill="1" applyBorder="1" applyAlignment="1"/>
    <xf numFmtId="42" fontId="2" fillId="0" borderId="3" xfId="0" applyNumberFormat="1" applyFont="1" applyFill="1" applyBorder="1" applyAlignment="1"/>
    <xf numFmtId="168" fontId="2" fillId="0" borderId="0" xfId="0" applyNumberFormat="1" applyFont="1" applyFill="1" applyBorder="1" applyAlignment="1" applyProtection="1">
      <alignment horizontal="right"/>
      <protection locked="0"/>
    </xf>
    <xf numFmtId="42" fontId="2" fillId="0" borderId="4" xfId="0" applyNumberFormat="1" applyFont="1" applyFill="1" applyBorder="1" applyAlignment="1">
      <alignment horizontal="right"/>
    </xf>
    <xf numFmtId="174" fontId="2" fillId="0" borderId="0" xfId="0" applyNumberFormat="1" applyFont="1" applyFill="1" applyAlignment="1"/>
    <xf numFmtId="174" fontId="2" fillId="0" borderId="3" xfId="0" applyNumberFormat="1" applyFont="1" applyFill="1" applyBorder="1" applyAlignment="1"/>
    <xf numFmtId="174" fontId="2" fillId="0" borderId="0" xfId="0" applyNumberFormat="1" applyFont="1" applyFill="1" applyBorder="1" applyAlignment="1"/>
    <xf numFmtId="174" fontId="2" fillId="0" borderId="0" xfId="0" applyFont="1" applyFill="1" applyBorder="1" applyAlignment="1">
      <alignment horizontal="right"/>
    </xf>
    <xf numFmtId="37" fontId="2" fillId="0" borderId="0" xfId="0" applyNumberFormat="1" applyFont="1" applyFill="1" applyBorder="1" applyAlignment="1"/>
    <xf numFmtId="42" fontId="2" fillId="0" borderId="7" xfId="0" applyNumberFormat="1" applyFont="1" applyFill="1" applyBorder="1" applyProtection="1">
      <alignment horizontal="left" wrapText="1"/>
      <protection locked="0"/>
    </xf>
    <xf numFmtId="174" fontId="2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left" vertical="center" indent="2"/>
    </xf>
    <xf numFmtId="37" fontId="2" fillId="0" borderId="0" xfId="0" applyNumberFormat="1" applyFont="1" applyFill="1" applyBorder="1" applyAlignment="1">
      <alignment vertical="center"/>
    </xf>
    <xf numFmtId="41" fontId="2" fillId="0" borderId="0" xfId="0" applyNumberFormat="1" applyFont="1" applyFill="1">
      <alignment horizontal="left" wrapText="1"/>
    </xf>
    <xf numFmtId="41" fontId="2" fillId="0" borderId="0" xfId="0" applyNumberFormat="1" applyFont="1" applyFill="1" applyBorder="1" applyAlignment="1" applyProtection="1">
      <protection locked="0"/>
    </xf>
    <xf numFmtId="170" fontId="2" fillId="0" borderId="2" xfId="0" applyNumberFormat="1" applyFont="1" applyFill="1" applyBorder="1" applyAlignment="1" applyProtection="1">
      <protection locked="0"/>
    </xf>
    <xf numFmtId="37" fontId="2" fillId="0" borderId="0" xfId="0" applyNumberFormat="1" applyFont="1" applyFill="1" applyBorder="1" applyAlignment="1" applyProtection="1">
      <alignment horizontal="left" wrapText="1"/>
      <protection locked="0"/>
    </xf>
    <xf numFmtId="42" fontId="2" fillId="0" borderId="7" xfId="0" applyNumberFormat="1" applyFont="1" applyFill="1" applyBorder="1" applyAlignment="1" applyProtection="1">
      <alignment horizontal="left" wrapText="1"/>
      <protection locked="0"/>
    </xf>
    <xf numFmtId="41" fontId="2" fillId="0" borderId="3" xfId="0" applyNumberFormat="1" applyFont="1" applyFill="1" applyBorder="1" applyAlignment="1" applyProtection="1">
      <protection locked="0"/>
    </xf>
    <xf numFmtId="170" fontId="2" fillId="0" borderId="0" xfId="0" applyNumberFormat="1" applyFont="1" applyFill="1" applyBorder="1" applyAlignment="1" applyProtection="1">
      <protection locked="0"/>
    </xf>
    <xf numFmtId="17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Alignment="1">
      <alignment horizontal="left" wrapText="1"/>
    </xf>
    <xf numFmtId="37" fontId="2" fillId="0" borderId="0" xfId="0" applyNumberFormat="1" applyFont="1" applyFill="1" applyBorder="1" applyAlignment="1">
      <alignment horizontal="left" wrapText="1"/>
    </xf>
    <xf numFmtId="9" fontId="2" fillId="0" borderId="0" xfId="0" applyNumberFormat="1" applyFont="1" applyFill="1" applyBorder="1">
      <alignment horizontal="left" wrapText="1"/>
    </xf>
    <xf numFmtId="42" fontId="2" fillId="0" borderId="0" xfId="0" applyNumberFormat="1" applyFont="1" applyFill="1" applyAlignment="1" applyProtection="1">
      <alignment horizontal="right"/>
      <protection locked="0"/>
    </xf>
    <xf numFmtId="168" fontId="2" fillId="0" borderId="3" xfId="0" applyNumberFormat="1" applyFont="1" applyFill="1" applyBorder="1" applyAlignment="1" applyProtection="1">
      <alignment horizontal="right"/>
      <protection locked="0"/>
    </xf>
    <xf numFmtId="42" fontId="2" fillId="0" borderId="0" xfId="0" applyNumberFormat="1" applyFont="1" applyFill="1" applyAlignment="1">
      <alignment horizontal="right"/>
    </xf>
    <xf numFmtId="42" fontId="2" fillId="0" borderId="4" xfId="0" applyNumberFormat="1" applyFont="1" applyFill="1" applyBorder="1" applyAlignment="1" applyProtection="1">
      <alignment horizontal="right"/>
      <protection locked="0"/>
    </xf>
    <xf numFmtId="41" fontId="2" fillId="0" borderId="0" xfId="0" applyNumberFormat="1" applyFont="1" applyFill="1" applyAlignment="1">
      <alignment horizontal="right"/>
    </xf>
    <xf numFmtId="41" fontId="2" fillId="0" borderId="4" xfId="0" applyNumberFormat="1" applyFont="1" applyFill="1" applyBorder="1" applyAlignment="1">
      <alignment horizontal="center"/>
    </xf>
    <xf numFmtId="41" fontId="2" fillId="0" borderId="0" xfId="0" applyNumberFormat="1" applyFont="1" applyFill="1" applyBorder="1" applyAlignment="1">
      <alignment horizontal="center"/>
    </xf>
    <xf numFmtId="37" fontId="2" fillId="0" borderId="3" xfId="0" applyNumberFormat="1" applyFont="1" applyFill="1" applyBorder="1" applyAlignment="1"/>
    <xf numFmtId="0" fontId="2" fillId="0" borderId="0" xfId="0" applyNumberFormat="1" applyFont="1" applyFill="1" applyBorder="1" applyAlignment="1"/>
    <xf numFmtId="42" fontId="2" fillId="0" borderId="2" xfId="0" applyNumberFormat="1" applyFont="1" applyFill="1" applyBorder="1" applyAlignment="1"/>
    <xf numFmtId="42" fontId="2" fillId="0" borderId="4" xfId="0" applyNumberFormat="1" applyFont="1" applyFill="1" applyBorder="1" applyAlignment="1" applyProtection="1">
      <protection locked="0"/>
    </xf>
    <xf numFmtId="168" fontId="2" fillId="0" borderId="0" xfId="0" applyNumberFormat="1" applyFont="1" applyFill="1" applyAlignment="1"/>
    <xf numFmtId="43" fontId="2" fillId="0" borderId="0" xfId="0" applyNumberFormat="1" applyFont="1" applyFill="1" applyAlignment="1"/>
    <xf numFmtId="41" fontId="2" fillId="0" borderId="3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>
      <alignment horizontal="center"/>
    </xf>
    <xf numFmtId="42" fontId="2" fillId="0" borderId="0" xfId="0" applyNumberFormat="1" applyFont="1" applyFill="1" applyAlignment="1"/>
    <xf numFmtId="169" fontId="2" fillId="0" borderId="0" xfId="0" applyNumberFormat="1" applyFont="1" applyFill="1" applyAlignment="1"/>
    <xf numFmtId="41" fontId="2" fillId="0" borderId="3" xfId="0" applyNumberFormat="1" applyFont="1" applyFill="1" applyBorder="1" applyAlignment="1"/>
    <xf numFmtId="169" fontId="2" fillId="0" borderId="4" xfId="0" applyNumberFormat="1" applyFont="1" applyFill="1" applyBorder="1" applyAlignment="1"/>
    <xf numFmtId="42" fontId="2" fillId="0" borderId="0" xfId="0" applyNumberFormat="1" applyFont="1" applyFill="1">
      <alignment horizontal="left" wrapText="1"/>
    </xf>
    <xf numFmtId="42" fontId="2" fillId="0" borderId="4" xfId="0" applyNumberFormat="1" applyFont="1" applyFill="1" applyBorder="1">
      <alignment horizontal="left" wrapText="1"/>
    </xf>
    <xf numFmtId="49" fontId="2" fillId="0" borderId="0" xfId="0" applyNumberFormat="1" applyFont="1" applyFill="1" applyBorder="1" applyAlignment="1">
      <alignment horizontal="left"/>
    </xf>
    <xf numFmtId="170" fontId="2" fillId="0" borderId="0" xfId="0" applyNumberFormat="1" applyFont="1" applyFill="1" applyBorder="1" applyAlignment="1"/>
    <xf numFmtId="37" fontId="2" fillId="0" borderId="0" xfId="0" applyNumberFormat="1" applyFont="1" applyFill="1" applyBorder="1" applyAlignment="1"/>
    <xf numFmtId="9" fontId="2" fillId="0" borderId="0" xfId="0" applyNumberFormat="1" applyFont="1" applyFill="1" applyBorder="1" applyAlignment="1"/>
    <xf numFmtId="42" fontId="3" fillId="0" borderId="7" xfId="0" applyNumberFormat="1" applyFont="1" applyFill="1" applyBorder="1" applyAlignment="1"/>
    <xf numFmtId="0" fontId="10" fillId="0" borderId="0" xfId="0" applyNumberFormat="1" applyFont="1" applyFill="1" applyAlignment="1"/>
    <xf numFmtId="37" fontId="10" fillId="0" borderId="0" xfId="0" applyNumberFormat="1" applyFont="1" applyFill="1" applyAlignment="1"/>
    <xf numFmtId="41" fontId="2" fillId="0" borderId="0" xfId="0" applyNumberFormat="1" applyFont="1" applyFill="1" applyAlignment="1">
      <alignment horizontal="fill"/>
    </xf>
    <xf numFmtId="41" fontId="2" fillId="0" borderId="4" xfId="0" applyNumberFormat="1" applyFont="1" applyFill="1" applyBorder="1" applyAlignment="1"/>
    <xf numFmtId="174" fontId="10" fillId="0" borderId="0" xfId="0" applyFont="1" applyFill="1">
      <alignment horizontal="left" wrapText="1"/>
    </xf>
    <xf numFmtId="0" fontId="10" fillId="0" borderId="3" xfId="0" applyNumberFormat="1" applyFont="1" applyFill="1" applyBorder="1" applyAlignment="1"/>
    <xf numFmtId="43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42" fontId="2" fillId="0" borderId="7" xfId="0" applyNumberFormat="1" applyFont="1" applyFill="1" applyBorder="1" applyAlignment="1"/>
    <xf numFmtId="0" fontId="10" fillId="0" borderId="0" xfId="0" applyNumberFormat="1" applyFont="1" applyFill="1" applyBorder="1" applyAlignment="1"/>
    <xf numFmtId="42" fontId="10" fillId="0" borderId="0" xfId="0" applyNumberFormat="1" applyFont="1" applyFill="1" applyAlignment="1"/>
    <xf numFmtId="37" fontId="10" fillId="0" borderId="0" xfId="0" applyNumberFormat="1" applyFont="1" applyFill="1" applyBorder="1" applyAlignment="1" applyProtection="1">
      <alignment horizontal="left"/>
    </xf>
    <xf numFmtId="37" fontId="10" fillId="0" borderId="0" xfId="0" applyNumberFormat="1" applyFont="1" applyFill="1" applyBorder="1" applyAlignment="1" applyProtection="1">
      <alignment horizontal="center"/>
    </xf>
    <xf numFmtId="37" fontId="10" fillId="0" borderId="0" xfId="0" applyNumberFormat="1" applyFont="1" applyFill="1" applyAlignment="1" applyProtection="1">
      <alignment horizontal="left"/>
    </xf>
    <xf numFmtId="37" fontId="10" fillId="0" borderId="0" xfId="0" applyNumberFormat="1" applyFont="1" applyFill="1" applyAlignment="1"/>
    <xf numFmtId="10" fontId="10" fillId="0" borderId="0" xfId="0" applyNumberFormat="1" applyFont="1" applyFill="1" applyBorder="1" applyAlignment="1" applyProtection="1">
      <alignment horizontal="right"/>
    </xf>
    <xf numFmtId="37" fontId="10" fillId="0" borderId="0" xfId="0" applyNumberFormat="1" applyFont="1" applyFill="1" applyBorder="1" applyAlignment="1" applyProtection="1">
      <alignment horizontal="right"/>
    </xf>
    <xf numFmtId="3" fontId="10" fillId="0" borderId="0" xfId="0" applyNumberFormat="1" applyFont="1" applyFill="1" applyAlignment="1"/>
    <xf numFmtId="171" fontId="10" fillId="0" borderId="0" xfId="0" applyNumberFormat="1" applyFont="1" applyFill="1" applyAlignment="1" applyProtection="1"/>
    <xf numFmtId="172" fontId="2" fillId="0" borderId="0" xfId="0" applyNumberFormat="1" applyFont="1" applyFill="1" applyAlignment="1" applyProtection="1">
      <alignment horizontal="left"/>
    </xf>
    <xf numFmtId="42" fontId="2" fillId="0" borderId="7" xfId="0" applyNumberFormat="1" applyFont="1" applyFill="1" applyBorder="1" applyAlignment="1" applyProtection="1"/>
    <xf numFmtId="0" fontId="8" fillId="0" borderId="0" xfId="0" applyNumberFormat="1" applyFont="1" applyFill="1" applyAlignment="1"/>
    <xf numFmtId="10" fontId="2" fillId="0" borderId="3" xfId="0" applyNumberFormat="1" applyFont="1" applyFill="1" applyBorder="1" applyAlignment="1">
      <alignment horizontal="right"/>
    </xf>
    <xf numFmtId="174" fontId="2" fillId="0" borderId="0" xfId="0" applyFont="1" applyFill="1" applyAlignment="1">
      <alignment horizontal="left"/>
    </xf>
    <xf numFmtId="174" fontId="4" fillId="0" borderId="0" xfId="0" applyFont="1" applyFill="1" applyAlignment="1">
      <alignment horizontal="left"/>
    </xf>
    <xf numFmtId="174" fontId="2" fillId="0" borderId="0" xfId="0" quotePrefix="1" applyFont="1" applyFill="1" applyBorder="1" applyAlignment="1">
      <alignment horizontal="left"/>
    </xf>
    <xf numFmtId="174" fontId="2" fillId="0" borderId="0" xfId="0" applyFont="1" applyFill="1" applyBorder="1" applyAlignment="1"/>
    <xf numFmtId="174" fontId="2" fillId="0" borderId="0" xfId="0" applyNumberFormat="1" applyFont="1" applyFill="1" applyBorder="1" applyAlignment="1"/>
    <xf numFmtId="174" fontId="2" fillId="0" borderId="0" xfId="0" applyFont="1" applyFill="1" applyBorder="1" applyAlignment="1">
      <alignment horizontal="left"/>
    </xf>
    <xf numFmtId="168" fontId="2" fillId="0" borderId="0" xfId="0" applyNumberFormat="1" applyFont="1" applyFill="1" applyBorder="1" applyAlignment="1" applyProtection="1">
      <protection locked="0"/>
    </xf>
    <xf numFmtId="174" fontId="2" fillId="0" borderId="0" xfId="0" applyFont="1" applyFill="1" applyAlignment="1"/>
    <xf numFmtId="174" fontId="4" fillId="0" borderId="0" xfId="0" applyFont="1" applyFill="1" applyBorder="1" applyAlignment="1">
      <alignment horizontal="left"/>
    </xf>
    <xf numFmtId="174" fontId="2" fillId="0" borderId="0" xfId="0" applyFont="1" applyFill="1" applyBorder="1">
      <alignment horizontal="left" wrapText="1"/>
    </xf>
    <xf numFmtId="174" fontId="4" fillId="0" borderId="0" xfId="0" applyFont="1" applyFill="1" applyAlignment="1"/>
    <xf numFmtId="170" fontId="2" fillId="0" borderId="0" xfId="0" applyNumberFormat="1" applyFont="1" applyFill="1" applyAlignment="1"/>
    <xf numFmtId="170" fontId="2" fillId="0" borderId="0" xfId="0" applyNumberFormat="1" applyFont="1" applyFill="1" applyAlignment="1">
      <alignment horizontal="left" wrapText="1"/>
    </xf>
    <xf numFmtId="170" fontId="2" fillId="0" borderId="11" xfId="0" applyNumberFormat="1" applyFont="1" applyFill="1" applyBorder="1" applyAlignment="1">
      <alignment horizontal="left" wrapText="1"/>
    </xf>
    <xf numFmtId="188" fontId="12" fillId="0" borderId="0" xfId="0" applyNumberFormat="1" applyFont="1" applyAlignment="1">
      <alignment horizontal="center"/>
    </xf>
    <xf numFmtId="169" fontId="2" fillId="0" borderId="10" xfId="0" applyNumberFormat="1" applyFont="1" applyFill="1" applyBorder="1" applyAlignment="1"/>
    <xf numFmtId="42" fontId="2" fillId="0" borderId="10" xfId="0" applyNumberFormat="1" applyFont="1" applyFill="1" applyBorder="1" applyAlignment="1"/>
    <xf numFmtId="9" fontId="22" fillId="0" borderId="0" xfId="0" applyNumberFormat="1" applyFont="1" applyAlignment="1"/>
    <xf numFmtId="174" fontId="2" fillId="0" borderId="0" xfId="0" applyFont="1" applyBorder="1" applyAlignment="1">
      <alignment horizontal="left"/>
    </xf>
    <xf numFmtId="174" fontId="2" fillId="0" borderId="0" xfId="0" applyFont="1" applyAlignment="1"/>
    <xf numFmtId="174" fontId="14" fillId="0" borderId="0" xfId="0" applyFont="1" applyAlignment="1"/>
    <xf numFmtId="0" fontId="3" fillId="0" borderId="0" xfId="0" applyNumberFormat="1" applyFont="1" applyFill="1" applyAlignment="1">
      <alignment horizontal="center"/>
    </xf>
    <xf numFmtId="0" fontId="12" fillId="0" borderId="0" xfId="0" quotePrefix="1" applyNumberFormat="1" applyFont="1" applyAlignment="1"/>
    <xf numFmtId="41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/>
    <xf numFmtId="170" fontId="2" fillId="0" borderId="3" xfId="0" applyNumberFormat="1" applyFont="1" applyFill="1" applyBorder="1" applyAlignment="1" applyProtection="1">
      <protection locked="0"/>
    </xf>
    <xf numFmtId="41" fontId="2" fillId="0" borderId="0" xfId="0" applyNumberFormat="1" applyFont="1" applyFill="1" applyBorder="1" applyAlignment="1" applyProtection="1">
      <protection locked="0"/>
    </xf>
    <xf numFmtId="42" fontId="3" fillId="0" borderId="2" xfId="0" applyNumberFormat="1" applyFont="1" applyFill="1" applyBorder="1" applyAlignment="1"/>
    <xf numFmtId="174" fontId="8" fillId="0" borderId="0" xfId="0" applyFont="1">
      <alignment horizontal="left" wrapText="1"/>
    </xf>
    <xf numFmtId="44" fontId="2" fillId="0" borderId="0" xfId="0" applyNumberFormat="1" applyFont="1" applyFill="1" applyAlignment="1"/>
    <xf numFmtId="204" fontId="2" fillId="0" borderId="0" xfId="0" applyNumberFormat="1" applyFont="1" applyFill="1" applyAlignment="1"/>
    <xf numFmtId="169" fontId="19" fillId="0" borderId="0" xfId="0" applyNumberFormat="1" applyFont="1" applyFill="1" applyAlignment="1"/>
    <xf numFmtId="41" fontId="17" fillId="0" borderId="0" xfId="0" applyNumberFormat="1" applyFont="1" applyFill="1" applyAlignment="1">
      <alignment horizontal="right"/>
    </xf>
    <xf numFmtId="42" fontId="2" fillId="0" borderId="0" xfId="0" applyNumberFormat="1" applyFont="1" applyFill="1" applyAlignment="1"/>
    <xf numFmtId="41" fontId="2" fillId="0" borderId="0" xfId="0" applyNumberFormat="1" applyFont="1" applyFill="1" applyBorder="1" applyAlignment="1">
      <alignment vertical="center"/>
    </xf>
    <xf numFmtId="0" fontId="0" fillId="3" borderId="0" xfId="0" applyNumberFormat="1" applyFill="1" applyAlignment="1"/>
    <xf numFmtId="0" fontId="2" fillId="3" borderId="0" xfId="0" applyNumberFormat="1" applyFont="1" applyFill="1" applyAlignment="1"/>
    <xf numFmtId="0" fontId="19" fillId="0" borderId="0" xfId="0" applyNumberFormat="1" applyFont="1" applyFill="1" applyAlignment="1" applyProtection="1">
      <alignment horizontal="center"/>
      <protection locked="0"/>
    </xf>
    <xf numFmtId="168" fontId="19" fillId="0" borderId="0" xfId="0" applyNumberFormat="1" applyFont="1" applyFill="1" applyAlignment="1"/>
    <xf numFmtId="174" fontId="3" fillId="0" borderId="0" xfId="0" applyFont="1" applyFill="1" applyAlignment="1">
      <alignment horizontal="right"/>
    </xf>
    <xf numFmtId="42" fontId="2" fillId="0" borderId="3" xfId="0" applyNumberFormat="1" applyFont="1" applyFill="1" applyBorder="1" applyAlignment="1"/>
    <xf numFmtId="0" fontId="3" fillId="0" borderId="0" xfId="0" applyNumberFormat="1" applyFont="1" applyFill="1" applyAlignment="1" applyProtection="1">
      <alignment horizontal="center"/>
      <protection locked="0"/>
    </xf>
    <xf numFmtId="0" fontId="9" fillId="0" borderId="0" xfId="0" applyNumberFormat="1" applyFont="1" applyAlignment="1"/>
    <xf numFmtId="42" fontId="2" fillId="0" borderId="3" xfId="0" applyNumberFormat="1" applyFont="1" applyFill="1" applyBorder="1" applyAlignment="1" applyProtection="1">
      <protection locked="0"/>
    </xf>
    <xf numFmtId="203" fontId="2" fillId="0" borderId="0" xfId="0" applyNumberFormat="1" applyFont="1" applyFill="1" applyAlignment="1"/>
    <xf numFmtId="42" fontId="2" fillId="0" borderId="0" xfId="0" applyNumberFormat="1" applyFont="1" applyFill="1" applyAlignment="1"/>
    <xf numFmtId="10" fontId="2" fillId="0" borderId="0" xfId="0" applyNumberFormat="1" applyFont="1" applyFill="1" applyAlignment="1" applyProtection="1">
      <protection locked="0"/>
    </xf>
    <xf numFmtId="42" fontId="2" fillId="0" borderId="10" xfId="0" applyNumberFormat="1" applyFont="1" applyFill="1" applyBorder="1" applyAlignment="1" applyProtection="1">
      <protection locked="0"/>
    </xf>
    <xf numFmtId="17" fontId="8" fillId="0" borderId="0" xfId="0" applyNumberFormat="1" applyFont="1" applyAlignment="1"/>
    <xf numFmtId="0" fontId="8" fillId="0" borderId="0" xfId="0" applyNumberFormat="1" applyFont="1" applyAlignment="1"/>
    <xf numFmtId="0" fontId="22" fillId="0" borderId="0" xfId="0" applyNumberFormat="1" applyFont="1" applyAlignment="1"/>
    <xf numFmtId="0" fontId="12" fillId="0" borderId="0" xfId="0" applyNumberFormat="1" applyFont="1" applyAlignment="1">
      <alignment horizontal="centerContinuous"/>
    </xf>
    <xf numFmtId="0" fontId="8" fillId="0" borderId="0" xfId="0" applyNumberFormat="1" applyFont="1" applyAlignment="1">
      <alignment horizontal="centerContinuous"/>
    </xf>
    <xf numFmtId="0" fontId="8" fillId="0" borderId="0" xfId="0" applyNumberFormat="1" applyFont="1" applyFill="1" applyAlignment="1">
      <alignment horizontal="centerContinuous"/>
    </xf>
    <xf numFmtId="0" fontId="8" fillId="0" borderId="0" xfId="0" applyNumberFormat="1" applyFont="1" applyFill="1" applyAlignment="1"/>
    <xf numFmtId="0" fontId="12" fillId="0" borderId="0" xfId="0" applyNumberFormat="1" applyFont="1" applyAlignment="1"/>
    <xf numFmtId="0" fontId="8" fillId="0" borderId="0" xfId="0" applyNumberFormat="1" applyFont="1" applyAlignment="1"/>
    <xf numFmtId="6" fontId="8" fillId="0" borderId="0" xfId="0" applyNumberFormat="1" applyFont="1" applyAlignment="1"/>
    <xf numFmtId="190" fontId="22" fillId="0" borderId="0" xfId="0" applyNumberFormat="1" applyFont="1" applyFill="1" applyAlignment="1"/>
    <xf numFmtId="42" fontId="2" fillId="0" borderId="2" xfId="0" applyNumberFormat="1" applyFont="1" applyFill="1" applyBorder="1" applyAlignment="1" applyProtection="1"/>
    <xf numFmtId="0" fontId="3" fillId="0" borderId="0" xfId="0" applyNumberFormat="1" applyFont="1" applyFill="1" applyAlignment="1">
      <alignment horizontal="center"/>
    </xf>
    <xf numFmtId="42" fontId="2" fillId="0" borderId="0" xfId="0" applyNumberFormat="1" applyFont="1" applyFill="1" applyBorder="1" applyAlignment="1"/>
    <xf numFmtId="2" fontId="3" fillId="0" borderId="0" xfId="0" applyNumberFormat="1" applyFont="1" applyFill="1" applyAlignment="1">
      <alignment horizontal="centerContinuous"/>
    </xf>
    <xf numFmtId="43" fontId="3" fillId="0" borderId="0" xfId="0" applyNumberFormat="1" applyFont="1" applyFill="1" applyAlignment="1">
      <alignment horizontal="centerContinuous"/>
    </xf>
    <xf numFmtId="41" fontId="2" fillId="0" borderId="0" xfId="0" applyNumberFormat="1" applyFont="1" applyFill="1" applyAlignment="1" applyProtection="1">
      <alignment horizontal="right"/>
      <protection locked="0"/>
    </xf>
    <xf numFmtId="41" fontId="2" fillId="0" borderId="0" xfId="0" applyNumberFormat="1" applyFont="1" applyFill="1" applyAlignment="1">
      <alignment horizontal="right"/>
    </xf>
    <xf numFmtId="0" fontId="2" fillId="0" borderId="0" xfId="0" quotePrefix="1" applyNumberFormat="1" applyFont="1" applyFill="1" applyAlignment="1"/>
    <xf numFmtId="174" fontId="2" fillId="0" borderId="0" xfId="0" applyFont="1" applyFill="1" applyAlignment="1">
      <alignment horizontal="left" wrapText="1"/>
    </xf>
    <xf numFmtId="42" fontId="2" fillId="0" borderId="7" xfId="0" applyNumberFormat="1" applyFont="1" applyFill="1" applyBorder="1" applyAlignment="1"/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19" fillId="3" borderId="0" xfId="0" applyNumberFormat="1" applyFont="1" applyFill="1" applyAlignment="1" applyProtection="1">
      <alignment horizontal="left"/>
      <protection locked="0"/>
    </xf>
    <xf numFmtId="0" fontId="2" fillId="3" borderId="0" xfId="0" applyNumberFormat="1" applyFont="1" applyFill="1" applyAlignment="1" applyProtection="1">
      <alignment horizontal="left"/>
      <protection locked="0"/>
    </xf>
    <xf numFmtId="42" fontId="2" fillId="3" borderId="0" xfId="0" applyNumberFormat="1" applyFont="1" applyFill="1" applyBorder="1" applyAlignment="1"/>
    <xf numFmtId="0" fontId="2" fillId="3" borderId="0" xfId="0" applyNumberFormat="1" applyFont="1" applyFill="1" applyAlignment="1"/>
    <xf numFmtId="41" fontId="2" fillId="3" borderId="0" xfId="0" applyNumberFormat="1" applyFont="1" applyFill="1" applyBorder="1" applyAlignment="1">
      <alignment horizontal="right"/>
    </xf>
    <xf numFmtId="41" fontId="2" fillId="3" borderId="0" xfId="0" applyNumberFormat="1" applyFont="1" applyFill="1" applyBorder="1" applyAlignment="1" applyProtection="1">
      <protection locked="0"/>
    </xf>
    <xf numFmtId="0" fontId="2" fillId="3" borderId="0" xfId="0" applyNumberFormat="1" applyFont="1" applyFill="1" applyAlignment="1"/>
    <xf numFmtId="42" fontId="2" fillId="3" borderId="4" xfId="0" applyNumberFormat="1" applyFont="1" applyFill="1" applyBorder="1" applyAlignment="1" applyProtection="1">
      <protection locked="0"/>
    </xf>
    <xf numFmtId="0" fontId="2" fillId="3" borderId="0" xfId="0" applyNumberFormat="1" applyFont="1" applyFill="1" applyAlignment="1">
      <alignment horizontal="left"/>
    </xf>
    <xf numFmtId="0" fontId="9" fillId="3" borderId="0" xfId="0" applyNumberFormat="1" applyFont="1" applyFill="1" applyAlignment="1"/>
    <xf numFmtId="168" fontId="2" fillId="3" borderId="0" xfId="0" applyNumberFormat="1" applyFont="1" applyFill="1" applyAlignment="1"/>
    <xf numFmtId="42" fontId="2" fillId="3" borderId="0" xfId="0" applyNumberFormat="1" applyFont="1" applyFill="1" applyBorder="1" applyAlignment="1" applyProtection="1">
      <protection locked="0"/>
    </xf>
    <xf numFmtId="43" fontId="2" fillId="3" borderId="0" xfId="0" applyNumberFormat="1" applyFont="1" applyFill="1" applyAlignment="1"/>
    <xf numFmtId="41" fontId="2" fillId="3" borderId="3" xfId="0" applyNumberFormat="1" applyFont="1" applyFill="1" applyBorder="1" applyAlignment="1" applyProtection="1">
      <protection locked="0"/>
    </xf>
    <xf numFmtId="42" fontId="3" fillId="3" borderId="7" xfId="0" applyNumberFormat="1" applyFont="1" applyFill="1" applyBorder="1" applyAlignment="1"/>
    <xf numFmtId="0" fontId="8" fillId="0" borderId="0" xfId="0" applyNumberFormat="1" applyFont="1" applyAlignment="1"/>
    <xf numFmtId="0" fontId="27" fillId="0" borderId="8" xfId="0" applyNumberFormat="1" applyFont="1" applyBorder="1" applyAlignment="1"/>
    <xf numFmtId="0" fontId="8" fillId="0" borderId="8" xfId="0" applyNumberFormat="1" applyFont="1" applyBorder="1" applyAlignment="1">
      <alignment horizontal="left"/>
    </xf>
    <xf numFmtId="0" fontId="8" fillId="0" borderId="8" xfId="0" applyNumberFormat="1" applyFont="1" applyBorder="1" applyAlignment="1">
      <alignment horizontal="center"/>
    </xf>
    <xf numFmtId="0" fontId="27" fillId="0" borderId="9" xfId="0" applyNumberFormat="1" applyFont="1" applyFill="1" applyBorder="1" applyAlignment="1"/>
    <xf numFmtId="0" fontId="27" fillId="0" borderId="9" xfId="0" applyNumberFormat="1" applyFont="1" applyBorder="1" applyAlignment="1"/>
    <xf numFmtId="0" fontId="27" fillId="0" borderId="9" xfId="0" applyNumberFormat="1" applyFont="1" applyBorder="1" applyAlignment="1"/>
    <xf numFmtId="0" fontId="8" fillId="0" borderId="9" xfId="0" applyNumberFormat="1" applyFont="1" applyBorder="1" applyAlignment="1">
      <alignment horizontal="left"/>
    </xf>
    <xf numFmtId="0" fontId="8" fillId="0" borderId="9" xfId="0" applyNumberFormat="1" applyFont="1" applyBorder="1" applyAlignment="1">
      <alignment horizontal="center"/>
    </xf>
    <xf numFmtId="42" fontId="8" fillId="0" borderId="17" xfId="0" applyNumberFormat="1" applyFont="1" applyBorder="1" applyAlignment="1"/>
    <xf numFmtId="3" fontId="8" fillId="0" borderId="17" xfId="0" applyNumberFormat="1" applyFont="1" applyFill="1" applyBorder="1" applyAlignment="1"/>
    <xf numFmtId="3" fontId="8" fillId="0" borderId="17" xfId="0" applyNumberFormat="1" applyFont="1" applyBorder="1" applyAlignment="1"/>
    <xf numFmtId="9" fontId="27" fillId="0" borderId="9" xfId="0" applyNumberFormat="1" applyFont="1" applyFill="1" applyBorder="1" applyAlignment="1"/>
    <xf numFmtId="42" fontId="8" fillId="0" borderId="9" xfId="0" applyNumberFormat="1" applyFont="1" applyBorder="1" applyAlignment="1"/>
    <xf numFmtId="42" fontId="8" fillId="0" borderId="17" xfId="0" applyNumberFormat="1" applyFont="1" applyFill="1" applyBorder="1" applyAlignment="1"/>
    <xf numFmtId="0" fontId="28" fillId="0" borderId="0" xfId="0" applyNumberFormat="1" applyFont="1" applyAlignment="1">
      <alignment horizontal="left"/>
    </xf>
    <xf numFmtId="42" fontId="28" fillId="0" borderId="0" xfId="0" applyNumberFormat="1" applyFont="1" applyAlignment="1">
      <alignment horizontal="center"/>
    </xf>
    <xf numFmtId="42" fontId="8" fillId="0" borderId="9" xfId="0" applyNumberFormat="1" applyFont="1" applyFill="1" applyBorder="1" applyAlignment="1"/>
    <xf numFmtId="0" fontId="8" fillId="0" borderId="9" xfId="0" applyNumberFormat="1" applyFont="1" applyBorder="1" applyAlignment="1"/>
    <xf numFmtId="10" fontId="27" fillId="0" borderId="9" xfId="0" applyNumberFormat="1" applyFont="1" applyBorder="1" applyAlignment="1"/>
    <xf numFmtId="42" fontId="8" fillId="0" borderId="18" xfId="0" applyNumberFormat="1" applyFont="1" applyFill="1" applyBorder="1" applyAlignment="1"/>
    <xf numFmtId="0" fontId="27" fillId="0" borderId="17" xfId="0" applyNumberFormat="1" applyFont="1" applyBorder="1" applyAlignment="1"/>
    <xf numFmtId="0" fontId="8" fillId="0" borderId="17" xfId="0" applyNumberFormat="1" applyFont="1" applyBorder="1" applyAlignment="1">
      <alignment horizontal="left"/>
    </xf>
    <xf numFmtId="0" fontId="8" fillId="0" borderId="17" xfId="0" applyNumberFormat="1" applyFont="1" applyBorder="1" applyAlignment="1">
      <alignment horizontal="center"/>
    </xf>
    <xf numFmtId="0" fontId="12" fillId="2" borderId="19" xfId="0" applyNumberFormat="1" applyFont="1" applyFill="1" applyBorder="1" applyAlignment="1">
      <alignment horizontal="center" vertical="center" wrapText="1"/>
    </xf>
    <xf numFmtId="0" fontId="12" fillId="0" borderId="19" xfId="0" applyNumberFormat="1" applyFont="1" applyBorder="1" applyAlignment="1">
      <alignment horizontal="center" vertical="center" wrapText="1"/>
    </xf>
    <xf numFmtId="0" fontId="8" fillId="3" borderId="13" xfId="0" applyNumberFormat="1" applyFont="1" applyFill="1" applyBorder="1" applyAlignment="1">
      <alignment horizontal="centerContinuous"/>
    </xf>
    <xf numFmtId="0" fontId="8" fillId="3" borderId="11" xfId="0" applyNumberFormat="1" applyFont="1" applyFill="1" applyBorder="1" applyAlignment="1">
      <alignment horizontal="centerContinuous"/>
    </xf>
    <xf numFmtId="0" fontId="8" fillId="0" borderId="0" xfId="0" applyNumberFormat="1" applyFont="1" applyAlignment="1">
      <alignment horizontal="centerContinuous" vertical="center"/>
    </xf>
    <xf numFmtId="0" fontId="12" fillId="0" borderId="0" xfId="0" applyNumberFormat="1" applyFont="1" applyAlignment="1"/>
    <xf numFmtId="0" fontId="12" fillId="3" borderId="12" xfId="0" applyNumberFormat="1" applyFont="1" applyFill="1" applyBorder="1" applyAlignment="1">
      <alignment horizontal="centerContinuous"/>
    </xf>
    <xf numFmtId="0" fontId="12" fillId="0" borderId="17" xfId="0" applyNumberFormat="1" applyFont="1" applyBorder="1" applyAlignment="1">
      <alignment horizontal="center" vertical="center" wrapText="1"/>
    </xf>
    <xf numFmtId="0" fontId="12" fillId="0" borderId="17" xfId="0" applyNumberFormat="1" applyFont="1" applyBorder="1" applyAlignment="1">
      <alignment horizontal="center" vertical="center"/>
    </xf>
    <xf numFmtId="0" fontId="12" fillId="0" borderId="17" xfId="0" applyNumberFormat="1" applyFont="1" applyBorder="1" applyAlignment="1">
      <alignment horizontal="centerContinuous" vertical="center"/>
    </xf>
    <xf numFmtId="0" fontId="12" fillId="3" borderId="16" xfId="0" applyNumberFormat="1" applyFont="1" applyFill="1" applyBorder="1" applyAlignment="1">
      <alignment horizontal="center" vertical="center" wrapText="1"/>
    </xf>
    <xf numFmtId="0" fontId="12" fillId="3" borderId="19" xfId="0" applyNumberFormat="1" applyFont="1" applyFill="1" applyBorder="1" applyAlignment="1">
      <alignment horizontal="center" vertical="center" wrapText="1"/>
    </xf>
    <xf numFmtId="174" fontId="2" fillId="0" borderId="3" xfId="0" applyNumberFormat="1" applyFont="1" applyFill="1" applyBorder="1" applyAlignment="1"/>
    <xf numFmtId="0" fontId="12" fillId="0" borderId="0" xfId="0" applyNumberFormat="1" applyFont="1" applyAlignment="1">
      <alignment horizontal="centerContinuous"/>
    </xf>
    <xf numFmtId="0" fontId="8" fillId="0" borderId="0" xfId="0" applyNumberFormat="1" applyFont="1" applyAlignment="1">
      <alignment horizontal="centerContinuous"/>
    </xf>
    <xf numFmtId="190" fontId="2" fillId="0" borderId="0" xfId="0" applyNumberFormat="1" applyFont="1" applyFill="1" applyBorder="1" applyAlignment="1">
      <alignment horizontal="center"/>
    </xf>
    <xf numFmtId="3" fontId="23" fillId="0" borderId="0" xfId="0" applyNumberFormat="1" applyFont="1" applyAlignment="1"/>
    <xf numFmtId="3" fontId="29" fillId="0" borderId="0" xfId="0" applyNumberFormat="1" applyFont="1" applyFill="1" applyBorder="1" applyAlignment="1" applyProtection="1">
      <protection locked="0"/>
    </xf>
    <xf numFmtId="42" fontId="8" fillId="0" borderId="1" xfId="0" applyNumberFormat="1" applyFont="1" applyBorder="1" applyAlignment="1"/>
    <xf numFmtId="42" fontId="8" fillId="2" borderId="1" xfId="0" applyNumberFormat="1" applyFont="1" applyFill="1" applyBorder="1" applyAlignment="1"/>
    <xf numFmtId="41" fontId="2" fillId="0" borderId="3" xfId="0" applyNumberFormat="1" applyFont="1" applyFill="1" applyBorder="1" applyAlignment="1" applyProtection="1">
      <alignment horizontal="right"/>
      <protection locked="0"/>
    </xf>
    <xf numFmtId="42" fontId="8" fillId="0" borderId="20" xfId="0" applyNumberFormat="1" applyFont="1" applyFill="1" applyBorder="1" applyAlignment="1"/>
    <xf numFmtId="3" fontId="8" fillId="0" borderId="20" xfId="0" applyNumberFormat="1" applyFont="1" applyFill="1" applyBorder="1" applyAlignment="1"/>
    <xf numFmtId="42" fontId="8" fillId="0" borderId="14" xfId="0" applyNumberFormat="1" applyFont="1" applyFill="1" applyBorder="1" applyAlignment="1"/>
    <xf numFmtId="42" fontId="8" fillId="0" borderId="9" xfId="0" applyNumberFormat="1" applyFont="1" applyFill="1" applyBorder="1" applyAlignment="1"/>
    <xf numFmtId="232" fontId="3" fillId="0" borderId="6" xfId="0" applyNumberFormat="1" applyFont="1" applyFill="1" applyBorder="1" applyAlignment="1"/>
    <xf numFmtId="232" fontId="3" fillId="0" borderId="6" xfId="0" applyNumberFormat="1" applyFont="1" applyFill="1" applyBorder="1" applyAlignment="1">
      <alignment horizontal="right"/>
    </xf>
    <xf numFmtId="0" fontId="8" fillId="0" borderId="0" xfId="0" applyNumberFormat="1" applyFont="1" applyBorder="1" applyAlignment="1"/>
    <xf numFmtId="0" fontId="12" fillId="0" borderId="6" xfId="0" applyNumberFormat="1" applyFont="1" applyBorder="1" applyAlignment="1">
      <alignment horizontal="right"/>
    </xf>
    <xf numFmtId="42" fontId="8" fillId="0" borderId="0" xfId="0" applyNumberFormat="1" applyFont="1" applyAlignment="1"/>
    <xf numFmtId="0" fontId="8" fillId="0" borderId="0" xfId="0" applyNumberFormat="1" applyFont="1" applyAlignment="1">
      <alignment horizontal="right"/>
    </xf>
    <xf numFmtId="41" fontId="2" fillId="4" borderId="0" xfId="0" applyNumberFormat="1" applyFont="1" applyFill="1" applyAlignment="1"/>
    <xf numFmtId="0" fontId="16" fillId="0" borderId="0" xfId="0" applyNumberFormat="1" applyFont="1" applyFill="1" applyAlignment="1"/>
    <xf numFmtId="37" fontId="2" fillId="0" borderId="15" xfId="0" applyNumberFormat="1" applyFont="1" applyFill="1" applyBorder="1" applyAlignment="1"/>
    <xf numFmtId="41" fontId="2" fillId="0" borderId="15" xfId="0" applyNumberFormat="1" applyFont="1" applyFill="1" applyBorder="1" applyAlignment="1"/>
    <xf numFmtId="169" fontId="2" fillId="0" borderId="0" xfId="0" applyNumberFormat="1" applyFont="1" applyFill="1" applyBorder="1" applyAlignment="1"/>
    <xf numFmtId="169" fontId="2" fillId="0" borderId="3" xfId="0" applyNumberFormat="1" applyFont="1" applyFill="1" applyBorder="1" applyAlignment="1"/>
    <xf numFmtId="169" fontId="2" fillId="0" borderId="3" xfId="0" applyNumberFormat="1" applyFont="1" applyFill="1" applyBorder="1" applyAlignment="1">
      <alignment horizontal="right"/>
    </xf>
    <xf numFmtId="9" fontId="2" fillId="3" borderId="0" xfId="0" applyNumberFormat="1" applyFont="1" applyFill="1" applyAlignment="1"/>
    <xf numFmtId="0" fontId="2" fillId="2" borderId="0" xfId="0" applyNumberFormat="1" applyFont="1" applyFill="1" applyAlignment="1"/>
    <xf numFmtId="0" fontId="2" fillId="2" borderId="0" xfId="0" applyNumberFormat="1" applyFont="1" applyFill="1" applyAlignment="1">
      <alignment horizontal="right"/>
    </xf>
    <xf numFmtId="42" fontId="3" fillId="2" borderId="0" xfId="0" applyNumberFormat="1" applyFont="1" applyFill="1" applyAlignment="1"/>
    <xf numFmtId="0" fontId="3" fillId="3" borderId="0" xfId="0" applyNumberFormat="1" applyFont="1" applyFill="1" applyAlignment="1" applyProtection="1">
      <alignment horizontal="centerContinuous"/>
      <protection locked="0"/>
    </xf>
    <xf numFmtId="0" fontId="3" fillId="3" borderId="0" xfId="0" applyNumberFormat="1" applyFont="1" applyFill="1" applyAlignment="1">
      <alignment horizontal="centerContinuous"/>
    </xf>
    <xf numFmtId="0" fontId="19" fillId="3" borderId="0" xfId="0" applyNumberFormat="1" applyFont="1" applyFill="1" applyAlignment="1">
      <alignment horizontal="centerContinuous"/>
    </xf>
    <xf numFmtId="0" fontId="3" fillId="3" borderId="0" xfId="0" applyNumberFormat="1" applyFont="1" applyFill="1" applyAlignment="1"/>
    <xf numFmtId="0" fontId="3" fillId="3" borderId="0" xfId="0" applyNumberFormat="1" applyFont="1" applyFill="1" applyAlignment="1">
      <alignment horizontal="center"/>
    </xf>
    <xf numFmtId="0" fontId="3" fillId="3" borderId="3" xfId="0" applyNumberFormat="1" applyFont="1" applyFill="1" applyBorder="1" applyAlignment="1">
      <alignment horizontal="center"/>
    </xf>
    <xf numFmtId="0" fontId="3" fillId="3" borderId="3" xfId="0" applyNumberFormat="1" applyFont="1" applyFill="1" applyBorder="1" applyAlignment="1" applyProtection="1">
      <protection locked="0"/>
    </xf>
    <xf numFmtId="0" fontId="3" fillId="3" borderId="3" xfId="0" applyNumberFormat="1" applyFont="1" applyFill="1" applyBorder="1" applyAlignment="1"/>
    <xf numFmtId="0" fontId="3" fillId="3" borderId="3" xfId="0" applyNumberFormat="1" applyFont="1" applyFill="1" applyBorder="1" applyAlignment="1">
      <alignment horizontal="right"/>
    </xf>
    <xf numFmtId="0" fontId="2" fillId="3" borderId="0" xfId="0" quotePrefix="1" applyNumberFormat="1" applyFont="1" applyFill="1" applyAlignment="1">
      <alignment horizontal="center"/>
    </xf>
    <xf numFmtId="0" fontId="2" fillId="3" borderId="0" xfId="0" applyNumberFormat="1" applyFont="1" applyFill="1" applyAlignment="1">
      <alignment horizontal="center"/>
    </xf>
    <xf numFmtId="0" fontId="2" fillId="3" borderId="0" xfId="0" applyNumberFormat="1" applyFont="1" applyFill="1" applyAlignment="1">
      <alignment horizontal="left"/>
    </xf>
    <xf numFmtId="174" fontId="2" fillId="3" borderId="0" xfId="0" applyNumberFormat="1" applyFont="1" applyFill="1" applyAlignment="1"/>
    <xf numFmtId="0" fontId="0" fillId="3" borderId="0" xfId="0" applyNumberFormat="1" applyFont="1" applyFill="1" applyAlignment="1"/>
    <xf numFmtId="176" fontId="2" fillId="3" borderId="0" xfId="0" applyNumberFormat="1" applyFont="1" applyFill="1" applyAlignment="1"/>
    <xf numFmtId="174" fontId="2" fillId="3" borderId="3" xfId="0" applyNumberFormat="1" applyFont="1" applyFill="1" applyBorder="1" applyAlignment="1"/>
    <xf numFmtId="174" fontId="2" fillId="3" borderId="0" xfId="0" applyNumberFormat="1" applyFont="1" applyFill="1" applyBorder="1" applyAlignment="1"/>
    <xf numFmtId="9" fontId="30" fillId="3" borderId="0" xfId="0" applyNumberFormat="1" applyFont="1" applyFill="1" applyAlignment="1"/>
    <xf numFmtId="174" fontId="30" fillId="3" borderId="2" xfId="0" applyNumberFormat="1" applyFont="1" applyFill="1" applyBorder="1" applyAlignment="1" applyProtection="1">
      <protection locked="0"/>
    </xf>
    <xf numFmtId="174" fontId="27" fillId="0" borderId="9" xfId="0" applyNumberFormat="1" applyFont="1" applyBorder="1" applyAlignment="1"/>
    <xf numFmtId="3" fontId="0" fillId="0" borderId="0" xfId="0" applyNumberFormat="1" applyFont="1" applyAlignment="1"/>
    <xf numFmtId="0" fontId="18" fillId="0" borderId="0" xfId="0" applyNumberFormat="1" applyFont="1" applyFill="1" applyBorder="1" applyAlignment="1">
      <alignment horizontal="center"/>
    </xf>
    <xf numFmtId="42" fontId="17" fillId="0" borderId="0" xfId="0" applyNumberFormat="1" applyFont="1" applyFill="1" applyAlignment="1">
      <alignment horizontal="right"/>
    </xf>
    <xf numFmtId="3" fontId="2" fillId="0" borderId="3" xfId="0" applyNumberFormat="1" applyFont="1" applyFill="1" applyBorder="1" applyAlignment="1"/>
    <xf numFmtId="198" fontId="2" fillId="0" borderId="0" xfId="0" quotePrefix="1" applyNumberFormat="1" applyFont="1" applyFill="1" applyBorder="1" applyAlignment="1">
      <alignment horizontal="left"/>
    </xf>
    <xf numFmtId="10" fontId="5" fillId="0" borderId="0" xfId="0" quotePrefix="1" applyNumberFormat="1" applyFont="1" applyFill="1" applyAlignment="1">
      <alignment horizontal="center"/>
    </xf>
    <xf numFmtId="4" fontId="0" fillId="0" borderId="0" xfId="0" applyNumberFormat="1" applyFont="1" applyFill="1" applyAlignment="1"/>
    <xf numFmtId="176" fontId="2" fillId="0" borderId="0" xfId="0" applyNumberFormat="1" applyFont="1" applyFill="1" applyAlignment="1"/>
    <xf numFmtId="10" fontId="8" fillId="0" borderId="0" xfId="0" applyNumberFormat="1" applyFont="1" applyAlignment="1"/>
    <xf numFmtId="0" fontId="16" fillId="0" borderId="0" xfId="0" applyNumberFormat="1" applyFont="1" applyAlignment="1">
      <alignment horizontal="right"/>
    </xf>
    <xf numFmtId="10" fontId="16" fillId="0" borderId="0" xfId="0" applyNumberFormat="1" applyFont="1" applyAlignment="1"/>
    <xf numFmtId="4" fontId="8" fillId="0" borderId="0" xfId="0" applyNumberFormat="1" applyFont="1" applyFill="1" applyAlignment="1"/>
    <xf numFmtId="3" fontId="8" fillId="0" borderId="0" xfId="0" applyNumberFormat="1" applyFont="1" applyFill="1" applyAlignment="1"/>
    <xf numFmtId="0" fontId="10" fillId="0" borderId="0" xfId="0" applyNumberFormat="1" applyFont="1" applyAlignment="1"/>
    <xf numFmtId="6" fontId="2" fillId="0" borderId="0" xfId="0" applyNumberFormat="1" applyFont="1" applyFill="1" applyAlignment="1" applyProtection="1">
      <alignment horizontal="right"/>
      <protection locked="0"/>
    </xf>
    <xf numFmtId="0" fontId="12" fillId="0" borderId="0" xfId="0" applyNumberFormat="1" applyFont="1" applyFill="1" applyAlignment="1">
      <alignment horizontal="centerContinuous"/>
    </xf>
    <xf numFmtId="0" fontId="12" fillId="0" borderId="0" xfId="0" applyNumberFormat="1" applyFont="1" applyFill="1" applyAlignment="1"/>
    <xf numFmtId="0" fontId="12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/>
    <xf numFmtId="0" fontId="24" fillId="0" borderId="0" xfId="0" applyNumberFormat="1" applyFont="1" applyFill="1" applyAlignment="1">
      <alignment horizontal="center"/>
    </xf>
    <xf numFmtId="10" fontId="12" fillId="0" borderId="0" xfId="0" applyNumberFormat="1" applyFont="1" applyFill="1" applyAlignment="1"/>
    <xf numFmtId="6" fontId="8" fillId="0" borderId="0" xfId="0" applyNumberFormat="1" applyFont="1" applyFill="1" applyAlignment="1">
      <alignment horizontal="right" wrapText="1"/>
    </xf>
    <xf numFmtId="10" fontId="8" fillId="0" borderId="0" xfId="0" applyNumberFormat="1" applyFont="1" applyFill="1" applyAlignment="1">
      <alignment horizontal="right"/>
    </xf>
    <xf numFmtId="10" fontId="8" fillId="0" borderId="0" xfId="0" applyNumberFormat="1" applyFont="1" applyFill="1" applyAlignment="1" applyProtection="1"/>
    <xf numFmtId="10" fontId="8" fillId="0" borderId="0" xfId="0" applyNumberFormat="1" applyFont="1" applyFill="1" applyAlignment="1" applyProtection="1"/>
    <xf numFmtId="10" fontId="8" fillId="0" borderId="0" xfId="0" applyNumberFormat="1" applyFont="1" applyFill="1" applyAlignment="1"/>
    <xf numFmtId="10" fontId="8" fillId="0" borderId="3" xfId="0" applyNumberFormat="1" applyFont="1" applyFill="1" applyBorder="1" applyAlignment="1">
      <alignment horizontal="right"/>
    </xf>
    <xf numFmtId="10" fontId="25" fillId="0" borderId="0" xfId="0" applyNumberFormat="1" applyFont="1" applyFill="1" applyAlignment="1" applyProtection="1"/>
    <xf numFmtId="176" fontId="8" fillId="0" borderId="0" xfId="0" applyNumberFormat="1" applyFont="1" applyFill="1" applyBorder="1" applyAlignment="1" applyProtection="1"/>
    <xf numFmtId="6" fontId="24" fillId="0" borderId="0" xfId="0" applyNumberFormat="1" applyFont="1" applyFill="1" applyAlignment="1">
      <alignment horizontal="right"/>
    </xf>
    <xf numFmtId="10" fontId="24" fillId="0" borderId="0" xfId="0" applyNumberFormat="1" applyFont="1" applyFill="1" applyAlignment="1">
      <alignment horizontal="right"/>
    </xf>
    <xf numFmtId="0" fontId="24" fillId="0" borderId="0" xfId="0" applyNumberFormat="1" applyFont="1" applyFill="1" applyAlignment="1"/>
    <xf numFmtId="10" fontId="26" fillId="0" borderId="0" xfId="0" applyNumberFormat="1" applyFont="1" applyFill="1" applyBorder="1" applyAlignment="1" applyProtection="1"/>
    <xf numFmtId="10" fontId="8" fillId="0" borderId="0" xfId="0" applyNumberFormat="1" applyFont="1" applyFill="1" applyBorder="1" applyAlignment="1"/>
    <xf numFmtId="10" fontId="8" fillId="0" borderId="0" xfId="0" applyNumberFormat="1" applyFont="1" applyFill="1" applyAlignment="1"/>
    <xf numFmtId="10" fontId="8" fillId="0" borderId="0" xfId="0" applyNumberFormat="1" applyFont="1" applyFill="1" applyAlignment="1"/>
    <xf numFmtId="6" fontId="8" fillId="0" borderId="0" xfId="0" applyNumberFormat="1" applyFont="1" applyFill="1" applyAlignment="1"/>
    <xf numFmtId="0" fontId="8" fillId="0" borderId="0" xfId="0" quotePrefix="1" applyNumberFormat="1" applyFont="1" applyFill="1" applyAlignment="1"/>
    <xf numFmtId="174" fontId="3" fillId="0" borderId="7" xfId="0" applyNumberFormat="1" applyFont="1" applyFill="1" applyBorder="1" applyAlignment="1" applyProtection="1">
      <protection locked="0"/>
    </xf>
    <xf numFmtId="41" fontId="2" fillId="0" borderId="0" xfId="0" applyNumberFormat="1" applyFont="1" applyFill="1" applyAlignment="1"/>
    <xf numFmtId="42" fontId="2" fillId="0" borderId="2" xfId="0" applyNumberFormat="1" applyFont="1" applyFill="1" applyBorder="1" applyAlignment="1"/>
    <xf numFmtId="42" fontId="2" fillId="0" borderId="3" xfId="0" applyNumberFormat="1" applyFont="1" applyFill="1" applyBorder="1" applyAlignment="1"/>
    <xf numFmtId="10" fontId="27" fillId="5" borderId="9" xfId="0" applyNumberFormat="1" applyFont="1" applyFill="1" applyBorder="1" applyAlignment="1"/>
    <xf numFmtId="10" fontId="12" fillId="0" borderId="6" xfId="0" applyNumberFormat="1" applyFont="1" applyBorder="1" applyAlignment="1"/>
    <xf numFmtId="174" fontId="3" fillId="0" borderId="0" xfId="0" applyNumberFormat="1" applyFont="1" applyFill="1" applyAlignment="1">
      <alignment horizontal="right"/>
    </xf>
  </cellXfs>
  <cellStyles count="1">
    <cellStyle name="Normal" xfId="0" builtinId="0"/>
  </cellStyles>
  <dxfs count="1"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33"/>
      <color rgb="FFFF00FF"/>
      <color rgb="FF66FF33"/>
      <color rgb="FFFF0000"/>
      <color rgb="FF0000FF"/>
      <color rgb="FFCC99FF"/>
      <color rgb="FFFF66FF"/>
      <color rgb="FFFFFFCC"/>
      <color rgb="FFCDFFE4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21" Type="http://schemas.openxmlformats.org/officeDocument/2006/relationships/externalLink" Target="externalLinks/externalLink12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sharedStrings" Target="sharedStrings.xml"/><Relationship Id="rId37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customXml" Target="../customXml/item3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0</xdr:rowOff>
    </xdr:from>
    <xdr:to>
      <xdr:col>2</xdr:col>
      <xdr:colOff>1752600</xdr:colOff>
      <xdr:row>60</xdr:row>
      <xdr:rowOff>92381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496300"/>
          <a:ext cx="5038725" cy="2035481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63</xdr:row>
      <xdr:rowOff>66675</xdr:rowOff>
    </xdr:from>
    <xdr:to>
      <xdr:col>2</xdr:col>
      <xdr:colOff>1898772</xdr:colOff>
      <xdr:row>74</xdr:row>
      <xdr:rowOff>151919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11010900"/>
          <a:ext cx="5137272" cy="18664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.02E%20Revenues%20and%20Expenses%20Dec%202019%20CBR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3.17E%20Montana%20Energy%20Tax%20Dec%202019%20CB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4.01E%20&amp;%20401G%20Conversion%20Factor%20Dec%202019%20CB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3.05E%20Pass-Through%20Rev%20and%20Exp%20Dec%202019%20CB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3.15E%20Storm%20Normalization%20Dec%202019%20CB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3.16E%20Power%20Costs%20Dec%202019%20CB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3.01E%20Temp%20Norm%20Dec%202019%20CBR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3.18E%20Wild%20Horse%20Solar%20Dec%202019%20CB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3.06E%20&amp;%203.06G%20Rate%20Case%20Expenses%20Dec%202019%20CB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19%20CBR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2.03%20WC-RB%20Dec%202019%20CB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.03E%20Federal%20Income%20Tax%20Dec%202019%20CBR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1.02%20E%20&amp;G%20Cost%20of%20Capital%20Dec%202019%20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.07E%20Bad%20Debts%20-%20Dec%202019%20CB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3.08E%20&amp;%203.08G%20Incentive%20Pay%20Dec%202019%20CB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3.09E%20&amp;%203.09G%20Excise%20Tax%20&amp;%20Filing%20Fee%20Dec%202019%20CB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3.10E%20&amp;%203.10G%20D&amp;O%20Insurance%20Dec%202019%20CB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3.11E%20&amp;%203.11G%20Interest%20on%20Customer%20Deposits%20Dec%202019%20CB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3.12E%20&amp;%203.12G%20Pension%20Plan%20Dec%202019%20CB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3.13E%20&amp;%203.13G%20Inj%20&amp;%20Damages%20Dec%202019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2E"/>
      <sheetName val="SOE"/>
      <sheetName val="19CBR Electric"/>
      <sheetName val="TGrant"/>
      <sheetName val="PTC"/>
    </sheetNames>
    <sheetDataSet>
      <sheetData sheetId="0">
        <row r="14">
          <cell r="D14">
            <v>-1878.4780000000001</v>
          </cell>
        </row>
        <row r="15">
          <cell r="D15">
            <v>-3467838.7</v>
          </cell>
        </row>
        <row r="16">
          <cell r="D16">
            <v>36637601.037</v>
          </cell>
        </row>
        <row r="33">
          <cell r="D33">
            <v>28990997.98</v>
          </cell>
        </row>
        <row r="35">
          <cell r="D35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3"/>
      <sheetName val="Actual Generation"/>
      <sheetName val="SAP 12MOE Dec 2019"/>
      <sheetName val="Montana Energy Tax"/>
    </sheetNames>
    <sheetDataSet>
      <sheetData sheetId="0">
        <row r="12">
          <cell r="E12">
            <v>4347639000</v>
          </cell>
        </row>
        <row r="13">
          <cell r="E13">
            <v>0.05</v>
          </cell>
        </row>
        <row r="14">
          <cell r="E14">
            <v>1.4999999999999999E-4</v>
          </cell>
        </row>
        <row r="17">
          <cell r="E17">
            <v>2.0000000000000001E-4</v>
          </cell>
        </row>
        <row r="21">
          <cell r="E21">
            <v>1624226.22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>
        <row r="14">
          <cell r="E14">
            <v>7.5490000000000002E-3</v>
          </cell>
        </row>
        <row r="15">
          <cell r="E15">
            <v>2E-3</v>
          </cell>
        </row>
        <row r="16">
          <cell r="E16">
            <v>3.8441999999999997E-2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Lead Sheet"/>
      <sheetName val="SOE 12ME 12-2019"/>
      <sheetName val="ZO12 SCh142 "/>
      <sheetName val="SCH 140 Prop Tax"/>
      <sheetName val="SOGE Green Pwer"/>
      <sheetName val="ZO12 Exp Orders "/>
      <sheetName val="c.99999.03.37.01 Green Pwr"/>
      <sheetName val="ZO12 Ord 55700200 "/>
    </sheetNames>
    <sheetDataSet>
      <sheetData sheetId="0"/>
      <sheetData sheetId="1">
        <row r="12">
          <cell r="E12">
            <v>84729661.180000007</v>
          </cell>
        </row>
        <row r="13">
          <cell r="E13">
            <v>61378696.390000001</v>
          </cell>
        </row>
        <row r="14">
          <cell r="E14">
            <v>82611638.079999998</v>
          </cell>
        </row>
        <row r="15">
          <cell r="E15">
            <v>18454535.677999999</v>
          </cell>
        </row>
        <row r="16">
          <cell r="E16">
            <v>-83030550.614999995</v>
          </cell>
        </row>
        <row r="17">
          <cell r="E17">
            <v>-1398865.409</v>
          </cell>
        </row>
        <row r="18">
          <cell r="E18">
            <v>1207204.04</v>
          </cell>
        </row>
        <row r="19">
          <cell r="E19">
            <v>11732447.697448241</v>
          </cell>
        </row>
        <row r="20">
          <cell r="E20">
            <v>-11169395.800000003</v>
          </cell>
        </row>
        <row r="21">
          <cell r="E21">
            <v>5262224.4399999995</v>
          </cell>
        </row>
        <row r="22">
          <cell r="E22">
            <v>-1600810.93</v>
          </cell>
        </row>
        <row r="23">
          <cell r="E23">
            <v>-16.260000000000002</v>
          </cell>
        </row>
        <row r="24">
          <cell r="E24">
            <v>-11590314.105024103</v>
          </cell>
        </row>
        <row r="34">
          <cell r="E34">
            <v>-80695343.090000004</v>
          </cell>
        </row>
        <row r="35">
          <cell r="E35">
            <v>-58456211.990000002</v>
          </cell>
        </row>
        <row r="36">
          <cell r="E36">
            <v>-79796782.120000005</v>
          </cell>
        </row>
        <row r="37">
          <cell r="E37">
            <v>-17523342.190000001</v>
          </cell>
        </row>
        <row r="38">
          <cell r="E38">
            <v>79186637.340000004</v>
          </cell>
        </row>
        <row r="39">
          <cell r="E39">
            <v>124967.45</v>
          </cell>
        </row>
        <row r="40">
          <cell r="E40">
            <v>-1817967.96</v>
          </cell>
        </row>
        <row r="41">
          <cell r="E41">
            <v>-748330.34000000008</v>
          </cell>
        </row>
        <row r="42">
          <cell r="E42">
            <v>-48014.47</v>
          </cell>
        </row>
        <row r="43">
          <cell r="E43">
            <v>-14133.08</v>
          </cell>
        </row>
        <row r="44">
          <cell r="E44">
            <v>11023721.6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storm"/>
    </sheetNames>
    <sheetDataSet>
      <sheetData sheetId="0">
        <row r="18">
          <cell r="B18" t="str">
            <v xml:space="preserve">  TWELVE MONTHS ENDED 12/31/14</v>
          </cell>
          <cell r="C18">
            <v>462974</v>
          </cell>
          <cell r="D18">
            <v>10858538</v>
          </cell>
          <cell r="E18">
            <v>75904</v>
          </cell>
          <cell r="F18">
            <v>284077</v>
          </cell>
        </row>
        <row r="19">
          <cell r="B19" t="str">
            <v xml:space="preserve">  TWELVE MONTHS ENDED 12/31/15</v>
          </cell>
          <cell r="C19">
            <v>542677</v>
          </cell>
          <cell r="D19">
            <v>9925206</v>
          </cell>
          <cell r="E19">
            <v>147800</v>
          </cell>
          <cell r="F19">
            <v>545344</v>
          </cell>
        </row>
        <row r="20">
          <cell r="B20" t="str">
            <v xml:space="preserve">  TWELVE MONTHS ENDED 12/31/16</v>
          </cell>
          <cell r="C20">
            <v>282110</v>
          </cell>
          <cell r="D20">
            <v>9019562</v>
          </cell>
          <cell r="E20">
            <v>55441</v>
          </cell>
          <cell r="F20">
            <v>185083</v>
          </cell>
        </row>
        <row r="21">
          <cell r="B21" t="str">
            <v xml:space="preserve">  TWELVE MONTHS ENDED 12/31/17 </v>
          </cell>
          <cell r="C21">
            <v>542894</v>
          </cell>
          <cell r="D21">
            <v>8598393</v>
          </cell>
          <cell r="E21">
            <v>14243</v>
          </cell>
          <cell r="F21">
            <v>50856</v>
          </cell>
        </row>
        <row r="22">
          <cell r="B22" t="str">
            <v xml:space="preserve">  TWELVE MONTHS ENDED 12/31/18</v>
          </cell>
          <cell r="C22">
            <v>563625</v>
          </cell>
          <cell r="D22">
            <v>9580738</v>
          </cell>
          <cell r="E22">
            <v>118919</v>
          </cell>
          <cell r="F22">
            <v>478326</v>
          </cell>
        </row>
        <row r="23">
          <cell r="B23" t="str">
            <v xml:space="preserve">  TWELVE MONTHS ENDED 12/31/19</v>
          </cell>
          <cell r="C23">
            <v>1169569</v>
          </cell>
          <cell r="D23">
            <v>8273524</v>
          </cell>
          <cell r="E23">
            <v>117859</v>
          </cell>
          <cell r="F23">
            <v>433513</v>
          </cell>
        </row>
        <row r="29">
          <cell r="C29">
            <v>1172215</v>
          </cell>
          <cell r="D29">
            <v>8695084</v>
          </cell>
          <cell r="E29">
            <v>123251</v>
          </cell>
          <cell r="F29">
            <v>451790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"/>
      <sheetName val="non core gas"/>
      <sheetName val="Schedule_B"/>
      <sheetName val="Actuals"/>
      <sheetName val="Temp Norm Adj=&gt;"/>
      <sheetName val="Summary Normalization"/>
      <sheetName val="Load Impact to Cost &amp; Rev"/>
      <sheetName val="Load Temp Adj"/>
      <sheetName val="2019 Hydro"/>
      <sheetName val="2019 Wind"/>
      <sheetName val="Support--&gt;"/>
      <sheetName val="EA Database"/>
      <sheetName val="BAGE &amp; SAGE"/>
      <sheetName val="PKW-WP ENERG"/>
      <sheetName val="Wind Integration Costs"/>
      <sheetName val="Price"/>
      <sheetName val="PCA Calc=&gt;"/>
      <sheetName val="Sched B 2019"/>
      <sheetName val="Actuals 2019"/>
    </sheetNames>
    <sheetDataSet>
      <sheetData sheetId="0">
        <row r="14">
          <cell r="C14">
            <v>282863835.76999998</v>
          </cell>
          <cell r="E14"/>
        </row>
        <row r="15">
          <cell r="C15">
            <v>638473444.10000002</v>
          </cell>
          <cell r="E15">
            <v>1189745.9422083274</v>
          </cell>
        </row>
        <row r="16">
          <cell r="C16">
            <v>-21388428.559999999</v>
          </cell>
          <cell r="E16">
            <v>0</v>
          </cell>
        </row>
        <row r="17">
          <cell r="C17">
            <v>121674523.33</v>
          </cell>
          <cell r="E17"/>
        </row>
        <row r="18">
          <cell r="C18">
            <v>-196946670</v>
          </cell>
          <cell r="E18"/>
        </row>
        <row r="19">
          <cell r="C19">
            <v>-104269151.23999999</v>
          </cell>
          <cell r="E19"/>
        </row>
        <row r="30">
          <cell r="C30">
            <v>282863835.76999998</v>
          </cell>
          <cell r="E30">
            <v>0</v>
          </cell>
        </row>
        <row r="31">
          <cell r="C31">
            <v>638473444.10000002</v>
          </cell>
          <cell r="E31">
            <v>4957963.66</v>
          </cell>
        </row>
        <row r="32">
          <cell r="C32">
            <v>-21388428.559999999</v>
          </cell>
          <cell r="E32">
            <v>0</v>
          </cell>
        </row>
        <row r="33">
          <cell r="C33">
            <v>121674523.33</v>
          </cell>
          <cell r="E33"/>
        </row>
        <row r="34">
          <cell r="C34">
            <v>-196946670</v>
          </cell>
          <cell r="E34"/>
        </row>
        <row r="35">
          <cell r="C35">
            <v>-104269151.23999999</v>
          </cell>
          <cell r="E35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1E Lead Sheet "/>
      <sheetName val="System Model "/>
      <sheetName val="Sales &amp; Revenue Adj. "/>
    </sheetNames>
    <sheetDataSet>
      <sheetData sheetId="0">
        <row r="12">
          <cell r="C12">
            <v>2204514132</v>
          </cell>
          <cell r="D12">
            <v>2291955636.3784895</v>
          </cell>
        </row>
        <row r="13">
          <cell r="C13">
            <v>2243405304</v>
          </cell>
          <cell r="D13">
            <v>2088339499.0278444</v>
          </cell>
        </row>
        <row r="14">
          <cell r="C14">
            <v>2051076499</v>
          </cell>
          <cell r="D14">
            <v>2072739533.4913926</v>
          </cell>
        </row>
        <row r="15">
          <cell r="C15">
            <v>1678702913</v>
          </cell>
          <cell r="D15">
            <v>1702544908.5212572</v>
          </cell>
        </row>
        <row r="16">
          <cell r="C16">
            <v>1579814930</v>
          </cell>
          <cell r="D16">
            <v>1593376844.6170716</v>
          </cell>
        </row>
        <row r="17">
          <cell r="C17">
            <v>1519701625</v>
          </cell>
          <cell r="D17">
            <v>1513502180.2130151</v>
          </cell>
        </row>
        <row r="18">
          <cell r="C18">
            <v>1613276616</v>
          </cell>
          <cell r="D18">
            <v>1601649032.2115862</v>
          </cell>
        </row>
        <row r="19">
          <cell r="C19">
            <v>1661753743</v>
          </cell>
          <cell r="D19">
            <v>1626541800.8838308</v>
          </cell>
        </row>
        <row r="20">
          <cell r="C20">
            <v>1557215731</v>
          </cell>
          <cell r="D20">
            <v>1552856114.6982031</v>
          </cell>
        </row>
        <row r="21">
          <cell r="C21">
            <v>1842628447</v>
          </cell>
          <cell r="D21">
            <v>1813688238.5394666</v>
          </cell>
        </row>
        <row r="22">
          <cell r="C22">
            <v>1994898495</v>
          </cell>
          <cell r="D22">
            <v>2012133498.8135262</v>
          </cell>
        </row>
        <row r="23">
          <cell r="C23">
            <v>2192401536</v>
          </cell>
          <cell r="D23">
            <v>2299455719.9614177</v>
          </cell>
        </row>
        <row r="26">
          <cell r="E26">
            <v>37068024.527105302</v>
          </cell>
          <cell r="F26">
            <v>1456996</v>
          </cell>
        </row>
        <row r="27">
          <cell r="E27">
            <v>-1561772.0634271353</v>
          </cell>
          <cell r="F27">
            <v>-56375</v>
          </cell>
        </row>
        <row r="28">
          <cell r="E28">
            <v>-5286425.8241591975</v>
          </cell>
          <cell r="F28">
            <v>-188202</v>
          </cell>
        </row>
        <row r="29">
          <cell r="E29">
            <v>-2707288.5478973798</v>
          </cell>
          <cell r="F29">
            <v>-94022</v>
          </cell>
        </row>
        <row r="30">
          <cell r="E30">
            <v>-228430.51292278117</v>
          </cell>
          <cell r="F30">
            <v>-8132</v>
          </cell>
        </row>
        <row r="31">
          <cell r="E31">
            <v>-433211.14104438887</v>
          </cell>
          <cell r="F31">
            <v>-14641</v>
          </cell>
        </row>
        <row r="32">
          <cell r="E32">
            <v>-186795.34642001061</v>
          </cell>
          <cell r="F32">
            <v>-6139</v>
          </cell>
        </row>
        <row r="33">
          <cell r="E33">
            <v>602773.04246052424</v>
          </cell>
          <cell r="F33">
            <v>16258</v>
          </cell>
        </row>
        <row r="34">
          <cell r="E34">
            <v>39256.642051869603</v>
          </cell>
          <cell r="F34">
            <v>1380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WH Dec 19 PP Report"/>
      <sheetName val="WH Deferred Tax June 2019"/>
      <sheetName val="DFITAMA"/>
    </sheetNames>
    <sheetDataSet>
      <sheetData sheetId="0">
        <row r="15">
          <cell r="D15">
            <v>4539303</v>
          </cell>
        </row>
        <row r="16">
          <cell r="D16">
            <v>-2226265</v>
          </cell>
        </row>
        <row r="17">
          <cell r="D17">
            <v>-768655.51500000001</v>
          </cell>
        </row>
        <row r="21">
          <cell r="D21">
            <v>212064</v>
          </cell>
        </row>
      </sheetData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Ave cost of case"/>
      <sheetName val="TY"/>
      <sheetName val="Summary GRCs"/>
      <sheetName val="Summary PCORCs"/>
    </sheetNames>
    <sheetDataSet>
      <sheetData sheetId="0">
        <row r="16">
          <cell r="D16">
            <v>1097000</v>
          </cell>
        </row>
        <row r="19">
          <cell r="D19">
            <v>1151655.348855</v>
          </cell>
        </row>
        <row r="23">
          <cell r="D23">
            <v>273000</v>
          </cell>
        </row>
        <row r="26">
          <cell r="D26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  <sheetName val="==&gt;"/>
      <sheetName val="Allocators (CBR)"/>
      <sheetName val="FM"/>
      <sheetName val="GAAP"/>
      <sheetName val="TOPSIDE"/>
    </sheetNames>
    <sheetDataSet>
      <sheetData sheetId="0"/>
      <sheetData sheetId="1">
        <row r="9">
          <cell r="B9">
            <v>2127052953.75</v>
          </cell>
        </row>
        <row r="10">
          <cell r="B10">
            <v>351395.68</v>
          </cell>
        </row>
        <row r="11">
          <cell r="B11">
            <v>196946670</v>
          </cell>
        </row>
        <row r="12">
          <cell r="B12">
            <v>191910864.75999999</v>
          </cell>
        </row>
        <row r="18">
          <cell r="B18">
            <v>282863835.76999998</v>
          </cell>
        </row>
        <row r="19">
          <cell r="B19">
            <v>617085015.54000008</v>
          </cell>
        </row>
        <row r="20">
          <cell r="B20">
            <v>121674523.33</v>
          </cell>
        </row>
        <row r="21">
          <cell r="B21">
            <v>-79186637.340000004</v>
          </cell>
        </row>
        <row r="24">
          <cell r="B24">
            <v>124385512.12999998</v>
          </cell>
        </row>
        <row r="25">
          <cell r="B25">
            <v>24120987.529999997</v>
          </cell>
        </row>
        <row r="26">
          <cell r="B26">
            <v>80879041.140000001</v>
          </cell>
        </row>
        <row r="27">
          <cell r="B27">
            <v>50623674.690000005</v>
          </cell>
        </row>
        <row r="28">
          <cell r="B28">
            <v>22165912.629999999</v>
          </cell>
        </row>
        <row r="29">
          <cell r="B29">
            <v>80695343.090000004</v>
          </cell>
        </row>
        <row r="30">
          <cell r="B30">
            <v>131332686.69000001</v>
          </cell>
        </row>
        <row r="31">
          <cell r="B31">
            <v>353307306.82000005</v>
          </cell>
        </row>
        <row r="32">
          <cell r="B32">
            <v>98825617.909999996</v>
          </cell>
        </row>
        <row r="33">
          <cell r="B33">
            <v>31893438.41</v>
          </cell>
        </row>
        <row r="34">
          <cell r="B34">
            <v>-56706537.07</v>
          </cell>
        </row>
        <row r="35">
          <cell r="B35">
            <v>3574274.1599999992</v>
          </cell>
        </row>
        <row r="36">
          <cell r="B36">
            <v>232459734.66999999</v>
          </cell>
        </row>
        <row r="37">
          <cell r="B37">
            <v>31409079.400000002</v>
          </cell>
        </row>
        <row r="38">
          <cell r="B38">
            <v>28520415.180000007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 GRC WC Det Format"/>
      <sheetName val="ERB AMA"/>
      <sheetName val="GRB AMA"/>
      <sheetName val="WC "/>
      <sheetName val="Recon=&gt;"/>
      <sheetName val="BS and CWC Recon, p1"/>
      <sheetName val="BS and CWC Recon, p2"/>
      <sheetName val="EOP BS and CWC Recon, p1"/>
      <sheetName val="EOP BS and CWC Recon, p2"/>
      <sheetName val="PPXLSaveData0"/>
      <sheetName val="PPXLFunctions"/>
      <sheetName val="PPXLOpen"/>
      <sheetName val="ERB EOP"/>
      <sheetName val="GRB EOP"/>
      <sheetName val="Dec 2019 SAP"/>
      <sheetName val="E Input"/>
      <sheetName val="E Recon PWR Plt"/>
      <sheetName val="G Input"/>
      <sheetName val="G Recon PWR Plt"/>
      <sheetName val="Power Plant Info"/>
      <sheetName val="BBS=&gt;"/>
      <sheetName val="Dec 19 Manual Entry "/>
      <sheetName val="Pivot 1301"/>
      <sheetName val="1301FC Dec 19"/>
      <sheetName val="Pivot 1302"/>
      <sheetName val="1302FC Dec 19"/>
      <sheetName val="1301&amp;1302 Cap Lease"/>
      <sheetName val="3.04 &amp; 4.04 Lead"/>
      <sheetName val="Non Op 2019"/>
    </sheetNames>
    <sheetDataSet>
      <sheetData sheetId="0"/>
      <sheetData sheetId="1">
        <row r="96">
          <cell r="D96">
            <v>11041272570.037695</v>
          </cell>
        </row>
        <row r="97">
          <cell r="D97">
            <v>-4562717169.1546459</v>
          </cell>
        </row>
        <row r="98">
          <cell r="D98">
            <v>267626830.51499999</v>
          </cell>
        </row>
        <row r="99">
          <cell r="D99">
            <v>-1406597712.4407401</v>
          </cell>
        </row>
        <row r="100">
          <cell r="D100">
            <v>136667273.11429122</v>
          </cell>
        </row>
        <row r="101">
          <cell r="D101">
            <v>-107042383.75201167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Lead E"/>
      <sheetName val="CBR_Electric"/>
      <sheetName val="BW-410-411 Electric"/>
    </sheetNames>
    <sheetDataSet>
      <sheetData sheetId="0"/>
      <sheetData sheetId="1">
        <row r="12">
          <cell r="C12">
            <v>419819857.78423941</v>
          </cell>
        </row>
        <row r="14">
          <cell r="C14">
            <v>88613160.310290277</v>
          </cell>
        </row>
        <row r="17">
          <cell r="C17">
            <v>-24720198.196528066</v>
          </cell>
        </row>
        <row r="18">
          <cell r="C18">
            <v>0</v>
          </cell>
        </row>
        <row r="23">
          <cell r="C23">
            <v>31409079.400000002</v>
          </cell>
        </row>
        <row r="24">
          <cell r="C24">
            <v>219283109.16</v>
          </cell>
        </row>
        <row r="25">
          <cell r="C25">
            <v>-190762693.97999999</v>
          </cell>
        </row>
        <row r="26">
          <cell r="C26">
            <v>0</v>
          </cell>
        </row>
      </sheetData>
      <sheetData sheetId="2"/>
      <sheetData sheetId="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Format"/>
      <sheetName val="Pg 2 CapStructure"/>
      <sheetName val="Pg 3 STD Cost Rate"/>
      <sheetName val="Pg 4 STD OS &amp; Comm Fees"/>
      <sheetName val="Pg 5 STD Amort"/>
      <sheetName val="Pg 6 LTD Cost "/>
      <sheetName val="Pg 7 Reacquired Debt"/>
      <sheetName val="Comparison"/>
      <sheetName val="Interest Only LTD Cost"/>
      <sheetName val="BS-Unamortized"/>
      <sheetName val="FERC Rpt"/>
      <sheetName val="Appendix --&gt;"/>
      <sheetName val="Sheet1"/>
      <sheetName val="A1  CofCap-PreMerger Costs"/>
      <sheetName val="A2  STD Cost Rate-Prior Fac"/>
      <sheetName val="A3  STD Int &amp; Fees-Prior Fac"/>
      <sheetName val="A4  STD Amort-Prior Fac"/>
      <sheetName val="FERC Presentation"/>
    </sheetNames>
    <sheetDataSet>
      <sheetData sheetId="0">
        <row r="26">
          <cell r="C26">
            <v>4400770723</v>
          </cell>
          <cell r="D26">
            <v>0.52329999999999999</v>
          </cell>
          <cell r="F26">
            <v>2.7900000000000001E-2</v>
          </cell>
        </row>
        <row r="28">
          <cell r="C28">
            <v>4009571697</v>
          </cell>
          <cell r="D28">
            <v>0.47670000000000001</v>
          </cell>
          <cell r="E28">
            <v>9.5000000000000001E-2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3-YR AVERAGE-ELEC"/>
      <sheetName val="NetWriteoffs-Elec"/>
      <sheetName val="BS Acct-Elec"/>
      <sheetName val="ZO12"/>
      <sheetName val="SOE 12 ME 8-2019"/>
      <sheetName val="FERC Module"/>
      <sheetName val="Allocation Factors"/>
    </sheetNames>
    <sheetDataSet>
      <sheetData sheetId="0">
        <row r="14">
          <cell r="C14">
            <v>17232326.259999998</v>
          </cell>
          <cell r="D14">
            <v>2221903290.54</v>
          </cell>
          <cell r="E14">
            <v>54786786.670000002</v>
          </cell>
          <cell r="F14">
            <v>16912199.489999998</v>
          </cell>
          <cell r="G14">
            <v>324713.43</v>
          </cell>
        </row>
        <row r="15">
          <cell r="C15">
            <v>18726588.579999998</v>
          </cell>
          <cell r="D15">
            <v>2331385777.1099997</v>
          </cell>
          <cell r="E15">
            <v>50098528.460000001</v>
          </cell>
          <cell r="F15">
            <v>43765106.579999998</v>
          </cell>
          <cell r="G15">
            <v>352068.21</v>
          </cell>
        </row>
        <row r="16">
          <cell r="C16">
            <v>12194537.579999998</v>
          </cell>
          <cell r="D16">
            <v>2030915814</v>
          </cell>
          <cell r="E16">
            <v>38417260.890000001</v>
          </cell>
          <cell r="F16">
            <v>44931386.039999999</v>
          </cell>
          <cell r="G16">
            <v>318609.98</v>
          </cell>
        </row>
        <row r="27">
          <cell r="H27">
            <v>14589014.484000001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tric"/>
      <sheetName val=" Gas"/>
      <sheetName val="4 Yr Avg"/>
      <sheetName val="Incent &amp; Related PR Tax - TY"/>
      <sheetName val="Report 2019"/>
      <sheetName val="Manual Clearing"/>
      <sheetName val="PR Taxes"/>
    </sheetNames>
    <sheetDataSet>
      <sheetData sheetId="0">
        <row r="12">
          <cell r="C12">
            <v>8210776.3538940828</v>
          </cell>
          <cell r="D12">
            <v>8761704.6570229139</v>
          </cell>
        </row>
        <row r="14">
          <cell r="C14">
            <v>726653.70731962635</v>
          </cell>
          <cell r="D14">
            <v>775410.86214652797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Lead E"/>
      <sheetName val="Lead G"/>
      <sheetName val="Excise Tax "/>
      <sheetName val="Filing Fees"/>
      <sheetName val="E Filing Fee Restated"/>
      <sheetName val="G Filing Fee Restated"/>
      <sheetName val="Other Elec Revenue"/>
    </sheetNames>
    <sheetDataSet>
      <sheetData sheetId="0"/>
      <sheetData sheetId="1">
        <row r="12">
          <cell r="C12">
            <v>84089174.198749989</v>
          </cell>
          <cell r="D12">
            <v>84064864.389494985</v>
          </cell>
        </row>
        <row r="13">
          <cell r="C13">
            <v>4394185.7699999996</v>
          </cell>
          <cell r="D13">
            <v>4551111.2666800003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"/>
      <sheetName val=" Gas"/>
      <sheetName val="Main wp"/>
      <sheetName val="CE Allocation"/>
      <sheetName val="Director's Fees"/>
    </sheetNames>
    <sheetDataSet>
      <sheetData sheetId="0">
        <row r="12">
          <cell r="C12">
            <v>79582.576956009754</v>
          </cell>
          <cell r="D12">
            <v>67414.363798118677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1E"/>
      <sheetName val="3.11G"/>
      <sheetName val="SAPBW70_DOWNLOAD"/>
      <sheetName val="E&amp;G Split"/>
      <sheetName val="2019 PO "/>
      <sheetName val="Jan.19"/>
      <sheetName val="Feb.19"/>
      <sheetName val="Mar.19"/>
      <sheetName val="Apr.19"/>
      <sheetName val="May.19"/>
      <sheetName val="Jun.19"/>
      <sheetName val="Jul.19"/>
      <sheetName val="Aug.19"/>
      <sheetName val="Sep.19"/>
      <sheetName val="Oct.19"/>
      <sheetName val="Nov.19"/>
      <sheetName val="Dec.19"/>
    </sheetNames>
    <sheetDataSet>
      <sheetData sheetId="0">
        <row r="11">
          <cell r="D11">
            <v>677726.46703644621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Qualified - Actual"/>
      <sheetName val="Qual TY SAP "/>
      <sheetName val="Qualified - Restated"/>
      <sheetName val="Restated 4Y Average"/>
      <sheetName val="Cash Contrib"/>
      <sheetName val="SUPPORT&gt;&gt;&gt;&gt;"/>
      <sheetName val="SAP Export"/>
      <sheetName val="GA Qual Consolidated 12-2019"/>
    </sheetNames>
    <sheetDataSet>
      <sheetData sheetId="0">
        <row r="14">
          <cell r="C14">
            <v>4275959.7588258013</v>
          </cell>
          <cell r="D14">
            <v>6609501.3401859244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3 Yr Aver. Accruals-Elec"/>
      <sheetName val="3 Yr Aver. Accruals-Gas"/>
      <sheetName val=" 3 Yr Aver. Payments-Elec"/>
      <sheetName val=" 3 Yr Aver. Payments-Gas"/>
      <sheetName val="ZO12 Inj &amp; Dam 12ME 12-2019"/>
      <sheetName val="ZO12 Inj &amp; Dam 12ME 12-2018"/>
      <sheetName val="ZO12 Inj &amp; Dam 12ME 12-2017"/>
    </sheetNames>
    <sheetDataSet>
      <sheetData sheetId="0">
        <row r="13">
          <cell r="C13">
            <v>2304250</v>
          </cell>
          <cell r="D13">
            <v>951416.66666666663</v>
          </cell>
        </row>
        <row r="14">
          <cell r="C14">
            <v>754064.98139213375</v>
          </cell>
          <cell r="D14">
            <v>1037840.7764981091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printerSettings" Target="../printerSettings/printerSettings14.bin"/><Relationship Id="rId18" Type="http://schemas.openxmlformats.org/officeDocument/2006/relationships/printerSettings" Target="../printerSettings/printerSettings19.bin"/><Relationship Id="rId26" Type="http://schemas.openxmlformats.org/officeDocument/2006/relationships/printerSettings" Target="../printerSettings/printerSettings27.bin"/><Relationship Id="rId39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4.bin"/><Relationship Id="rId21" Type="http://schemas.openxmlformats.org/officeDocument/2006/relationships/printerSettings" Target="../printerSettings/printerSettings22.bin"/><Relationship Id="rId34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8.bin"/><Relationship Id="rId12" Type="http://schemas.openxmlformats.org/officeDocument/2006/relationships/printerSettings" Target="../printerSettings/printerSettings13.bin"/><Relationship Id="rId17" Type="http://schemas.openxmlformats.org/officeDocument/2006/relationships/printerSettings" Target="../printerSettings/printerSettings18.bin"/><Relationship Id="rId25" Type="http://schemas.openxmlformats.org/officeDocument/2006/relationships/printerSettings" Target="../printerSettings/printerSettings26.bin"/><Relationship Id="rId33" Type="http://schemas.openxmlformats.org/officeDocument/2006/relationships/printerSettings" Target="../printerSettings/printerSettings34.bin"/><Relationship Id="rId38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.bin"/><Relationship Id="rId16" Type="http://schemas.openxmlformats.org/officeDocument/2006/relationships/printerSettings" Target="../printerSettings/printerSettings17.bin"/><Relationship Id="rId20" Type="http://schemas.openxmlformats.org/officeDocument/2006/relationships/printerSettings" Target="../printerSettings/printerSettings21.bin"/><Relationship Id="rId29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printerSettings" Target="../printerSettings/printerSettings12.bin"/><Relationship Id="rId24" Type="http://schemas.openxmlformats.org/officeDocument/2006/relationships/printerSettings" Target="../printerSettings/printerSettings25.bin"/><Relationship Id="rId32" Type="http://schemas.openxmlformats.org/officeDocument/2006/relationships/printerSettings" Target="../printerSettings/printerSettings33.bin"/><Relationship Id="rId37" Type="http://schemas.openxmlformats.org/officeDocument/2006/relationships/printerSettings" Target="../printerSettings/printerSettings38.bin"/><Relationship Id="rId40" Type="http://schemas.openxmlformats.org/officeDocument/2006/relationships/customProperty" Target="../customProperty2.bin"/><Relationship Id="rId5" Type="http://schemas.openxmlformats.org/officeDocument/2006/relationships/printerSettings" Target="../printerSettings/printerSettings6.bin"/><Relationship Id="rId15" Type="http://schemas.openxmlformats.org/officeDocument/2006/relationships/printerSettings" Target="../printerSettings/printerSettings16.bin"/><Relationship Id="rId23" Type="http://schemas.openxmlformats.org/officeDocument/2006/relationships/printerSettings" Target="../printerSettings/printerSettings24.bin"/><Relationship Id="rId28" Type="http://schemas.openxmlformats.org/officeDocument/2006/relationships/printerSettings" Target="../printerSettings/printerSettings29.bin"/><Relationship Id="rId36" Type="http://schemas.openxmlformats.org/officeDocument/2006/relationships/printerSettings" Target="../printerSettings/printerSettings37.bin"/><Relationship Id="rId10" Type="http://schemas.openxmlformats.org/officeDocument/2006/relationships/printerSettings" Target="../printerSettings/printerSettings11.bin"/><Relationship Id="rId19" Type="http://schemas.openxmlformats.org/officeDocument/2006/relationships/printerSettings" Target="../printerSettings/printerSettings20.bin"/><Relationship Id="rId31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5.bin"/><Relationship Id="rId9" Type="http://schemas.openxmlformats.org/officeDocument/2006/relationships/printerSettings" Target="../printerSettings/printerSettings10.bin"/><Relationship Id="rId14" Type="http://schemas.openxmlformats.org/officeDocument/2006/relationships/printerSettings" Target="../printerSettings/printerSettings15.bin"/><Relationship Id="rId22" Type="http://schemas.openxmlformats.org/officeDocument/2006/relationships/printerSettings" Target="../printerSettings/printerSettings23.bin"/><Relationship Id="rId27" Type="http://schemas.openxmlformats.org/officeDocument/2006/relationships/printerSettings" Target="../printerSettings/printerSettings28.bin"/><Relationship Id="rId30" Type="http://schemas.openxmlformats.org/officeDocument/2006/relationships/printerSettings" Target="../printerSettings/printerSettings31.bin"/><Relationship Id="rId35" Type="http://schemas.openxmlformats.org/officeDocument/2006/relationships/printerSettings" Target="../printerSettings/printerSettings3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6"/>
  <sheetViews>
    <sheetView tabSelected="1" workbookViewId="0">
      <selection activeCell="F6" sqref="F6"/>
    </sheetView>
  </sheetViews>
  <sheetFormatPr defaultColWidth="10.7109375" defaultRowHeight="13.2" x14ac:dyDescent="0.25"/>
  <cols>
    <col min="1" max="1" width="43" style="101" customWidth="1"/>
    <col min="2" max="2" width="6.7109375" style="101" customWidth="1"/>
    <col min="3" max="3" width="21.28515625" style="101" bestFit="1" customWidth="1"/>
    <col min="4" max="4" width="17.42578125" style="101" bestFit="1" customWidth="1"/>
    <col min="5" max="5" width="19" style="101" customWidth="1"/>
    <col min="6" max="6" width="10.7109375" style="101"/>
    <col min="7" max="7" width="17.42578125" style="101" bestFit="1" customWidth="1"/>
    <col min="8" max="8" width="17.7109375" style="101" bestFit="1" customWidth="1"/>
    <col min="9" max="9" width="10.7109375" style="101"/>
    <col min="10" max="10" width="11.140625" style="101" bestFit="1" customWidth="1"/>
    <col min="11" max="16384" width="10.7109375" style="101"/>
  </cols>
  <sheetData>
    <row r="1" spans="1:12" ht="13.8" thickBot="1" x14ac:dyDescent="0.3">
      <c r="A1" s="100" t="s">
        <v>273</v>
      </c>
      <c r="D1" s="440"/>
      <c r="E1" s="441">
        <v>1.01</v>
      </c>
    </row>
    <row r="2" spans="1:12" x14ac:dyDescent="0.25">
      <c r="A2" s="326" t="str">
        <f>TESTYEAR</f>
        <v>FOR THE TWELVE MONTHS ENDED DECEMBER 31, 2019</v>
      </c>
      <c r="G2" s="108"/>
      <c r="H2" s="108"/>
      <c r="I2" s="108"/>
      <c r="J2" s="108"/>
      <c r="K2" s="108"/>
      <c r="L2" s="108"/>
    </row>
    <row r="3" spans="1:12" ht="15.6" x14ac:dyDescent="0.3">
      <c r="A3" s="185"/>
      <c r="G3" s="108"/>
      <c r="H3" s="108"/>
      <c r="I3" s="108"/>
      <c r="J3" s="108"/>
      <c r="K3" s="108"/>
      <c r="L3" s="108"/>
    </row>
    <row r="4" spans="1:12" x14ac:dyDescent="0.25">
      <c r="C4" s="318" t="s">
        <v>274</v>
      </c>
      <c r="D4" s="318" t="s">
        <v>272</v>
      </c>
      <c r="E4" s="318" t="s">
        <v>270</v>
      </c>
      <c r="G4" s="108"/>
      <c r="H4" s="108"/>
      <c r="I4" s="108"/>
      <c r="J4" s="108"/>
      <c r="K4" s="108"/>
      <c r="L4" s="108"/>
    </row>
    <row r="5" spans="1:12" x14ac:dyDescent="0.25">
      <c r="C5" s="102" t="s">
        <v>275</v>
      </c>
      <c r="D5" s="102" t="s">
        <v>271</v>
      </c>
      <c r="E5" s="102" t="s">
        <v>271</v>
      </c>
      <c r="G5" s="186"/>
      <c r="H5" s="108"/>
      <c r="I5" s="108"/>
      <c r="J5" s="108"/>
      <c r="K5" s="108"/>
      <c r="L5" s="108"/>
    </row>
    <row r="6" spans="1:12" x14ac:dyDescent="0.25">
      <c r="G6" s="108"/>
      <c r="H6" s="108"/>
      <c r="I6" s="108"/>
      <c r="J6" s="61"/>
      <c r="K6" s="61"/>
      <c r="L6" s="61"/>
    </row>
    <row r="7" spans="1:12" x14ac:dyDescent="0.25">
      <c r="A7" s="101" t="s">
        <v>171</v>
      </c>
      <c r="B7" s="101" t="s">
        <v>160</v>
      </c>
      <c r="C7" s="103">
        <f>+Summaries!DV47</f>
        <v>365607983.46069098</v>
      </c>
      <c r="D7" s="103">
        <f>-'Electric Earnings Sharing'!L18</f>
        <v>0</v>
      </c>
      <c r="E7" s="103">
        <f>SUM(C7:D7)</f>
        <v>365607983.46069098</v>
      </c>
      <c r="G7" s="486"/>
      <c r="H7" s="103"/>
      <c r="I7" s="108"/>
      <c r="J7" s="61"/>
      <c r="K7" s="61"/>
      <c r="L7" s="61"/>
    </row>
    <row r="8" spans="1:12" x14ac:dyDescent="0.25">
      <c r="A8" s="101" t="s">
        <v>172</v>
      </c>
      <c r="B8" s="101" t="s">
        <v>161</v>
      </c>
      <c r="C8" s="103">
        <f>+Summaries!DV49</f>
        <v>5367665025.83459</v>
      </c>
      <c r="D8" s="103">
        <v>0</v>
      </c>
      <c r="E8" s="103">
        <f>C8+D8</f>
        <v>5367665025.83459</v>
      </c>
      <c r="G8" s="487"/>
      <c r="H8" s="103"/>
      <c r="I8" s="108"/>
      <c r="J8" s="61"/>
      <c r="K8" s="61"/>
      <c r="L8" s="61"/>
    </row>
    <row r="9" spans="1:12" x14ac:dyDescent="0.25">
      <c r="B9" s="104"/>
      <c r="C9" s="103"/>
      <c r="D9" s="103"/>
      <c r="E9" s="103"/>
      <c r="G9" s="103"/>
      <c r="H9" s="103"/>
      <c r="I9" s="108"/>
      <c r="J9" s="61"/>
      <c r="K9" s="61"/>
      <c r="L9" s="61"/>
    </row>
    <row r="10" spans="1:12" x14ac:dyDescent="0.25">
      <c r="A10" s="100" t="s">
        <v>175</v>
      </c>
      <c r="B10" s="106" t="s">
        <v>162</v>
      </c>
      <c r="C10" s="105">
        <f>ROUND(+C7/C8,4)</f>
        <v>6.8099999999999994E-2</v>
      </c>
      <c r="D10" s="105">
        <f>E10-C10</f>
        <v>0</v>
      </c>
      <c r="E10" s="105">
        <f>ROUND(+E7/E8,4)</f>
        <v>6.8099999999999994E-2</v>
      </c>
      <c r="G10" s="112"/>
      <c r="H10" s="184"/>
      <c r="I10" s="108"/>
      <c r="J10" s="61"/>
      <c r="K10" s="61"/>
      <c r="L10" s="61"/>
    </row>
    <row r="11" spans="1:12" x14ac:dyDescent="0.25">
      <c r="B11" s="321"/>
      <c r="C11" s="362"/>
      <c r="D11" s="362"/>
      <c r="E11" s="362"/>
      <c r="G11" s="107"/>
      <c r="H11" s="107"/>
      <c r="I11" s="108"/>
      <c r="J11" s="61"/>
      <c r="K11" s="61"/>
      <c r="L11" s="61"/>
    </row>
    <row r="12" spans="1:12" x14ac:dyDescent="0.25">
      <c r="C12" s="108"/>
      <c r="D12" s="108"/>
      <c r="E12" s="108"/>
      <c r="G12" s="108"/>
      <c r="H12" s="108"/>
      <c r="I12" s="108"/>
      <c r="J12" s="61"/>
      <c r="K12" s="61"/>
      <c r="L12" s="61"/>
    </row>
    <row r="13" spans="1:12" x14ac:dyDescent="0.25">
      <c r="C13" s="108"/>
      <c r="D13" s="108"/>
      <c r="E13" s="108"/>
      <c r="G13" s="108"/>
      <c r="H13" s="108"/>
      <c r="I13" s="108"/>
      <c r="J13" s="61"/>
      <c r="K13" s="61"/>
      <c r="L13" s="61"/>
    </row>
    <row r="14" spans="1:12" x14ac:dyDescent="0.25">
      <c r="C14" s="108"/>
      <c r="D14" s="108"/>
      <c r="E14" s="108"/>
      <c r="G14" s="108"/>
      <c r="H14" s="108"/>
      <c r="I14" s="108"/>
      <c r="J14" s="61"/>
      <c r="K14" s="61"/>
      <c r="L14" s="61"/>
    </row>
    <row r="15" spans="1:12" x14ac:dyDescent="0.25">
      <c r="A15" s="101" t="s">
        <v>171</v>
      </c>
      <c r="B15" s="101" t="s">
        <v>163</v>
      </c>
      <c r="C15" s="109">
        <f>+C7</f>
        <v>365607983.46069098</v>
      </c>
      <c r="D15" s="109">
        <f>+D7</f>
        <v>0</v>
      </c>
      <c r="E15" s="109">
        <f>+E7</f>
        <v>365607983.46069098</v>
      </c>
      <c r="G15" s="108"/>
      <c r="H15" s="109"/>
      <c r="I15" s="108"/>
      <c r="J15" s="61"/>
      <c r="K15" s="61"/>
      <c r="L15" s="61"/>
    </row>
    <row r="16" spans="1:12" x14ac:dyDescent="0.25">
      <c r="A16" s="101" t="s">
        <v>197</v>
      </c>
      <c r="B16" s="101" t="s">
        <v>164</v>
      </c>
      <c r="C16" s="103">
        <f>+Summaries!S15</f>
        <v>149757854.22078505</v>
      </c>
      <c r="D16" s="103"/>
      <c r="E16" s="103">
        <f>C16+D16</f>
        <v>149757854.22078505</v>
      </c>
      <c r="G16" s="108"/>
      <c r="H16" s="103"/>
      <c r="I16" s="108"/>
      <c r="J16" s="61"/>
      <c r="K16" s="61"/>
      <c r="L16" s="61"/>
    </row>
    <row r="17" spans="1:12" x14ac:dyDescent="0.25">
      <c r="A17" s="101" t="s">
        <v>198</v>
      </c>
      <c r="B17" s="101" t="s">
        <v>165</v>
      </c>
      <c r="C17" s="109">
        <f>+C15-C16</f>
        <v>215850129.23990592</v>
      </c>
      <c r="D17" s="109">
        <f>+D15-D16</f>
        <v>0</v>
      </c>
      <c r="E17" s="109">
        <f>+E15-E16</f>
        <v>215850129.23990592</v>
      </c>
      <c r="G17" s="108"/>
      <c r="H17" s="109"/>
      <c r="I17" s="108"/>
      <c r="J17" s="61"/>
      <c r="K17" s="61"/>
      <c r="L17" s="61"/>
    </row>
    <row r="18" spans="1:12" x14ac:dyDescent="0.25">
      <c r="C18" s="108"/>
      <c r="D18" s="108"/>
      <c r="E18" s="108"/>
      <c r="G18" s="108"/>
      <c r="H18" s="108"/>
      <c r="I18" s="108"/>
      <c r="J18" s="61"/>
      <c r="K18" s="61"/>
      <c r="L18" s="61"/>
    </row>
    <row r="19" spans="1:12" x14ac:dyDescent="0.25">
      <c r="A19" s="101" t="s">
        <v>172</v>
      </c>
      <c r="B19" s="101" t="s">
        <v>166</v>
      </c>
      <c r="C19" s="109">
        <f>+C8</f>
        <v>5367665025.83459</v>
      </c>
      <c r="D19" s="109">
        <f>+D8</f>
        <v>0</v>
      </c>
      <c r="E19" s="109">
        <f>+E8</f>
        <v>5367665025.83459</v>
      </c>
      <c r="G19" s="108"/>
      <c r="H19" s="109"/>
      <c r="I19" s="108"/>
      <c r="J19" s="61"/>
      <c r="K19" s="61"/>
      <c r="L19" s="61"/>
    </row>
    <row r="20" spans="1:12" x14ac:dyDescent="0.25">
      <c r="A20" s="101" t="s">
        <v>173</v>
      </c>
      <c r="B20" s="101" t="s">
        <v>167</v>
      </c>
      <c r="C20" s="112">
        <f>'1.02 COC'!D18</f>
        <v>0.47670000000000001</v>
      </c>
      <c r="D20" s="112"/>
      <c r="E20" s="112">
        <f>C20+D20</f>
        <v>0.47670000000000001</v>
      </c>
      <c r="G20" s="108"/>
      <c r="H20" s="112"/>
      <c r="I20" s="108"/>
      <c r="J20" s="61"/>
      <c r="K20" s="61"/>
      <c r="L20" s="61"/>
    </row>
    <row r="21" spans="1:12" x14ac:dyDescent="0.25">
      <c r="A21" s="101" t="s">
        <v>168</v>
      </c>
      <c r="B21" s="101" t="s">
        <v>169</v>
      </c>
      <c r="C21" s="103">
        <f>+C19*C20</f>
        <v>2558765917.8153491</v>
      </c>
      <c r="D21" s="103">
        <f>+D19*D20</f>
        <v>0</v>
      </c>
      <c r="E21" s="103">
        <f>+E19*E20</f>
        <v>2558765917.8153491</v>
      </c>
      <c r="G21" s="108"/>
      <c r="H21" s="103"/>
      <c r="I21" s="108"/>
      <c r="J21" s="61"/>
      <c r="K21" s="61"/>
      <c r="L21" s="61"/>
    </row>
    <row r="22" spans="1:12" x14ac:dyDescent="0.25">
      <c r="C22" s="103"/>
      <c r="D22" s="103"/>
      <c r="E22" s="103"/>
      <c r="G22" s="108"/>
      <c r="H22" s="103"/>
      <c r="I22" s="108"/>
      <c r="J22" s="61"/>
      <c r="K22" s="61"/>
      <c r="L22" s="61"/>
    </row>
    <row r="23" spans="1:12" x14ac:dyDescent="0.25">
      <c r="A23" s="100" t="s">
        <v>174</v>
      </c>
      <c r="B23" s="101" t="s">
        <v>170</v>
      </c>
      <c r="C23" s="105">
        <f>+ROUND(C17/C21,4)</f>
        <v>8.4400000000000003E-2</v>
      </c>
      <c r="D23" s="105">
        <f>E23-C23</f>
        <v>0</v>
      </c>
      <c r="E23" s="105">
        <f>+ROUND(E17/E21,4)</f>
        <v>8.4400000000000003E-2</v>
      </c>
      <c r="G23" s="108"/>
      <c r="H23" s="105"/>
      <c r="I23" s="108"/>
      <c r="J23" s="61"/>
      <c r="K23" s="61"/>
      <c r="L23" s="61"/>
    </row>
    <row r="24" spans="1:12" x14ac:dyDescent="0.25">
      <c r="C24" s="108"/>
      <c r="D24" s="108"/>
      <c r="E24" s="108"/>
      <c r="G24" s="108"/>
      <c r="H24" s="108"/>
      <c r="I24" s="108"/>
      <c r="J24" s="61"/>
      <c r="K24" s="61"/>
      <c r="L24" s="61"/>
    </row>
    <row r="25" spans="1:12" x14ac:dyDescent="0.25">
      <c r="C25" s="108"/>
      <c r="D25" s="108"/>
      <c r="E25" s="108"/>
      <c r="J25"/>
      <c r="K25"/>
      <c r="L25"/>
    </row>
    <row r="26" spans="1:12" x14ac:dyDescent="0.25">
      <c r="E26" s="108"/>
      <c r="J26"/>
      <c r="K26"/>
      <c r="L26"/>
    </row>
    <row r="27" spans="1:12" x14ac:dyDescent="0.25">
      <c r="J27"/>
      <c r="K27"/>
      <c r="L27"/>
    </row>
    <row r="28" spans="1:12" x14ac:dyDescent="0.25">
      <c r="J28"/>
      <c r="K28"/>
      <c r="L28"/>
    </row>
    <row r="29" spans="1:12" x14ac:dyDescent="0.25">
      <c r="J29"/>
      <c r="K29"/>
      <c r="L29"/>
    </row>
    <row r="46" spans="4:4" x14ac:dyDescent="0.25">
      <c r="D46" s="332"/>
    </row>
  </sheetData>
  <phoneticPr fontId="11" type="noConversion"/>
  <printOptions horizontalCentered="1"/>
  <pageMargins left="0.75" right="0.75" top="1" bottom="1" header="0.5" footer="0.5"/>
  <pageSetup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K128"/>
  <sheetViews>
    <sheetView topLeftCell="BO1" zoomScale="82" zoomScaleNormal="82" workbookViewId="0">
      <pane ySplit="10" topLeftCell="A11" activePane="bottomLeft" state="frozen"/>
      <selection activeCell="F50" sqref="F50"/>
      <selection pane="bottomLeft" activeCell="BT32" sqref="BT32"/>
    </sheetView>
  </sheetViews>
  <sheetFormatPr defaultColWidth="21.140625" defaultRowHeight="15" customHeight="1" outlineLevelCol="1" x14ac:dyDescent="0.25"/>
  <cols>
    <col min="1" max="1" width="6.42578125" style="5" bestFit="1" customWidth="1"/>
    <col min="2" max="2" width="20" style="5" customWidth="1"/>
    <col min="3" max="3" width="17.42578125" style="5" customWidth="1"/>
    <col min="4" max="4" width="19" style="5" bestFit="1" customWidth="1"/>
    <col min="5" max="5" width="18.85546875" style="5" bestFit="1" customWidth="1"/>
    <col min="6" max="6" width="19.42578125" style="5" bestFit="1" customWidth="1"/>
    <col min="7" max="7" width="15.85546875" style="5" bestFit="1" customWidth="1"/>
    <col min="8" max="8" width="6.140625" style="5" bestFit="1" customWidth="1"/>
    <col min="9" max="9" width="67.85546875" style="5" customWidth="1"/>
    <col min="10" max="10" width="16.7109375" style="5" customWidth="1"/>
    <col min="11" max="11" width="18" style="5" bestFit="1" customWidth="1"/>
    <col min="12" max="12" width="19" style="5" bestFit="1" customWidth="1"/>
    <col min="13" max="13" width="6.85546875" style="5" customWidth="1"/>
    <col min="14" max="14" width="57.28515625" style="5" customWidth="1"/>
    <col min="15" max="15" width="17.7109375" style="5" customWidth="1"/>
    <col min="16" max="16" width="6.85546875" style="5" customWidth="1"/>
    <col min="17" max="17" width="37.140625" style="5" bestFit="1" customWidth="1"/>
    <col min="18" max="18" width="21.42578125" style="5" customWidth="1"/>
    <col min="19" max="19" width="18.140625" style="5" bestFit="1" customWidth="1"/>
    <col min="20" max="20" width="6.85546875" style="5" customWidth="1"/>
    <col min="21" max="21" width="55.42578125" style="5" customWidth="1"/>
    <col min="22" max="22" width="7" style="5" customWidth="1"/>
    <col min="23" max="23" width="17.140625" style="5" customWidth="1"/>
    <col min="24" max="24" width="18.42578125" style="5" customWidth="1"/>
    <col min="25" max="25" width="6.42578125" style="5" customWidth="1"/>
    <col min="26" max="26" width="62" style="5" customWidth="1"/>
    <col min="27" max="28" width="15.7109375" style="5" customWidth="1"/>
    <col min="29" max="29" width="6.85546875" style="5" customWidth="1"/>
    <col min="30" max="30" width="35.7109375" style="5" customWidth="1"/>
    <col min="31" max="31" width="17" style="5" customWidth="1"/>
    <col min="32" max="32" width="19.140625" style="5" customWidth="1" outlineLevel="1"/>
    <col min="33" max="34" width="18.42578125" style="5" customWidth="1" outlineLevel="1"/>
    <col min="35" max="35" width="16.42578125" style="5" customWidth="1" outlineLevel="1"/>
    <col min="36" max="36" width="19.42578125" style="5" customWidth="1"/>
    <col min="37" max="37" width="17.85546875" style="5" customWidth="1"/>
    <col min="38" max="38" width="6.85546875" style="5" customWidth="1"/>
    <col min="39" max="39" width="49.85546875" style="5" customWidth="1"/>
    <col min="40" max="40" width="20.7109375" style="5" customWidth="1"/>
    <col min="41" max="41" width="19.28515625" style="5" customWidth="1"/>
    <col min="42" max="42" width="18.42578125" style="5" customWidth="1"/>
    <col min="43" max="43" width="5.85546875" style="55" customWidth="1"/>
    <col min="44" max="44" width="48" style="55" customWidth="1"/>
    <col min="45" max="45" width="6.42578125" style="55" customWidth="1"/>
    <col min="46" max="46" width="22.7109375" style="55" customWidth="1"/>
    <col min="47" max="47" width="5.85546875" style="55" customWidth="1"/>
    <col min="48" max="48" width="55.140625" style="55" customWidth="1"/>
    <col min="49" max="51" width="17" style="55" customWidth="1"/>
    <col min="52" max="52" width="6.85546875" style="5" customWidth="1"/>
    <col min="53" max="53" width="37.28515625" style="5" customWidth="1"/>
    <col min="54" max="54" width="6.42578125" style="5" customWidth="1"/>
    <col min="55" max="55" width="18" style="5" customWidth="1"/>
    <col min="56" max="56" width="6" style="5" customWidth="1"/>
    <col min="57" max="57" width="35.42578125" style="5" customWidth="1"/>
    <col min="58" max="58" width="14.42578125" style="5" customWidth="1"/>
    <col min="59" max="59" width="16.140625" style="5" customWidth="1"/>
    <col min="60" max="60" width="18.85546875" style="5" customWidth="1"/>
    <col min="61" max="61" width="6.85546875" style="5" customWidth="1"/>
    <col min="62" max="62" width="69" style="5" customWidth="1"/>
    <col min="63" max="65" width="19.85546875" style="5" customWidth="1"/>
    <col min="66" max="66" width="5.42578125" customWidth="1"/>
    <col min="67" max="67" width="44.140625" customWidth="1"/>
    <col min="68" max="68" width="21.140625" style="5" customWidth="1"/>
    <col min="69" max="69" width="11.42578125" style="5" customWidth="1"/>
    <col min="70" max="70" width="21.140625" style="5" customWidth="1"/>
    <col min="71" max="71" width="6.85546875" style="5" customWidth="1"/>
    <col min="72" max="72" width="84.140625" style="5" bestFit="1" customWidth="1"/>
    <col min="73" max="77" width="16.42578125" style="5" customWidth="1"/>
    <col min="78" max="78" width="6.42578125" style="5" customWidth="1"/>
    <col min="79" max="79" width="71" style="5" customWidth="1"/>
    <col min="80" max="80" width="16.42578125" style="5" customWidth="1"/>
    <col min="81" max="81" width="73.140625" style="5" bestFit="1" customWidth="1"/>
    <col min="82" max="82" width="16.42578125" style="5" customWidth="1"/>
    <col min="83" max="83" width="5.42578125" style="5" customWidth="1"/>
    <col min="84" max="84" width="39.42578125" style="5" customWidth="1"/>
    <col min="85" max="85" width="5.85546875" style="5" customWidth="1"/>
    <col min="86" max="86" width="6.42578125" style="5" customWidth="1"/>
    <col min="87" max="87" width="16.42578125" style="5" customWidth="1"/>
    <col min="88" max="88" width="7.85546875" style="5" customWidth="1"/>
    <col min="89" max="89" width="49.140625" style="5" customWidth="1"/>
    <col min="90" max="92" width="16.42578125" style="5" customWidth="1"/>
    <col min="93" max="93" width="5.85546875" style="5" customWidth="1"/>
    <col min="94" max="94" width="52.28515625" style="5" customWidth="1"/>
    <col min="95" max="96" width="13.28515625" style="5" customWidth="1"/>
    <col min="97" max="97" width="17.85546875" style="5" customWidth="1"/>
    <col min="98" max="98" width="6.85546875" style="58" customWidth="1"/>
    <col min="99" max="99" width="45.85546875" style="5" customWidth="1"/>
    <col min="100" max="100" width="23.7109375" style="5" bestFit="1" customWidth="1"/>
    <col min="101" max="101" width="23.28515625" style="5" customWidth="1"/>
    <col min="102" max="105" width="23.85546875" style="5" customWidth="1"/>
    <col min="106" max="106" width="17" style="5" customWidth="1"/>
    <col min="107" max="107" width="18.42578125" style="5" customWidth="1"/>
    <col min="108" max="108" width="24.85546875" style="5" customWidth="1"/>
    <col min="109" max="109" width="21.140625" style="5" bestFit="1" customWidth="1"/>
    <col min="110" max="110" width="15.28515625" style="5" bestFit="1" customWidth="1"/>
    <col min="111" max="111" width="18" style="5" customWidth="1"/>
    <col min="112" max="112" width="5.85546875" style="5" customWidth="1"/>
    <col min="113" max="113" width="38.42578125" style="5" customWidth="1"/>
    <col min="114" max="114" width="15" style="5" bestFit="1" customWidth="1"/>
    <col min="115" max="115" width="14.140625" style="5" bestFit="1" customWidth="1"/>
    <col min="116" max="116" width="19.140625" style="5" customWidth="1"/>
    <col min="117" max="120" width="23" style="5" customWidth="1"/>
    <col min="121" max="121" width="19.7109375" style="5" bestFit="1" customWidth="1"/>
    <col min="122" max="122" width="5.85546875" style="5" customWidth="1"/>
    <col min="123" max="123" width="46.42578125" style="5" bestFit="1" customWidth="1"/>
    <col min="124" max="124" width="19.85546875" style="5" bestFit="1" customWidth="1"/>
    <col min="125" max="125" width="19.7109375" style="5" bestFit="1" customWidth="1"/>
    <col min="126" max="126" width="19.85546875" style="5" bestFit="1" customWidth="1"/>
    <col min="127" max="128" width="19" bestFit="1" customWidth="1"/>
    <col min="135" max="136" width="21.140625" style="5"/>
    <col min="137" max="137" width="6.140625" style="5" customWidth="1"/>
    <col min="138" max="138" width="60.85546875" style="5" bestFit="1" customWidth="1"/>
    <col min="139" max="139" width="19.85546875" style="5" customWidth="1"/>
    <col min="140" max="140" width="19.42578125" style="5" customWidth="1"/>
    <col min="141" max="141" width="16.28515625" style="5" bestFit="1" customWidth="1"/>
    <col min="142" max="16384" width="21.140625" style="5"/>
  </cols>
  <sheetData>
    <row r="1" spans="1:129" s="75" customFormat="1" ht="15" customHeight="1" x14ac:dyDescent="0.25">
      <c r="G1" s="444">
        <f>ROUND(-CW47+G49,0)</f>
        <v>0</v>
      </c>
      <c r="L1" s="444">
        <f>ROUND(-CX47+L40,0)</f>
        <v>0</v>
      </c>
      <c r="O1" s="444">
        <f>ROUND(-CY47+O29,0)</f>
        <v>0</v>
      </c>
      <c r="S1" s="444">
        <f>ROUND(-CZ47-S27+S24,0)</f>
        <v>0</v>
      </c>
      <c r="X1" s="444">
        <f>ROUND(-DA47+X50,0)</f>
        <v>0</v>
      </c>
      <c r="AB1" s="444">
        <f>ROUND(-DB47+AB31,0)</f>
        <v>0</v>
      </c>
      <c r="AK1" s="444">
        <f>ROUND(-DC47+AK29,0)</f>
        <v>0</v>
      </c>
      <c r="AP1" s="444">
        <f>ROUND(-DD47+AP20,0)</f>
        <v>0</v>
      </c>
      <c r="AT1" s="444">
        <f>ROUND(-DE47+AT26,0)</f>
        <v>0</v>
      </c>
      <c r="AY1" s="444">
        <f>ROUND(-DF47+AY20,0)</f>
        <v>0</v>
      </c>
      <c r="BC1" s="444">
        <f>ROUND(-DG47+BC15,0)</f>
        <v>0</v>
      </c>
      <c r="BH1" s="444">
        <f>ROUND(-DJ47+BH19,0)</f>
        <v>0</v>
      </c>
      <c r="BM1" s="444">
        <f>ROUND(-DK47+BM19,0)</f>
        <v>0</v>
      </c>
      <c r="BR1" s="444">
        <f>ROUND(-DL47+BR20,0)</f>
        <v>0</v>
      </c>
      <c r="BY1" s="444">
        <f>ROUND(-DM47+BY30,0)</f>
        <v>0</v>
      </c>
      <c r="CD1" s="444">
        <f>ROUND(-DN47+CD24,0)</f>
        <v>0</v>
      </c>
      <c r="CI1" s="444">
        <f>ROUND(-DO47+CI25,0)</f>
        <v>0</v>
      </c>
      <c r="CN1" s="444">
        <f>ROUND(-DP47+CN24,0)</f>
        <v>0</v>
      </c>
      <c r="DW1"/>
      <c r="DX1"/>
      <c r="DY1"/>
    </row>
    <row r="2" spans="1:129" ht="15" customHeight="1" thickBot="1" x14ac:dyDescent="0.3">
      <c r="A2" s="59"/>
      <c r="B2" s="59"/>
      <c r="C2" s="59"/>
      <c r="D2" s="59"/>
      <c r="E2" s="59"/>
      <c r="F2" s="59"/>
      <c r="G2" s="1"/>
      <c r="L2" s="1"/>
      <c r="O2" s="1"/>
      <c r="S2" s="1"/>
      <c r="X2" s="1"/>
      <c r="AP2" s="1"/>
      <c r="AT2" s="1"/>
      <c r="AY2" s="1"/>
      <c r="BC2" s="1"/>
      <c r="BH2" s="1"/>
      <c r="BI2" s="1"/>
      <c r="BJ2" s="1"/>
      <c r="BK2" s="1"/>
      <c r="BL2" s="1"/>
      <c r="BM2" s="1"/>
      <c r="BN2" s="5"/>
      <c r="BO2" s="5"/>
      <c r="BR2" s="1"/>
      <c r="BS2" s="1"/>
      <c r="BT2" s="1"/>
      <c r="BU2" s="1"/>
      <c r="BV2" s="1"/>
      <c r="BW2" s="1"/>
      <c r="BX2" s="1"/>
      <c r="BY2" s="1"/>
      <c r="CD2" s="1"/>
      <c r="CI2" s="1"/>
      <c r="CJ2" s="1"/>
      <c r="CK2" s="1"/>
      <c r="CL2" s="1"/>
      <c r="CM2" s="1"/>
      <c r="CN2" s="1"/>
      <c r="CO2" s="59"/>
      <c r="CP2" s="59"/>
      <c r="CQ2" s="59"/>
      <c r="CR2" s="59"/>
      <c r="CS2" s="1"/>
      <c r="CW2" s="281"/>
      <c r="CX2" s="281"/>
      <c r="CY2" s="281"/>
      <c r="CZ2" s="281"/>
      <c r="DA2" s="281"/>
      <c r="DB2" s="281"/>
      <c r="DC2" s="281"/>
      <c r="DD2" s="281"/>
      <c r="DE2" s="281"/>
      <c r="DF2" s="281"/>
      <c r="DG2" s="281"/>
      <c r="DH2" s="281"/>
      <c r="DI2" s="281"/>
      <c r="DJ2" s="281"/>
      <c r="DK2" s="281"/>
      <c r="DL2" s="281"/>
      <c r="DM2" s="281"/>
      <c r="DN2" s="281"/>
      <c r="DO2" s="281"/>
      <c r="DP2" s="281"/>
      <c r="DQ2" s="281"/>
    </row>
    <row r="3" spans="1:129" s="59" customFormat="1" ht="15" customHeight="1" thickTop="1" thickBot="1" x14ac:dyDescent="0.3">
      <c r="G3" s="438">
        <f>CW12</f>
        <v>3.01</v>
      </c>
      <c r="H3" s="26"/>
      <c r="I3" s="26"/>
      <c r="J3" s="26"/>
      <c r="K3" s="26"/>
      <c r="L3" s="438">
        <f>CX12</f>
        <v>3.0199999999999996</v>
      </c>
      <c r="M3" s="282"/>
      <c r="N3" s="282"/>
      <c r="O3" s="438">
        <f>CY12</f>
        <v>3.0299999999999994</v>
      </c>
      <c r="P3" s="282"/>
      <c r="Q3" s="282"/>
      <c r="R3" s="282"/>
      <c r="S3" s="438">
        <f>CZ12</f>
        <v>3.0399999999999991</v>
      </c>
      <c r="T3" s="282"/>
      <c r="U3" s="282"/>
      <c r="V3" s="282"/>
      <c r="X3" s="438">
        <f>DA12</f>
        <v>3.0499999999999989</v>
      </c>
      <c r="Z3" s="5"/>
      <c r="AB3" s="438">
        <f>DB12</f>
        <v>3.0599999999999987</v>
      </c>
      <c r="AK3" s="438">
        <f>DC12</f>
        <v>3.0699999999999985</v>
      </c>
      <c r="AN3" s="122"/>
      <c r="AP3" s="438">
        <f>DD12</f>
        <v>3.0799999999999983</v>
      </c>
      <c r="AQ3" s="59" t="s">
        <v>59</v>
      </c>
      <c r="AT3" s="438">
        <f>DE12</f>
        <v>3.0899999999999981</v>
      </c>
      <c r="AU3" s="123"/>
      <c r="AV3" s="123"/>
      <c r="AW3" s="123"/>
      <c r="AX3" s="123"/>
      <c r="AY3" s="438">
        <f>DF12</f>
        <v>3.0999999999999979</v>
      </c>
      <c r="BC3" s="438">
        <f>DG12</f>
        <v>3.1099999999999977</v>
      </c>
      <c r="BF3" s="122"/>
      <c r="BH3" s="438">
        <f>DJ12</f>
        <v>3.1199999999999974</v>
      </c>
      <c r="BK3" s="122"/>
      <c r="BM3" s="438">
        <f>DK12</f>
        <v>3.1299999999999972</v>
      </c>
      <c r="BN3" s="26"/>
      <c r="BO3" s="1"/>
      <c r="BP3" s="1"/>
      <c r="BQ3" s="1"/>
      <c r="BR3" s="438">
        <f>DL12</f>
        <v>3.139999999999997</v>
      </c>
      <c r="BT3" s="181"/>
      <c r="BU3" s="181"/>
      <c r="BV3" s="181"/>
      <c r="BW3" s="181"/>
      <c r="BX3" s="181"/>
      <c r="BY3" s="438">
        <f>DM12</f>
        <v>3.1499999999999968</v>
      </c>
      <c r="CA3" s="120"/>
      <c r="CC3" s="121"/>
      <c r="CD3" s="438">
        <f>DN12</f>
        <v>3.1599999999999966</v>
      </c>
      <c r="CI3" s="438">
        <f>DO12</f>
        <v>3.1699999999999964</v>
      </c>
      <c r="CK3" s="181"/>
      <c r="CL3" s="181"/>
      <c r="CM3" s="181"/>
      <c r="CN3" s="438">
        <f>DP12</f>
        <v>3.1799999999999962</v>
      </c>
      <c r="CS3" s="439" t="s">
        <v>350</v>
      </c>
      <c r="DG3" s="34" t="s">
        <v>351</v>
      </c>
      <c r="DQ3" s="34" t="s">
        <v>352</v>
      </c>
      <c r="DV3" s="15" t="s">
        <v>353</v>
      </c>
      <c r="DW3"/>
      <c r="DX3"/>
      <c r="DY3"/>
    </row>
    <row r="4" spans="1:129" s="59" customFormat="1" ht="15" customHeight="1" x14ac:dyDescent="0.25">
      <c r="A4" s="124" t="s">
        <v>127</v>
      </c>
      <c r="B4" s="14"/>
      <c r="C4" s="14"/>
      <c r="D4" s="14"/>
      <c r="E4" s="13"/>
      <c r="F4" s="125"/>
      <c r="G4" s="16"/>
      <c r="H4" s="14" t="s">
        <v>127</v>
      </c>
      <c r="I4" s="13"/>
      <c r="J4" s="13"/>
      <c r="K4" s="13"/>
      <c r="L4" s="13"/>
      <c r="M4" s="14" t="str">
        <f>PSPL</f>
        <v>PUGET SOUND ENERGY-ELECTRIC</v>
      </c>
      <c r="N4" s="13"/>
      <c r="O4" s="39"/>
      <c r="P4" s="14" t="str">
        <f>PSPL</f>
        <v>PUGET SOUND ENERGY-ELECTRIC</v>
      </c>
      <c r="Q4" s="13"/>
      <c r="R4" s="13"/>
      <c r="S4" s="13"/>
      <c r="T4" s="14" t="str">
        <f>PSPL</f>
        <v>PUGET SOUND ENERGY-ELECTRIC</v>
      </c>
      <c r="U4" s="13"/>
      <c r="V4" s="13"/>
      <c r="W4" s="13"/>
      <c r="X4" s="13"/>
      <c r="Y4" s="14" t="str">
        <f>PSPL</f>
        <v>PUGET SOUND ENERGY-ELECTRIC</v>
      </c>
      <c r="Z4" s="13"/>
      <c r="AA4" s="13"/>
      <c r="AB4" s="13"/>
      <c r="AC4" s="14" t="str">
        <f>PSPL</f>
        <v>PUGET SOUND ENERGY-ELECTRIC</v>
      </c>
      <c r="AD4" s="13"/>
      <c r="AE4" s="13"/>
      <c r="AF4" s="13"/>
      <c r="AG4" s="13"/>
      <c r="AH4" s="13"/>
      <c r="AI4" s="13"/>
      <c r="AJ4" s="13"/>
      <c r="AK4" s="13"/>
      <c r="AL4" s="14" t="str">
        <f>PSPL</f>
        <v>PUGET SOUND ENERGY-ELECTRIC</v>
      </c>
      <c r="AM4" s="21"/>
      <c r="AN4" s="126"/>
      <c r="AO4" s="13"/>
      <c r="AP4" s="13"/>
      <c r="AQ4" s="127" t="str">
        <f>PSPL</f>
        <v>PUGET SOUND ENERGY-ELECTRIC</v>
      </c>
      <c r="AR4" s="127"/>
      <c r="AS4" s="127"/>
      <c r="AT4" s="127"/>
      <c r="AU4" s="14" t="str">
        <f>PSPL</f>
        <v>PUGET SOUND ENERGY-ELECTRIC</v>
      </c>
      <c r="AV4" s="13"/>
      <c r="AW4" s="13"/>
      <c r="AX4" s="13"/>
      <c r="AY4" s="35"/>
      <c r="AZ4" s="13" t="str">
        <f>PSPL</f>
        <v>PUGET SOUND ENERGY-ELECTRIC</v>
      </c>
      <c r="BA4" s="13"/>
      <c r="BB4" s="13"/>
      <c r="BC4" s="13"/>
      <c r="BD4" s="14" t="str">
        <f>PSPL</f>
        <v>PUGET SOUND ENERGY-ELECTRIC</v>
      </c>
      <c r="BE4" s="21"/>
      <c r="BF4" s="126"/>
      <c r="BG4" s="13"/>
      <c r="BH4" s="13"/>
      <c r="BI4" s="14" t="str">
        <f>PSPL</f>
        <v>PUGET SOUND ENERGY-ELECTRIC</v>
      </c>
      <c r="BJ4" s="21"/>
      <c r="BK4" s="126"/>
      <c r="BL4" s="13"/>
      <c r="BM4" s="13"/>
      <c r="BN4" s="14" t="str">
        <f>PSPL</f>
        <v>PUGET SOUND ENERGY-ELECTRIC</v>
      </c>
      <c r="BO4" s="13"/>
      <c r="BP4" s="13"/>
      <c r="BQ4" s="13"/>
      <c r="BR4" s="13"/>
      <c r="BS4" s="14" t="str">
        <f>PSPL</f>
        <v>PUGET SOUND ENERGY-ELECTRIC</v>
      </c>
      <c r="BT4" s="13"/>
      <c r="BU4" s="13"/>
      <c r="BV4" s="13"/>
      <c r="BW4" s="13"/>
      <c r="BX4" s="13"/>
      <c r="BY4" s="13"/>
      <c r="BZ4" s="14" t="str">
        <f>PSPL</f>
        <v>PUGET SOUND ENERGY-ELECTRIC</v>
      </c>
      <c r="CA4" s="14"/>
      <c r="CB4" s="14"/>
      <c r="CC4" s="14"/>
      <c r="CD4" s="14"/>
      <c r="CE4" s="14" t="str">
        <f>PSPL</f>
        <v>PUGET SOUND ENERGY-ELECTRIC</v>
      </c>
      <c r="CF4" s="13"/>
      <c r="CG4" s="13"/>
      <c r="CH4" s="13"/>
      <c r="CI4" s="13"/>
      <c r="CJ4" s="14" t="str">
        <f>PSPL</f>
        <v>PUGET SOUND ENERGY-ELECTRIC</v>
      </c>
      <c r="CK4" s="13"/>
      <c r="CL4" s="13"/>
      <c r="CM4" s="13"/>
      <c r="CN4" s="13"/>
      <c r="CO4" s="14" t="str">
        <f>PSPL</f>
        <v>PUGET SOUND ENERGY-ELECTRIC</v>
      </c>
      <c r="CP4" s="13"/>
      <c r="CQ4" s="13"/>
      <c r="CR4" s="13"/>
      <c r="CS4" s="35"/>
      <c r="CT4" s="14" t="str">
        <f>PSPL</f>
        <v>PUGET SOUND ENERGY-ELECTRIC</v>
      </c>
      <c r="CU4" s="21"/>
      <c r="CV4" s="21"/>
      <c r="CW4" s="13"/>
      <c r="CX4" s="13"/>
      <c r="CY4" s="13"/>
      <c r="CZ4" s="13"/>
      <c r="DA4" s="13"/>
      <c r="DB4" s="21"/>
      <c r="DC4" s="21"/>
      <c r="DD4" s="21"/>
      <c r="DE4" s="21"/>
      <c r="DF4" s="21"/>
      <c r="DG4" s="21"/>
      <c r="DH4" s="14" t="str">
        <f>PSPL</f>
        <v>PUGET SOUND ENERGY-ELECTRIC</v>
      </c>
      <c r="DI4" s="21"/>
      <c r="DJ4" s="21"/>
      <c r="DK4" s="21"/>
      <c r="DL4" s="21"/>
      <c r="DM4" s="21"/>
      <c r="DN4" s="21"/>
      <c r="DO4" s="21"/>
      <c r="DP4" s="21"/>
      <c r="DQ4" s="21"/>
      <c r="DR4" s="23" t="s">
        <v>58</v>
      </c>
      <c r="DS4" s="13"/>
      <c r="DT4" s="13"/>
      <c r="DW4"/>
      <c r="DX4"/>
      <c r="DY4"/>
    </row>
    <row r="5" spans="1:129" s="59" customFormat="1" ht="15" customHeight="1" x14ac:dyDescent="0.25">
      <c r="A5" s="187" t="s">
        <v>215</v>
      </c>
      <c r="B5" s="188"/>
      <c r="C5" s="188"/>
      <c r="D5" s="188"/>
      <c r="E5" s="189"/>
      <c r="F5" s="190"/>
      <c r="G5" s="191"/>
      <c r="H5" s="188" t="s">
        <v>188</v>
      </c>
      <c r="I5" s="191"/>
      <c r="J5" s="191"/>
      <c r="K5" s="191"/>
      <c r="L5" s="191"/>
      <c r="M5" s="189" t="s">
        <v>130</v>
      </c>
      <c r="N5" s="189"/>
      <c r="O5" s="192"/>
      <c r="P5" s="189" t="s">
        <v>148</v>
      </c>
      <c r="Q5" s="189"/>
      <c r="R5" s="189"/>
      <c r="S5" s="191"/>
      <c r="T5" s="189" t="s">
        <v>189</v>
      </c>
      <c r="U5" s="13"/>
      <c r="V5" s="189"/>
      <c r="W5" s="191"/>
      <c r="X5" s="188"/>
      <c r="Y5" s="188" t="s">
        <v>219</v>
      </c>
      <c r="Z5" s="189"/>
      <c r="AA5" s="189"/>
      <c r="AB5" s="191"/>
      <c r="AC5" s="189" t="s">
        <v>61</v>
      </c>
      <c r="AD5" s="189"/>
      <c r="AE5" s="189"/>
      <c r="AF5" s="189"/>
      <c r="AG5" s="13"/>
      <c r="AH5" s="189"/>
      <c r="AI5" s="189"/>
      <c r="AJ5" s="191"/>
      <c r="AK5" s="191"/>
      <c r="AL5" s="189" t="s">
        <v>199</v>
      </c>
      <c r="AM5" s="193"/>
      <c r="AN5" s="194"/>
      <c r="AO5" s="189"/>
      <c r="AP5" s="191"/>
      <c r="AQ5" s="195" t="s">
        <v>190</v>
      </c>
      <c r="AR5" s="195"/>
      <c r="AS5" s="195"/>
      <c r="AT5" s="195"/>
      <c r="AU5" s="189" t="s">
        <v>131</v>
      </c>
      <c r="AV5" s="189"/>
      <c r="AW5" s="189"/>
      <c r="AX5" s="189"/>
      <c r="AY5" s="191"/>
      <c r="AZ5" s="188" t="s">
        <v>132</v>
      </c>
      <c r="BA5" s="189"/>
      <c r="BB5" s="189"/>
      <c r="BC5" s="189"/>
      <c r="BD5" s="189" t="s">
        <v>154</v>
      </c>
      <c r="BE5" s="193"/>
      <c r="BF5" s="194"/>
      <c r="BG5" s="189"/>
      <c r="BH5" s="191"/>
      <c r="BI5" s="189" t="s">
        <v>222</v>
      </c>
      <c r="BJ5" s="193"/>
      <c r="BK5" s="194"/>
      <c r="BL5" s="189"/>
      <c r="BM5" s="191"/>
      <c r="BN5" s="189" t="s">
        <v>228</v>
      </c>
      <c r="BO5" s="191"/>
      <c r="BP5" s="191"/>
      <c r="BQ5" s="191"/>
      <c r="BR5" s="191"/>
      <c r="BS5" s="189" t="s">
        <v>312</v>
      </c>
      <c r="BT5" s="191"/>
      <c r="BU5" s="191"/>
      <c r="BV5" s="191"/>
      <c r="BW5" s="191"/>
      <c r="BX5" s="191"/>
      <c r="BY5" s="191"/>
      <c r="BZ5" s="188" t="s">
        <v>60</v>
      </c>
      <c r="CA5" s="188"/>
      <c r="CB5" s="188"/>
      <c r="CC5" s="188"/>
      <c r="CD5" s="188"/>
      <c r="CE5" s="189" t="s">
        <v>191</v>
      </c>
      <c r="CF5" s="189"/>
      <c r="CG5" s="189"/>
      <c r="CH5" s="189"/>
      <c r="CI5" s="191"/>
      <c r="CJ5" s="189" t="s">
        <v>238</v>
      </c>
      <c r="CK5" s="191"/>
      <c r="CL5" s="191"/>
      <c r="CM5" s="191"/>
      <c r="CN5" s="191"/>
      <c r="CO5" s="189" t="s">
        <v>62</v>
      </c>
      <c r="CP5" s="189"/>
      <c r="CQ5" s="189"/>
      <c r="CR5" s="189"/>
      <c r="CS5" s="189"/>
      <c r="CT5" s="14" t="s">
        <v>117</v>
      </c>
      <c r="CU5" s="21"/>
      <c r="CV5" s="21"/>
      <c r="CW5" s="13"/>
      <c r="CX5" s="13"/>
      <c r="CY5" s="13"/>
      <c r="CZ5" s="13"/>
      <c r="DA5" s="13"/>
      <c r="DB5" s="21"/>
      <c r="DC5" s="21"/>
      <c r="DD5" s="21"/>
      <c r="DE5" s="21"/>
      <c r="DF5" s="21"/>
      <c r="DG5" s="21"/>
      <c r="DH5" s="14" t="s">
        <v>117</v>
      </c>
      <c r="DI5" s="21"/>
      <c r="DJ5" s="21"/>
      <c r="DK5" s="21"/>
      <c r="DL5" s="21"/>
      <c r="DM5" s="21"/>
      <c r="DN5" s="21"/>
      <c r="DO5" s="21"/>
      <c r="DP5" s="21"/>
      <c r="DQ5" s="21"/>
      <c r="DR5" s="14" t="str">
        <f>PSPL</f>
        <v>PUGET SOUND ENERGY-ELECTRIC</v>
      </c>
      <c r="DS5" s="13"/>
      <c r="DT5" s="16"/>
      <c r="DU5" s="13"/>
      <c r="DV5" s="13"/>
      <c r="DW5"/>
      <c r="DX5"/>
      <c r="DY5"/>
    </row>
    <row r="6" spans="1:129" s="59" customFormat="1" ht="15" customHeight="1" x14ac:dyDescent="0.25">
      <c r="A6" s="13" t="s">
        <v>382</v>
      </c>
      <c r="B6" s="14"/>
      <c r="C6" s="14"/>
      <c r="D6" s="14"/>
      <c r="E6" s="13"/>
      <c r="F6" s="17"/>
      <c r="G6" s="17"/>
      <c r="H6" s="13" t="str">
        <f>TESTYEAR</f>
        <v>FOR THE TWELVE MONTHS ENDED DECEMBER 31, 2019</v>
      </c>
      <c r="I6" s="17"/>
      <c r="J6" s="17"/>
      <c r="K6" s="17"/>
      <c r="L6" s="17"/>
      <c r="M6" s="13" t="str">
        <f>TESTYEAR</f>
        <v>FOR THE TWELVE MONTHS ENDED DECEMBER 31, 2019</v>
      </c>
      <c r="N6" s="13"/>
      <c r="O6" s="39"/>
      <c r="P6" s="13" t="str">
        <f>TESTYEAR</f>
        <v>FOR THE TWELVE MONTHS ENDED DECEMBER 31, 2019</v>
      </c>
      <c r="Q6" s="13"/>
      <c r="R6" s="13"/>
      <c r="S6" s="17"/>
      <c r="T6" s="13" t="str">
        <f>TESTYEAR</f>
        <v>FOR THE TWELVE MONTHS ENDED DECEMBER 31, 2019</v>
      </c>
      <c r="U6" s="13"/>
      <c r="V6" s="14"/>
      <c r="W6" s="14"/>
      <c r="X6" s="14"/>
      <c r="Y6" s="13" t="str">
        <f>TESTYEAR</f>
        <v>FOR THE TWELVE MONTHS ENDED DECEMBER 31, 2019</v>
      </c>
      <c r="Z6" s="14"/>
      <c r="AA6" s="13"/>
      <c r="AB6" s="17"/>
      <c r="AC6" s="13" t="str">
        <f>TESTYEAR</f>
        <v>FOR THE TWELVE MONTHS ENDED DECEMBER 31, 2019</v>
      </c>
      <c r="AD6" s="13"/>
      <c r="AE6" s="13"/>
      <c r="AF6" s="13"/>
      <c r="AG6" s="13"/>
      <c r="AH6" s="13"/>
      <c r="AI6" s="13"/>
      <c r="AJ6" s="17"/>
      <c r="AK6" s="17"/>
      <c r="AL6" s="13" t="str">
        <f>TESTYEAR</f>
        <v>FOR THE TWELVE MONTHS ENDED DECEMBER 31, 2019</v>
      </c>
      <c r="AM6" s="21"/>
      <c r="AN6" s="126"/>
      <c r="AO6" s="13"/>
      <c r="AP6" s="17"/>
      <c r="AQ6" s="128" t="str">
        <f>TESTYEAR</f>
        <v>FOR THE TWELVE MONTHS ENDED DECEMBER 31, 2019</v>
      </c>
      <c r="AR6" s="128"/>
      <c r="AS6" s="128"/>
      <c r="AT6" s="128"/>
      <c r="AU6" s="13" t="str">
        <f>TESTYEAR</f>
        <v>FOR THE TWELVE MONTHS ENDED DECEMBER 31, 2019</v>
      </c>
      <c r="AV6" s="13"/>
      <c r="AW6" s="13"/>
      <c r="AX6" s="13"/>
      <c r="AY6" s="17"/>
      <c r="AZ6" s="14" t="str">
        <f>TESTYEAR</f>
        <v>FOR THE TWELVE MONTHS ENDED DECEMBER 31, 2019</v>
      </c>
      <c r="BA6" s="13"/>
      <c r="BB6" s="13"/>
      <c r="BC6" s="13"/>
      <c r="BD6" s="13" t="str">
        <f>TESTYEAR</f>
        <v>FOR THE TWELVE MONTHS ENDED DECEMBER 31, 2019</v>
      </c>
      <c r="BE6" s="21"/>
      <c r="BF6" s="126"/>
      <c r="BG6" s="13"/>
      <c r="BH6" s="17"/>
      <c r="BI6" s="13" t="str">
        <f>TESTYEAR</f>
        <v>FOR THE TWELVE MONTHS ENDED DECEMBER 31, 2019</v>
      </c>
      <c r="BJ6" s="21"/>
      <c r="BK6" s="126"/>
      <c r="BL6" s="13"/>
      <c r="BM6" s="17"/>
      <c r="BN6" s="13" t="str">
        <f>TESTYEAR</f>
        <v>FOR THE TWELVE MONTHS ENDED DECEMBER 31, 2019</v>
      </c>
      <c r="BO6" s="17"/>
      <c r="BP6" s="17"/>
      <c r="BQ6" s="17"/>
      <c r="BR6" s="17"/>
      <c r="BS6" s="13" t="str">
        <f>TESTYEAR</f>
        <v>FOR THE TWELVE MONTHS ENDED DECEMBER 31, 2019</v>
      </c>
      <c r="BT6" s="17"/>
      <c r="BU6" s="17"/>
      <c r="BV6" s="17"/>
      <c r="BW6" s="17"/>
      <c r="BX6" s="17"/>
      <c r="BY6" s="17"/>
      <c r="BZ6" s="13" t="str">
        <f>TESTYEAR</f>
        <v>FOR THE TWELVE MONTHS ENDED DECEMBER 31, 2019</v>
      </c>
      <c r="CA6" s="13"/>
      <c r="CB6" s="13"/>
      <c r="CC6" s="13"/>
      <c r="CD6" s="13"/>
      <c r="CE6" s="13" t="str">
        <f>TESTYEAR</f>
        <v>FOR THE TWELVE MONTHS ENDED DECEMBER 31, 2019</v>
      </c>
      <c r="CF6" s="13"/>
      <c r="CG6" s="13"/>
      <c r="CH6" s="13"/>
      <c r="CI6" s="17"/>
      <c r="CJ6" s="13" t="str">
        <f>TESTYEAR</f>
        <v>FOR THE TWELVE MONTHS ENDED DECEMBER 31, 2019</v>
      </c>
      <c r="CK6" s="17"/>
      <c r="CL6" s="17"/>
      <c r="CM6" s="17"/>
      <c r="CN6" s="17"/>
      <c r="CO6" s="13" t="str">
        <f>TESTYEAR</f>
        <v>FOR THE TWELVE MONTHS ENDED DECEMBER 31, 2019</v>
      </c>
      <c r="CP6" s="13"/>
      <c r="CQ6" s="13"/>
      <c r="CR6" s="13"/>
      <c r="CS6" s="13"/>
      <c r="CT6" s="13" t="str">
        <f>TESTYEAR</f>
        <v>FOR THE TWELVE MONTHS ENDED DECEMBER 31, 2019</v>
      </c>
      <c r="CU6" s="21"/>
      <c r="CV6" s="21"/>
      <c r="CW6" s="13"/>
      <c r="CX6" s="13"/>
      <c r="CY6" s="13"/>
      <c r="CZ6" s="13"/>
      <c r="DA6" s="13"/>
      <c r="DB6" s="21"/>
      <c r="DC6" s="21"/>
      <c r="DD6" s="21"/>
      <c r="DE6" s="21"/>
      <c r="DF6" s="21"/>
      <c r="DG6" s="21"/>
      <c r="DH6" s="13" t="str">
        <f>TESTYEAR</f>
        <v>FOR THE TWELVE MONTHS ENDED DECEMBER 31, 2019</v>
      </c>
      <c r="DI6" s="21"/>
      <c r="DJ6" s="21"/>
      <c r="DK6" s="21"/>
      <c r="DL6" s="21"/>
      <c r="DM6" s="21"/>
      <c r="DN6" s="21"/>
      <c r="DO6" s="21"/>
      <c r="DP6" s="21"/>
      <c r="DQ6" s="21"/>
      <c r="DR6" s="14" t="s">
        <v>63</v>
      </c>
      <c r="DS6" s="13"/>
      <c r="DT6" s="17"/>
      <c r="DU6" s="35"/>
      <c r="DV6" s="13"/>
      <c r="DW6"/>
      <c r="DX6"/>
      <c r="DY6"/>
    </row>
    <row r="7" spans="1:129" s="59" customFormat="1" ht="15" customHeight="1" x14ac:dyDescent="0.25">
      <c r="A7" s="14" t="s">
        <v>1</v>
      </c>
      <c r="B7" s="14"/>
      <c r="C7" s="14"/>
      <c r="D7" s="14"/>
      <c r="E7" s="13"/>
      <c r="F7" s="13"/>
      <c r="G7" s="13"/>
      <c r="H7" s="14" t="s">
        <v>1</v>
      </c>
      <c r="I7" s="13"/>
      <c r="J7" s="13"/>
      <c r="K7" s="13"/>
      <c r="L7" s="13"/>
      <c r="M7" s="13" t="str">
        <f>DOCKET</f>
        <v>COMMISSION BASIS REPORT</v>
      </c>
      <c r="N7" s="14"/>
      <c r="O7" s="39"/>
      <c r="P7" s="14" t="str">
        <f>DOCKET</f>
        <v>COMMISSION BASIS REPORT</v>
      </c>
      <c r="Q7" s="13"/>
      <c r="R7" s="13"/>
      <c r="S7" s="17"/>
      <c r="T7" s="14" t="str">
        <f>DOCKET</f>
        <v>COMMISSION BASIS REPORT</v>
      </c>
      <c r="U7" s="13"/>
      <c r="V7" s="14"/>
      <c r="W7" s="14"/>
      <c r="X7" s="14"/>
      <c r="Y7" s="13" t="str">
        <f>DOCKET</f>
        <v>COMMISSION BASIS REPORT</v>
      </c>
      <c r="Z7" s="14"/>
      <c r="AA7" s="13"/>
      <c r="AB7" s="13"/>
      <c r="AC7" s="13" t="str">
        <f>DOCKET</f>
        <v>COMMISSION BASIS REPORT</v>
      </c>
      <c r="AD7" s="13"/>
      <c r="AE7" s="13"/>
      <c r="AF7" s="13"/>
      <c r="AG7" s="13"/>
      <c r="AH7" s="13"/>
      <c r="AI7" s="13"/>
      <c r="AJ7" s="17"/>
      <c r="AK7" s="17"/>
      <c r="AL7" s="13" t="str">
        <f>DOCKET</f>
        <v>COMMISSION BASIS REPORT</v>
      </c>
      <c r="AM7" s="21"/>
      <c r="AN7" s="126"/>
      <c r="AO7" s="13"/>
      <c r="AP7" s="13"/>
      <c r="AQ7" s="128" t="str">
        <f>DOCKET</f>
        <v>COMMISSION BASIS REPORT</v>
      </c>
      <c r="AR7" s="128"/>
      <c r="AS7" s="128"/>
      <c r="AT7" s="128"/>
      <c r="AU7" s="14" t="str">
        <f>DOCKET</f>
        <v>COMMISSION BASIS REPORT</v>
      </c>
      <c r="AV7" s="13"/>
      <c r="AW7" s="13"/>
      <c r="AX7" s="14"/>
      <c r="AY7" s="17"/>
      <c r="AZ7" s="14" t="str">
        <f>DOCKET</f>
        <v>COMMISSION BASIS REPORT</v>
      </c>
      <c r="BA7" s="13"/>
      <c r="BB7" s="13"/>
      <c r="BC7" s="13"/>
      <c r="BD7" s="13" t="str">
        <f>DOCKET</f>
        <v>COMMISSION BASIS REPORT</v>
      </c>
      <c r="BE7" s="21"/>
      <c r="BF7" s="126"/>
      <c r="BG7" s="13"/>
      <c r="BH7" s="13"/>
      <c r="BI7" s="13" t="str">
        <f>DOCKET</f>
        <v>COMMISSION BASIS REPORT</v>
      </c>
      <c r="BJ7" s="21"/>
      <c r="BK7" s="126"/>
      <c r="BL7" s="13"/>
      <c r="BM7" s="13"/>
      <c r="BN7" s="13" t="str">
        <f>DOCKET</f>
        <v>COMMISSION BASIS REPORT</v>
      </c>
      <c r="BO7" s="13"/>
      <c r="BP7" s="13"/>
      <c r="BQ7" s="13"/>
      <c r="BR7" s="13"/>
      <c r="BS7" s="13" t="str">
        <f>DOCKET</f>
        <v>COMMISSION BASIS REPORT</v>
      </c>
      <c r="BT7" s="13"/>
      <c r="BU7" s="13"/>
      <c r="BV7" s="13"/>
      <c r="BW7" s="13"/>
      <c r="BX7" s="13"/>
      <c r="BY7" s="13"/>
      <c r="BZ7" s="14" t="str">
        <f>DOCKET</f>
        <v>COMMISSION BASIS REPORT</v>
      </c>
      <c r="CA7" s="14"/>
      <c r="CB7" s="14"/>
      <c r="CC7" s="14"/>
      <c r="CD7" s="14"/>
      <c r="CE7" s="13" t="str">
        <f>DOCKET</f>
        <v>COMMISSION BASIS REPORT</v>
      </c>
      <c r="CF7" s="13"/>
      <c r="CG7" s="13"/>
      <c r="CH7" s="13"/>
      <c r="CI7" s="13"/>
      <c r="CJ7" s="13" t="str">
        <f>DOCKET</f>
        <v>COMMISSION BASIS REPORT</v>
      </c>
      <c r="CK7" s="13"/>
      <c r="CL7" s="13"/>
      <c r="CM7" s="13"/>
      <c r="CN7" s="13"/>
      <c r="CO7" s="14" t="str">
        <f>DOCKET</f>
        <v>COMMISSION BASIS REPORT</v>
      </c>
      <c r="CP7" s="13"/>
      <c r="CQ7" s="13"/>
      <c r="CR7" s="13"/>
      <c r="CS7" s="13"/>
      <c r="CT7" s="13" t="str">
        <f>DOCKET</f>
        <v>COMMISSION BASIS REPORT</v>
      </c>
      <c r="CU7" s="21"/>
      <c r="CV7" s="21"/>
      <c r="CW7" s="13"/>
      <c r="CX7" s="13"/>
      <c r="CY7" s="13"/>
      <c r="CZ7" s="13"/>
      <c r="DA7" s="13"/>
      <c r="DB7" s="21"/>
      <c r="DC7" s="21"/>
      <c r="DD7" s="21"/>
      <c r="DE7" s="21"/>
      <c r="DF7" s="21"/>
      <c r="DG7" s="21"/>
      <c r="DH7" s="13" t="str">
        <f>DOCKET</f>
        <v>COMMISSION BASIS REPORT</v>
      </c>
      <c r="DI7" s="21"/>
      <c r="DJ7" s="21"/>
      <c r="DK7" s="21"/>
      <c r="DL7" s="21"/>
      <c r="DM7" s="21"/>
      <c r="DN7" s="21"/>
      <c r="DO7" s="21"/>
      <c r="DP7" s="21"/>
      <c r="DQ7" s="21"/>
      <c r="DR7" s="13" t="str">
        <f>TESTYEAR</f>
        <v>FOR THE TWELVE MONTHS ENDED DECEMBER 31, 2019</v>
      </c>
      <c r="DS7" s="13"/>
      <c r="DT7" s="13"/>
      <c r="DU7" s="35"/>
      <c r="DV7" s="13"/>
      <c r="DW7"/>
      <c r="DX7"/>
      <c r="DY7"/>
    </row>
    <row r="8" spans="1:129" s="59" customFormat="1" ht="15" customHeight="1" x14ac:dyDescent="0.25">
      <c r="F8" s="179"/>
      <c r="N8" s="60"/>
      <c r="O8" s="63"/>
      <c r="Q8" s="60"/>
      <c r="R8" s="27"/>
      <c r="S8" s="27"/>
      <c r="V8" s="60"/>
      <c r="W8" s="60"/>
      <c r="X8" s="60"/>
      <c r="AE8" s="269"/>
      <c r="AF8" s="269"/>
      <c r="AG8" s="269"/>
      <c r="AH8" s="269" t="s">
        <v>195</v>
      </c>
      <c r="AI8" s="269"/>
      <c r="AJ8" s="269"/>
      <c r="AK8" s="269" t="s">
        <v>149</v>
      </c>
      <c r="AL8" s="32"/>
      <c r="AN8" s="122"/>
      <c r="AP8" s="130"/>
      <c r="AR8" s="60"/>
      <c r="AU8" s="123"/>
      <c r="AV8" s="121"/>
      <c r="AW8" s="121"/>
      <c r="AX8" s="123"/>
      <c r="AY8" s="123"/>
      <c r="BD8" s="32"/>
      <c r="BF8" s="122" t="s">
        <v>59</v>
      </c>
      <c r="BH8" s="130"/>
      <c r="BI8" s="32"/>
      <c r="BK8" s="122"/>
      <c r="BM8" s="130"/>
      <c r="BN8" s="27"/>
      <c r="BO8" s="27"/>
      <c r="BP8" s="27"/>
      <c r="BQ8" s="27"/>
      <c r="BR8" s="27"/>
      <c r="BS8" s="130"/>
      <c r="BT8" s="130"/>
      <c r="BU8" s="130"/>
      <c r="BV8" s="130"/>
      <c r="BW8" s="130"/>
      <c r="BX8" s="130"/>
      <c r="BY8" s="130"/>
      <c r="CC8" s="129"/>
      <c r="CF8" s="60"/>
      <c r="CG8" s="60"/>
      <c r="CJ8" s="366"/>
      <c r="CK8" s="367"/>
      <c r="CL8" s="367"/>
      <c r="CM8" s="367"/>
      <c r="CN8" s="367"/>
      <c r="CT8" s="40"/>
      <c r="CW8" s="62"/>
      <c r="CX8" s="62"/>
      <c r="CY8" s="62"/>
      <c r="CZ8" s="62"/>
      <c r="DA8" s="62"/>
      <c r="DB8" s="13"/>
      <c r="DC8" s="13"/>
      <c r="DD8" s="14"/>
      <c r="DE8" s="14"/>
      <c r="DF8" s="14"/>
      <c r="DG8" s="14"/>
      <c r="DH8" s="14"/>
      <c r="DI8" s="14"/>
      <c r="DJ8" s="13"/>
      <c r="DK8" s="13"/>
      <c r="DL8" s="13"/>
      <c r="DM8" s="13"/>
      <c r="DN8" s="13"/>
      <c r="DO8" s="13"/>
      <c r="DP8" s="13"/>
      <c r="DQ8" s="14"/>
      <c r="DR8" s="13" t="str">
        <f>DOCKET</f>
        <v>COMMISSION BASIS REPORT</v>
      </c>
      <c r="DS8" s="13"/>
      <c r="DT8" s="13"/>
      <c r="DU8" s="35"/>
      <c r="DV8" s="13"/>
      <c r="DW8"/>
      <c r="DX8"/>
      <c r="DY8"/>
    </row>
    <row r="9" spans="1:129" s="59" customFormat="1" ht="15" customHeight="1" x14ac:dyDescent="0.25">
      <c r="A9" s="268" t="s">
        <v>65</v>
      </c>
      <c r="B9" s="60"/>
      <c r="C9" s="60"/>
      <c r="D9" s="180"/>
      <c r="G9" s="269"/>
      <c r="H9" s="268" t="s">
        <v>65</v>
      </c>
      <c r="I9" s="269"/>
      <c r="M9" s="268" t="s">
        <v>65</v>
      </c>
      <c r="O9" s="42"/>
      <c r="P9" s="268" t="s">
        <v>65</v>
      </c>
      <c r="S9" s="269" t="s">
        <v>59</v>
      </c>
      <c r="T9" s="269" t="s">
        <v>65</v>
      </c>
      <c r="V9" s="60"/>
      <c r="W9" s="60"/>
      <c r="X9" s="60"/>
      <c r="Y9" s="268" t="s">
        <v>65</v>
      </c>
      <c r="AC9" s="269" t="s">
        <v>65</v>
      </c>
      <c r="AE9" s="269" t="s">
        <v>67</v>
      </c>
      <c r="AF9" s="269" t="s">
        <v>68</v>
      </c>
      <c r="AG9" s="269" t="s">
        <v>69</v>
      </c>
      <c r="AH9" s="269" t="s">
        <v>196</v>
      </c>
      <c r="AI9" s="269" t="s">
        <v>69</v>
      </c>
      <c r="AJ9" s="269" t="s">
        <v>67</v>
      </c>
      <c r="AK9" s="269" t="s">
        <v>153</v>
      </c>
      <c r="AL9" s="32" t="s">
        <v>71</v>
      </c>
      <c r="AN9" s="342"/>
      <c r="AO9" s="341"/>
      <c r="AP9" s="341"/>
      <c r="AQ9" s="269" t="s">
        <v>65</v>
      </c>
      <c r="AU9" s="269" t="s">
        <v>65</v>
      </c>
      <c r="AV9" s="123"/>
      <c r="AW9" s="123"/>
      <c r="AX9" s="123"/>
      <c r="AY9" s="123"/>
      <c r="AZ9" s="268" t="s">
        <v>65</v>
      </c>
      <c r="BA9" s="60"/>
      <c r="BB9" s="60"/>
      <c r="BD9" s="32" t="s">
        <v>71</v>
      </c>
      <c r="BF9" s="122"/>
      <c r="BG9" s="268"/>
      <c r="BH9" s="268"/>
      <c r="BI9" s="268" t="s">
        <v>65</v>
      </c>
      <c r="BK9" s="268"/>
      <c r="BL9" s="268"/>
      <c r="BM9" s="268"/>
      <c r="BN9" s="268" t="s">
        <v>65</v>
      </c>
      <c r="BO9" s="131"/>
      <c r="BP9" s="131"/>
      <c r="BQ9" s="131"/>
      <c r="BR9" s="131"/>
      <c r="BS9" s="364" t="s">
        <v>65</v>
      </c>
      <c r="BT9" s="173"/>
      <c r="BU9" s="173"/>
      <c r="BV9" s="173"/>
      <c r="BW9" s="173"/>
      <c r="BX9" s="173"/>
      <c r="BY9" s="173"/>
      <c r="BZ9" s="269" t="s">
        <v>65</v>
      </c>
      <c r="CA9" s="60"/>
      <c r="CB9" s="345"/>
      <c r="CC9" s="345"/>
      <c r="CD9" s="345" t="s">
        <v>66</v>
      </c>
      <c r="CE9" s="268" t="s">
        <v>65</v>
      </c>
      <c r="CI9" s="269" t="s">
        <v>59</v>
      </c>
      <c r="CJ9" s="269" t="s">
        <v>65</v>
      </c>
      <c r="CK9" s="60"/>
      <c r="CL9" s="173"/>
      <c r="CM9" s="173"/>
      <c r="CN9" s="173"/>
      <c r="CO9" s="269" t="s">
        <v>65</v>
      </c>
      <c r="CT9" s="64"/>
      <c r="CV9" s="22" t="s">
        <v>64</v>
      </c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41"/>
      <c r="DK9" s="41"/>
      <c r="DL9" s="41"/>
      <c r="DM9" s="41"/>
      <c r="DN9" s="41"/>
      <c r="DO9" s="41"/>
      <c r="DP9" s="41"/>
      <c r="DQ9" s="22"/>
      <c r="DV9" s="325"/>
      <c r="DW9"/>
      <c r="DX9"/>
      <c r="DY9"/>
    </row>
    <row r="10" spans="1:129" s="59" customFormat="1" ht="15" customHeight="1" x14ac:dyDescent="0.25">
      <c r="A10" s="18" t="s">
        <v>78</v>
      </c>
      <c r="B10" s="37" t="s">
        <v>79</v>
      </c>
      <c r="C10" s="37"/>
      <c r="D10" s="37"/>
      <c r="E10" s="37"/>
      <c r="F10" s="37"/>
      <c r="G10" s="8"/>
      <c r="H10" s="18" t="s">
        <v>78</v>
      </c>
      <c r="I10" s="37" t="s">
        <v>79</v>
      </c>
      <c r="J10" s="37"/>
      <c r="K10" s="8" t="s">
        <v>82</v>
      </c>
      <c r="L10" s="8" t="s">
        <v>83</v>
      </c>
      <c r="M10" s="18" t="s">
        <v>78</v>
      </c>
      <c r="N10" s="65" t="s">
        <v>79</v>
      </c>
      <c r="O10" s="43" t="s">
        <v>82</v>
      </c>
      <c r="P10" s="18" t="s">
        <v>78</v>
      </c>
      <c r="Q10" s="65" t="s">
        <v>79</v>
      </c>
      <c r="R10" s="8"/>
      <c r="S10" s="8" t="s">
        <v>82</v>
      </c>
      <c r="T10" s="8" t="s">
        <v>78</v>
      </c>
      <c r="U10" s="65" t="s">
        <v>79</v>
      </c>
      <c r="V10" s="8"/>
      <c r="W10" s="8" t="s">
        <v>82</v>
      </c>
      <c r="X10" s="8" t="s">
        <v>83</v>
      </c>
      <c r="Y10" s="8" t="s">
        <v>78</v>
      </c>
      <c r="Z10" s="135" t="s">
        <v>79</v>
      </c>
      <c r="AA10" s="65"/>
      <c r="AB10" s="137" t="s">
        <v>82</v>
      </c>
      <c r="AC10" s="8" t="s">
        <v>78</v>
      </c>
      <c r="AD10" s="8" t="s">
        <v>85</v>
      </c>
      <c r="AE10" s="8" t="s">
        <v>70</v>
      </c>
      <c r="AF10" s="8" t="s">
        <v>86</v>
      </c>
      <c r="AG10" s="8" t="s">
        <v>87</v>
      </c>
      <c r="AH10" s="8" t="s">
        <v>192</v>
      </c>
      <c r="AI10" s="8" t="s">
        <v>88</v>
      </c>
      <c r="AJ10" s="8" t="s">
        <v>86</v>
      </c>
      <c r="AK10" s="8" t="s">
        <v>150</v>
      </c>
      <c r="AL10" s="132" t="s">
        <v>78</v>
      </c>
      <c r="AM10" s="65" t="s">
        <v>79</v>
      </c>
      <c r="AN10" s="133" t="s">
        <v>77</v>
      </c>
      <c r="AO10" s="134" t="s">
        <v>80</v>
      </c>
      <c r="AP10" s="18" t="s">
        <v>83</v>
      </c>
      <c r="AQ10" s="8" t="s">
        <v>78</v>
      </c>
      <c r="AR10" s="65" t="s">
        <v>79</v>
      </c>
      <c r="AS10" s="37"/>
      <c r="AT10" s="8" t="s">
        <v>82</v>
      </c>
      <c r="AU10" s="8" t="s">
        <v>78</v>
      </c>
      <c r="AV10" s="135" t="s">
        <v>79</v>
      </c>
      <c r="AW10" s="8" t="s">
        <v>84</v>
      </c>
      <c r="AX10" s="8" t="s">
        <v>80</v>
      </c>
      <c r="AY10" s="136" t="s">
        <v>83</v>
      </c>
      <c r="AZ10" s="18" t="s">
        <v>78</v>
      </c>
      <c r="BA10" s="135" t="s">
        <v>79</v>
      </c>
      <c r="BB10" s="8"/>
      <c r="BC10" s="137" t="s">
        <v>82</v>
      </c>
      <c r="BD10" s="132" t="s">
        <v>78</v>
      </c>
      <c r="BE10" s="65" t="s">
        <v>79</v>
      </c>
      <c r="BF10" s="133" t="s">
        <v>77</v>
      </c>
      <c r="BG10" s="134" t="s">
        <v>80</v>
      </c>
      <c r="BH10" s="18" t="s">
        <v>83</v>
      </c>
      <c r="BI10" s="8" t="s">
        <v>78</v>
      </c>
      <c r="BJ10" s="37" t="s">
        <v>79</v>
      </c>
      <c r="BK10" s="18" t="s">
        <v>77</v>
      </c>
      <c r="BL10" s="18" t="s">
        <v>80</v>
      </c>
      <c r="BM10" s="18" t="s">
        <v>83</v>
      </c>
      <c r="BN10" s="18" t="s">
        <v>78</v>
      </c>
      <c r="BO10" s="138"/>
      <c r="BP10" s="8" t="s">
        <v>77</v>
      </c>
      <c r="BQ10" s="8" t="s">
        <v>80</v>
      </c>
      <c r="BR10" s="18" t="s">
        <v>83</v>
      </c>
      <c r="BS10" s="8" t="s">
        <v>78</v>
      </c>
      <c r="BT10" s="37" t="s">
        <v>79</v>
      </c>
      <c r="BU10" s="18" t="s">
        <v>314</v>
      </c>
      <c r="BV10" s="18" t="s">
        <v>315</v>
      </c>
      <c r="BW10" s="18" t="s">
        <v>380</v>
      </c>
      <c r="BX10" s="18" t="s">
        <v>381</v>
      </c>
      <c r="BY10" s="18" t="s">
        <v>204</v>
      </c>
      <c r="BZ10" s="8" t="s">
        <v>78</v>
      </c>
      <c r="CA10" s="37" t="s">
        <v>79</v>
      </c>
      <c r="CB10" s="18" t="s">
        <v>77</v>
      </c>
      <c r="CC10" s="18" t="s">
        <v>80</v>
      </c>
      <c r="CD10" s="18" t="s">
        <v>81</v>
      </c>
      <c r="CE10" s="18" t="s">
        <v>78</v>
      </c>
      <c r="CF10" s="65" t="s">
        <v>79</v>
      </c>
      <c r="CG10" s="8"/>
      <c r="CH10" s="8"/>
      <c r="CI10" s="8" t="s">
        <v>82</v>
      </c>
      <c r="CJ10" s="8" t="s">
        <v>78</v>
      </c>
      <c r="CK10" s="37" t="s">
        <v>79</v>
      </c>
      <c r="CL10" s="133" t="s">
        <v>77</v>
      </c>
      <c r="CM10" s="134" t="s">
        <v>80</v>
      </c>
      <c r="CN10" s="18" t="s">
        <v>83</v>
      </c>
      <c r="CO10" s="8" t="s">
        <v>78</v>
      </c>
      <c r="CP10" s="65" t="s">
        <v>79</v>
      </c>
      <c r="CQ10" s="37"/>
      <c r="CR10" s="37"/>
      <c r="CS10" s="137" t="s">
        <v>99</v>
      </c>
      <c r="CT10" s="64"/>
      <c r="CV10" s="139" t="s">
        <v>251</v>
      </c>
      <c r="CW10" s="269" t="s">
        <v>135</v>
      </c>
      <c r="CX10" s="269" t="s">
        <v>192</v>
      </c>
      <c r="CY10" s="269" t="s">
        <v>73</v>
      </c>
      <c r="CZ10" s="269" t="s">
        <v>158</v>
      </c>
      <c r="DA10" s="269" t="s">
        <v>187</v>
      </c>
      <c r="DB10" s="269" t="s">
        <v>216</v>
      </c>
      <c r="DC10" s="268" t="s">
        <v>74</v>
      </c>
      <c r="DD10" s="269" t="s">
        <v>200</v>
      </c>
      <c r="DE10" s="269" t="s">
        <v>0</v>
      </c>
      <c r="DF10" s="269" t="s">
        <v>6</v>
      </c>
      <c r="DG10" s="269" t="s">
        <v>75</v>
      </c>
      <c r="DH10" s="269"/>
      <c r="DI10" s="269"/>
      <c r="DJ10" s="269" t="s">
        <v>156</v>
      </c>
      <c r="DK10" s="269" t="s">
        <v>220</v>
      </c>
      <c r="DL10" s="269" t="s">
        <v>228</v>
      </c>
      <c r="DM10" s="364" t="s">
        <v>313</v>
      </c>
      <c r="DN10" s="269" t="s">
        <v>72</v>
      </c>
      <c r="DO10" s="269" t="s">
        <v>76</v>
      </c>
      <c r="DP10" s="269" t="s">
        <v>205</v>
      </c>
      <c r="DQ10" s="269" t="s">
        <v>89</v>
      </c>
      <c r="DT10" s="269" t="s">
        <v>77</v>
      </c>
      <c r="DU10" s="269"/>
      <c r="DV10" s="269" t="s">
        <v>80</v>
      </c>
      <c r="DW10"/>
      <c r="DX10"/>
      <c r="DY10"/>
    </row>
    <row r="11" spans="1:129" ht="15" customHeight="1" x14ac:dyDescent="0.25">
      <c r="A11" s="6">
        <v>1</v>
      </c>
      <c r="B11" s="50" t="s">
        <v>119</v>
      </c>
      <c r="C11" s="7"/>
      <c r="D11" s="7"/>
      <c r="F11" s="140"/>
      <c r="H11" s="6">
        <v>1</v>
      </c>
      <c r="I11" s="59" t="s">
        <v>2</v>
      </c>
      <c r="O11" s="55"/>
      <c r="P11" s="6"/>
      <c r="Q11" s="99" t="s">
        <v>59</v>
      </c>
      <c r="R11" s="36" t="s">
        <v>59</v>
      </c>
      <c r="S11" s="28"/>
      <c r="T11" s="24"/>
      <c r="U11" s="24"/>
      <c r="V11" s="24"/>
      <c r="W11" s="24"/>
      <c r="X11" s="24"/>
      <c r="AE11" s="476" t="s">
        <v>307</v>
      </c>
      <c r="AF11" s="476" t="s">
        <v>308</v>
      </c>
      <c r="AG11" s="476" t="s">
        <v>308</v>
      </c>
      <c r="AH11" s="476" t="s">
        <v>308</v>
      </c>
      <c r="AI11" s="476" t="s">
        <v>308</v>
      </c>
      <c r="AJ11" s="476" t="s">
        <v>308</v>
      </c>
      <c r="AM11" s="33"/>
      <c r="AN11" s="56"/>
      <c r="AQ11" s="5"/>
      <c r="AR11" s="5"/>
      <c r="AS11" s="5"/>
      <c r="AT11" s="5"/>
      <c r="AU11" s="7"/>
      <c r="AV11" s="7"/>
      <c r="AW11" s="7"/>
      <c r="AX11" s="7"/>
      <c r="AY11" s="7"/>
      <c r="BE11" s="33"/>
      <c r="BF11" s="56"/>
      <c r="BI11" s="27"/>
      <c r="BJ11" s="175"/>
      <c r="BK11" s="176"/>
      <c r="BL11" s="176"/>
      <c r="BM11" s="177"/>
      <c r="BN11" s="6"/>
      <c r="BO11" s="28"/>
      <c r="BP11" s="28"/>
      <c r="BQ11" s="29"/>
      <c r="BR11" s="29"/>
      <c r="BS11" s="172"/>
      <c r="BT11" s="172"/>
      <c r="BU11" s="172"/>
      <c r="BV11" s="172"/>
      <c r="BW11" s="172"/>
      <c r="BX11" s="172"/>
      <c r="BY11" s="172"/>
      <c r="BZ11" s="10"/>
      <c r="CA11" s="141"/>
      <c r="CB11" s="141"/>
      <c r="CC11" s="141"/>
      <c r="CD11" s="141"/>
      <c r="CE11" s="6"/>
      <c r="CF11" s="57"/>
      <c r="CG11" s="45"/>
      <c r="CH11" s="24"/>
      <c r="CI11" s="24"/>
      <c r="CL11" s="172"/>
      <c r="CM11" s="172"/>
      <c r="CN11" s="172"/>
      <c r="CS11" s="6"/>
      <c r="CT11" s="44" t="s">
        <v>65</v>
      </c>
      <c r="CU11" s="59"/>
      <c r="CV11" s="139" t="s">
        <v>250</v>
      </c>
      <c r="CW11" s="269" t="s">
        <v>136</v>
      </c>
      <c r="CX11" s="269" t="s">
        <v>193</v>
      </c>
      <c r="CY11" s="113" t="s">
        <v>91</v>
      </c>
      <c r="CZ11" s="113" t="s">
        <v>159</v>
      </c>
      <c r="DA11" s="269" t="s">
        <v>245</v>
      </c>
      <c r="DB11" s="269" t="s">
        <v>217</v>
      </c>
      <c r="DC11" s="268" t="s">
        <v>93</v>
      </c>
      <c r="DD11" s="269" t="s">
        <v>201</v>
      </c>
      <c r="DE11" s="113" t="s">
        <v>133</v>
      </c>
      <c r="DF11" s="269" t="s">
        <v>92</v>
      </c>
      <c r="DG11" s="113" t="s">
        <v>95</v>
      </c>
      <c r="DH11" s="44" t="s">
        <v>65</v>
      </c>
      <c r="DI11" s="59"/>
      <c r="DJ11" s="269" t="s">
        <v>157</v>
      </c>
      <c r="DK11" s="269" t="s">
        <v>221</v>
      </c>
      <c r="DL11" s="59"/>
      <c r="DM11" s="364" t="s">
        <v>136</v>
      </c>
      <c r="DN11" s="269" t="s">
        <v>90</v>
      </c>
      <c r="DO11" s="113" t="s">
        <v>96</v>
      </c>
      <c r="DP11" s="269" t="s">
        <v>206</v>
      </c>
      <c r="DQ11" s="27" t="s">
        <v>120</v>
      </c>
      <c r="DR11" s="269" t="s">
        <v>65</v>
      </c>
      <c r="DS11" s="59"/>
      <c r="DT11" s="269" t="s">
        <v>97</v>
      </c>
      <c r="DU11" s="269" t="s">
        <v>89</v>
      </c>
      <c r="DV11" s="269" t="s">
        <v>97</v>
      </c>
    </row>
    <row r="12" spans="1:129" ht="15" customHeight="1" x14ac:dyDescent="0.25">
      <c r="A12" s="2">
        <f t="shared" ref="A12:A49" si="0">+A11+1</f>
        <v>2</v>
      </c>
      <c r="C12" s="142" t="s">
        <v>77</v>
      </c>
      <c r="D12" s="24" t="s">
        <v>105</v>
      </c>
      <c r="E12" s="143" t="s">
        <v>242</v>
      </c>
      <c r="F12" s="6" t="s">
        <v>106</v>
      </c>
      <c r="H12" s="2">
        <f>H11+1</f>
        <v>2</v>
      </c>
      <c r="I12" s="152" t="s">
        <v>279</v>
      </c>
      <c r="K12" s="209">
        <f>+'[1]3.02E'!D14</f>
        <v>-1878.4780000000001</v>
      </c>
      <c r="L12" s="71"/>
      <c r="M12" s="6">
        <v>1</v>
      </c>
      <c r="N12" s="46" t="s">
        <v>311</v>
      </c>
      <c r="O12" s="30">
        <f>'[2]Lead E'!$C$12</f>
        <v>419819857.78423941</v>
      </c>
      <c r="P12" s="6">
        <v>1</v>
      </c>
      <c r="Q12" s="99" t="s">
        <v>112</v>
      </c>
      <c r="R12" s="30">
        <f>DV49</f>
        <v>5367665025.83459</v>
      </c>
      <c r="S12" s="28" t="s">
        <v>59</v>
      </c>
      <c r="T12" s="6">
        <v>1</v>
      </c>
      <c r="U12" s="305" t="s">
        <v>177</v>
      </c>
      <c r="V12" s="11"/>
      <c r="W12" s="11"/>
      <c r="X12" s="11"/>
      <c r="Y12" s="6">
        <v>1</v>
      </c>
      <c r="Z12" s="7" t="s">
        <v>249</v>
      </c>
      <c r="AA12" s="237"/>
      <c r="AB12" s="238"/>
      <c r="AC12" s="6">
        <v>1</v>
      </c>
      <c r="AD12" s="479" t="s">
        <v>366</v>
      </c>
      <c r="AE12" s="4">
        <f>[3]Lead!C14</f>
        <v>17232326.259999998</v>
      </c>
      <c r="AF12" s="4">
        <f>[3]Lead!D14</f>
        <v>2221903290.54</v>
      </c>
      <c r="AG12" s="4">
        <f>[3]Lead!E14</f>
        <v>54786786.670000002</v>
      </c>
      <c r="AH12" s="4">
        <f>[3]Lead!F14</f>
        <v>16912199.489999998</v>
      </c>
      <c r="AI12" s="4">
        <f>[3]Lead!G14</f>
        <v>324713.43</v>
      </c>
      <c r="AJ12" s="477">
        <f>AF12-AG12-AH12-AI12</f>
        <v>2149879590.9500003</v>
      </c>
      <c r="AK12" s="223">
        <f>ROUND(AE12/AJ12,6)</f>
        <v>8.0149999999999996E-3</v>
      </c>
      <c r="AL12" s="6">
        <v>1</v>
      </c>
      <c r="AM12" s="110" t="s">
        <v>289</v>
      </c>
      <c r="AN12" s="51">
        <f>'[4] Electric'!C12</f>
        <v>8210776.3538940828</v>
      </c>
      <c r="AO12" s="51">
        <f>'[4] Electric'!D12</f>
        <v>8761704.6570229139</v>
      </c>
      <c r="AP12" s="51">
        <f>AO12-AN12</f>
        <v>550928.30312883109</v>
      </c>
      <c r="AQ12" s="6">
        <v>1</v>
      </c>
      <c r="AR12" s="146" t="s">
        <v>3</v>
      </c>
      <c r="AS12" s="147"/>
      <c r="AT12" s="226">
        <f>'[5]Lead E'!$D$12</f>
        <v>84064864.389494985</v>
      </c>
      <c r="AU12" s="6">
        <v>1</v>
      </c>
      <c r="AV12" s="7" t="s">
        <v>103</v>
      </c>
      <c r="AW12" s="254">
        <f>+'[6] Elec'!C12</f>
        <v>79582.576956009754</v>
      </c>
      <c r="AX12" s="254">
        <f>+'[6] Elec'!D12</f>
        <v>67414.363798118677</v>
      </c>
      <c r="AY12" s="254">
        <f>+AX12-AW12</f>
        <v>-12168.213157891078</v>
      </c>
      <c r="AZ12" s="2" t="s">
        <v>101</v>
      </c>
      <c r="BA12" s="57" t="s">
        <v>102</v>
      </c>
      <c r="BB12" s="57"/>
      <c r="BC12" s="215">
        <f>'[7]3.11E'!$D$11</f>
        <v>677726.46703644621</v>
      </c>
      <c r="BD12" s="19">
        <v>1</v>
      </c>
      <c r="BE12" s="7" t="s">
        <v>147</v>
      </c>
      <c r="BF12" s="270">
        <f>'[8]Lead E'!$C$14</f>
        <v>4275959.7588258013</v>
      </c>
      <c r="BG12" s="270">
        <f>'[8]Lead E'!$D$14</f>
        <v>6609501.3401859244</v>
      </c>
      <c r="BH12" s="51">
        <f>BG12-BF12</f>
        <v>2333541.5813601231</v>
      </c>
      <c r="BI12" s="6">
        <v>1</v>
      </c>
      <c r="BJ12" s="51" t="s">
        <v>223</v>
      </c>
      <c r="BK12" s="228">
        <f>'[9]Lead E'!$C$13</f>
        <v>2304250</v>
      </c>
      <c r="BL12" s="228">
        <f>'[9]Lead E'!$D$13</f>
        <v>951416.66666666663</v>
      </c>
      <c r="BM12" s="228">
        <f>BL12-BK12</f>
        <v>-1352833.3333333335</v>
      </c>
      <c r="BN12" s="6">
        <v>1</v>
      </c>
      <c r="BO12" s="148" t="s">
        <v>239</v>
      </c>
      <c r="BP12" s="30">
        <f>CV41</f>
        <v>3574274.1599999992</v>
      </c>
      <c r="BQ12" s="30">
        <v>0</v>
      </c>
      <c r="BR12" s="30">
        <f>BQ12-BP12</f>
        <v>-3574274.1599999992</v>
      </c>
      <c r="BS12" s="6">
        <v>1</v>
      </c>
      <c r="BT12" s="373" t="s">
        <v>317</v>
      </c>
      <c r="BZ12" s="6">
        <v>1</v>
      </c>
      <c r="CA12" s="144" t="s">
        <v>100</v>
      </c>
      <c r="CC12" s="71"/>
      <c r="CD12" s="71"/>
      <c r="CE12" s="6">
        <f t="shared" ref="CE12:CE25" si="1">CE11+1</f>
        <v>1</v>
      </c>
      <c r="CF12" s="322" t="s">
        <v>283</v>
      </c>
      <c r="CG12" s="28"/>
      <c r="CH12" s="28"/>
      <c r="CI12" s="28">
        <f>+'[10]3.13'!E12</f>
        <v>4347639000</v>
      </c>
      <c r="CJ12" s="6">
        <v>1</v>
      </c>
      <c r="CK12" s="145" t="s">
        <v>207</v>
      </c>
      <c r="CL12" s="182"/>
      <c r="CM12" s="182"/>
      <c r="CN12" s="182"/>
      <c r="CO12" s="6">
        <v>1</v>
      </c>
      <c r="CP12" s="7" t="s">
        <v>61</v>
      </c>
      <c r="CS12" s="234">
        <f>'[11]4.01 E'!$E$14</f>
        <v>7.5490000000000002E-3</v>
      </c>
      <c r="CT12" s="44" t="s">
        <v>78</v>
      </c>
      <c r="CU12" s="59"/>
      <c r="CV12" s="139" t="s">
        <v>379</v>
      </c>
      <c r="CW12" s="114">
        <v>3.01</v>
      </c>
      <c r="CX12" s="114">
        <f t="shared" ref="CX12:DG12" si="2">CW12+0.01</f>
        <v>3.0199999999999996</v>
      </c>
      <c r="CY12" s="114">
        <f t="shared" si="2"/>
        <v>3.0299999999999994</v>
      </c>
      <c r="CZ12" s="114">
        <f t="shared" si="2"/>
        <v>3.0399999999999991</v>
      </c>
      <c r="DA12" s="114">
        <f t="shared" si="2"/>
        <v>3.0499999999999989</v>
      </c>
      <c r="DB12" s="114">
        <f t="shared" si="2"/>
        <v>3.0599999999999987</v>
      </c>
      <c r="DC12" s="114">
        <f t="shared" si="2"/>
        <v>3.0699999999999985</v>
      </c>
      <c r="DD12" s="114">
        <f t="shared" si="2"/>
        <v>3.0799999999999983</v>
      </c>
      <c r="DE12" s="114">
        <f t="shared" si="2"/>
        <v>3.0899999999999981</v>
      </c>
      <c r="DF12" s="114">
        <f t="shared" si="2"/>
        <v>3.0999999999999979</v>
      </c>
      <c r="DG12" s="114">
        <f t="shared" si="2"/>
        <v>3.1099999999999977</v>
      </c>
      <c r="DH12" s="44" t="s">
        <v>78</v>
      </c>
      <c r="DI12" s="59"/>
      <c r="DJ12" s="114">
        <f>+DG12+0.01</f>
        <v>3.1199999999999974</v>
      </c>
      <c r="DK12" s="114">
        <f>DJ12+0.01</f>
        <v>3.1299999999999972</v>
      </c>
      <c r="DL12" s="114">
        <f>+DK12+0.01</f>
        <v>3.139999999999997</v>
      </c>
      <c r="DM12" s="114">
        <f>+DL12+0.01</f>
        <v>3.1499999999999968</v>
      </c>
      <c r="DN12" s="114">
        <f t="shared" ref="DN12:DP12" si="3">+DM12+0.01</f>
        <v>3.1599999999999966</v>
      </c>
      <c r="DO12" s="114">
        <f t="shared" si="3"/>
        <v>3.1699999999999964</v>
      </c>
      <c r="DP12" s="114">
        <f t="shared" si="3"/>
        <v>3.1799999999999962</v>
      </c>
      <c r="DQ12" s="27"/>
      <c r="DR12" s="8" t="s">
        <v>78</v>
      </c>
      <c r="DS12" s="66"/>
      <c r="DT12" s="8" t="s">
        <v>98</v>
      </c>
      <c r="DU12" s="8" t="s">
        <v>120</v>
      </c>
      <c r="DV12" s="8" t="s">
        <v>98</v>
      </c>
    </row>
    <row r="13" spans="1:129" ht="15" customHeight="1" x14ac:dyDescent="0.25">
      <c r="A13" s="2">
        <f t="shared" si="0"/>
        <v>3</v>
      </c>
      <c r="C13" s="149" t="s">
        <v>241</v>
      </c>
      <c r="D13" s="150" t="s">
        <v>241</v>
      </c>
      <c r="E13" s="151" t="s">
        <v>110</v>
      </c>
      <c r="F13" s="480">
        <v>7.0999999999999994E-2</v>
      </c>
      <c r="H13" s="2">
        <f t="shared" ref="H13:H41" si="4">+H12+1</f>
        <v>3</v>
      </c>
      <c r="I13" s="152" t="s">
        <v>278</v>
      </c>
      <c r="K13" s="209">
        <f>+'[1]3.02E'!D15</f>
        <v>-3467838.7</v>
      </c>
      <c r="M13" s="6">
        <f t="shared" ref="M13:M29" si="5">M12+1</f>
        <v>2</v>
      </c>
      <c r="N13" s="7"/>
      <c r="O13" s="198"/>
      <c r="P13" s="6">
        <f t="shared" ref="P13:P24" si="6">P12+1</f>
        <v>2</v>
      </c>
      <c r="Q13" s="99"/>
      <c r="R13" s="49" t="s">
        <v>59</v>
      </c>
      <c r="S13" s="12" t="s">
        <v>59</v>
      </c>
      <c r="T13" s="6">
        <f t="shared" ref="T13:T50" si="7">+T12+1</f>
        <v>2</v>
      </c>
      <c r="U13" s="306" t="s">
        <v>256</v>
      </c>
      <c r="V13" s="11"/>
      <c r="W13" s="4"/>
      <c r="X13" s="349">
        <f>'[12]Lead Sheet'!E12</f>
        <v>84729661.180000007</v>
      </c>
      <c r="Y13" s="6">
        <v>2</v>
      </c>
      <c r="Z13" s="7"/>
      <c r="AA13" s="237"/>
      <c r="AB13" s="238"/>
      <c r="AC13" s="6">
        <f t="shared" ref="AC13:AC29" si="8">AC12+1</f>
        <v>2</v>
      </c>
      <c r="AD13" s="479" t="s">
        <v>367</v>
      </c>
      <c r="AE13" s="4">
        <f>[3]Lead!C15</f>
        <v>18726588.579999998</v>
      </c>
      <c r="AF13" s="4">
        <f>[3]Lead!D15</f>
        <v>2331385777.1099997</v>
      </c>
      <c r="AG13" s="4">
        <f>[3]Lead!E15</f>
        <v>50098528.460000001</v>
      </c>
      <c r="AH13" s="4">
        <f>[3]Lead!F15</f>
        <v>43765106.579999998</v>
      </c>
      <c r="AI13" s="4">
        <f>[3]Lead!G15</f>
        <v>352068.21</v>
      </c>
      <c r="AJ13" s="336">
        <f>AF13-AG13-AH13-AI13</f>
        <v>2237170073.8599997</v>
      </c>
      <c r="AK13" s="223">
        <f>ROUND(AE13/AJ13,6)</f>
        <v>8.371E-3</v>
      </c>
      <c r="AL13" s="6">
        <f t="shared" ref="AL13:AL20" si="9">AL12+1</f>
        <v>2</v>
      </c>
      <c r="AM13" s="154"/>
      <c r="AN13" s="271"/>
      <c r="AO13" s="271"/>
      <c r="AP13" s="271"/>
      <c r="AQ13" s="6">
        <v>2</v>
      </c>
      <c r="AR13" s="67" t="s">
        <v>108</v>
      </c>
      <c r="AS13" s="67"/>
      <c r="AT13" s="329">
        <f>'[5]Lead E'!$C$12</f>
        <v>84089174.198749989</v>
      </c>
      <c r="AU13" s="6">
        <f t="shared" ref="AU13:AU20" si="10">AU12+1</f>
        <v>2</v>
      </c>
      <c r="AV13" s="7"/>
      <c r="AW13" s="255"/>
      <c r="AX13" s="255"/>
      <c r="AY13" s="36"/>
      <c r="AZ13" s="2">
        <f>1+AZ12</f>
        <v>2</v>
      </c>
      <c r="BA13" s="9"/>
      <c r="BB13" s="9"/>
      <c r="BC13" s="4"/>
      <c r="BD13" s="19">
        <f t="shared" ref="BD13:BD19" si="11">BD12+1</f>
        <v>2</v>
      </c>
      <c r="BE13" s="7"/>
      <c r="BF13" s="273"/>
      <c r="BG13" s="273"/>
      <c r="BH13" s="273"/>
      <c r="BI13" s="6">
        <f t="shared" ref="BI13:BI19" si="12">BI12+1</f>
        <v>2</v>
      </c>
      <c r="BJ13" s="51" t="s">
        <v>224</v>
      </c>
      <c r="BK13" s="272">
        <f>'[9]Lead E'!$C$14</f>
        <v>754064.98139213375</v>
      </c>
      <c r="BL13" s="272">
        <f>'[9]Lead E'!$D$14</f>
        <v>1037840.7764981091</v>
      </c>
      <c r="BM13" s="272">
        <f>BL13-BK13</f>
        <v>283775.79510597535</v>
      </c>
      <c r="BN13" s="6">
        <f t="shared" ref="BN13:BN20" si="13">BN12+1</f>
        <v>2</v>
      </c>
      <c r="BO13" s="7"/>
      <c r="BP13" s="232"/>
      <c r="BQ13" s="29"/>
      <c r="BR13" s="29"/>
      <c r="BS13" s="6">
        <f t="shared" ref="BS13:BS30" si="14">BS12+1</f>
        <v>2</v>
      </c>
      <c r="BT13" s="9" t="str">
        <f>'[13]Lead E'!B18</f>
        <v xml:space="preserve">  TWELVE MONTHS ENDED 12/31/14</v>
      </c>
      <c r="BU13" s="489">
        <f>+'[13]Lead E'!C18</f>
        <v>462974</v>
      </c>
      <c r="BV13" s="254">
        <f>+'[13]Lead E'!D18</f>
        <v>10858538</v>
      </c>
      <c r="BW13" s="254">
        <f>+'[13]Lead E'!E18</f>
        <v>75904</v>
      </c>
      <c r="BX13" s="254">
        <f>+'[13]Lead E'!F18</f>
        <v>284077</v>
      </c>
      <c r="BY13" s="489">
        <f>SUM(BU13:BX13)</f>
        <v>11681493</v>
      </c>
      <c r="BZ13" s="6">
        <f t="shared" ref="BZ13:BZ42" si="15">BZ12+1</f>
        <v>2</v>
      </c>
      <c r="CA13" s="153" t="s">
        <v>358</v>
      </c>
      <c r="CB13" s="71">
        <f>+'[14]Lead Sheet'!C14</f>
        <v>282863835.76999998</v>
      </c>
      <c r="CC13" s="71">
        <f t="shared" ref="CC13:CC18" si="16">CB13+CD13</f>
        <v>282863835.76999998</v>
      </c>
      <c r="CD13" s="71">
        <f>+'[14]Lead Sheet'!E14</f>
        <v>0</v>
      </c>
      <c r="CE13" s="6">
        <f t="shared" si="1"/>
        <v>2</v>
      </c>
      <c r="CF13" s="323" t="s">
        <v>284</v>
      </c>
      <c r="CI13" s="5">
        <f>+'[10]3.13'!E13</f>
        <v>0.05</v>
      </c>
      <c r="CJ13" s="6">
        <f t="shared" ref="CJ13:CJ24" si="17">CJ12+1</f>
        <v>2</v>
      </c>
      <c r="CK13" s="145" t="s">
        <v>208</v>
      </c>
      <c r="CL13" s="172"/>
      <c r="CM13" s="174"/>
      <c r="CN13" s="174"/>
      <c r="CO13" s="6">
        <v>2</v>
      </c>
      <c r="CP13" s="7" t="s">
        <v>113</v>
      </c>
      <c r="CS13" s="234">
        <f>'[11]4.01 E'!$E$15</f>
        <v>2E-3</v>
      </c>
      <c r="CT13" s="47" t="s">
        <v>104</v>
      </c>
      <c r="CU13" s="10"/>
      <c r="CV13" s="141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47" t="s">
        <v>104</v>
      </c>
      <c r="DI13" s="10"/>
      <c r="DJ13" s="10"/>
      <c r="DK13" s="10"/>
      <c r="DL13" s="10"/>
      <c r="DM13" s="10"/>
      <c r="DN13" s="10"/>
      <c r="DO13" s="10"/>
      <c r="DP13" s="10"/>
      <c r="DQ13" s="10"/>
    </row>
    <row r="14" spans="1:129" ht="15" customHeight="1" x14ac:dyDescent="0.25">
      <c r="A14" s="2">
        <f t="shared" si="0"/>
        <v>4</v>
      </c>
      <c r="B14" s="352">
        <v>43466</v>
      </c>
      <c r="C14" s="81">
        <f>'[15]3.01E Lead Sheet '!$C$12</f>
        <v>2204514132</v>
      </c>
      <c r="D14" s="81">
        <f>'[15]3.01E Lead Sheet '!$D$12</f>
        <v>2291955636.3784895</v>
      </c>
      <c r="E14" s="81">
        <f t="shared" ref="E14:E25" si="18">+D14-C14</f>
        <v>87441504.378489494</v>
      </c>
      <c r="F14" s="448">
        <f t="shared" ref="F14:F25" si="19">E14*(1-$F$13)</f>
        <v>81233157.567616746</v>
      </c>
      <c r="H14" s="2">
        <f t="shared" si="4"/>
        <v>4</v>
      </c>
      <c r="I14" s="152" t="s">
        <v>229</v>
      </c>
      <c r="K14" s="209">
        <f>+'[1]3.02E'!D16</f>
        <v>36637601.037</v>
      </c>
      <c r="M14" s="6">
        <f t="shared" si="5"/>
        <v>3</v>
      </c>
      <c r="N14" s="25" t="s">
        <v>368</v>
      </c>
      <c r="O14" s="221">
        <f>'[2]Lead E'!$C$14</f>
        <v>88613160.310290277</v>
      </c>
      <c r="P14" s="6">
        <f t="shared" si="6"/>
        <v>3</v>
      </c>
      <c r="Q14" s="99" t="s">
        <v>11</v>
      </c>
      <c r="R14" s="303">
        <f>'1.02 COC'!F16</f>
        <v>2.7900000000000001E-2</v>
      </c>
      <c r="S14" s="12" t="s">
        <v>59</v>
      </c>
      <c r="T14" s="6">
        <f t="shared" si="7"/>
        <v>3</v>
      </c>
      <c r="U14" s="304" t="s">
        <v>257</v>
      </c>
      <c r="V14" s="11"/>
      <c r="W14" s="4"/>
      <c r="X14" s="204">
        <f>'[12]Lead Sheet'!E13</f>
        <v>61378696.390000001</v>
      </c>
      <c r="Y14" s="6">
        <v>3</v>
      </c>
      <c r="Z14" s="7"/>
      <c r="AA14" s="237"/>
      <c r="AB14" s="238"/>
      <c r="AC14" s="6">
        <f t="shared" si="8"/>
        <v>3</v>
      </c>
      <c r="AD14" s="479" t="s">
        <v>385</v>
      </c>
      <c r="AE14" s="4">
        <f>[3]Lead!C16</f>
        <v>12194537.579999998</v>
      </c>
      <c r="AF14" s="4">
        <f>[3]Lead!D16</f>
        <v>2030915814</v>
      </c>
      <c r="AG14" s="4">
        <f>[3]Lead!E16</f>
        <v>38417260.890000001</v>
      </c>
      <c r="AH14" s="4">
        <f>[3]Lead!F16</f>
        <v>44931386.039999999</v>
      </c>
      <c r="AI14" s="4">
        <f>[3]Lead!G16</f>
        <v>318609.98</v>
      </c>
      <c r="AJ14" s="336">
        <f>AF14-AG14-AH14-AI14</f>
        <v>1947248557.0899999</v>
      </c>
      <c r="AK14" s="223">
        <f>ROUND(AE14/AJ14,6)</f>
        <v>6.2620000000000002E-3</v>
      </c>
      <c r="AL14" s="6">
        <f t="shared" si="9"/>
        <v>3</v>
      </c>
      <c r="AM14" s="5" t="s">
        <v>202</v>
      </c>
      <c r="AN14" s="516">
        <f>'[4] Electric'!$C$14</f>
        <v>726653.70731962635</v>
      </c>
      <c r="AO14" s="516">
        <f>'[4] Electric'!$D$14</f>
        <v>775410.86214652797</v>
      </c>
      <c r="AP14" s="51">
        <f>AO14-AN14</f>
        <v>48757.15482690162</v>
      </c>
      <c r="AQ14" s="6">
        <v>3</v>
      </c>
      <c r="AR14" s="157" t="s">
        <v>4</v>
      </c>
      <c r="AS14" s="157"/>
      <c r="AT14" s="227">
        <f>AT12-AT13</f>
        <v>-24309.809255003929</v>
      </c>
      <c r="AU14" s="6">
        <f t="shared" si="10"/>
        <v>3</v>
      </c>
      <c r="AV14" s="7" t="s">
        <v>13</v>
      </c>
      <c r="AW14" s="256">
        <f>SUM(AW12:AW13)</f>
        <v>79582.576956009754</v>
      </c>
      <c r="AX14" s="256">
        <f>SUM(AX12:AX13)</f>
        <v>67414.363798118677</v>
      </c>
      <c r="AY14" s="257">
        <f>SUM(AY12:AY13)</f>
        <v>-12168.213157891078</v>
      </c>
      <c r="AZ14" s="2">
        <f>1+AZ13</f>
        <v>3</v>
      </c>
      <c r="BC14" s="231"/>
      <c r="BD14" s="19">
        <f t="shared" si="11"/>
        <v>3</v>
      </c>
      <c r="BE14" s="7" t="s">
        <v>155</v>
      </c>
      <c r="BF14" s="4">
        <f>SUM(BF12:BF12)</f>
        <v>4275959.7588258013</v>
      </c>
      <c r="BG14" s="4">
        <f>SUM(BG12:BG12)</f>
        <v>6609501.3401859244</v>
      </c>
      <c r="BH14" s="4">
        <f>SUM(BH12:BH12)</f>
        <v>2333541.5813601231</v>
      </c>
      <c r="BI14" s="6">
        <f t="shared" si="12"/>
        <v>3</v>
      </c>
      <c r="BJ14" s="51" t="s">
        <v>225</v>
      </c>
      <c r="BK14" s="259">
        <f>SUM(BK12:BK13)</f>
        <v>3058314.981392134</v>
      </c>
      <c r="BL14" s="259">
        <f>SUM(BL12:BL13)</f>
        <v>1989257.4431647756</v>
      </c>
      <c r="BM14" s="259">
        <f>SUM(BM12:BM13)</f>
        <v>-1069057.5382273581</v>
      </c>
      <c r="BN14" s="6">
        <f t="shared" si="13"/>
        <v>3</v>
      </c>
      <c r="BO14" s="25" t="s">
        <v>13</v>
      </c>
      <c r="BP14" s="233">
        <f>SUM(BP12:BP13)</f>
        <v>3574274.1599999992</v>
      </c>
      <c r="BQ14" s="233">
        <f>SUM(BQ12:BQ13)</f>
        <v>0</v>
      </c>
      <c r="BR14" s="233">
        <f>SUM(BR12:BR13)</f>
        <v>-3574274.1599999992</v>
      </c>
      <c r="BS14" s="6">
        <f t="shared" si="14"/>
        <v>3</v>
      </c>
      <c r="BT14" s="9" t="str">
        <f>'[13]Lead E'!B19</f>
        <v xml:space="preserve">  TWELVE MONTHS ENDED 12/31/15</v>
      </c>
      <c r="BU14" s="368">
        <f>+'[13]Lead E'!C19</f>
        <v>542677</v>
      </c>
      <c r="BV14" s="368">
        <f>+'[13]Lead E'!D19</f>
        <v>9925206</v>
      </c>
      <c r="BW14" s="368">
        <f>+'[13]Lead E'!E19</f>
        <v>147800</v>
      </c>
      <c r="BX14" s="368">
        <f>+'[13]Lead E'!F19</f>
        <v>545344</v>
      </c>
      <c r="BY14" s="368">
        <f t="shared" ref="BY14:BY18" si="20">SUM(BU14:BX14)</f>
        <v>11161027</v>
      </c>
      <c r="BZ14" s="6">
        <f t="shared" si="15"/>
        <v>3</v>
      </c>
      <c r="CA14" s="153" t="s">
        <v>359</v>
      </c>
      <c r="CB14" s="209">
        <f>+'[14]Lead Sheet'!C15</f>
        <v>638473444.10000002</v>
      </c>
      <c r="CC14" s="209">
        <f t="shared" si="16"/>
        <v>639663190.04220831</v>
      </c>
      <c r="CD14" s="209">
        <f>+'[14]Lead Sheet'!E15</f>
        <v>1189745.9422083274</v>
      </c>
      <c r="CE14" s="6">
        <f t="shared" si="1"/>
        <v>3</v>
      </c>
      <c r="CF14" s="323" t="s">
        <v>285</v>
      </c>
      <c r="CI14" s="5">
        <f>+'[10]3.13'!E14</f>
        <v>1.4999999999999999E-4</v>
      </c>
      <c r="CJ14" s="6">
        <f t="shared" si="17"/>
        <v>3</v>
      </c>
      <c r="CK14" s="156" t="s">
        <v>209</v>
      </c>
      <c r="CL14" s="182">
        <f>'[16]Lead E'!$D$15</f>
        <v>4539303</v>
      </c>
      <c r="CM14" s="228"/>
      <c r="CN14" s="228">
        <f>CM14-CL14</f>
        <v>-4539303</v>
      </c>
      <c r="CO14" s="6">
        <v>3</v>
      </c>
      <c r="CP14" s="7" t="str">
        <f>"STATE UTILITY TAX ( ( 1 - LINE 1 ) * "&amp;UTG*100&amp;"% )"</f>
        <v>STATE UTILITY TAX ( ( 1 - LINE 1 ) * 3.8734% )</v>
      </c>
      <c r="CR14" s="482">
        <v>3.8733999999999998E-2</v>
      </c>
      <c r="CS14" s="425">
        <f>'[11]4.01 E'!$E$16</f>
        <v>3.8441999999999997E-2</v>
      </c>
      <c r="CT14" s="6">
        <v>1</v>
      </c>
      <c r="CU14" s="7" t="s">
        <v>109</v>
      </c>
      <c r="CV14" s="28"/>
      <c r="CW14" s="56"/>
      <c r="CX14" s="56"/>
      <c r="CY14" s="56"/>
      <c r="CZ14" s="56"/>
      <c r="DA14" s="56"/>
      <c r="DB14" s="56"/>
      <c r="DC14" s="67"/>
      <c r="DD14" s="6"/>
      <c r="DE14" s="56"/>
      <c r="DF14" s="56"/>
      <c r="DG14" s="56"/>
      <c r="DH14" s="48">
        <v>1</v>
      </c>
      <c r="DI14" s="7" t="s">
        <v>109</v>
      </c>
      <c r="DJ14" s="6"/>
      <c r="DK14" s="6"/>
      <c r="DL14" s="7"/>
      <c r="DM14" s="6"/>
      <c r="DN14" s="56"/>
      <c r="DP14" s="6"/>
      <c r="DR14" s="6">
        <v>1</v>
      </c>
      <c r="DS14" s="33" t="s">
        <v>32</v>
      </c>
    </row>
    <row r="15" spans="1:129" ht="15" customHeight="1" thickBot="1" x14ac:dyDescent="0.3">
      <c r="A15" s="2">
        <f t="shared" si="0"/>
        <v>5</v>
      </c>
      <c r="B15" s="352">
        <v>43497</v>
      </c>
      <c r="C15" s="448">
        <f>'[15]3.01E Lead Sheet '!$C$13</f>
        <v>2243405304</v>
      </c>
      <c r="D15" s="448">
        <f>'[15]3.01E Lead Sheet '!$D$13</f>
        <v>2088339499.0278444</v>
      </c>
      <c r="E15" s="81">
        <f t="shared" si="18"/>
        <v>-155065804.97215557</v>
      </c>
      <c r="F15" s="448">
        <f t="shared" si="19"/>
        <v>-144056132.81913254</v>
      </c>
      <c r="H15" s="2">
        <f t="shared" si="4"/>
        <v>5</v>
      </c>
      <c r="I15" s="152"/>
      <c r="K15" s="210"/>
      <c r="M15" s="6">
        <f t="shared" si="5"/>
        <v>4</v>
      </c>
      <c r="N15" s="7" t="s">
        <v>369</v>
      </c>
      <c r="O15" s="330">
        <f>O14</f>
        <v>88613160.310290277</v>
      </c>
      <c r="P15" s="6">
        <f t="shared" si="6"/>
        <v>4</v>
      </c>
      <c r="Q15" s="99" t="s">
        <v>159</v>
      </c>
      <c r="R15" s="281"/>
      <c r="S15" s="217">
        <f>+R12*R14</f>
        <v>149757854.22078505</v>
      </c>
      <c r="T15" s="6">
        <f t="shared" si="7"/>
        <v>4</v>
      </c>
      <c r="U15" s="306" t="s">
        <v>258</v>
      </c>
      <c r="V15" s="11"/>
      <c r="X15" s="204">
        <f>'[12]Lead Sheet'!E14</f>
        <v>82611638.079999998</v>
      </c>
      <c r="Y15" s="6">
        <v>4</v>
      </c>
      <c r="Z15" s="7" t="s">
        <v>346</v>
      </c>
      <c r="AA15" s="239">
        <f>'[17]Lead E'!$D$16</f>
        <v>1097000</v>
      </c>
      <c r="AB15" s="240"/>
      <c r="AC15" s="6">
        <f t="shared" si="8"/>
        <v>4</v>
      </c>
      <c r="AE15" s="11"/>
      <c r="AF15" s="11"/>
      <c r="AG15" s="11"/>
      <c r="AH15" s="11"/>
      <c r="AI15" s="4"/>
      <c r="AJ15" s="4"/>
      <c r="AK15" s="4"/>
      <c r="AL15" s="6">
        <f t="shared" si="9"/>
        <v>4</v>
      </c>
      <c r="AM15" s="5" t="s">
        <v>194</v>
      </c>
      <c r="AN15" s="274">
        <f>SUM(AN12:AN14)</f>
        <v>8937430.0612137094</v>
      </c>
      <c r="AO15" s="274">
        <f>SUM(AO12:AO14)</f>
        <v>9537115.5191694424</v>
      </c>
      <c r="AP15" s="275">
        <f>SUM(AP12:AP14)</f>
        <v>599685.45795573271</v>
      </c>
      <c r="AQ15" s="6">
        <v>4</v>
      </c>
      <c r="AR15" s="5"/>
      <c r="AS15" s="5"/>
      <c r="AT15" s="11"/>
      <c r="AU15" s="6">
        <f t="shared" si="10"/>
        <v>4</v>
      </c>
      <c r="AV15" s="7"/>
      <c r="AW15" s="31"/>
      <c r="AX15" s="31"/>
      <c r="AY15" s="31"/>
      <c r="AZ15" s="2">
        <f>1+AZ14</f>
        <v>4</v>
      </c>
      <c r="BA15" s="5" t="s">
        <v>115</v>
      </c>
      <c r="BC15" s="222">
        <f>-BC12</f>
        <v>-677726.46703644621</v>
      </c>
      <c r="BD15" s="19">
        <f t="shared" si="11"/>
        <v>4</v>
      </c>
      <c r="BF15" s="271"/>
      <c r="BG15" s="271"/>
      <c r="BH15" s="271"/>
      <c r="BI15" s="6">
        <f t="shared" si="12"/>
        <v>4</v>
      </c>
      <c r="BJ15" s="276"/>
      <c r="BK15" s="260"/>
      <c r="BL15" s="260"/>
      <c r="BM15" s="11"/>
      <c r="BN15" s="6">
        <f t="shared" si="13"/>
        <v>4</v>
      </c>
      <c r="BO15" s="7"/>
      <c r="BP15" s="31"/>
      <c r="BQ15" s="31"/>
      <c r="BR15" s="31"/>
      <c r="BS15" s="6">
        <f t="shared" si="14"/>
        <v>4</v>
      </c>
      <c r="BT15" s="9" t="str">
        <f>'[13]Lead E'!B20</f>
        <v xml:space="preserve">  TWELVE MONTHS ENDED 12/31/16</v>
      </c>
      <c r="BU15" s="368">
        <f>+'[13]Lead E'!C20</f>
        <v>282110</v>
      </c>
      <c r="BV15" s="368">
        <f>+'[13]Lead E'!D20</f>
        <v>9019562</v>
      </c>
      <c r="BW15" s="368">
        <f>+'[13]Lead E'!E20</f>
        <v>55441</v>
      </c>
      <c r="BX15" s="368">
        <f>+'[13]Lead E'!F20</f>
        <v>185083</v>
      </c>
      <c r="BY15" s="368">
        <f t="shared" si="20"/>
        <v>9542196</v>
      </c>
      <c r="BZ15" s="6">
        <f t="shared" si="15"/>
        <v>4</v>
      </c>
      <c r="CA15" s="153" t="s">
        <v>360</v>
      </c>
      <c r="CB15" s="155">
        <f>+'[14]Lead Sheet'!C16</f>
        <v>-21388428.559999999</v>
      </c>
      <c r="CC15" s="155">
        <f t="shared" si="16"/>
        <v>-21388428.559999999</v>
      </c>
      <c r="CD15" s="155">
        <f>+'[14]Lead Sheet'!E16</f>
        <v>0</v>
      </c>
      <c r="CE15" s="6">
        <f t="shared" si="1"/>
        <v>4</v>
      </c>
      <c r="CF15" s="323" t="s">
        <v>286</v>
      </c>
      <c r="CI15" s="351">
        <f>+CI12*(1-CI13)*CI14</f>
        <v>619538.5575</v>
      </c>
      <c r="CJ15" s="6">
        <f t="shared" si="17"/>
        <v>4</v>
      </c>
      <c r="CK15" s="156" t="s">
        <v>210</v>
      </c>
      <c r="CL15" s="182">
        <f>'[16]Lead E'!$D$16</f>
        <v>-2226265</v>
      </c>
      <c r="CM15" s="174"/>
      <c r="CN15" s="174">
        <f>CM15-CL15</f>
        <v>2226265</v>
      </c>
      <c r="CO15" s="6">
        <v>4</v>
      </c>
      <c r="CP15" s="7"/>
      <c r="CS15" s="236"/>
      <c r="CT15" s="6">
        <f t="shared" ref="CT15:CT60" si="21">CT14+1</f>
        <v>2</v>
      </c>
      <c r="CU15" s="7" t="s">
        <v>33</v>
      </c>
      <c r="CV15" s="215">
        <f>+'[18]Allocated (CBR)'!B9</f>
        <v>2127052953.75</v>
      </c>
      <c r="CW15" s="215">
        <f>+G37-CW16</f>
        <v>1105743</v>
      </c>
      <c r="CX15" s="30">
        <f>K12+K14</f>
        <v>36635722.559</v>
      </c>
      <c r="CY15" s="30">
        <v>0</v>
      </c>
      <c r="CZ15" s="30">
        <v>0</v>
      </c>
      <c r="DA15" s="30">
        <f>-SUM(X13,X14,X15,X16,X17,X18,X20,X22,X24,X25)</f>
        <v>-168149457.07642415</v>
      </c>
      <c r="DB15" s="30"/>
      <c r="DC15" s="30">
        <v>0</v>
      </c>
      <c r="DD15" s="30"/>
      <c r="DE15" s="30">
        <v>0</v>
      </c>
      <c r="DF15" s="30">
        <v>0</v>
      </c>
      <c r="DG15" s="30">
        <v>0</v>
      </c>
      <c r="DH15" s="6">
        <f t="shared" ref="DH15:DH60" si="22">DH14+1</f>
        <v>2</v>
      </c>
      <c r="DI15" s="7" t="s">
        <v>33</v>
      </c>
      <c r="DJ15" s="30">
        <v>0</v>
      </c>
      <c r="DK15" s="30"/>
      <c r="DL15" s="30">
        <v>0</v>
      </c>
      <c r="DM15" s="30"/>
      <c r="DN15" s="30">
        <v>0</v>
      </c>
      <c r="DO15" s="30">
        <v>0</v>
      </c>
      <c r="DP15" s="30"/>
      <c r="DQ15" s="30">
        <f>SUM(CW15:DP15)-DH15</f>
        <v>-130407991.51742415</v>
      </c>
      <c r="DR15" s="6">
        <f t="shared" ref="DR15:DR53" si="23">+DR14+1</f>
        <v>2</v>
      </c>
      <c r="DS15" s="7" t="s">
        <v>33</v>
      </c>
      <c r="DT15" s="4">
        <f>+CV15</f>
        <v>2127052953.75</v>
      </c>
      <c r="DU15" s="4">
        <f>+DQ15</f>
        <v>-130407991.51742415</v>
      </c>
      <c r="DV15" s="30">
        <f>SUM(DT15:DU15)</f>
        <v>1996644962.2325759</v>
      </c>
    </row>
    <row r="16" spans="1:129" ht="15" customHeight="1" thickTop="1" x14ac:dyDescent="0.25">
      <c r="A16" s="2">
        <f t="shared" si="0"/>
        <v>6</v>
      </c>
      <c r="B16" s="352">
        <v>43525</v>
      </c>
      <c r="C16" s="448">
        <f>'[15]3.01E Lead Sheet '!$C$14</f>
        <v>2051076499</v>
      </c>
      <c r="D16" s="448">
        <f>'[15]3.01E Lead Sheet '!$D$14</f>
        <v>2072739533.4913926</v>
      </c>
      <c r="E16" s="81">
        <f t="shared" si="18"/>
        <v>21663034.491392612</v>
      </c>
      <c r="F16" s="448">
        <f t="shared" si="19"/>
        <v>20124959.042503737</v>
      </c>
      <c r="H16" s="2">
        <f t="shared" si="4"/>
        <v>6</v>
      </c>
      <c r="I16" s="5" t="s">
        <v>28</v>
      </c>
      <c r="K16" s="74">
        <f>SUM(K12:K15)</f>
        <v>33167883.859000001</v>
      </c>
      <c r="M16" s="6">
        <f t="shared" si="5"/>
        <v>5</v>
      </c>
      <c r="N16" s="7"/>
      <c r="O16" s="330" t="s">
        <v>59</v>
      </c>
      <c r="P16" s="6">
        <f t="shared" si="6"/>
        <v>5</v>
      </c>
      <c r="S16" s="211"/>
      <c r="T16" s="6">
        <f t="shared" si="7"/>
        <v>5</v>
      </c>
      <c r="U16" s="306" t="s">
        <v>259</v>
      </c>
      <c r="V16" s="11"/>
      <c r="X16" s="204">
        <f>'[12]Lead Sheet'!E15</f>
        <v>18454535.677999999</v>
      </c>
      <c r="Y16" s="6">
        <v>5</v>
      </c>
      <c r="Z16" s="7"/>
      <c r="AA16" s="237"/>
      <c r="AB16" s="238"/>
      <c r="AC16" s="6">
        <f t="shared" si="8"/>
        <v>5</v>
      </c>
      <c r="AD16" s="5" t="s">
        <v>236</v>
      </c>
      <c r="AE16" s="11"/>
      <c r="AF16" s="11"/>
      <c r="AG16" s="11"/>
      <c r="AH16" s="11"/>
      <c r="AI16" s="4"/>
      <c r="AJ16" s="11"/>
      <c r="AK16" s="223">
        <f>ROUND(SUM(AK12:AK14)/3,6)</f>
        <v>7.5490000000000002E-3</v>
      </c>
      <c r="AL16" s="6">
        <f t="shared" si="9"/>
        <v>5</v>
      </c>
      <c r="AQ16" s="6">
        <v>5</v>
      </c>
      <c r="AR16" s="158" t="s">
        <v>9</v>
      </c>
      <c r="AS16" s="159"/>
      <c r="AT16" s="226">
        <f>'[5]Lead E'!$D$13</f>
        <v>4551111.2666800003</v>
      </c>
      <c r="AU16" s="6">
        <f t="shared" si="10"/>
        <v>5</v>
      </c>
      <c r="AV16" s="7" t="s">
        <v>5</v>
      </c>
      <c r="AW16" s="31"/>
      <c r="AX16" s="31"/>
      <c r="AY16" s="258">
        <f>-AY14</f>
        <v>12168.213157891078</v>
      </c>
      <c r="AZ16" s="2"/>
      <c r="BD16" s="19">
        <f t="shared" si="11"/>
        <v>5</v>
      </c>
      <c r="BE16" s="25" t="s">
        <v>17</v>
      </c>
      <c r="BF16" s="277"/>
      <c r="BG16" s="97"/>
      <c r="BH16" s="278">
        <f>-BH14</f>
        <v>-2333541.5813601231</v>
      </c>
      <c r="BI16" s="6">
        <f t="shared" si="12"/>
        <v>5</v>
      </c>
      <c r="BJ16" s="51" t="s">
        <v>226</v>
      </c>
      <c r="BK16" s="260"/>
      <c r="BL16" s="260"/>
      <c r="BM16" s="228">
        <f>BM14</f>
        <v>-1069057.5382273581</v>
      </c>
      <c r="BN16" s="6">
        <f t="shared" si="13"/>
        <v>5</v>
      </c>
      <c r="BO16" s="7" t="s">
        <v>5</v>
      </c>
      <c r="BP16" s="31"/>
      <c r="BQ16" s="31"/>
      <c r="BR16" s="140">
        <f>-BR14</f>
        <v>3574274.1599999992</v>
      </c>
      <c r="BS16" s="6">
        <f t="shared" si="14"/>
        <v>5</v>
      </c>
      <c r="BT16" s="9" t="str">
        <f>'[13]Lead E'!B21</f>
        <v xml:space="preserve">  TWELVE MONTHS ENDED 12/31/17 </v>
      </c>
      <c r="BU16" s="368">
        <f>+'[13]Lead E'!C21</f>
        <v>542894</v>
      </c>
      <c r="BV16" s="368">
        <f>+'[13]Lead E'!D21</f>
        <v>8598393</v>
      </c>
      <c r="BW16" s="368">
        <f>+'[13]Lead E'!E21</f>
        <v>14243</v>
      </c>
      <c r="BX16" s="368">
        <f>+'[13]Lead E'!F21</f>
        <v>50856</v>
      </c>
      <c r="BY16" s="368">
        <f t="shared" si="20"/>
        <v>9206386</v>
      </c>
      <c r="BZ16" s="6">
        <f t="shared" si="15"/>
        <v>5</v>
      </c>
      <c r="CA16" s="153" t="s">
        <v>361</v>
      </c>
      <c r="CB16" s="155">
        <f>+'[14]Lead Sheet'!C17</f>
        <v>121674523.33</v>
      </c>
      <c r="CC16" s="155">
        <f t="shared" si="16"/>
        <v>121674523.33</v>
      </c>
      <c r="CD16" s="155">
        <f>+'[14]Lead Sheet'!E17</f>
        <v>0</v>
      </c>
      <c r="CE16" s="6">
        <f t="shared" si="1"/>
        <v>5</v>
      </c>
      <c r="CF16" s="323" t="s">
        <v>58</v>
      </c>
      <c r="CJ16" s="6">
        <f t="shared" si="17"/>
        <v>5</v>
      </c>
      <c r="CK16" s="183" t="s">
        <v>211</v>
      </c>
      <c r="CL16" s="344">
        <f>'[16]Lead E'!$D$17</f>
        <v>-768655.51500000001</v>
      </c>
      <c r="CM16" s="261"/>
      <c r="CN16" s="261">
        <f>CM16-CL16</f>
        <v>768655.51500000001</v>
      </c>
      <c r="CO16" s="6">
        <v>5</v>
      </c>
      <c r="CP16" s="7" t="s">
        <v>19</v>
      </c>
      <c r="CS16" s="234">
        <f>ROUND(SUM(CS12:CS14),6)</f>
        <v>4.7990999999999999E-2</v>
      </c>
      <c r="CT16" s="6">
        <f t="shared" si="21"/>
        <v>3</v>
      </c>
      <c r="CU16" s="7" t="s">
        <v>34</v>
      </c>
      <c r="CV16" s="49">
        <f>+'[18]Allocated (CBR)'!B10</f>
        <v>351395.68</v>
      </c>
      <c r="CW16" s="49">
        <f>F36</f>
        <v>1380</v>
      </c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6">
        <f t="shared" si="22"/>
        <v>3</v>
      </c>
      <c r="DI16" s="7" t="s">
        <v>34</v>
      </c>
      <c r="DJ16" s="29"/>
      <c r="DK16" s="29"/>
      <c r="DL16" s="29"/>
      <c r="DM16" s="29"/>
      <c r="DN16" s="29"/>
      <c r="DO16" s="29"/>
      <c r="DP16" s="29"/>
      <c r="DQ16" s="29">
        <f>SUM(CW16:DP16)-DH16</f>
        <v>1380</v>
      </c>
      <c r="DR16" s="6">
        <f t="shared" si="23"/>
        <v>3</v>
      </c>
      <c r="DS16" s="7" t="s">
        <v>34</v>
      </c>
      <c r="DT16" s="11">
        <f>+CV16</f>
        <v>351395.68</v>
      </c>
      <c r="DU16" s="11">
        <f>+DQ16</f>
        <v>1380</v>
      </c>
      <c r="DV16" s="29">
        <f>SUM(DT16:DU16)</f>
        <v>352775.67999999999</v>
      </c>
    </row>
    <row r="17" spans="1:126" ht="15" customHeight="1" x14ac:dyDescent="0.25">
      <c r="A17" s="2">
        <f t="shared" si="0"/>
        <v>7</v>
      </c>
      <c r="B17" s="352">
        <v>43556</v>
      </c>
      <c r="C17" s="448">
        <f>'[15]3.01E Lead Sheet '!$C$15</f>
        <v>1678702913</v>
      </c>
      <c r="D17" s="448">
        <f>'[15]3.01E Lead Sheet '!$D$15</f>
        <v>1702544908.5212572</v>
      </c>
      <c r="E17" s="81">
        <f t="shared" si="18"/>
        <v>23841995.521257162</v>
      </c>
      <c r="F17" s="448">
        <f t="shared" si="19"/>
        <v>22149213.839247905</v>
      </c>
      <c r="H17" s="2">
        <f t="shared" si="4"/>
        <v>7</v>
      </c>
      <c r="K17" s="211"/>
      <c r="M17" s="6">
        <f t="shared" si="5"/>
        <v>6</v>
      </c>
      <c r="N17" s="5" t="s">
        <v>370</v>
      </c>
      <c r="O17" s="330">
        <f>'[2]Lead E'!$C$17</f>
        <v>-24720198.196528066</v>
      </c>
      <c r="P17" s="6">
        <f t="shared" si="6"/>
        <v>6</v>
      </c>
      <c r="T17" s="6">
        <f t="shared" si="7"/>
        <v>6</v>
      </c>
      <c r="U17" s="307" t="s">
        <v>260</v>
      </c>
      <c r="X17" s="204">
        <f>'[12]Lead Sheet'!E16</f>
        <v>-83030550.614999995</v>
      </c>
      <c r="Y17" s="6">
        <v>6</v>
      </c>
      <c r="Z17" s="241" t="s">
        <v>243</v>
      </c>
      <c r="AA17" s="242">
        <f>+AA15/2</f>
        <v>548500</v>
      </c>
      <c r="AB17" s="243"/>
      <c r="AC17" s="6">
        <f t="shared" si="8"/>
        <v>6</v>
      </c>
      <c r="AD17" s="7"/>
      <c r="AE17" s="11"/>
      <c r="AF17" s="11"/>
      <c r="AG17" s="283"/>
      <c r="AH17" s="283"/>
      <c r="AI17" s="11"/>
      <c r="AJ17" s="11"/>
      <c r="AK17" s="11"/>
      <c r="AL17" s="6">
        <f t="shared" si="9"/>
        <v>6</v>
      </c>
      <c r="AM17" s="117" t="s">
        <v>17</v>
      </c>
      <c r="AN17" s="277"/>
      <c r="AO17" s="97"/>
      <c r="AP17" s="278">
        <f>-AP15</f>
        <v>-599685.45795573271</v>
      </c>
      <c r="AQ17" s="6">
        <v>6</v>
      </c>
      <c r="AR17" s="67" t="s">
        <v>108</v>
      </c>
      <c r="AS17" s="67"/>
      <c r="AT17" s="3">
        <f>'[5]Lead E'!$C$13</f>
        <v>4394185.7699999996</v>
      </c>
      <c r="AU17" s="6">
        <f t="shared" si="10"/>
        <v>6</v>
      </c>
      <c r="AV17" s="7"/>
      <c r="AW17" s="31"/>
      <c r="AX17" s="31"/>
      <c r="AY17" s="258"/>
      <c r="BD17" s="19">
        <f t="shared" si="11"/>
        <v>6</v>
      </c>
      <c r="BE17" s="69" t="s">
        <v>14</v>
      </c>
      <c r="BF17" s="69"/>
      <c r="BG17" s="79">
        <f>FIT</f>
        <v>0.21</v>
      </c>
      <c r="BH17" s="69">
        <f>BH16*BG17</f>
        <v>-490043.73208562582</v>
      </c>
      <c r="BI17" s="6">
        <f t="shared" si="12"/>
        <v>6</v>
      </c>
      <c r="BJ17" s="5" t="s">
        <v>14</v>
      </c>
      <c r="BK17" s="260"/>
      <c r="BL17" s="79">
        <f>FIT</f>
        <v>0.21</v>
      </c>
      <c r="BM17" s="272">
        <f>ROUND(-BM16*BL17,0)</f>
        <v>224502</v>
      </c>
      <c r="BN17" s="6">
        <f t="shared" si="13"/>
        <v>6</v>
      </c>
      <c r="BO17" s="7"/>
      <c r="BP17" s="31"/>
      <c r="BQ17" s="207"/>
      <c r="BS17" s="6">
        <f t="shared" si="14"/>
        <v>6</v>
      </c>
      <c r="BT17" s="9" t="str">
        <f>'[13]Lead E'!B22</f>
        <v xml:space="preserve">  TWELVE MONTHS ENDED 12/31/18</v>
      </c>
      <c r="BU17" s="368">
        <f>+'[13]Lead E'!C22</f>
        <v>563625</v>
      </c>
      <c r="BV17" s="368">
        <f>+'[13]Lead E'!D22</f>
        <v>9580738</v>
      </c>
      <c r="BW17" s="368">
        <f>+'[13]Lead E'!E22</f>
        <v>118919</v>
      </c>
      <c r="BX17" s="368">
        <f>+'[13]Lead E'!F22</f>
        <v>478326</v>
      </c>
      <c r="BY17" s="76">
        <f t="shared" si="20"/>
        <v>10741608</v>
      </c>
      <c r="BZ17" s="6">
        <f t="shared" si="15"/>
        <v>6</v>
      </c>
      <c r="CA17" s="5" t="s">
        <v>362</v>
      </c>
      <c r="CB17" s="155">
        <f>+'[14]Lead Sheet'!C18</f>
        <v>-196946670</v>
      </c>
      <c r="CC17" s="155">
        <f t="shared" si="16"/>
        <v>-196946670</v>
      </c>
      <c r="CD17" s="5">
        <f>+'[14]Lead Sheet'!E18</f>
        <v>0</v>
      </c>
      <c r="CE17" s="6">
        <f t="shared" si="1"/>
        <v>6</v>
      </c>
      <c r="CF17" s="323" t="s">
        <v>287</v>
      </c>
      <c r="CI17" s="5">
        <f>+'[10]3.13'!E17</f>
        <v>2.0000000000000001E-4</v>
      </c>
      <c r="CJ17" s="6">
        <f t="shared" si="17"/>
        <v>6</v>
      </c>
      <c r="CK17" s="160" t="s">
        <v>212</v>
      </c>
      <c r="CL17" s="174">
        <f>SUM(CL14:CL16)</f>
        <v>1544382.4849999999</v>
      </c>
      <c r="CM17" s="174">
        <f>SUM(CM14:CM16)</f>
        <v>0</v>
      </c>
      <c r="CN17" s="174">
        <f>SUM(CN14:CN16)</f>
        <v>-1544382.4849999999</v>
      </c>
      <c r="CO17" s="6">
        <v>6</v>
      </c>
      <c r="CS17" s="234"/>
      <c r="CT17" s="6">
        <f t="shared" si="21"/>
        <v>4</v>
      </c>
      <c r="CU17" s="7" t="s">
        <v>35</v>
      </c>
      <c r="CV17" s="49">
        <f>+'[18]Allocated (CBR)'!B11</f>
        <v>196946670</v>
      </c>
      <c r="CW17" s="4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6">
        <f t="shared" si="22"/>
        <v>4</v>
      </c>
      <c r="DI17" s="7" t="s">
        <v>35</v>
      </c>
      <c r="DJ17" s="29"/>
      <c r="DK17" s="29"/>
      <c r="DL17" s="29"/>
      <c r="DM17" s="29"/>
      <c r="DN17" s="29">
        <f>-CD16</f>
        <v>0</v>
      </c>
      <c r="DO17" s="29"/>
      <c r="DP17" s="29"/>
      <c r="DQ17" s="29">
        <f>SUM(CW17:DP17)-DH17</f>
        <v>0</v>
      </c>
      <c r="DR17" s="6">
        <f t="shared" si="23"/>
        <v>4</v>
      </c>
      <c r="DS17" s="7" t="s">
        <v>35</v>
      </c>
      <c r="DT17" s="11">
        <f>+CV17</f>
        <v>196946670</v>
      </c>
      <c r="DU17" s="11">
        <f>+DQ17</f>
        <v>0</v>
      </c>
      <c r="DV17" s="29">
        <f>SUM(DT17:DU17)</f>
        <v>196946670</v>
      </c>
    </row>
    <row r="18" spans="1:126" ht="15" customHeight="1" x14ac:dyDescent="0.25">
      <c r="A18" s="2">
        <f t="shared" si="0"/>
        <v>8</v>
      </c>
      <c r="B18" s="352">
        <v>43586</v>
      </c>
      <c r="C18" s="448">
        <f>'[15]3.01E Lead Sheet '!$C$16</f>
        <v>1579814930</v>
      </c>
      <c r="D18" s="448">
        <f>'[15]3.01E Lead Sheet '!$D$16</f>
        <v>1593376844.6170716</v>
      </c>
      <c r="E18" s="81">
        <f t="shared" si="18"/>
        <v>13561914.617071629</v>
      </c>
      <c r="F18" s="448">
        <f t="shared" si="19"/>
        <v>12599018.679259544</v>
      </c>
      <c r="H18" s="2">
        <f t="shared" si="4"/>
        <v>8</v>
      </c>
      <c r="I18" s="5" t="s">
        <v>176</v>
      </c>
      <c r="M18" s="6">
        <f t="shared" si="5"/>
        <v>7</v>
      </c>
      <c r="N18" s="5" t="s">
        <v>371</v>
      </c>
      <c r="O18" s="347">
        <f>'[2]Lead E'!$C$18</f>
        <v>0</v>
      </c>
      <c r="P18" s="6">
        <f t="shared" si="6"/>
        <v>7</v>
      </c>
      <c r="S18" s="76"/>
      <c r="T18" s="6">
        <f t="shared" si="7"/>
        <v>7</v>
      </c>
      <c r="U18" s="308" t="s">
        <v>268</v>
      </c>
      <c r="V18" s="11"/>
      <c r="W18" s="11"/>
      <c r="X18" s="204">
        <f>'[12]Lead Sheet'!E17</f>
        <v>-1398865.409</v>
      </c>
      <c r="Y18" s="6">
        <v>7</v>
      </c>
      <c r="Z18" s="152" t="s">
        <v>218</v>
      </c>
      <c r="AA18" s="244">
        <f>'[17]Lead E'!$D$19</f>
        <v>1151655.348855</v>
      </c>
      <c r="AB18" s="243"/>
      <c r="AC18" s="6">
        <f t="shared" si="8"/>
        <v>7</v>
      </c>
      <c r="AD18" s="161" t="s">
        <v>237</v>
      </c>
      <c r="AE18" s="11"/>
      <c r="AF18" s="11">
        <f>CV19-AF19</f>
        <v>2516261884.1900005</v>
      </c>
      <c r="AG18" s="11">
        <f>CV17-AG19</f>
        <v>196946670</v>
      </c>
      <c r="AH18" s="11">
        <f>CV18-AH19</f>
        <v>191910864.75999999</v>
      </c>
      <c r="AI18" s="11">
        <f>CV16-AI19</f>
        <v>351395.68</v>
      </c>
      <c r="AJ18" s="71">
        <f>AF18-AG18-AH18-AI18</f>
        <v>2127052953.7500005</v>
      </c>
      <c r="AK18" s="71"/>
      <c r="AL18" s="6">
        <f t="shared" si="9"/>
        <v>7</v>
      </c>
      <c r="AM18" s="118" t="s">
        <v>14</v>
      </c>
      <c r="AN18" s="118"/>
      <c r="AO18" s="79">
        <f>FIT</f>
        <v>0.21</v>
      </c>
      <c r="AP18" s="278">
        <f>AP17*AO18</f>
        <v>-125933.94617070386</v>
      </c>
      <c r="AQ18" s="6">
        <v>7</v>
      </c>
      <c r="AR18" s="162" t="s">
        <v>18</v>
      </c>
      <c r="AS18" s="162"/>
      <c r="AT18" s="228">
        <f>AT16-AT17</f>
        <v>156925.4966800008</v>
      </c>
      <c r="AU18" s="6">
        <f t="shared" si="10"/>
        <v>7</v>
      </c>
      <c r="AV18" s="7" t="s">
        <v>14</v>
      </c>
      <c r="AW18" s="31"/>
      <c r="AX18" s="79">
        <f>FIT</f>
        <v>0.21</v>
      </c>
      <c r="AY18" s="214">
        <f>AY16*AX18</f>
        <v>2555.3247631571262</v>
      </c>
      <c r="BD18" s="19">
        <f t="shared" si="11"/>
        <v>7</v>
      </c>
      <c r="BE18" s="281"/>
      <c r="BF18" s="281"/>
      <c r="BG18" s="281"/>
      <c r="BH18" s="286"/>
      <c r="BI18" s="6">
        <f t="shared" si="12"/>
        <v>7</v>
      </c>
      <c r="BK18" s="260"/>
      <c r="BL18" s="260"/>
      <c r="BM18" s="284"/>
      <c r="BN18" s="6">
        <f t="shared" si="13"/>
        <v>7</v>
      </c>
      <c r="BO18" s="7" t="s">
        <v>134</v>
      </c>
      <c r="BP18" s="79">
        <f>FIT</f>
        <v>0.21</v>
      </c>
      <c r="BQ18" s="281"/>
      <c r="BR18" s="11">
        <f>BR16*BP18</f>
        <v>750597.57359999977</v>
      </c>
      <c r="BS18" s="6">
        <f t="shared" si="14"/>
        <v>7</v>
      </c>
      <c r="BT18" s="9" t="str">
        <f>'[13]Lead E'!B23</f>
        <v xml:space="preserve">  TWELVE MONTHS ENDED 12/31/19</v>
      </c>
      <c r="BU18" s="433">
        <f>+'[13]Lead E'!C23</f>
        <v>1169569</v>
      </c>
      <c r="BV18" s="433">
        <f>+'[13]Lead E'!D23</f>
        <v>8273524</v>
      </c>
      <c r="BW18" s="433">
        <f>+'[13]Lead E'!E23</f>
        <v>117859</v>
      </c>
      <c r="BX18" s="433">
        <f>+'[13]Lead E'!F23</f>
        <v>433513</v>
      </c>
      <c r="BY18" s="74">
        <f t="shared" si="20"/>
        <v>9994465</v>
      </c>
      <c r="BZ18" s="6">
        <f t="shared" si="15"/>
        <v>7</v>
      </c>
      <c r="CA18" s="153" t="s">
        <v>363</v>
      </c>
      <c r="CB18" s="155">
        <f>+'[14]Lead Sheet'!C19</f>
        <v>-104269151.23999999</v>
      </c>
      <c r="CC18" s="155">
        <f t="shared" si="16"/>
        <v>-104269151.23999999</v>
      </c>
      <c r="CD18" s="155">
        <f>+'[14]Lead Sheet'!E19</f>
        <v>0</v>
      </c>
      <c r="CE18" s="6">
        <f t="shared" si="1"/>
        <v>7</v>
      </c>
      <c r="CF18" s="323" t="s">
        <v>288</v>
      </c>
      <c r="CI18" s="351">
        <f>+CI17*CI12</f>
        <v>869527.8</v>
      </c>
      <c r="CJ18" s="6">
        <f t="shared" si="17"/>
        <v>7</v>
      </c>
      <c r="CK18" s="160"/>
      <c r="CL18" s="262"/>
      <c r="CM18" s="262"/>
      <c r="CN18" s="174"/>
      <c r="CO18" s="6">
        <v>7</v>
      </c>
      <c r="CP18" s="5" t="str">
        <f>"CONVERSION FACTOR EXCLUDING FEDERAL INCOME TAX ( 1 - LINE "&amp;CO16&amp;" )"</f>
        <v>CONVERSION FACTOR EXCLUDING FEDERAL INCOME TAX ( 1 - LINE 5 )</v>
      </c>
      <c r="CS18" s="234">
        <f>1-CS16</f>
        <v>0.95200899999999999</v>
      </c>
      <c r="CT18" s="6">
        <f t="shared" si="21"/>
        <v>5</v>
      </c>
      <c r="CU18" s="7" t="s">
        <v>36</v>
      </c>
      <c r="CV18" s="3">
        <f>+'[18]Allocated (CBR)'!B12</f>
        <v>191910864.75999999</v>
      </c>
      <c r="CW18" s="3"/>
      <c r="CX18" s="3">
        <f>K13</f>
        <v>-3467838.7</v>
      </c>
      <c r="CY18" s="3"/>
      <c r="CZ18" s="3" t="s">
        <v>59</v>
      </c>
      <c r="DA18" s="3">
        <f>-SUM(X19,X21,X23)</f>
        <v>11563002.690000001</v>
      </c>
      <c r="DB18" s="3"/>
      <c r="DC18" s="3"/>
      <c r="DD18" s="3"/>
      <c r="DE18" s="3"/>
      <c r="DF18" s="3"/>
      <c r="DG18" s="3"/>
      <c r="DH18" s="6">
        <f t="shared" si="22"/>
        <v>5</v>
      </c>
      <c r="DI18" s="7" t="s">
        <v>36</v>
      </c>
      <c r="DJ18" s="3"/>
      <c r="DK18" s="3"/>
      <c r="DL18" s="3"/>
      <c r="DM18" s="3"/>
      <c r="DN18" s="3">
        <f>-Summaries!CD18</f>
        <v>0</v>
      </c>
      <c r="DO18" s="3"/>
      <c r="DP18" s="3"/>
      <c r="DQ18" s="3">
        <f>SUM(CW18:DP18)-DH18</f>
        <v>8095163.9900000012</v>
      </c>
      <c r="DR18" s="6">
        <f t="shared" si="23"/>
        <v>5</v>
      </c>
      <c r="DS18" s="7" t="s">
        <v>36</v>
      </c>
      <c r="DT18" s="74">
        <f>+CV18</f>
        <v>191910864.75999999</v>
      </c>
      <c r="DU18" s="74">
        <f>+DQ18</f>
        <v>8095163.9900000012</v>
      </c>
      <c r="DV18" s="3">
        <f>SUM(DT18:DU18)</f>
        <v>200006028.75</v>
      </c>
    </row>
    <row r="19" spans="1:126" ht="15" customHeight="1" thickBot="1" x14ac:dyDescent="0.3">
      <c r="A19" s="2">
        <f t="shared" si="0"/>
        <v>9</v>
      </c>
      <c r="B19" s="352">
        <v>43617</v>
      </c>
      <c r="C19" s="448">
        <f>'[15]3.01E Lead Sheet '!$C$17</f>
        <v>1519701625</v>
      </c>
      <c r="D19" s="448">
        <f>'[15]3.01E Lead Sheet '!$D$17</f>
        <v>1513502180.2130151</v>
      </c>
      <c r="E19" s="81">
        <f t="shared" si="18"/>
        <v>-6199444.7869849205</v>
      </c>
      <c r="F19" s="448">
        <f t="shared" si="19"/>
        <v>-5759284.2071089912</v>
      </c>
      <c r="H19" s="2">
        <f t="shared" si="4"/>
        <v>9</v>
      </c>
      <c r="L19" s="71">
        <f>K16</f>
        <v>33167883.859000001</v>
      </c>
      <c r="M19" s="6">
        <f t="shared" si="5"/>
        <v>8</v>
      </c>
      <c r="N19" s="5" t="s">
        <v>372</v>
      </c>
      <c r="O19" s="76">
        <f>SUM(O15:O18)</f>
        <v>63892962.113762215</v>
      </c>
      <c r="P19" s="6">
        <f t="shared" si="6"/>
        <v>8</v>
      </c>
      <c r="S19" s="57"/>
      <c r="T19" s="6">
        <f t="shared" si="7"/>
        <v>8</v>
      </c>
      <c r="U19" s="308" t="s">
        <v>267</v>
      </c>
      <c r="X19" s="204">
        <f>'[12]Lead Sheet'!E18</f>
        <v>1207204.04</v>
      </c>
      <c r="Y19" s="6">
        <v>8</v>
      </c>
      <c r="Z19" s="7" t="s">
        <v>21</v>
      </c>
      <c r="AA19" s="245">
        <f>+AA17-AA18</f>
        <v>-603155.34885499999</v>
      </c>
      <c r="AB19" s="242">
        <f>+AA19</f>
        <v>-603155.34885499999</v>
      </c>
      <c r="AC19" s="6">
        <f t="shared" si="8"/>
        <v>8</v>
      </c>
      <c r="AD19" s="164"/>
      <c r="AE19" s="11"/>
      <c r="AF19" s="11"/>
      <c r="AG19" s="11"/>
      <c r="AH19" s="11"/>
      <c r="AI19" s="11"/>
      <c r="AJ19" s="74"/>
      <c r="AK19" s="11"/>
      <c r="AL19" s="6">
        <f t="shared" si="9"/>
        <v>8</v>
      </c>
      <c r="AM19" s="285"/>
      <c r="AN19" s="285"/>
      <c r="AO19" s="285"/>
      <c r="AP19" s="286"/>
      <c r="AQ19" s="6">
        <v>8</v>
      </c>
      <c r="AR19" s="5"/>
      <c r="AS19" s="5"/>
      <c r="AT19" s="5"/>
      <c r="AU19" s="6">
        <f t="shared" si="10"/>
        <v>8</v>
      </c>
      <c r="AV19" s="7"/>
      <c r="AW19" s="31"/>
      <c r="AX19" s="207"/>
      <c r="AY19" s="214"/>
      <c r="BD19" s="19">
        <f t="shared" si="11"/>
        <v>8</v>
      </c>
      <c r="BE19" s="7" t="s">
        <v>115</v>
      </c>
      <c r="BH19" s="280">
        <f>BH16-BH17</f>
        <v>-1843497.8492744972</v>
      </c>
      <c r="BI19" s="6">
        <f t="shared" si="12"/>
        <v>8</v>
      </c>
      <c r="BJ19" s="178" t="s">
        <v>115</v>
      </c>
      <c r="BK19" s="287"/>
      <c r="BL19" s="288"/>
      <c r="BM19" s="289">
        <f>-BM16-BM17</f>
        <v>844555.53822735813</v>
      </c>
      <c r="BN19" s="6">
        <f t="shared" si="13"/>
        <v>8</v>
      </c>
      <c r="BO19" s="5"/>
      <c r="BR19" s="66"/>
      <c r="BS19" s="6">
        <f t="shared" si="14"/>
        <v>8</v>
      </c>
      <c r="BT19" s="166" t="s">
        <v>316</v>
      </c>
      <c r="BU19" s="369">
        <f>SUM(BU13:BU18)</f>
        <v>3563849</v>
      </c>
      <c r="BV19" s="369">
        <f>SUM(BV13:BV18)</f>
        <v>56255961</v>
      </c>
      <c r="BW19" s="369">
        <f>SUM(BW13:BW18)</f>
        <v>530166</v>
      </c>
      <c r="BX19" s="369">
        <f>SUM(BX13:BX18)</f>
        <v>1977199</v>
      </c>
      <c r="BY19" s="369">
        <f>SUM(BY13:BY18)</f>
        <v>62327175</v>
      </c>
      <c r="BZ19" s="6">
        <f t="shared" si="15"/>
        <v>8</v>
      </c>
      <c r="CA19" s="168" t="s">
        <v>234</v>
      </c>
      <c r="CB19" s="264">
        <f>SUM(CB13:CB18)</f>
        <v>720407553.4000001</v>
      </c>
      <c r="CC19" s="264">
        <f>SUM(CC13:CC18)</f>
        <v>721597299.34220839</v>
      </c>
      <c r="CD19" s="264">
        <f>SUM(CD13:CD18)</f>
        <v>1189745.9422083274</v>
      </c>
      <c r="CE19" s="6">
        <f t="shared" si="1"/>
        <v>8</v>
      </c>
      <c r="CF19" s="324"/>
      <c r="CJ19" s="6">
        <f t="shared" si="17"/>
        <v>8</v>
      </c>
      <c r="CK19" s="145" t="s">
        <v>235</v>
      </c>
      <c r="CO19" s="6">
        <v>8</v>
      </c>
      <c r="CP19" s="7" t="str">
        <f>"FEDERAL INCOME TAX ( ( 1 - LINE "&amp;CO16&amp;" ) * "&amp;FIT*100&amp;"% )"</f>
        <v>FEDERAL INCOME TAX ( ( 1 - LINE 5 ) * 21% )</v>
      </c>
      <c r="CR19" s="79">
        <v>0.21</v>
      </c>
      <c r="CS19" s="235">
        <f>ROUND((1-CS16)*FIT,6)</f>
        <v>0.19992199999999999</v>
      </c>
      <c r="CT19" s="6">
        <f t="shared" si="21"/>
        <v>6</v>
      </c>
      <c r="CU19" s="7" t="s">
        <v>37</v>
      </c>
      <c r="CV19" s="4">
        <f>SUM(CV15:CV18)</f>
        <v>2516261884.1900005</v>
      </c>
      <c r="CW19" s="4">
        <f>SUM(CW15:CW18)</f>
        <v>1107123</v>
      </c>
      <c r="CX19" s="4">
        <f>SUM(CX15:CX18)</f>
        <v>33167883.859000001</v>
      </c>
      <c r="CY19" s="4">
        <f>SUM(CY15:CY18)</f>
        <v>0</v>
      </c>
      <c r="CZ19" s="4">
        <f>SUM(CZ15:CZ18)</f>
        <v>0</v>
      </c>
      <c r="DA19" s="4">
        <f>ROUND(SUM(DA15:DA18),0)</f>
        <v>-156586454</v>
      </c>
      <c r="DB19" s="4"/>
      <c r="DC19" s="4">
        <f>SUM(DC15:DC18)</f>
        <v>0</v>
      </c>
      <c r="DD19" s="4"/>
      <c r="DE19" s="4">
        <f>SUM(DE15:DE18)</f>
        <v>0</v>
      </c>
      <c r="DF19" s="4">
        <f>SUM(DF15:DF18)</f>
        <v>0</v>
      </c>
      <c r="DG19" s="4">
        <f>SUM(DG15:DG18)</f>
        <v>0</v>
      </c>
      <c r="DH19" s="6">
        <f t="shared" si="22"/>
        <v>6</v>
      </c>
      <c r="DI19" s="7" t="s">
        <v>37</v>
      </c>
      <c r="DJ19" s="4">
        <f t="shared" ref="DJ19:DQ19" si="24">SUM(DJ15:DJ18)</f>
        <v>0</v>
      </c>
      <c r="DK19" s="4">
        <f t="shared" si="24"/>
        <v>0</v>
      </c>
      <c r="DL19" s="4">
        <f t="shared" si="24"/>
        <v>0</v>
      </c>
      <c r="DM19" s="4">
        <f t="shared" si="24"/>
        <v>0</v>
      </c>
      <c r="DN19" s="4">
        <f t="shared" si="24"/>
        <v>0</v>
      </c>
      <c r="DO19" s="4">
        <f t="shared" si="24"/>
        <v>0</v>
      </c>
      <c r="DP19" s="4">
        <f t="shared" si="24"/>
        <v>0</v>
      </c>
      <c r="DQ19" s="4">
        <f t="shared" si="24"/>
        <v>-122311447.52742416</v>
      </c>
      <c r="DR19" s="6">
        <f t="shared" si="23"/>
        <v>6</v>
      </c>
      <c r="DS19" s="7" t="s">
        <v>37</v>
      </c>
      <c r="DT19" s="73">
        <f>SUM(DT15:DT18)</f>
        <v>2516261884.1900005</v>
      </c>
      <c r="DU19" s="73">
        <f>SUM(DU15:DU18)</f>
        <v>-122311447.52742416</v>
      </c>
      <c r="DV19" s="73">
        <f>SUM(DV15:DV18)</f>
        <v>2393950436.6625757</v>
      </c>
    </row>
    <row r="20" spans="1:126" ht="15" customHeight="1" thickTop="1" thickBot="1" x14ac:dyDescent="0.3">
      <c r="A20" s="2">
        <f t="shared" si="0"/>
        <v>10</v>
      </c>
      <c r="B20" s="352">
        <v>43647</v>
      </c>
      <c r="C20" s="448">
        <f>'[15]3.01E Lead Sheet '!$C$18</f>
        <v>1613276616</v>
      </c>
      <c r="D20" s="448">
        <f>'[15]3.01E Lead Sheet '!$D$18</f>
        <v>1601649032.2115862</v>
      </c>
      <c r="E20" s="81">
        <f t="shared" si="18"/>
        <v>-11627583.788413763</v>
      </c>
      <c r="F20" s="448">
        <f t="shared" si="19"/>
        <v>-10802025.339436386</v>
      </c>
      <c r="H20" s="2">
        <f t="shared" si="4"/>
        <v>10</v>
      </c>
      <c r="I20" s="7" t="s">
        <v>29</v>
      </c>
      <c r="J20" s="201">
        <f>BD</f>
        <v>7.5490000000000002E-3</v>
      </c>
      <c r="K20" s="202">
        <f>L19*J20</f>
        <v>250384.35525159101</v>
      </c>
      <c r="M20" s="6">
        <f t="shared" si="5"/>
        <v>9</v>
      </c>
      <c r="N20" s="5" t="s">
        <v>373</v>
      </c>
      <c r="O20" s="330" t="s">
        <v>59</v>
      </c>
      <c r="P20" s="6">
        <f t="shared" si="6"/>
        <v>9</v>
      </c>
      <c r="Q20" s="5" t="s">
        <v>17</v>
      </c>
      <c r="R20" s="281"/>
      <c r="S20" s="218">
        <f>-S15+S18</f>
        <v>-149757854.22078505</v>
      </c>
      <c r="T20" s="6">
        <f t="shared" si="7"/>
        <v>9</v>
      </c>
      <c r="U20" s="308" t="s">
        <v>261</v>
      </c>
      <c r="X20" s="204">
        <f>'[12]Lead Sheet'!E19</f>
        <v>11732447.697448241</v>
      </c>
      <c r="Y20" s="6">
        <v>9</v>
      </c>
      <c r="Z20" s="7"/>
      <c r="AA20" s="57"/>
      <c r="AB20" s="246"/>
      <c r="AC20" s="6">
        <f t="shared" si="8"/>
        <v>9</v>
      </c>
      <c r="AD20" s="166"/>
      <c r="AE20" s="11"/>
      <c r="AF20" s="11"/>
      <c r="AG20" s="11"/>
      <c r="AH20" s="11"/>
      <c r="AI20" s="79"/>
      <c r="AJ20" s="336"/>
      <c r="AK20" s="11"/>
      <c r="AL20" s="6">
        <f t="shared" si="9"/>
        <v>9</v>
      </c>
      <c r="AM20" s="98" t="s">
        <v>115</v>
      </c>
      <c r="AN20" s="154"/>
      <c r="AO20" s="154"/>
      <c r="AP20" s="280">
        <f>AP17-AP18</f>
        <v>-473751.51178502885</v>
      </c>
      <c r="AQ20" s="6">
        <v>9</v>
      </c>
      <c r="AR20" s="110" t="s">
        <v>129</v>
      </c>
      <c r="AS20" s="5"/>
      <c r="AT20" s="4">
        <f>AT14+AT18</f>
        <v>132615.68742499687</v>
      </c>
      <c r="AU20" s="6">
        <f t="shared" si="10"/>
        <v>9</v>
      </c>
      <c r="AV20" s="7" t="s">
        <v>115</v>
      </c>
      <c r="AW20" s="31"/>
      <c r="AX20" s="31"/>
      <c r="AY20" s="230">
        <f>AY16-AY18</f>
        <v>9612.8883947339509</v>
      </c>
      <c r="BD20" s="19"/>
      <c r="BI20" s="19"/>
      <c r="BJ20" s="7"/>
      <c r="BN20" s="6">
        <f t="shared" si="13"/>
        <v>9</v>
      </c>
      <c r="BO20" s="7" t="s">
        <v>115</v>
      </c>
      <c r="BP20" s="79"/>
      <c r="BQ20" s="69"/>
      <c r="BR20" s="222">
        <f>+BR16-BR18</f>
        <v>2823676.5863999994</v>
      </c>
      <c r="BS20" s="6">
        <f t="shared" si="14"/>
        <v>9</v>
      </c>
      <c r="BZ20" s="6">
        <f t="shared" si="15"/>
        <v>9</v>
      </c>
      <c r="CA20" s="168"/>
      <c r="CB20" s="168"/>
      <c r="CC20" s="168"/>
      <c r="CD20" s="168"/>
      <c r="CE20" s="6">
        <f t="shared" si="1"/>
        <v>9</v>
      </c>
      <c r="CF20" s="7" t="s">
        <v>116</v>
      </c>
      <c r="CG20" s="12"/>
      <c r="CH20"/>
      <c r="CI20" s="29">
        <f>+CI18+CI15</f>
        <v>1489066.3574999999</v>
      </c>
      <c r="CJ20" s="6">
        <f t="shared" si="17"/>
        <v>9</v>
      </c>
      <c r="CK20" s="165" t="s">
        <v>213</v>
      </c>
      <c r="CL20" s="174">
        <f>'[16]Lead E'!$D$21</f>
        <v>212064</v>
      </c>
      <c r="CM20" s="174"/>
      <c r="CN20" s="174">
        <f>CM20-CL20</f>
        <v>-212064</v>
      </c>
      <c r="CO20" s="6">
        <v>9</v>
      </c>
      <c r="CP20" s="7" t="str">
        <f>"CONVERSION FACTOR ( 1 - LINE "&amp;CO19&amp;" )"</f>
        <v>CONVERSION FACTOR ( 1 - LINE 8 )</v>
      </c>
      <c r="CS20" s="513">
        <f>ROUND(1-CS19-CS16,6)</f>
        <v>0.75208699999999995</v>
      </c>
      <c r="CT20" s="6">
        <f t="shared" si="21"/>
        <v>7</v>
      </c>
      <c r="CV20" s="28"/>
      <c r="CW20" s="28" t="s">
        <v>59</v>
      </c>
      <c r="CX20" s="28" t="s">
        <v>59</v>
      </c>
      <c r="CY20" s="28" t="s">
        <v>59</v>
      </c>
      <c r="CZ20" s="28" t="s">
        <v>59</v>
      </c>
      <c r="DA20" s="28"/>
      <c r="DB20" s="28"/>
      <c r="DC20" s="28" t="s">
        <v>59</v>
      </c>
      <c r="DD20" s="28"/>
      <c r="DE20" s="28"/>
      <c r="DF20" s="28"/>
      <c r="DG20" s="28" t="s">
        <v>59</v>
      </c>
      <c r="DH20" s="6">
        <f t="shared" si="22"/>
        <v>7</v>
      </c>
      <c r="DJ20" s="28"/>
      <c r="DK20" s="28"/>
      <c r="DL20" s="28"/>
      <c r="DM20" s="28"/>
      <c r="DN20" s="28" t="s">
        <v>59</v>
      </c>
      <c r="DO20" s="28" t="s">
        <v>59</v>
      </c>
      <c r="DP20" s="28"/>
      <c r="DQ20" s="28"/>
      <c r="DR20" s="6">
        <f t="shared" si="23"/>
        <v>7</v>
      </c>
      <c r="DT20" s="56"/>
      <c r="DU20" s="56"/>
    </row>
    <row r="21" spans="1:126" ht="15" customHeight="1" thickTop="1" thickBot="1" x14ac:dyDescent="0.3">
      <c r="A21" s="2">
        <f t="shared" si="0"/>
        <v>11</v>
      </c>
      <c r="B21" s="352">
        <v>43678</v>
      </c>
      <c r="C21" s="448">
        <f>'[15]3.01E Lead Sheet '!$C$19</f>
        <v>1661753743</v>
      </c>
      <c r="D21" s="448">
        <f>'[15]3.01E Lead Sheet '!$D$19</f>
        <v>1626541800.8838308</v>
      </c>
      <c r="E21" s="81">
        <f t="shared" si="18"/>
        <v>-35211942.116169214</v>
      </c>
      <c r="F21" s="448">
        <f t="shared" si="19"/>
        <v>-32711894.225921202</v>
      </c>
      <c r="H21" s="2">
        <f t="shared" si="4"/>
        <v>11</v>
      </c>
      <c r="I21" s="7" t="s">
        <v>30</v>
      </c>
      <c r="J21" s="201">
        <f>FF</f>
        <v>2E-3</v>
      </c>
      <c r="K21" s="203">
        <f>L19*J21</f>
        <v>66335.767718000003</v>
      </c>
      <c r="L21" s="11"/>
      <c r="M21" s="6">
        <f t="shared" si="5"/>
        <v>10</v>
      </c>
      <c r="N21" s="7" t="s">
        <v>369</v>
      </c>
      <c r="O21" s="82">
        <f>'[2]Lead E'!$C$23</f>
        <v>31409079.400000002</v>
      </c>
      <c r="P21" s="6">
        <f t="shared" si="6"/>
        <v>10</v>
      </c>
      <c r="Q21" s="5" t="s">
        <v>59</v>
      </c>
      <c r="S21" s="28" t="s">
        <v>59</v>
      </c>
      <c r="T21" s="6">
        <f t="shared" si="7"/>
        <v>10</v>
      </c>
      <c r="U21" s="308" t="s">
        <v>262</v>
      </c>
      <c r="W21" s="111"/>
      <c r="X21" s="204">
        <f>'[12]Lead Sheet'!E20</f>
        <v>-11169395.800000003</v>
      </c>
      <c r="Y21" s="6">
        <v>10</v>
      </c>
      <c r="Z21" s="7" t="s">
        <v>276</v>
      </c>
      <c r="AA21" s="247">
        <f>'[17]Lead E'!$D$23</f>
        <v>273000</v>
      </c>
      <c r="AC21" s="6">
        <f t="shared" si="8"/>
        <v>10</v>
      </c>
      <c r="AD21" s="166" t="s">
        <v>280</v>
      </c>
      <c r="AE21" s="11"/>
      <c r="AF21" s="11"/>
      <c r="AG21" s="11"/>
      <c r="AH21" s="11"/>
      <c r="AI21" s="79"/>
      <c r="AJ21" s="224">
        <f>AK16</f>
        <v>7.5490000000000002E-3</v>
      </c>
      <c r="AK21" s="11"/>
      <c r="AQ21" s="6">
        <v>10</v>
      </c>
      <c r="AR21" s="5"/>
      <c r="AS21" s="5"/>
      <c r="AT21" s="5"/>
      <c r="AU21" s="6"/>
      <c r="AV21" s="7"/>
      <c r="AW21" s="31"/>
      <c r="AX21" s="31"/>
      <c r="AY21" s="52"/>
      <c r="BD21" s="19"/>
      <c r="BF21" s="279"/>
      <c r="BG21" s="68"/>
      <c r="BH21" s="68"/>
      <c r="BS21" s="6">
        <f t="shared" si="14"/>
        <v>10</v>
      </c>
      <c r="BT21" s="5" t="s">
        <v>354</v>
      </c>
      <c r="BU21" s="75">
        <f>BU19/6</f>
        <v>593974.83333333337</v>
      </c>
      <c r="BV21" s="75">
        <f>BV19/6</f>
        <v>9375993.5</v>
      </c>
      <c r="BW21" s="75">
        <f>BW19/6</f>
        <v>88361</v>
      </c>
      <c r="BX21" s="75">
        <f>BX19/6</f>
        <v>329533.16666666669</v>
      </c>
      <c r="BY21" s="76">
        <f>SUM(BU21:BX21)</f>
        <v>10387862.5</v>
      </c>
      <c r="BZ21" s="6">
        <f t="shared" si="15"/>
        <v>10</v>
      </c>
      <c r="CA21" s="170" t="s">
        <v>111</v>
      </c>
      <c r="CB21" s="346"/>
      <c r="CC21" s="265"/>
      <c r="CD21" s="213">
        <f>-CD19</f>
        <v>-1189745.9422083274</v>
      </c>
      <c r="CE21" s="6">
        <f t="shared" si="1"/>
        <v>10</v>
      </c>
      <c r="CF21" s="7" t="s">
        <v>10</v>
      </c>
      <c r="CG21" s="12"/>
      <c r="CH21"/>
      <c r="CI21" s="221">
        <f>+'[10]3.13'!E21</f>
        <v>1624226.22</v>
      </c>
      <c r="CJ21" s="6">
        <f t="shared" si="17"/>
        <v>10</v>
      </c>
      <c r="CK21" s="167" t="s">
        <v>214</v>
      </c>
      <c r="CL21" s="263">
        <f>+CL20</f>
        <v>212064</v>
      </c>
      <c r="CM21" s="263">
        <f>+CM20</f>
        <v>0</v>
      </c>
      <c r="CN21" s="263">
        <f>+CN20</f>
        <v>-212064</v>
      </c>
      <c r="CS21" s="6"/>
      <c r="CT21" s="6">
        <f t="shared" si="21"/>
        <v>8</v>
      </c>
      <c r="CU21" s="7" t="s">
        <v>38</v>
      </c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6">
        <f t="shared" si="22"/>
        <v>8</v>
      </c>
      <c r="DI21" s="7" t="s">
        <v>38</v>
      </c>
      <c r="DJ21" s="28"/>
      <c r="DK21" s="28"/>
      <c r="DL21" s="28"/>
      <c r="DM21" s="28"/>
      <c r="DN21" s="28"/>
      <c r="DO21" s="28"/>
      <c r="DP21" s="28"/>
      <c r="DQ21" s="28"/>
      <c r="DR21" s="6">
        <f t="shared" si="23"/>
        <v>8</v>
      </c>
      <c r="DS21" s="38" t="s">
        <v>38</v>
      </c>
      <c r="DT21" s="56"/>
      <c r="DU21" s="56"/>
      <c r="DV21" s="28"/>
    </row>
    <row r="22" spans="1:126" ht="15" customHeight="1" thickTop="1" x14ac:dyDescent="0.25">
      <c r="A22" s="2">
        <f t="shared" si="0"/>
        <v>12</v>
      </c>
      <c r="B22" s="352">
        <v>43709</v>
      </c>
      <c r="C22" s="448">
        <f>'[15]3.01E Lead Sheet '!$C$20</f>
        <v>1557215731</v>
      </c>
      <c r="D22" s="448">
        <f>'[15]3.01E Lead Sheet '!$D$20</f>
        <v>1552856114.6982031</v>
      </c>
      <c r="E22" s="81">
        <f t="shared" si="18"/>
        <v>-4359616.3017969131</v>
      </c>
      <c r="F22" s="448">
        <f t="shared" si="19"/>
        <v>-4050083.5443693325</v>
      </c>
      <c r="H22" s="2">
        <f t="shared" si="4"/>
        <v>12</v>
      </c>
      <c r="I22" s="25" t="s">
        <v>21</v>
      </c>
      <c r="J22" s="201"/>
      <c r="K22" s="69"/>
      <c r="L22" s="11"/>
      <c r="M22" s="6">
        <f t="shared" si="5"/>
        <v>11</v>
      </c>
      <c r="N22" s="5" t="s">
        <v>370</v>
      </c>
      <c r="O22" s="82">
        <f>'[2]Lead E'!$C$24</f>
        <v>219283109.16</v>
      </c>
      <c r="P22" s="6">
        <f t="shared" si="6"/>
        <v>11</v>
      </c>
      <c r="Q22" s="5" t="s">
        <v>20</v>
      </c>
      <c r="R22" s="79">
        <f>FIT</f>
        <v>0.21</v>
      </c>
      <c r="S22" s="215">
        <f>+S20*R22</f>
        <v>-31449149.386364859</v>
      </c>
      <c r="T22" s="6">
        <f t="shared" si="7"/>
        <v>11</v>
      </c>
      <c r="U22" s="309" t="s">
        <v>253</v>
      </c>
      <c r="X22" s="204">
        <f>'[12]Lead Sheet'!E21</f>
        <v>5262224.4399999995</v>
      </c>
      <c r="Y22" s="6">
        <v>11</v>
      </c>
      <c r="Z22" s="7"/>
      <c r="AA22" s="82"/>
      <c r="AC22" s="6">
        <f t="shared" si="8"/>
        <v>11</v>
      </c>
      <c r="AD22" s="166" t="s">
        <v>281</v>
      </c>
      <c r="AE22" s="11"/>
      <c r="AF22" s="11"/>
      <c r="AG22" s="11"/>
      <c r="AH22" s="11"/>
      <c r="AI22" s="11"/>
      <c r="AJ22" s="336">
        <f>AJ18*AJ21</f>
        <v>16057122.747858753</v>
      </c>
      <c r="AK22" s="71"/>
      <c r="AQ22" s="6">
        <v>11</v>
      </c>
      <c r="AR22" s="5" t="s">
        <v>7</v>
      </c>
      <c r="AS22" s="5"/>
      <c r="AT22" s="4">
        <f>-(AT14+AT18)</f>
        <v>-132615.68742499687</v>
      </c>
      <c r="AU22" s="7" t="s">
        <v>59</v>
      </c>
      <c r="AV22" s="7"/>
      <c r="AW22" s="31"/>
      <c r="AX22" s="31"/>
      <c r="AY22" s="31"/>
      <c r="BD22" s="19"/>
      <c r="BE22" s="7"/>
      <c r="BF22" s="12"/>
      <c r="BG22" s="68"/>
      <c r="BH22" s="68"/>
      <c r="BI22" s="68"/>
      <c r="BJ22" s="68"/>
      <c r="BK22" s="68"/>
      <c r="BL22" s="68"/>
      <c r="BM22" s="68"/>
      <c r="BS22" s="6">
        <f t="shared" si="14"/>
        <v>11</v>
      </c>
      <c r="BU22" s="75"/>
      <c r="BV22" s="365"/>
      <c r="BW22" s="365"/>
      <c r="BX22" s="365"/>
      <c r="BY22" s="365"/>
      <c r="BZ22" s="6">
        <f t="shared" si="15"/>
        <v>11</v>
      </c>
      <c r="CA22" s="346"/>
      <c r="CB22" s="346"/>
      <c r="CC22" s="265" t="s">
        <v>59</v>
      </c>
      <c r="CD22" s="265"/>
      <c r="CE22" s="6">
        <f t="shared" si="1"/>
        <v>11</v>
      </c>
      <c r="CF22" s="7" t="s">
        <v>17</v>
      </c>
      <c r="CG22" s="36"/>
      <c r="CH22"/>
      <c r="CI22" s="30">
        <f>CI21-CI20</f>
        <v>135159.86250000005</v>
      </c>
      <c r="CJ22" s="6">
        <f t="shared" si="17"/>
        <v>11</v>
      </c>
      <c r="CK22" s="167"/>
      <c r="CL22" s="51"/>
      <c r="CM22" s="51"/>
      <c r="CN22" s="51"/>
      <c r="CS22" s="343"/>
      <c r="CT22" s="6">
        <f t="shared" si="21"/>
        <v>9</v>
      </c>
      <c r="DH22" s="6">
        <f t="shared" si="22"/>
        <v>9</v>
      </c>
      <c r="DR22" s="6">
        <f t="shared" si="23"/>
        <v>9</v>
      </c>
      <c r="DT22" s="56"/>
      <c r="DU22" s="56"/>
    </row>
    <row r="23" spans="1:126" ht="15" customHeight="1" x14ac:dyDescent="0.25">
      <c r="A23" s="2">
        <f t="shared" si="0"/>
        <v>13</v>
      </c>
      <c r="B23" s="352">
        <v>43739</v>
      </c>
      <c r="C23" s="448">
        <f>'[15]3.01E Lead Sheet '!$C$21</f>
        <v>1842628447</v>
      </c>
      <c r="D23" s="448">
        <f>'[15]3.01E Lead Sheet '!$D$21</f>
        <v>1813688238.5394666</v>
      </c>
      <c r="E23" s="81">
        <f t="shared" si="18"/>
        <v>-28940208.460533381</v>
      </c>
      <c r="F23" s="448">
        <f t="shared" si="19"/>
        <v>-26885453.659835514</v>
      </c>
      <c r="H23" s="2">
        <f t="shared" si="4"/>
        <v>13</v>
      </c>
      <c r="I23" s="7"/>
      <c r="J23" s="201"/>
      <c r="K23" s="72"/>
      <c r="L23" s="204">
        <f>SUM(K20:K21)</f>
        <v>316720.122969591</v>
      </c>
      <c r="M23" s="6">
        <f t="shared" si="5"/>
        <v>12</v>
      </c>
      <c r="N23" s="5" t="s">
        <v>374</v>
      </c>
      <c r="O23" s="82">
        <f>'[2]Lead E'!$C$25</f>
        <v>-190762693.97999999</v>
      </c>
      <c r="P23" s="6">
        <f t="shared" si="6"/>
        <v>12</v>
      </c>
      <c r="Q23" s="57"/>
      <c r="R23" s="290"/>
      <c r="S23" s="219"/>
      <c r="T23" s="6">
        <f t="shared" si="7"/>
        <v>12</v>
      </c>
      <c r="U23" s="309" t="s">
        <v>252</v>
      </c>
      <c r="V23" s="163"/>
      <c r="X23" s="204">
        <f>'[12]Lead Sheet'!E22</f>
        <v>-1600810.93</v>
      </c>
      <c r="Y23" s="6">
        <v>12</v>
      </c>
      <c r="Z23" s="241" t="s">
        <v>244</v>
      </c>
      <c r="AA23" s="242">
        <f>AA21/4</f>
        <v>68250</v>
      </c>
      <c r="AC23" s="6">
        <f t="shared" si="8"/>
        <v>12</v>
      </c>
      <c r="AQ23" s="6">
        <v>12</v>
      </c>
      <c r="AR23" s="5"/>
      <c r="AS23" s="5"/>
      <c r="AT23" s="5"/>
      <c r="AU23" s="7"/>
      <c r="AV23" s="7"/>
      <c r="AW23" s="31"/>
      <c r="AX23" s="31"/>
      <c r="AY23" s="31"/>
      <c r="BI23" s="68"/>
      <c r="BJ23" s="68"/>
      <c r="BK23" s="68"/>
      <c r="BL23" s="68"/>
      <c r="BM23" s="68"/>
      <c r="BS23" s="6">
        <f t="shared" si="14"/>
        <v>12</v>
      </c>
      <c r="BT23" s="200" t="s">
        <v>355</v>
      </c>
      <c r="BU23" s="76"/>
      <c r="BV23" s="76"/>
      <c r="BW23" s="76"/>
      <c r="BX23" s="76"/>
      <c r="BY23" s="76"/>
      <c r="BZ23" s="6">
        <f t="shared" si="15"/>
        <v>12</v>
      </c>
      <c r="CA23" s="170" t="s">
        <v>8</v>
      </c>
      <c r="CB23" s="79">
        <f>FIT</f>
        <v>0.21</v>
      </c>
      <c r="CC23" s="266"/>
      <c r="CD23" s="267">
        <f>CD21*CB23</f>
        <v>-249846.64786374875</v>
      </c>
      <c r="CE23" s="6">
        <f t="shared" si="1"/>
        <v>12</v>
      </c>
      <c r="CG23" s="28"/>
      <c r="CH23"/>
      <c r="CI23" s="28" t="s">
        <v>59</v>
      </c>
      <c r="CJ23" s="6">
        <f t="shared" si="17"/>
        <v>12</v>
      </c>
      <c r="CK23" s="5" t="s">
        <v>14</v>
      </c>
      <c r="CL23" s="97"/>
      <c r="CM23" s="79">
        <f>FIT</f>
        <v>0.21</v>
      </c>
      <c r="CN23" s="261">
        <f>-CN21*CM23</f>
        <v>44533.439999999995</v>
      </c>
      <c r="CS23" s="343"/>
      <c r="CT23" s="6">
        <f t="shared" si="21"/>
        <v>10</v>
      </c>
      <c r="CU23" s="7" t="s">
        <v>39</v>
      </c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6">
        <f t="shared" si="22"/>
        <v>10</v>
      </c>
      <c r="DI23" s="7" t="s">
        <v>39</v>
      </c>
      <c r="DJ23" s="28"/>
      <c r="DK23" s="28"/>
      <c r="DL23" s="28"/>
      <c r="DM23" s="28"/>
      <c r="DN23" s="28"/>
      <c r="DO23" s="28"/>
      <c r="DP23" s="28"/>
      <c r="DQ23" s="28"/>
      <c r="DR23" s="6">
        <f t="shared" si="23"/>
        <v>10</v>
      </c>
      <c r="DS23" s="33" t="s">
        <v>39</v>
      </c>
      <c r="DT23" s="56"/>
      <c r="DU23" s="56"/>
      <c r="DV23" s="28"/>
    </row>
    <row r="24" spans="1:126" ht="15" customHeight="1" thickBot="1" x14ac:dyDescent="0.3">
      <c r="A24" s="2">
        <f t="shared" si="0"/>
        <v>14</v>
      </c>
      <c r="B24" s="352">
        <v>43770</v>
      </c>
      <c r="C24" s="448">
        <f>'[15]3.01E Lead Sheet '!$C$22</f>
        <v>1994898495</v>
      </c>
      <c r="D24" s="448">
        <f>'[15]3.01E Lead Sheet '!$D$22</f>
        <v>2012133498.8135262</v>
      </c>
      <c r="E24" s="81">
        <f t="shared" si="18"/>
        <v>17235003.813526154</v>
      </c>
      <c r="F24" s="448">
        <f t="shared" si="19"/>
        <v>16011318.542765798</v>
      </c>
      <c r="H24" s="2">
        <f t="shared" si="4"/>
        <v>14</v>
      </c>
      <c r="I24" s="7" t="s">
        <v>31</v>
      </c>
      <c r="J24" s="201">
        <f>UTN</f>
        <v>3.8441999999999997E-2</v>
      </c>
      <c r="K24" s="205">
        <f>L19*J24</f>
        <v>1275039.791307678</v>
      </c>
      <c r="L24" s="11"/>
      <c r="M24" s="6">
        <f t="shared" si="5"/>
        <v>13</v>
      </c>
      <c r="N24" s="5" t="s">
        <v>375</v>
      </c>
      <c r="O24" s="225">
        <f>'[2]Lead E'!$C$26</f>
        <v>0</v>
      </c>
      <c r="P24" s="6">
        <f t="shared" si="6"/>
        <v>13</v>
      </c>
      <c r="Q24" s="7" t="s">
        <v>151</v>
      </c>
      <c r="R24" s="78"/>
      <c r="S24" s="220">
        <f>-S22</f>
        <v>31449149.386364859</v>
      </c>
      <c r="T24" s="6">
        <f t="shared" si="7"/>
        <v>13</v>
      </c>
      <c r="U24" s="309" t="s">
        <v>269</v>
      </c>
      <c r="V24" s="57"/>
      <c r="W24" s="71"/>
      <c r="X24" s="169">
        <f>'[12]Lead Sheet'!E23</f>
        <v>-16.260000000000002</v>
      </c>
      <c r="Y24" s="6">
        <v>13</v>
      </c>
      <c r="Z24" s="152" t="s">
        <v>218</v>
      </c>
      <c r="AA24" s="248">
        <f>'[17]Lead E'!$D$26</f>
        <v>0</v>
      </c>
      <c r="AC24" s="6">
        <f t="shared" si="8"/>
        <v>13</v>
      </c>
      <c r="AD24" s="5" t="s">
        <v>15</v>
      </c>
      <c r="AJ24" s="478">
        <f>[3]Lead!$H$27</f>
        <v>14589014.484000001</v>
      </c>
      <c r="AQ24" s="6">
        <v>13</v>
      </c>
      <c r="AR24" s="5" t="s">
        <v>8</v>
      </c>
      <c r="AS24" s="79">
        <f>FIT</f>
        <v>0.21</v>
      </c>
      <c r="AT24" s="229">
        <f>ROUND(AT22*AS24,0)</f>
        <v>-27849</v>
      </c>
      <c r="AU24" s="7"/>
      <c r="AV24" s="7"/>
      <c r="AW24" s="31"/>
      <c r="AX24" s="31"/>
      <c r="AY24" s="31"/>
      <c r="BI24" s="290"/>
      <c r="BJ24" s="290"/>
      <c r="BK24" s="290"/>
      <c r="BL24" s="290"/>
      <c r="BM24" s="290"/>
      <c r="BS24" s="6">
        <f t="shared" si="14"/>
        <v>13</v>
      </c>
      <c r="BT24" s="370" t="s">
        <v>391</v>
      </c>
      <c r="BU24" s="74">
        <f>+'[13]Lead E'!C29</f>
        <v>1172215</v>
      </c>
      <c r="BV24" s="74">
        <f>+'[13]Lead E'!D29</f>
        <v>8695084</v>
      </c>
      <c r="BW24" s="74">
        <f>+'[13]Lead E'!E29</f>
        <v>123251</v>
      </c>
      <c r="BX24" s="74">
        <f>+'[13]Lead E'!F29</f>
        <v>451790</v>
      </c>
      <c r="BY24" s="74">
        <f t="shared" ref="BY24" si="25">SUM(BU24:BX24)</f>
        <v>10442340</v>
      </c>
      <c r="BZ24" s="6">
        <f t="shared" si="15"/>
        <v>13</v>
      </c>
      <c r="CA24" s="170" t="s">
        <v>16</v>
      </c>
      <c r="CB24" s="265" t="s">
        <v>59</v>
      </c>
      <c r="CC24" s="265"/>
      <c r="CD24" s="222">
        <f>CD21-CD23</f>
        <v>-939899.29434457864</v>
      </c>
      <c r="CE24" s="6">
        <f t="shared" si="1"/>
        <v>13</v>
      </c>
      <c r="CF24" s="7" t="s">
        <v>20</v>
      </c>
      <c r="CG24" s="79">
        <f>FIT</f>
        <v>0.21</v>
      </c>
      <c r="CH24" s="281"/>
      <c r="CI24" s="74">
        <f>CI22*CG24</f>
        <v>28383.571125000009</v>
      </c>
      <c r="CJ24" s="6">
        <f t="shared" si="17"/>
        <v>13</v>
      </c>
      <c r="CK24" s="7" t="s">
        <v>115</v>
      </c>
      <c r="CL24" s="97"/>
      <c r="CM24" s="97"/>
      <c r="CN24" s="263">
        <f>-CN21-CN23</f>
        <v>167530.56</v>
      </c>
      <c r="CS24" s="1"/>
      <c r="CT24" s="6">
        <f t="shared" si="21"/>
        <v>11</v>
      </c>
      <c r="CU24" s="7" t="s">
        <v>40</v>
      </c>
      <c r="CV24" s="215">
        <f>+'[18]Allocated (CBR)'!B18</f>
        <v>282863835.76999998</v>
      </c>
      <c r="CW24" s="30">
        <v>0</v>
      </c>
      <c r="CX24" s="30">
        <v>0</v>
      </c>
      <c r="CY24" s="30">
        <v>0</v>
      </c>
      <c r="CZ24" s="30">
        <v>0</v>
      </c>
      <c r="DA24" s="30">
        <v>0</v>
      </c>
      <c r="DB24" s="30"/>
      <c r="DC24" s="30">
        <v>0</v>
      </c>
      <c r="DD24" s="30"/>
      <c r="DE24" s="30">
        <v>0</v>
      </c>
      <c r="DF24" s="30">
        <v>0</v>
      </c>
      <c r="DG24" s="30">
        <v>0</v>
      </c>
      <c r="DH24" s="6">
        <f t="shared" si="22"/>
        <v>11</v>
      </c>
      <c r="DI24" s="7" t="s">
        <v>40</v>
      </c>
      <c r="DJ24" s="30">
        <v>0</v>
      </c>
      <c r="DK24" s="30"/>
      <c r="DL24" s="30">
        <v>0</v>
      </c>
      <c r="DM24" s="30"/>
      <c r="DN24" s="30">
        <f>CD13</f>
        <v>0</v>
      </c>
      <c r="DO24" s="30">
        <v>0</v>
      </c>
      <c r="DP24" s="30"/>
      <c r="DQ24" s="30">
        <f>SUM(CW24:DP24)-DH24</f>
        <v>0</v>
      </c>
      <c r="DR24" s="6">
        <f t="shared" si="23"/>
        <v>11</v>
      </c>
      <c r="DS24" s="7" t="s">
        <v>107</v>
      </c>
      <c r="DT24" s="4">
        <f>+CV24</f>
        <v>282863835.76999998</v>
      </c>
      <c r="DU24" s="4">
        <f>+DQ24</f>
        <v>0</v>
      </c>
      <c r="DV24" s="30">
        <f>SUM(DT24:DU24)</f>
        <v>282863835.76999998</v>
      </c>
    </row>
    <row r="25" spans="1:126" ht="15" customHeight="1" thickTop="1" thickBot="1" x14ac:dyDescent="0.3">
      <c r="A25" s="2">
        <f t="shared" si="0"/>
        <v>15</v>
      </c>
      <c r="B25" s="352">
        <v>43800</v>
      </c>
      <c r="C25" s="449">
        <f>'[15]3.01E Lead Sheet '!$C$23</f>
        <v>2192401536</v>
      </c>
      <c r="D25" s="449">
        <f>'[15]3.01E Lead Sheet '!$D$23</f>
        <v>2299455719.9614177</v>
      </c>
      <c r="E25" s="81">
        <f t="shared" si="18"/>
        <v>107054183.96141768</v>
      </c>
      <c r="F25" s="449">
        <f t="shared" si="19"/>
        <v>99453336.900157019</v>
      </c>
      <c r="H25" s="2">
        <f t="shared" si="4"/>
        <v>15</v>
      </c>
      <c r="I25" s="25" t="s">
        <v>12</v>
      </c>
      <c r="K25" s="72"/>
      <c r="L25" s="11"/>
      <c r="M25" s="6">
        <f t="shared" si="5"/>
        <v>14</v>
      </c>
      <c r="N25" s="7" t="s">
        <v>290</v>
      </c>
      <c r="O25" s="82">
        <f>O21+O22+O23+O24</f>
        <v>59929494.580000013</v>
      </c>
      <c r="P25" s="6"/>
      <c r="T25" s="6">
        <f t="shared" si="7"/>
        <v>14</v>
      </c>
      <c r="U25" s="309" t="s">
        <v>390</v>
      </c>
      <c r="V25" s="57"/>
      <c r="W25" s="71"/>
      <c r="X25" s="206">
        <f>'[12]Lead Sheet'!$E$24</f>
        <v>-11590314.105024103</v>
      </c>
      <c r="Y25" s="6">
        <v>14</v>
      </c>
      <c r="Z25" s="7" t="s">
        <v>21</v>
      </c>
      <c r="AA25" s="245">
        <f>+AA23-AA24</f>
        <v>68250</v>
      </c>
      <c r="AB25" s="249">
        <f>+AA25</f>
        <v>68250</v>
      </c>
      <c r="AC25" s="6">
        <f t="shared" si="8"/>
        <v>14</v>
      </c>
      <c r="AD25" s="5" t="s">
        <v>21</v>
      </c>
      <c r="AK25" s="70">
        <f>ROUND(AJ22-AJ24,0)</f>
        <v>1468108</v>
      </c>
      <c r="AQ25" s="6">
        <v>14</v>
      </c>
      <c r="AR25" s="5"/>
      <c r="AS25" s="116"/>
      <c r="AT25" s="229"/>
      <c r="AU25" s="7"/>
      <c r="AV25" s="7"/>
      <c r="AW25" s="7"/>
      <c r="AX25" s="115"/>
      <c r="AY25" s="31"/>
      <c r="BI25" s="51"/>
      <c r="BJ25" s="51"/>
      <c r="BK25" s="51"/>
      <c r="BL25" s="51"/>
      <c r="BM25" s="51"/>
      <c r="BS25" s="6">
        <f t="shared" si="14"/>
        <v>14</v>
      </c>
      <c r="BU25" s="11"/>
      <c r="BV25" s="11"/>
      <c r="BW25" s="11"/>
      <c r="BX25" s="11"/>
      <c r="BY25" s="11"/>
      <c r="BZ25" s="6">
        <f t="shared" si="15"/>
        <v>14</v>
      </c>
      <c r="CE25" s="6">
        <f t="shared" si="1"/>
        <v>14</v>
      </c>
      <c r="CF25" s="7" t="s">
        <v>115</v>
      </c>
      <c r="CG25" s="79"/>
      <c r="CH25" s="69"/>
      <c r="CI25" s="222">
        <f>CI22-CI24</f>
        <v>106776.29137500003</v>
      </c>
      <c r="CJ25" s="97"/>
      <c r="CS25" s="519"/>
      <c r="CT25" s="6">
        <f t="shared" si="21"/>
        <v>12</v>
      </c>
      <c r="CU25" s="7" t="s">
        <v>41</v>
      </c>
      <c r="CV25" s="49">
        <f>+'[18]Allocated (CBR)'!B19</f>
        <v>617085015.54000008</v>
      </c>
      <c r="CW25" s="29"/>
      <c r="CX25" s="29"/>
      <c r="CY25" s="29"/>
      <c r="CZ25" s="29"/>
      <c r="DA25" s="29">
        <f>X41</f>
        <v>-1817967.96</v>
      </c>
      <c r="DB25" s="29"/>
      <c r="DC25" s="29"/>
      <c r="DD25" s="29"/>
      <c r="DE25" s="29"/>
      <c r="DF25" s="29"/>
      <c r="DG25" s="29"/>
      <c r="DH25" s="6">
        <f t="shared" si="22"/>
        <v>12</v>
      </c>
      <c r="DI25" s="7" t="s">
        <v>41</v>
      </c>
      <c r="DJ25" s="29"/>
      <c r="DK25" s="29"/>
      <c r="DL25" s="29"/>
      <c r="DM25" s="29"/>
      <c r="DN25" s="29">
        <f>SUM(CD14:CD14)</f>
        <v>1189745.9422083274</v>
      </c>
      <c r="DO25" s="29"/>
      <c r="DP25" s="29"/>
      <c r="DQ25" s="29">
        <f>SUM(CW25:DP25)-DH25</f>
        <v>-628222.01779167261</v>
      </c>
      <c r="DR25" s="6">
        <f t="shared" si="23"/>
        <v>12</v>
      </c>
      <c r="DS25" s="7" t="s">
        <v>23</v>
      </c>
      <c r="DT25" s="11">
        <f>+CV25</f>
        <v>617085015.54000008</v>
      </c>
      <c r="DU25" s="11">
        <f>+DQ25</f>
        <v>-628222.01779167261</v>
      </c>
      <c r="DV25" s="29">
        <f>SUM(DT25:DU25)</f>
        <v>616456793.52220845</v>
      </c>
    </row>
    <row r="26" spans="1:126" ht="15" customHeight="1" thickTop="1" thickBot="1" x14ac:dyDescent="0.3">
      <c r="A26" s="2">
        <f t="shared" si="0"/>
        <v>16</v>
      </c>
      <c r="C26" s="197">
        <f>SUM(C14:C25)</f>
        <v>22139389971</v>
      </c>
      <c r="D26" s="197">
        <f>SUM(D14:D25)</f>
        <v>22168783007.357101</v>
      </c>
      <c r="E26" s="197">
        <f>SUM(E14:E25)</f>
        <v>29393036.357100964</v>
      </c>
      <c r="F26" s="197">
        <f>SUM(F14:F25)</f>
        <v>27306130.775746793</v>
      </c>
      <c r="H26" s="2">
        <f t="shared" si="4"/>
        <v>16</v>
      </c>
      <c r="I26" s="7"/>
      <c r="L26" s="169">
        <f>SUM(K24:K24)</f>
        <v>1275039.791307678</v>
      </c>
      <c r="M26" s="6">
        <f t="shared" si="5"/>
        <v>15</v>
      </c>
      <c r="O26" s="82"/>
      <c r="P26" s="6"/>
      <c r="Q26" s="78"/>
      <c r="R26" s="429"/>
      <c r="S26" s="430"/>
      <c r="T26" s="6">
        <f t="shared" si="7"/>
        <v>15</v>
      </c>
      <c r="U26" s="310" t="s">
        <v>178</v>
      </c>
      <c r="V26" s="327"/>
      <c r="W26" s="242"/>
      <c r="X26" s="228">
        <f>SUM(X13:X25)</f>
        <v>156586454.38642412</v>
      </c>
      <c r="Y26" s="6">
        <v>15</v>
      </c>
      <c r="AB26" s="211"/>
      <c r="AC26" s="6">
        <f t="shared" si="8"/>
        <v>15</v>
      </c>
      <c r="AQ26" s="6">
        <v>15</v>
      </c>
      <c r="AR26" s="5" t="s">
        <v>16</v>
      </c>
      <c r="AS26" s="5"/>
      <c r="AT26" s="230">
        <f>AT22-AT24</f>
        <v>-104766.68742499687</v>
      </c>
      <c r="AU26" s="7"/>
      <c r="AV26" s="7"/>
      <c r="AW26" s="7"/>
      <c r="AX26" s="7"/>
      <c r="AY26" s="31"/>
      <c r="BI26" s="97"/>
      <c r="BJ26" s="97"/>
      <c r="BK26" s="97"/>
      <c r="BL26" s="97"/>
      <c r="BM26" s="97"/>
      <c r="BS26" s="6">
        <f t="shared" si="14"/>
        <v>15</v>
      </c>
      <c r="BT26" s="161" t="s">
        <v>356</v>
      </c>
      <c r="BU26" s="76">
        <f>BU21-BU24</f>
        <v>-578240.16666666663</v>
      </c>
      <c r="BV26" s="76">
        <f>BV21-BV24</f>
        <v>680909.5</v>
      </c>
      <c r="BW26" s="76">
        <f>BW21-BW24</f>
        <v>-34890</v>
      </c>
      <c r="BX26" s="76">
        <f>BX21-BX24</f>
        <v>-122256.83333333331</v>
      </c>
      <c r="BY26" s="76">
        <f>BY21-BY24</f>
        <v>-54477.5</v>
      </c>
      <c r="BZ26" s="6">
        <f t="shared" si="15"/>
        <v>15</v>
      </c>
      <c r="CE26" s="56"/>
      <c r="CH26" s="55"/>
      <c r="CJ26" s="97"/>
      <c r="CK26"/>
      <c r="CL26"/>
      <c r="CM26"/>
      <c r="CN26"/>
      <c r="CS26" s="1"/>
      <c r="CT26" s="6">
        <f t="shared" si="21"/>
        <v>13</v>
      </c>
      <c r="CU26" s="7" t="s">
        <v>42</v>
      </c>
      <c r="CV26" s="49">
        <f>+'[18]Allocated (CBR)'!B20</f>
        <v>121674523.33</v>
      </c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6">
        <f t="shared" si="22"/>
        <v>13</v>
      </c>
      <c r="DI26" s="7" t="s">
        <v>42</v>
      </c>
      <c r="DJ26" s="29"/>
      <c r="DK26" s="29"/>
      <c r="DL26" s="29"/>
      <c r="DM26" s="29"/>
      <c r="DN26" s="29"/>
      <c r="DO26" s="29"/>
      <c r="DP26" s="29"/>
      <c r="DQ26" s="29">
        <f>SUM(CW26:DP26)-DH26</f>
        <v>0</v>
      </c>
      <c r="DR26" s="6">
        <f t="shared" si="23"/>
        <v>13</v>
      </c>
      <c r="DS26" s="7" t="s">
        <v>114</v>
      </c>
      <c r="DT26" s="11">
        <f>+CV26</f>
        <v>121674523.33</v>
      </c>
      <c r="DU26" s="11">
        <f>+DQ26</f>
        <v>0</v>
      </c>
      <c r="DV26" s="29">
        <f>SUM(DT26:DU26)</f>
        <v>121674523.33</v>
      </c>
    </row>
    <row r="27" spans="1:126" ht="15" customHeight="1" thickTop="1" x14ac:dyDescent="0.25">
      <c r="A27" s="2">
        <f t="shared" si="0"/>
        <v>17</v>
      </c>
      <c r="C27" s="55"/>
      <c r="D27" s="55"/>
      <c r="H27" s="2">
        <f t="shared" si="4"/>
        <v>17</v>
      </c>
      <c r="I27" s="7"/>
      <c r="K27" s="69"/>
      <c r="L27" s="76"/>
      <c r="M27" s="6">
        <f t="shared" si="5"/>
        <v>16</v>
      </c>
      <c r="N27" s="7" t="s">
        <v>22</v>
      </c>
      <c r="O27" s="82">
        <f>O15-O21</f>
        <v>57204080.910290271</v>
      </c>
      <c r="P27" s="6"/>
      <c r="Q27"/>
      <c r="R27"/>
      <c r="S27" s="430"/>
      <c r="T27" s="6">
        <f t="shared" si="7"/>
        <v>16</v>
      </c>
      <c r="U27" s="311"/>
      <c r="V27" s="57"/>
      <c r="X27" s="315"/>
      <c r="Y27" s="6">
        <v>16</v>
      </c>
      <c r="Z27" s="7"/>
      <c r="AA27" s="11"/>
      <c r="AB27" s="250"/>
      <c r="AC27" s="6">
        <f t="shared" si="8"/>
        <v>16</v>
      </c>
      <c r="AD27" s="5" t="s">
        <v>115</v>
      </c>
      <c r="AK27" s="4">
        <f>-AK25</f>
        <v>-1468108</v>
      </c>
      <c r="AQ27" s="6"/>
      <c r="AR27" s="5"/>
      <c r="AS27" s="5"/>
      <c r="AT27" s="81"/>
      <c r="AU27" s="7"/>
      <c r="AV27" s="7"/>
      <c r="AW27" s="7"/>
      <c r="AX27" s="7"/>
      <c r="AY27" s="31"/>
      <c r="AZ27" s="56"/>
      <c r="BA27" s="6"/>
      <c r="BB27" s="6"/>
      <c r="BC27" s="4"/>
      <c r="BD27" s="4"/>
      <c r="BI27" s="6"/>
      <c r="BJ27" s="12"/>
      <c r="BK27" s="49"/>
      <c r="BL27" s="49"/>
      <c r="BM27" s="49"/>
      <c r="BS27" s="6">
        <f t="shared" si="14"/>
        <v>16</v>
      </c>
      <c r="BU27" s="11"/>
      <c r="BV27" s="11"/>
      <c r="BW27" s="11"/>
      <c r="BX27" s="11"/>
      <c r="BY27" s="11"/>
      <c r="BZ27" s="6">
        <f t="shared" si="15"/>
        <v>16</v>
      </c>
      <c r="CA27"/>
      <c r="CB27"/>
      <c r="CC27"/>
      <c r="CD27"/>
      <c r="CJ27" s="76"/>
      <c r="CK27"/>
      <c r="CL27"/>
      <c r="CM27"/>
      <c r="CN27"/>
      <c r="CS27" s="1"/>
      <c r="CT27" s="6">
        <f t="shared" si="21"/>
        <v>14</v>
      </c>
      <c r="CU27" s="5" t="s">
        <v>118</v>
      </c>
      <c r="CV27" s="3">
        <f>+'[18]Allocated (CBR)'!B21</f>
        <v>-79186637.340000004</v>
      </c>
      <c r="CW27" s="3"/>
      <c r="CX27" s="3"/>
      <c r="CY27" s="3"/>
      <c r="CZ27" s="3"/>
      <c r="DA27" s="3">
        <f>X39</f>
        <v>79186637.340000004</v>
      </c>
      <c r="DB27" s="3"/>
      <c r="DC27" s="3"/>
      <c r="DD27" s="3"/>
      <c r="DE27" s="3"/>
      <c r="DF27" s="3"/>
      <c r="DG27" s="3"/>
      <c r="DH27" s="6">
        <f t="shared" si="22"/>
        <v>14</v>
      </c>
      <c r="DI27" s="5" t="s">
        <v>118</v>
      </c>
      <c r="DJ27" s="3"/>
      <c r="DK27" s="3"/>
      <c r="DL27" s="3"/>
      <c r="DM27" s="3"/>
      <c r="DN27" s="3"/>
      <c r="DO27" s="3"/>
      <c r="DP27" s="3"/>
      <c r="DQ27" s="3">
        <f>SUM(CW27:DP27)-DH27</f>
        <v>79186637.340000004</v>
      </c>
      <c r="DR27" s="6">
        <f t="shared" si="23"/>
        <v>14</v>
      </c>
      <c r="DS27" s="5" t="s">
        <v>43</v>
      </c>
      <c r="DT27" s="74">
        <f>+CV27</f>
        <v>-79186637.340000004</v>
      </c>
      <c r="DU27" s="74">
        <f>+DQ27</f>
        <v>79186637.340000004</v>
      </c>
      <c r="DV27" s="3">
        <f>SUM(DT27:DU27)</f>
        <v>0</v>
      </c>
    </row>
    <row r="28" spans="1:126" ht="15" customHeight="1" x14ac:dyDescent="0.25">
      <c r="A28" s="2">
        <f t="shared" si="0"/>
        <v>18</v>
      </c>
      <c r="B28" s="5" t="s">
        <v>137</v>
      </c>
      <c r="C28" s="5" t="s">
        <v>138</v>
      </c>
      <c r="D28" s="198"/>
      <c r="E28" s="199">
        <f>'[15]3.01E Lead Sheet '!$E$26</f>
        <v>37068024.527105302</v>
      </c>
      <c r="F28" s="199">
        <f>'[15]3.01E Lead Sheet '!$F$26</f>
        <v>1456996</v>
      </c>
      <c r="H28" s="2">
        <f t="shared" si="4"/>
        <v>18</v>
      </c>
      <c r="I28" s="7"/>
      <c r="K28" s="69"/>
      <c r="L28" s="169"/>
      <c r="M28" s="6">
        <f t="shared" si="5"/>
        <v>17</v>
      </c>
      <c r="N28" s="7" t="s">
        <v>277</v>
      </c>
      <c r="O28" s="82">
        <f>O17+O18-O22-O23-O24</f>
        <v>-53240613.376528084</v>
      </c>
      <c r="P28" s="6"/>
      <c r="Q28"/>
      <c r="R28"/>
      <c r="S28" s="430"/>
      <c r="T28" s="6">
        <f t="shared" si="7"/>
        <v>17</v>
      </c>
      <c r="U28" s="312" t="s">
        <v>179</v>
      </c>
      <c r="V28" s="57"/>
      <c r="X28" s="316"/>
      <c r="Y28" s="6">
        <v>17</v>
      </c>
      <c r="Z28" s="7" t="s">
        <v>185</v>
      </c>
      <c r="AA28" s="11"/>
      <c r="AB28" s="215">
        <f>+AB19+AB25</f>
        <v>-534905.34885499999</v>
      </c>
      <c r="AC28" s="6">
        <f t="shared" si="8"/>
        <v>17</v>
      </c>
      <c r="AD28" s="5" t="s">
        <v>14</v>
      </c>
      <c r="AJ28" s="79">
        <f>FIT</f>
        <v>0.21</v>
      </c>
      <c r="AK28" s="225">
        <f>ROUND(-AK25*AJ28,0)</f>
        <v>-308303</v>
      </c>
      <c r="AQ28" s="6"/>
      <c r="AR28" s="5"/>
      <c r="AS28" s="5"/>
      <c r="AT28" s="81"/>
      <c r="AU28" s="71"/>
      <c r="AV28" s="71"/>
      <c r="AW28" s="71"/>
      <c r="AX28" s="71"/>
      <c r="AY28" s="71"/>
      <c r="AZ28" s="56"/>
      <c r="BA28" s="6"/>
      <c r="BB28" s="6"/>
      <c r="BD28" s="334"/>
      <c r="BI28" s="6"/>
      <c r="BJ28" s="12"/>
      <c r="BK28" s="49"/>
      <c r="BL28" s="49"/>
      <c r="BM28" s="49"/>
      <c r="BS28" s="6">
        <f t="shared" si="14"/>
        <v>17</v>
      </c>
      <c r="BT28" s="371" t="s">
        <v>357</v>
      </c>
      <c r="BU28" s="79">
        <f>FIT</f>
        <v>0.21</v>
      </c>
      <c r="BV28" s="11"/>
      <c r="BW28" s="11"/>
      <c r="BX28" s="11"/>
      <c r="BY28" s="74">
        <f>-BY26*BU28</f>
        <v>11440.275</v>
      </c>
      <c r="BZ28" s="6">
        <f t="shared" si="15"/>
        <v>17</v>
      </c>
      <c r="CA28"/>
      <c r="CB28"/>
      <c r="CC28"/>
      <c r="CD28"/>
      <c r="CJ28" s="71"/>
      <c r="CK28"/>
      <c r="CL28"/>
      <c r="CM28"/>
      <c r="CN28"/>
      <c r="CS28" s="1"/>
      <c r="CT28" s="6">
        <f t="shared" si="21"/>
        <v>15</v>
      </c>
      <c r="CU28" s="7" t="s">
        <v>44</v>
      </c>
      <c r="CV28" s="4">
        <f t="shared" ref="CV28:DA28" si="26">SUM(CV24:CV27)</f>
        <v>942436737.30000007</v>
      </c>
      <c r="CW28" s="4">
        <f t="shared" si="26"/>
        <v>0</v>
      </c>
      <c r="CX28" s="4">
        <f t="shared" si="26"/>
        <v>0</v>
      </c>
      <c r="CY28" s="4">
        <f t="shared" si="26"/>
        <v>0</v>
      </c>
      <c r="CZ28" s="4">
        <f t="shared" si="26"/>
        <v>0</v>
      </c>
      <c r="DA28" s="4">
        <f t="shared" si="26"/>
        <v>77368669.38000001</v>
      </c>
      <c r="DB28" s="4"/>
      <c r="DC28" s="4">
        <f>SUM(DC24:DC27)</f>
        <v>0</v>
      </c>
      <c r="DD28" s="4">
        <f>SUM(DD23:DD27)</f>
        <v>0</v>
      </c>
      <c r="DE28" s="4">
        <f>SUM(DE23:DE27)</f>
        <v>0</v>
      </c>
      <c r="DF28" s="4">
        <f>SUM(DF24:DF27)</f>
        <v>0</v>
      </c>
      <c r="DG28" s="4">
        <f>SUM(DG23:DG27)</f>
        <v>0</v>
      </c>
      <c r="DH28" s="6">
        <f t="shared" si="22"/>
        <v>15</v>
      </c>
      <c r="DI28" s="7" t="s">
        <v>44</v>
      </c>
      <c r="DJ28" s="4">
        <f>SUM(DJ23:DJ27)</f>
        <v>0</v>
      </c>
      <c r="DK28" s="4">
        <f>SUM(DK23:DK27)</f>
        <v>0</v>
      </c>
      <c r="DL28" s="4">
        <f>SUM(DL23:DL27)</f>
        <v>0</v>
      </c>
      <c r="DM28" s="4">
        <f>SUM(DM23:DM27)</f>
        <v>0</v>
      </c>
      <c r="DN28" s="4">
        <f>SUM(DN24:DN27)</f>
        <v>1189745.9422083274</v>
      </c>
      <c r="DO28" s="4">
        <f>SUM(DO23:DO27)</f>
        <v>0</v>
      </c>
      <c r="DP28" s="4">
        <f>SUM(DP23:DP27)</f>
        <v>0</v>
      </c>
      <c r="DQ28" s="4">
        <f>SUM(DQ23:DQ27)</f>
        <v>78558415.32220833</v>
      </c>
      <c r="DR28" s="6">
        <f t="shared" si="23"/>
        <v>15</v>
      </c>
      <c r="DS28" s="7" t="s">
        <v>44</v>
      </c>
      <c r="DT28" s="73">
        <f>SUM(DT24:DT27)</f>
        <v>942436737.30000007</v>
      </c>
      <c r="DU28" s="73">
        <f>SUM(DU24:DU27)</f>
        <v>78558415.32220833</v>
      </c>
      <c r="DV28" s="73">
        <f>SUM(DV24:DV27)</f>
        <v>1020995152.6222085</v>
      </c>
    </row>
    <row r="29" spans="1:126" ht="15" customHeight="1" thickBot="1" x14ac:dyDescent="0.3">
      <c r="A29" s="2">
        <f t="shared" si="0"/>
        <v>19</v>
      </c>
      <c r="C29" s="5" t="s">
        <v>139</v>
      </c>
      <c r="E29" s="199">
        <f>'[15]3.01E Lead Sheet '!$E$27</f>
        <v>-1561772.0634271353</v>
      </c>
      <c r="F29" s="199">
        <f>'[15]3.01E Lead Sheet '!$F$27</f>
        <v>-56375</v>
      </c>
      <c r="H29" s="2">
        <f t="shared" si="4"/>
        <v>19</v>
      </c>
      <c r="I29" s="123" t="s">
        <v>230</v>
      </c>
      <c r="K29" s="69"/>
      <c r="L29" s="169"/>
      <c r="M29" s="6">
        <f t="shared" si="5"/>
        <v>18</v>
      </c>
      <c r="N29" s="7" t="s">
        <v>25</v>
      </c>
      <c r="O29" s="331">
        <f>-SUM(O27:O28)</f>
        <v>-3963467.5337621868</v>
      </c>
      <c r="P29" s="6"/>
      <c r="Q29"/>
      <c r="R29"/>
      <c r="S29" s="430"/>
      <c r="T29" s="6">
        <f t="shared" si="7"/>
        <v>18</v>
      </c>
      <c r="U29" s="309" t="s">
        <v>61</v>
      </c>
      <c r="W29" s="428">
        <f>BD</f>
        <v>7.5490000000000002E-3</v>
      </c>
      <c r="X29" s="337">
        <f>-SUM(X13:X18,X22,X23,X24,X25)*W29</f>
        <v>-1168707.482091319</v>
      </c>
      <c r="Y29" s="6">
        <v>18</v>
      </c>
      <c r="Z29" s="251"/>
      <c r="AA29" s="11"/>
      <c r="AB29" s="252"/>
      <c r="AC29" s="6">
        <f t="shared" si="8"/>
        <v>18</v>
      </c>
      <c r="AD29" s="110" t="s">
        <v>115</v>
      </c>
      <c r="AK29" s="222">
        <f>AK27-AK28</f>
        <v>-1159805</v>
      </c>
      <c r="AQ29" s="5"/>
      <c r="AR29" s="5"/>
      <c r="AS29" s="5"/>
      <c r="AT29" s="5"/>
      <c r="AU29" s="5"/>
      <c r="AV29" s="5"/>
      <c r="AW29" s="5"/>
      <c r="AX29" s="5"/>
      <c r="AY29" s="5"/>
      <c r="BC29" s="80"/>
      <c r="BD29" s="333"/>
      <c r="BE29" s="6"/>
      <c r="BK29" s="11"/>
      <c r="BL29" s="11"/>
      <c r="BM29" s="11"/>
      <c r="BS29" s="6">
        <f t="shared" si="14"/>
        <v>18</v>
      </c>
      <c r="BU29" s="11"/>
      <c r="BV29" s="11"/>
      <c r="BW29" s="11"/>
      <c r="BX29" s="11"/>
      <c r="BY29" s="11"/>
      <c r="BZ29" s="6">
        <f t="shared" si="15"/>
        <v>18</v>
      </c>
      <c r="CA29" s="374" t="s">
        <v>319</v>
      </c>
      <c r="CB29" s="339"/>
      <c r="CC29" s="339"/>
      <c r="CD29" s="339"/>
      <c r="CJ29" s="57"/>
      <c r="CK29"/>
      <c r="CL29"/>
      <c r="CM29"/>
      <c r="CN29"/>
      <c r="CS29" s="1"/>
      <c r="CT29" s="6">
        <f t="shared" si="21"/>
        <v>16</v>
      </c>
      <c r="CU29" s="7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6">
        <f t="shared" si="22"/>
        <v>16</v>
      </c>
      <c r="DI29" s="7"/>
      <c r="DJ29" s="56"/>
      <c r="DK29" s="56"/>
      <c r="DL29" s="56"/>
      <c r="DM29" s="56"/>
      <c r="DN29" s="56"/>
      <c r="DO29" s="56"/>
      <c r="DP29" s="56"/>
      <c r="DQ29" s="56"/>
      <c r="DR29" s="6">
        <f t="shared" si="23"/>
        <v>16</v>
      </c>
      <c r="DS29" s="7"/>
      <c r="DT29" s="4"/>
      <c r="DU29" s="4"/>
      <c r="DV29" s="56"/>
    </row>
    <row r="30" spans="1:126" ht="15" customHeight="1" thickTop="1" thickBot="1" x14ac:dyDescent="0.3">
      <c r="A30" s="2">
        <f t="shared" si="0"/>
        <v>20</v>
      </c>
      <c r="B30" s="6"/>
      <c r="C30" s="5" t="s">
        <v>140</v>
      </c>
      <c r="E30" s="199">
        <f>'[15]3.01E Lead Sheet '!$E$28</f>
        <v>-5286425.8241591975</v>
      </c>
      <c r="F30" s="199">
        <f>'[15]3.01E Lead Sheet '!$F$28</f>
        <v>-188202</v>
      </c>
      <c r="H30" s="2">
        <f t="shared" si="4"/>
        <v>20</v>
      </c>
      <c r="I30" s="152" t="s">
        <v>229</v>
      </c>
      <c r="K30" s="209">
        <f>+'[1]3.02E'!$D$33</f>
        <v>28990997.98</v>
      </c>
      <c r="L30" s="169"/>
      <c r="P30" s="6"/>
      <c r="Q30"/>
      <c r="R30"/>
      <c r="S30" s="12"/>
      <c r="T30" s="6">
        <f t="shared" si="7"/>
        <v>19</v>
      </c>
      <c r="U30" s="309" t="s">
        <v>113</v>
      </c>
      <c r="W30" s="428">
        <f>FF</f>
        <v>2E-3</v>
      </c>
      <c r="X30" s="338">
        <f>-SUM(X13:X18,X22:X24,X25)*W30</f>
        <v>-309632.39689795178</v>
      </c>
      <c r="Y30" s="6">
        <v>19</v>
      </c>
      <c r="Z30" s="251" t="s">
        <v>8</v>
      </c>
      <c r="AA30" s="253">
        <f>FIT</f>
        <v>0.21</v>
      </c>
      <c r="AB30" s="212">
        <f>-AB28*AA30</f>
        <v>112330.12325954999</v>
      </c>
      <c r="AC30" s="6"/>
      <c r="AD30" s="281"/>
      <c r="AE30" s="281"/>
      <c r="AF30" s="281"/>
      <c r="AG30" s="281"/>
      <c r="AH30" s="281"/>
      <c r="AI30" s="281"/>
      <c r="AJ30" s="281"/>
      <c r="AK30" s="281"/>
      <c r="AQ30" s="5"/>
      <c r="AR30" s="5"/>
      <c r="AS30" s="5"/>
      <c r="AT30" s="5"/>
      <c r="AU30" s="5"/>
      <c r="AV30" s="5"/>
      <c r="AW30" s="5"/>
      <c r="AX30" s="5"/>
      <c r="AY30" s="5"/>
      <c r="BA30"/>
      <c r="BB30"/>
      <c r="BC30"/>
      <c r="BD30" s="28"/>
      <c r="BE30" s="6"/>
      <c r="BK30" s="11"/>
      <c r="BL30" s="11"/>
      <c r="BM30" s="11"/>
      <c r="BS30" s="6">
        <f t="shared" si="14"/>
        <v>19</v>
      </c>
      <c r="BT30" s="371" t="s">
        <v>115</v>
      </c>
      <c r="BU30" s="11"/>
      <c r="BV30" s="11"/>
      <c r="BW30" s="11"/>
      <c r="BX30" s="11"/>
      <c r="BY30" s="372">
        <f>-BY26-BY28</f>
        <v>43037.224999999999</v>
      </c>
      <c r="BZ30" s="6">
        <f t="shared" si="15"/>
        <v>19</v>
      </c>
      <c r="CA30" s="375" t="s">
        <v>100</v>
      </c>
      <c r="CB30" s="340"/>
      <c r="CC30" s="376"/>
      <c r="CD30" s="376"/>
      <c r="CJ30" s="11"/>
      <c r="CK30"/>
      <c r="CL30"/>
      <c r="CM30"/>
      <c r="CN30"/>
      <c r="CS30" s="1"/>
      <c r="CT30" s="6">
        <f t="shared" si="21"/>
        <v>17</v>
      </c>
      <c r="CU30" s="25" t="s">
        <v>24</v>
      </c>
      <c r="CV30" s="215">
        <f>+'[18]Allocated (CBR)'!B24</f>
        <v>124385512.12999998</v>
      </c>
      <c r="CW30" s="30">
        <v>0</v>
      </c>
      <c r="CX30" s="30">
        <v>0</v>
      </c>
      <c r="CY30" s="30">
        <v>0</v>
      </c>
      <c r="CZ30" s="30">
        <v>0</v>
      </c>
      <c r="DA30" s="30"/>
      <c r="DB30" s="30"/>
      <c r="DC30" s="30">
        <v>0</v>
      </c>
      <c r="DD30" s="30"/>
      <c r="DE30" s="30">
        <v>0</v>
      </c>
      <c r="DF30" s="30">
        <v>0</v>
      </c>
      <c r="DG30" s="30">
        <v>0</v>
      </c>
      <c r="DH30" s="6">
        <f t="shared" si="22"/>
        <v>17</v>
      </c>
      <c r="DI30" s="25" t="s">
        <v>24</v>
      </c>
      <c r="DJ30" s="30">
        <v>0</v>
      </c>
      <c r="DK30" s="30"/>
      <c r="DL30" s="30">
        <v>0</v>
      </c>
      <c r="DM30" s="30"/>
      <c r="DN30" s="30">
        <f>+CD15</f>
        <v>0</v>
      </c>
      <c r="DO30" s="30">
        <v>0</v>
      </c>
      <c r="DP30" s="30"/>
      <c r="DQ30" s="30">
        <f t="shared" ref="DQ30:DQ44" si="27">SUM(CW30:DP30)-DH30</f>
        <v>0</v>
      </c>
      <c r="DR30" s="6">
        <f t="shared" si="23"/>
        <v>17</v>
      </c>
      <c r="DS30" s="38" t="s">
        <v>24</v>
      </c>
      <c r="DT30" s="4">
        <f t="shared" ref="DT30:DT44" si="28">+CV30</f>
        <v>124385512.12999998</v>
      </c>
      <c r="DU30" s="4">
        <f t="shared" ref="DU30:DU44" si="29">+DQ30</f>
        <v>0</v>
      </c>
      <c r="DV30" s="30">
        <f t="shared" ref="DV30:DV44" si="30">SUM(DT30:DU30)</f>
        <v>124385512.12999998</v>
      </c>
    </row>
    <row r="31" spans="1:126" ht="15" customHeight="1" thickTop="1" thickBot="1" x14ac:dyDescent="0.3">
      <c r="A31" s="2">
        <f t="shared" si="0"/>
        <v>21</v>
      </c>
      <c r="C31" s="7" t="s">
        <v>141</v>
      </c>
      <c r="D31" s="200"/>
      <c r="E31" s="199">
        <f>'[15]3.01E Lead Sheet '!$E$29</f>
        <v>-2707288.5478973798</v>
      </c>
      <c r="F31" s="199">
        <f>'[15]3.01E Lead Sheet '!$F$29</f>
        <v>-94022</v>
      </c>
      <c r="H31" s="2">
        <f t="shared" si="4"/>
        <v>21</v>
      </c>
      <c r="I31" s="196" t="s">
        <v>246</v>
      </c>
      <c r="J31" s="348"/>
      <c r="K31" s="69"/>
      <c r="P31" s="6"/>
      <c r="Q31"/>
      <c r="R31"/>
      <c r="S31" s="12"/>
      <c r="T31" s="6">
        <f t="shared" si="7"/>
        <v>20</v>
      </c>
      <c r="U31" s="309" t="s">
        <v>180</v>
      </c>
      <c r="W31" s="428">
        <f>UTN</f>
        <v>3.8441999999999997E-2</v>
      </c>
      <c r="X31" s="338">
        <f>-SUM(X13:X18,X22:X24,X25)*W31</f>
        <v>-5951444.3007755307</v>
      </c>
      <c r="Y31" s="6">
        <v>20</v>
      </c>
      <c r="Z31" s="251" t="s">
        <v>16</v>
      </c>
      <c r="AA31" s="11"/>
      <c r="AB31" s="245">
        <f>-AB28-AB30</f>
        <v>422575.22559545003</v>
      </c>
      <c r="AC31" s="6"/>
      <c r="AD31" s="281"/>
      <c r="AE31" s="281"/>
      <c r="AF31" s="281"/>
      <c r="AG31" s="281"/>
      <c r="AH31" s="281"/>
      <c r="AI31" s="281"/>
      <c r="AJ31" s="281"/>
      <c r="AK31" s="281"/>
      <c r="AQ31" s="68"/>
      <c r="AR31" s="68"/>
      <c r="AS31" s="68"/>
      <c r="AT31" s="68"/>
      <c r="AU31" s="68"/>
      <c r="AV31" s="68"/>
      <c r="AW31" s="68"/>
      <c r="AX31" s="68"/>
      <c r="AY31" s="68"/>
      <c r="BA31" s="7"/>
      <c r="BB31" s="12"/>
      <c r="BC31"/>
      <c r="BD31" s="28"/>
      <c r="BK31" s="11"/>
      <c r="BL31" s="11"/>
      <c r="BM31" s="11"/>
      <c r="BS31" s="6"/>
      <c r="BT31" s="61"/>
      <c r="BU31" s="11"/>
      <c r="BV31" s="11"/>
      <c r="BW31" s="11"/>
      <c r="BX31" s="11"/>
      <c r="BY31"/>
      <c r="BZ31" s="6">
        <f t="shared" si="15"/>
        <v>20</v>
      </c>
      <c r="CA31" s="377" t="s">
        <v>358</v>
      </c>
      <c r="CB31" s="376">
        <f>+'[14]Lead Sheet'!C30</f>
        <v>282863835.76999998</v>
      </c>
      <c r="CC31" s="376">
        <f t="shared" ref="CC31:CC36" si="31">CB31+CD31</f>
        <v>282863835.76999998</v>
      </c>
      <c r="CD31" s="376">
        <f>+'[14]Lead Sheet'!E30</f>
        <v>0</v>
      </c>
      <c r="CK31"/>
      <c r="CL31"/>
      <c r="CM31"/>
      <c r="CN31"/>
      <c r="CS31" s="1"/>
      <c r="CT31" s="6">
        <f t="shared" si="21"/>
        <v>18</v>
      </c>
      <c r="CU31" s="7" t="s">
        <v>45</v>
      </c>
      <c r="CV31" s="49">
        <f>+'[18]Allocated (CBR)'!B25</f>
        <v>24120987.529999997</v>
      </c>
      <c r="CW31" s="29"/>
      <c r="CX31" s="29"/>
      <c r="CY31" s="29"/>
      <c r="CZ31" s="29"/>
      <c r="DA31" s="29" t="s">
        <v>59</v>
      </c>
      <c r="DB31" s="29"/>
      <c r="DC31" s="29">
        <v>0</v>
      </c>
      <c r="DD31" s="29"/>
      <c r="DE31" s="29"/>
      <c r="DF31" s="29"/>
      <c r="DG31" s="29"/>
      <c r="DH31" s="6">
        <f t="shared" si="22"/>
        <v>18</v>
      </c>
      <c r="DI31" s="7" t="s">
        <v>45</v>
      </c>
      <c r="DJ31" s="29"/>
      <c r="DK31" s="29"/>
      <c r="DL31" s="29"/>
      <c r="DM31" s="29">
        <f>+BU26</f>
        <v>-578240.16666666663</v>
      </c>
      <c r="DN31" s="29"/>
      <c r="DO31" s="29"/>
      <c r="DP31" s="29"/>
      <c r="DQ31" s="29">
        <f t="shared" si="27"/>
        <v>-578240.16666666663</v>
      </c>
      <c r="DR31" s="6">
        <f t="shared" si="23"/>
        <v>18</v>
      </c>
      <c r="DS31" s="7" t="s">
        <v>45</v>
      </c>
      <c r="DT31" s="11">
        <f t="shared" si="28"/>
        <v>24120987.529999997</v>
      </c>
      <c r="DU31" s="11">
        <f t="shared" si="29"/>
        <v>-578240.16666666663</v>
      </c>
      <c r="DV31" s="29">
        <f t="shared" si="30"/>
        <v>23542747.36333333</v>
      </c>
    </row>
    <row r="32" spans="1:126" ht="15" customHeight="1" thickTop="1" x14ac:dyDescent="0.25">
      <c r="A32" s="2">
        <f t="shared" si="0"/>
        <v>22</v>
      </c>
      <c r="C32" s="5" t="s">
        <v>142</v>
      </c>
      <c r="D32" s="7"/>
      <c r="E32" s="199">
        <f>'[15]3.01E Lead Sheet '!$E$30</f>
        <v>-228430.51292278117</v>
      </c>
      <c r="F32" s="199">
        <f>'[15]3.01E Lead Sheet '!$F$30</f>
        <v>-8132</v>
      </c>
      <c r="H32" s="2">
        <f t="shared" si="4"/>
        <v>22</v>
      </c>
      <c r="I32" s="152" t="s">
        <v>231</v>
      </c>
      <c r="K32" s="204"/>
      <c r="P32" s="6"/>
      <c r="Q32"/>
      <c r="R32"/>
      <c r="S32"/>
      <c r="T32" s="6">
        <f t="shared" si="7"/>
        <v>21</v>
      </c>
      <c r="U32" s="313" t="s">
        <v>181</v>
      </c>
      <c r="X32" s="317">
        <f>SUM(X29:X31)</f>
        <v>-7429784.1797648016</v>
      </c>
      <c r="AC32" s="6"/>
      <c r="AD32" s="281"/>
      <c r="AE32" s="281"/>
      <c r="AF32" s="281"/>
      <c r="AG32" s="281"/>
      <c r="AH32" s="281"/>
      <c r="AI32" s="281"/>
      <c r="AJ32" s="281"/>
      <c r="AK32" s="281"/>
      <c r="BK32" s="11"/>
      <c r="BL32" s="11"/>
      <c r="BM32" s="11"/>
      <c r="BS32" s="61"/>
      <c r="BT32" s="61"/>
      <c r="BU32" s="61"/>
      <c r="BV32" s="61"/>
      <c r="BW32" s="61"/>
      <c r="BX32" s="61"/>
      <c r="BY32" s="481"/>
      <c r="BZ32" s="6">
        <f t="shared" si="15"/>
        <v>21</v>
      </c>
      <c r="CA32" s="377" t="s">
        <v>359</v>
      </c>
      <c r="CB32" s="378">
        <f>+'[14]Lead Sheet'!C31</f>
        <v>638473444.10000002</v>
      </c>
      <c r="CC32" s="376">
        <f t="shared" si="31"/>
        <v>643431407.75999999</v>
      </c>
      <c r="CD32" s="378">
        <f>+'[14]Lead Sheet'!E31</f>
        <v>4957963.66</v>
      </c>
      <c r="CK32"/>
      <c r="CL32"/>
      <c r="CM32"/>
      <c r="CN32"/>
      <c r="CS32" s="1"/>
      <c r="CT32" s="6">
        <f t="shared" si="21"/>
        <v>19</v>
      </c>
      <c r="CU32" s="7" t="s">
        <v>46</v>
      </c>
      <c r="CV32" s="49">
        <f>+'[18]Allocated (CBR)'!B26</f>
        <v>80879041.140000001</v>
      </c>
      <c r="CW32" s="29"/>
      <c r="CX32" s="29"/>
      <c r="CY32" s="29"/>
      <c r="CZ32" s="29"/>
      <c r="DA32" s="29" t="s">
        <v>59</v>
      </c>
      <c r="DB32" s="29"/>
      <c r="DC32" s="29">
        <v>0</v>
      </c>
      <c r="DD32" s="29"/>
      <c r="DE32" s="29"/>
      <c r="DF32" s="29"/>
      <c r="DG32" s="29"/>
      <c r="DH32" s="6">
        <f t="shared" si="22"/>
        <v>19</v>
      </c>
      <c r="DI32" s="7" t="s">
        <v>46</v>
      </c>
      <c r="DJ32" s="29"/>
      <c r="DK32" s="29"/>
      <c r="DL32" s="29"/>
      <c r="DM32" s="29">
        <f>+BV26</f>
        <v>680909.5</v>
      </c>
      <c r="DN32" s="29"/>
      <c r="DO32" s="29"/>
      <c r="DP32" s="29"/>
      <c r="DQ32" s="29">
        <f t="shared" si="27"/>
        <v>680909.5</v>
      </c>
      <c r="DR32" s="6">
        <f t="shared" si="23"/>
        <v>19</v>
      </c>
      <c r="DS32" s="7" t="s">
        <v>46</v>
      </c>
      <c r="DT32" s="11">
        <f t="shared" si="28"/>
        <v>80879041.140000001</v>
      </c>
      <c r="DU32" s="11">
        <f t="shared" si="29"/>
        <v>680909.5</v>
      </c>
      <c r="DV32" s="29">
        <f t="shared" si="30"/>
        <v>81559950.640000001</v>
      </c>
    </row>
    <row r="33" spans="1:141" ht="15" customHeight="1" x14ac:dyDescent="0.25">
      <c r="A33" s="2">
        <f t="shared" si="0"/>
        <v>23</v>
      </c>
      <c r="C33" s="7" t="s">
        <v>143</v>
      </c>
      <c r="E33" s="199">
        <f>'[15]3.01E Lead Sheet '!$E$31</f>
        <v>-433211.14104438887</v>
      </c>
      <c r="F33" s="199">
        <f>'[15]3.01E Lead Sheet '!$F$31</f>
        <v>-14641</v>
      </c>
      <c r="H33" s="2">
        <f t="shared" si="4"/>
        <v>23</v>
      </c>
      <c r="I33" s="152" t="s">
        <v>232</v>
      </c>
      <c r="K33" s="169">
        <f>'[1]3.02E'!$D$35</f>
        <v>0</v>
      </c>
      <c r="P33" s="6"/>
      <c r="Q33"/>
      <c r="R33"/>
      <c r="S33"/>
      <c r="T33" s="6">
        <f t="shared" si="7"/>
        <v>22</v>
      </c>
      <c r="U33" s="313"/>
      <c r="W33" s="111"/>
      <c r="X33" s="316"/>
      <c r="Z33"/>
      <c r="AA33"/>
      <c r="AB33"/>
      <c r="AC33" s="6"/>
      <c r="AD33" s="281"/>
      <c r="AE33" s="281"/>
      <c r="AF33" s="281"/>
      <c r="AG33" s="281"/>
      <c r="AH33" s="281"/>
      <c r="AI33" s="281"/>
      <c r="AJ33" s="281"/>
      <c r="AK33" s="281"/>
      <c r="BK33" s="11"/>
      <c r="BL33" s="11"/>
      <c r="BM33" s="11"/>
      <c r="BS33" s="61"/>
      <c r="BT33" s="61"/>
      <c r="BU33" s="61"/>
      <c r="BV33" s="61"/>
      <c r="BW33" s="61"/>
      <c r="BX33" s="61"/>
      <c r="BY33" s="61"/>
      <c r="BZ33" s="6">
        <f t="shared" si="15"/>
        <v>22</v>
      </c>
      <c r="CA33" s="377" t="s">
        <v>360</v>
      </c>
      <c r="CB33" s="379">
        <f>+'[14]Lead Sheet'!C32</f>
        <v>-21388428.559999999</v>
      </c>
      <c r="CC33" s="376">
        <f t="shared" si="31"/>
        <v>-21388428.559999999</v>
      </c>
      <c r="CD33" s="379">
        <f>+'[14]Lead Sheet'!E32</f>
        <v>0</v>
      </c>
      <c r="CK33"/>
      <c r="CL33"/>
      <c r="CM33"/>
      <c r="CN33"/>
      <c r="CS33" s="1"/>
      <c r="CT33" s="6">
        <f t="shared" si="21"/>
        <v>20</v>
      </c>
      <c r="CU33" s="7" t="s">
        <v>47</v>
      </c>
      <c r="CV33" s="49">
        <f>+'[18]Allocated (CBR)'!B27</f>
        <v>50623674.690000005</v>
      </c>
      <c r="CW33" s="29">
        <f>F39</f>
        <v>8358</v>
      </c>
      <c r="CX33" s="29">
        <f>+K20</f>
        <v>250384.35525159101</v>
      </c>
      <c r="CY33" s="29"/>
      <c r="CZ33" s="29"/>
      <c r="DA33" s="29">
        <f>X29</f>
        <v>-1168707.482091319</v>
      </c>
      <c r="DB33" s="29"/>
      <c r="DC33" s="29">
        <f>AK25</f>
        <v>1468108</v>
      </c>
      <c r="DD33" s="29"/>
      <c r="DE33" s="29"/>
      <c r="DF33" s="29"/>
      <c r="DG33" s="29">
        <f>BC12</f>
        <v>677726.46703644621</v>
      </c>
      <c r="DH33" s="6">
        <f t="shared" si="22"/>
        <v>20</v>
      </c>
      <c r="DI33" s="7" t="s">
        <v>47</v>
      </c>
      <c r="DJ33" s="29"/>
      <c r="DK33" s="29"/>
      <c r="DL33" s="29"/>
      <c r="DM33" s="29"/>
      <c r="DN33" s="29"/>
      <c r="DO33" s="29"/>
      <c r="DP33" s="29"/>
      <c r="DQ33" s="29">
        <f t="shared" si="27"/>
        <v>1235869.340196718</v>
      </c>
      <c r="DR33" s="6">
        <f t="shared" si="23"/>
        <v>20</v>
      </c>
      <c r="DS33" s="7" t="s">
        <v>27</v>
      </c>
      <c r="DT33" s="11">
        <f t="shared" si="28"/>
        <v>50623674.690000005</v>
      </c>
      <c r="DU33" s="11">
        <f t="shared" si="29"/>
        <v>1235869.340196718</v>
      </c>
      <c r="DV33" s="29">
        <f t="shared" si="30"/>
        <v>51859544.030196726</v>
      </c>
    </row>
    <row r="34" spans="1:141" ht="15" customHeight="1" x14ac:dyDescent="0.25">
      <c r="A34" s="2">
        <f t="shared" si="0"/>
        <v>24</v>
      </c>
      <c r="C34" s="7" t="s">
        <v>144</v>
      </c>
      <c r="E34" s="199">
        <f>'[15]3.01E Lead Sheet '!$E$32</f>
        <v>-186795.34642001061</v>
      </c>
      <c r="F34" s="199">
        <f>'[15]3.01E Lead Sheet '!$F$32</f>
        <v>-6139</v>
      </c>
      <c r="H34" s="2">
        <f t="shared" si="4"/>
        <v>24</v>
      </c>
      <c r="I34" s="25" t="s">
        <v>233</v>
      </c>
      <c r="K34" s="446"/>
      <c r="L34" s="447">
        <f>SUM(K30:K33)</f>
        <v>28990997.98</v>
      </c>
      <c r="P34" s="6"/>
      <c r="Q34"/>
      <c r="R34"/>
      <c r="S34"/>
      <c r="T34" s="6">
        <f t="shared" si="7"/>
        <v>23</v>
      </c>
      <c r="U34" s="314" t="s">
        <v>182</v>
      </c>
      <c r="W34" s="111"/>
      <c r="X34" s="216"/>
      <c r="Z34"/>
      <c r="AA34"/>
      <c r="AB34"/>
      <c r="AD34" s="281"/>
      <c r="AE34" s="281"/>
      <c r="AF34" s="281"/>
      <c r="AG34" s="281"/>
      <c r="AH34" s="281"/>
      <c r="AI34" s="281"/>
      <c r="AJ34" s="281"/>
      <c r="AK34" s="281"/>
      <c r="AL34" s="281"/>
      <c r="AM34" s="281"/>
      <c r="AN34" s="281"/>
      <c r="AO34" s="281"/>
      <c r="AP34" s="281"/>
      <c r="BK34" s="11"/>
      <c r="BL34" s="11"/>
      <c r="BM34" s="11"/>
      <c r="BS34" s="61"/>
      <c r="BT34" s="61"/>
      <c r="BU34" s="61"/>
      <c r="BV34" s="61"/>
      <c r="BW34" s="61"/>
      <c r="BX34" s="61"/>
      <c r="BY34" s="61"/>
      <c r="BZ34" s="6">
        <f t="shared" si="15"/>
        <v>23</v>
      </c>
      <c r="CA34" s="377" t="s">
        <v>361</v>
      </c>
      <c r="CB34" s="379">
        <f>+'[14]Lead Sheet'!C33</f>
        <v>121674523.33</v>
      </c>
      <c r="CC34" s="376">
        <f t="shared" si="31"/>
        <v>121674523.33</v>
      </c>
      <c r="CD34" s="379">
        <f>+'[14]Lead Sheet'!E33</f>
        <v>0</v>
      </c>
      <c r="CK34"/>
      <c r="CL34"/>
      <c r="CM34"/>
      <c r="CN34"/>
      <c r="CS34" s="1"/>
      <c r="CT34" s="6">
        <f t="shared" si="21"/>
        <v>21</v>
      </c>
      <c r="CU34" s="7" t="s">
        <v>48</v>
      </c>
      <c r="CV34" s="49">
        <f>+'[18]Allocated (CBR)'!B28</f>
        <v>22165912.629999999</v>
      </c>
      <c r="CW34" s="29"/>
      <c r="CX34" s="29"/>
      <c r="CY34" s="29"/>
      <c r="CZ34" s="29"/>
      <c r="DA34" s="29">
        <f>X38+X42</f>
        <v>-18271672.530000001</v>
      </c>
      <c r="DB34" s="29"/>
      <c r="DC34" s="29"/>
      <c r="DD34" s="29"/>
      <c r="DE34" s="29"/>
      <c r="DF34" s="29"/>
      <c r="DG34" s="29"/>
      <c r="DH34" s="6">
        <f t="shared" si="22"/>
        <v>21</v>
      </c>
      <c r="DI34" s="7" t="s">
        <v>48</v>
      </c>
      <c r="DJ34" s="29"/>
      <c r="DK34" s="29"/>
      <c r="DL34" s="29"/>
      <c r="DM34" s="29"/>
      <c r="DN34" s="29"/>
      <c r="DO34" s="29"/>
      <c r="DP34" s="29"/>
      <c r="DQ34" s="29">
        <f t="shared" si="27"/>
        <v>-18271672.530000001</v>
      </c>
      <c r="DR34" s="6">
        <f t="shared" si="23"/>
        <v>21</v>
      </c>
      <c r="DS34" s="7" t="s">
        <v>48</v>
      </c>
      <c r="DT34" s="11">
        <f t="shared" si="28"/>
        <v>22165912.629999999</v>
      </c>
      <c r="DU34" s="11">
        <f t="shared" si="29"/>
        <v>-18271672.530000001</v>
      </c>
      <c r="DV34" s="29">
        <f t="shared" si="30"/>
        <v>3894240.0999999978</v>
      </c>
    </row>
    <row r="35" spans="1:141" ht="15" customHeight="1" x14ac:dyDescent="0.25">
      <c r="A35" s="2">
        <f t="shared" si="0"/>
        <v>25</v>
      </c>
      <c r="C35" s="7" t="s">
        <v>240</v>
      </c>
      <c r="D35" s="171"/>
      <c r="E35" s="199">
        <f>'[15]3.01E Lead Sheet '!$E$33</f>
        <v>602773.04246052424</v>
      </c>
      <c r="F35" s="199">
        <f>'[15]3.01E Lead Sheet '!$F$33</f>
        <v>16258</v>
      </c>
      <c r="H35" s="2">
        <f t="shared" si="4"/>
        <v>25</v>
      </c>
      <c r="I35" s="7"/>
      <c r="K35" s="69"/>
      <c r="L35"/>
      <c r="P35" s="6"/>
      <c r="Q35"/>
      <c r="R35"/>
      <c r="S35"/>
      <c r="T35" s="6">
        <f t="shared" si="7"/>
        <v>24</v>
      </c>
      <c r="U35" s="306" t="s">
        <v>263</v>
      </c>
      <c r="W35" s="111"/>
      <c r="X35" s="337">
        <f>'[12]Lead Sheet'!E34</f>
        <v>-80695343.090000004</v>
      </c>
      <c r="Z35"/>
      <c r="AA35"/>
      <c r="AB35"/>
      <c r="AD35" s="281"/>
      <c r="AE35" s="281"/>
      <c r="AF35" s="281"/>
      <c r="AG35" s="281"/>
      <c r="AH35" s="281"/>
      <c r="AI35" s="281"/>
      <c r="AJ35" s="281"/>
      <c r="AK35" s="281"/>
      <c r="AL35" s="281"/>
      <c r="AM35" s="281"/>
      <c r="AN35" s="281"/>
      <c r="AO35" s="281"/>
      <c r="AP35" s="281"/>
      <c r="AQ35" s="5"/>
      <c r="AR35" s="5"/>
      <c r="AS35" s="5"/>
      <c r="AT35" s="5"/>
      <c r="AU35" s="5"/>
      <c r="AV35" s="5"/>
      <c r="AW35" s="5"/>
      <c r="AX35" s="5"/>
      <c r="AY35" s="5"/>
      <c r="BK35" s="11"/>
      <c r="BL35" s="11"/>
      <c r="BM35" s="11"/>
      <c r="BS35" s="61"/>
      <c r="BT35" s="61"/>
      <c r="BU35" s="61"/>
      <c r="BV35" s="61"/>
      <c r="BW35" s="61"/>
      <c r="BX35" s="61"/>
      <c r="BY35" s="61"/>
      <c r="BZ35" s="6">
        <f t="shared" si="15"/>
        <v>24</v>
      </c>
      <c r="CA35" s="340" t="s">
        <v>362</v>
      </c>
      <c r="CB35" s="379">
        <f>+'[14]Lead Sheet'!C34</f>
        <v>-196946670</v>
      </c>
      <c r="CC35" s="376">
        <f t="shared" si="31"/>
        <v>-196946670</v>
      </c>
      <c r="CD35" s="340">
        <f>+'[14]Lead Sheet'!E34</f>
        <v>0</v>
      </c>
      <c r="CK35"/>
      <c r="CL35"/>
      <c r="CM35"/>
      <c r="CN35"/>
      <c r="CS35" s="1"/>
      <c r="CT35" s="6">
        <f t="shared" si="21"/>
        <v>22</v>
      </c>
      <c r="CU35" s="7" t="s">
        <v>49</v>
      </c>
      <c r="CV35" s="49">
        <f>+'[18]Allocated (CBR)'!B29</f>
        <v>80695343.090000004</v>
      </c>
      <c r="CW35" s="29"/>
      <c r="CX35" s="29"/>
      <c r="CY35" s="29"/>
      <c r="CZ35" s="29"/>
      <c r="DA35" s="29">
        <f>X35</f>
        <v>-80695343.090000004</v>
      </c>
      <c r="DB35" s="29"/>
      <c r="DC35" s="29"/>
      <c r="DD35" s="29"/>
      <c r="DE35" s="29"/>
      <c r="DF35" s="29"/>
      <c r="DG35" s="29"/>
      <c r="DH35" s="6">
        <f t="shared" si="22"/>
        <v>22</v>
      </c>
      <c r="DI35" s="7" t="s">
        <v>49</v>
      </c>
      <c r="DJ35" s="29"/>
      <c r="DK35" s="29"/>
      <c r="DL35" s="29"/>
      <c r="DM35" s="29"/>
      <c r="DN35" s="29"/>
      <c r="DO35" s="29"/>
      <c r="DP35" s="29"/>
      <c r="DQ35" s="29">
        <f t="shared" si="27"/>
        <v>-80695343.090000004</v>
      </c>
      <c r="DR35" s="6">
        <f t="shared" si="23"/>
        <v>22</v>
      </c>
      <c r="DS35" s="7" t="s">
        <v>49</v>
      </c>
      <c r="DT35" s="11">
        <f t="shared" si="28"/>
        <v>80695343.090000004</v>
      </c>
      <c r="DU35" s="11">
        <f t="shared" si="29"/>
        <v>-80695343.090000004</v>
      </c>
      <c r="DV35" s="29">
        <f t="shared" si="30"/>
        <v>0</v>
      </c>
    </row>
    <row r="36" spans="1:141" ht="15" customHeight="1" x14ac:dyDescent="0.25">
      <c r="A36" s="2">
        <f t="shared" si="0"/>
        <v>26</v>
      </c>
      <c r="C36" s="5" t="s">
        <v>145</v>
      </c>
      <c r="E36" s="450">
        <f>'[15]3.01E Lead Sheet '!$E$34</f>
        <v>39256.642051869603</v>
      </c>
      <c r="F36" s="450">
        <f>'[15]3.01E Lead Sheet '!$F$34</f>
        <v>1380</v>
      </c>
      <c r="H36" s="2">
        <f t="shared" si="4"/>
        <v>26</v>
      </c>
      <c r="I36" s="7" t="s">
        <v>186</v>
      </c>
      <c r="K36" s="69"/>
      <c r="L36" s="69">
        <f>L19-L23-L26-L34</f>
        <v>2585125.9647227339</v>
      </c>
      <c r="P36" s="6"/>
      <c r="Q36"/>
      <c r="R36"/>
      <c r="S36"/>
      <c r="T36" s="6">
        <f t="shared" si="7"/>
        <v>25</v>
      </c>
      <c r="U36" s="304" t="s">
        <v>264</v>
      </c>
      <c r="W36" s="111"/>
      <c r="X36" s="514">
        <f>'[12]Lead Sheet'!E35</f>
        <v>-58456211.990000002</v>
      </c>
      <c r="Z36"/>
      <c r="AA36"/>
      <c r="AB36"/>
      <c r="AD36" s="281"/>
      <c r="AE36" s="281"/>
      <c r="AF36" s="281"/>
      <c r="AG36" s="281"/>
      <c r="AH36" s="281"/>
      <c r="AI36" s="281"/>
      <c r="AJ36" s="281"/>
      <c r="AK36" s="281"/>
      <c r="AL36" s="281"/>
      <c r="AM36" s="281"/>
      <c r="AN36" s="281"/>
      <c r="AO36" s="281"/>
      <c r="AP36" s="281"/>
      <c r="AQ36" s="82"/>
      <c r="AR36" s="82"/>
      <c r="AS36" s="82"/>
      <c r="AT36" s="82"/>
      <c r="AU36" s="82"/>
      <c r="AV36" s="82"/>
      <c r="AW36" s="82"/>
      <c r="AX36" s="82"/>
      <c r="AY36" s="82"/>
      <c r="BK36" s="11"/>
      <c r="BL36" s="11"/>
      <c r="BM36" s="11"/>
      <c r="BS36" s="61"/>
      <c r="BT36" s="61"/>
      <c r="BU36" s="61"/>
      <c r="BV36" s="61"/>
      <c r="BW36" s="61"/>
      <c r="BX36" s="61"/>
      <c r="BY36" s="61"/>
      <c r="BZ36" s="6">
        <f t="shared" si="15"/>
        <v>25</v>
      </c>
      <c r="CA36" s="377" t="s">
        <v>363</v>
      </c>
      <c r="CB36" s="379">
        <f>+'[14]Lead Sheet'!C35</f>
        <v>-104269151.23999999</v>
      </c>
      <c r="CC36" s="376">
        <f t="shared" si="31"/>
        <v>-104269151.23999999</v>
      </c>
      <c r="CD36" s="379">
        <f>+'[14]Lead Sheet'!E35</f>
        <v>0</v>
      </c>
      <c r="CK36"/>
      <c r="CL36"/>
      <c r="CM36"/>
      <c r="CN36"/>
      <c r="CS36" s="1"/>
      <c r="CT36" s="6">
        <f t="shared" si="21"/>
        <v>23</v>
      </c>
      <c r="CU36" s="7" t="s">
        <v>50</v>
      </c>
      <c r="CV36" s="49">
        <f>+'[18]Allocated (CBR)'!B30</f>
        <v>131332686.69000001</v>
      </c>
      <c r="CW36" s="29">
        <f>F40</f>
        <v>2214</v>
      </c>
      <c r="CX36" s="29">
        <f>+K21</f>
        <v>66335.767718000003</v>
      </c>
      <c r="CY36" s="29"/>
      <c r="CZ36" s="29"/>
      <c r="DA36" s="29">
        <f>X30+X43</f>
        <v>-357646.86689795181</v>
      </c>
      <c r="DB36" s="29">
        <f>AB28</f>
        <v>-534905.34885499999</v>
      </c>
      <c r="DC36" s="29"/>
      <c r="DD36" s="29">
        <f>AP12</f>
        <v>550928.30312883109</v>
      </c>
      <c r="DE36" s="29">
        <f>+AT18</f>
        <v>156925.4966800008</v>
      </c>
      <c r="DF36" s="29">
        <f>AY14</f>
        <v>-12168.213157891078</v>
      </c>
      <c r="DG36" s="29"/>
      <c r="DH36" s="6">
        <f t="shared" si="22"/>
        <v>23</v>
      </c>
      <c r="DI36" s="7" t="s">
        <v>50</v>
      </c>
      <c r="DJ36" s="29">
        <f>+BH14</f>
        <v>2333541.5813601231</v>
      </c>
      <c r="DK36" s="29">
        <f>BM16</f>
        <v>-1069057.5382273581</v>
      </c>
      <c r="DL36" s="29"/>
      <c r="DM36" s="29">
        <f>+BX26</f>
        <v>-122256.83333333331</v>
      </c>
      <c r="DN36" s="29"/>
      <c r="DO36" s="29"/>
      <c r="DP36" s="29"/>
      <c r="DQ36" s="29">
        <f t="shared" si="27"/>
        <v>1013910.3484154209</v>
      </c>
      <c r="DR36" s="6">
        <f t="shared" si="23"/>
        <v>23</v>
      </c>
      <c r="DS36" s="7" t="s">
        <v>50</v>
      </c>
      <c r="DT36" s="11">
        <f t="shared" si="28"/>
        <v>131332686.69000001</v>
      </c>
      <c r="DU36" s="11">
        <f t="shared" si="29"/>
        <v>1013910.3484154209</v>
      </c>
      <c r="DV36" s="29">
        <f t="shared" si="30"/>
        <v>132346597.03841543</v>
      </c>
    </row>
    <row r="37" spans="1:141" ht="15" customHeight="1" x14ac:dyDescent="0.25">
      <c r="A37" s="2">
        <f t="shared" si="0"/>
        <v>27</v>
      </c>
      <c r="B37" s="5" t="s">
        <v>28</v>
      </c>
      <c r="E37" s="319">
        <f>ROUND(SUM(E28:E36),0)</f>
        <v>27306131</v>
      </c>
      <c r="F37" s="320">
        <f>SUM(F28:F36)</f>
        <v>1107123</v>
      </c>
      <c r="G37" s="4">
        <f>SUM(F28:F36)</f>
        <v>1107123</v>
      </c>
      <c r="H37" s="2">
        <f t="shared" si="4"/>
        <v>27</v>
      </c>
      <c r="I37" s="7"/>
      <c r="J37" s="207">
        <f>FIT</f>
        <v>0.21</v>
      </c>
      <c r="K37" s="69"/>
      <c r="L37" s="69"/>
      <c r="P37" s="6"/>
      <c r="Q37"/>
      <c r="R37"/>
      <c r="S37"/>
      <c r="T37" s="6">
        <f t="shared" si="7"/>
        <v>26</v>
      </c>
      <c r="U37" s="306" t="s">
        <v>258</v>
      </c>
      <c r="V37" s="57"/>
      <c r="W37" s="111"/>
      <c r="X37" s="514">
        <f>'[12]Lead Sheet'!E36</f>
        <v>-79796782.120000005</v>
      </c>
      <c r="Z37"/>
      <c r="AA37"/>
      <c r="AB37"/>
      <c r="AD37" s="281"/>
      <c r="AE37" s="281"/>
      <c r="AF37" s="281"/>
      <c r="AG37" s="281"/>
      <c r="AH37" s="281"/>
      <c r="AI37" s="281"/>
      <c r="AJ37" s="281"/>
      <c r="AK37" s="281"/>
      <c r="AL37" s="281"/>
      <c r="AM37" s="281"/>
      <c r="AN37" s="281"/>
      <c r="AO37" s="281"/>
      <c r="AP37" s="281"/>
      <c r="AQ37" s="291"/>
      <c r="AR37" s="291"/>
      <c r="AS37" s="291"/>
      <c r="AT37" s="291"/>
      <c r="AU37" s="291"/>
      <c r="AV37" s="291"/>
      <c r="AW37" s="291"/>
      <c r="AX37" s="291"/>
      <c r="AY37" s="291"/>
      <c r="BI37" s="292"/>
      <c r="BJ37" s="292"/>
      <c r="BK37" s="292"/>
      <c r="BL37" s="11"/>
      <c r="BM37" s="11"/>
      <c r="BS37" s="61"/>
      <c r="BT37" s="61"/>
      <c r="BU37" s="61"/>
      <c r="BV37" s="61"/>
      <c r="BW37" s="61"/>
      <c r="BX37" s="61"/>
      <c r="BY37" s="61"/>
      <c r="BZ37" s="6">
        <f t="shared" si="15"/>
        <v>26</v>
      </c>
      <c r="CA37" s="380" t="s">
        <v>234</v>
      </c>
      <c r="CB37" s="381">
        <f>SUM(CB31:CB36)</f>
        <v>720407553.4000001</v>
      </c>
      <c r="CC37" s="381">
        <f>SUM(CC31:CC36)</f>
        <v>725365517.06000006</v>
      </c>
      <c r="CD37" s="381">
        <f>SUM(CD31:CD36)</f>
        <v>4957963.66</v>
      </c>
      <c r="CK37"/>
      <c r="CL37"/>
      <c r="CM37"/>
      <c r="CN37"/>
      <c r="CS37" s="1"/>
      <c r="CT37" s="6">
        <f t="shared" si="21"/>
        <v>24</v>
      </c>
      <c r="CU37" s="7" t="s">
        <v>146</v>
      </c>
      <c r="CV37" s="49">
        <f>+'[18]Allocated (CBR)'!B31</f>
        <v>353307306.82000005</v>
      </c>
      <c r="CW37" s="29"/>
      <c r="CX37" s="29"/>
      <c r="CY37" s="29"/>
      <c r="CZ37" s="29"/>
      <c r="DC37" s="29"/>
      <c r="DD37" s="29"/>
      <c r="DE37" s="29"/>
      <c r="DF37" s="29"/>
      <c r="DG37" s="29"/>
      <c r="DH37" s="6">
        <f t="shared" si="22"/>
        <v>24</v>
      </c>
      <c r="DI37" s="7" t="s">
        <v>146</v>
      </c>
      <c r="DJ37" s="29"/>
      <c r="DK37" s="29"/>
      <c r="DL37" s="29"/>
      <c r="DM37" s="29"/>
      <c r="DN37" s="29"/>
      <c r="DO37" s="29"/>
      <c r="DP37" s="29">
        <f>CN20</f>
        <v>-212064</v>
      </c>
      <c r="DQ37" s="29">
        <f t="shared" si="27"/>
        <v>-212064</v>
      </c>
      <c r="DR37" s="6">
        <f t="shared" si="23"/>
        <v>24</v>
      </c>
      <c r="DS37" s="7" t="s">
        <v>146</v>
      </c>
      <c r="DT37" s="11">
        <f t="shared" si="28"/>
        <v>353307306.82000005</v>
      </c>
      <c r="DU37" s="11">
        <f t="shared" si="29"/>
        <v>-212064</v>
      </c>
      <c r="DV37" s="29">
        <f t="shared" si="30"/>
        <v>353095242.82000005</v>
      </c>
    </row>
    <row r="38" spans="1:141" ht="13.5" customHeight="1" x14ac:dyDescent="0.25">
      <c r="A38" s="2">
        <f t="shared" si="0"/>
        <v>28</v>
      </c>
      <c r="B38" s="290"/>
      <c r="C38" s="290"/>
      <c r="E38" s="335"/>
      <c r="F38" s="70"/>
      <c r="H38" s="2">
        <f t="shared" si="4"/>
        <v>28</v>
      </c>
      <c r="I38" s="7" t="s">
        <v>14</v>
      </c>
      <c r="J38" s="207"/>
      <c r="K38" s="69"/>
      <c r="L38" s="74">
        <f>ROUND(L36*J37,0)</f>
        <v>542876</v>
      </c>
      <c r="P38" s="6"/>
      <c r="Q38"/>
      <c r="R38"/>
      <c r="S38"/>
      <c r="T38" s="6">
        <f t="shared" si="7"/>
        <v>27</v>
      </c>
      <c r="U38" s="306" t="s">
        <v>265</v>
      </c>
      <c r="V38" s="57"/>
      <c r="W38" s="111"/>
      <c r="X38" s="514">
        <f>'[12]Lead Sheet'!E37</f>
        <v>-17523342.190000001</v>
      </c>
      <c r="Z38"/>
      <c r="AA38"/>
      <c r="AB38"/>
      <c r="AD38" s="281"/>
      <c r="AE38" s="281"/>
      <c r="AF38" s="281"/>
      <c r="AG38" s="281"/>
      <c r="AH38" s="281"/>
      <c r="AI38" s="281"/>
      <c r="AJ38" s="281"/>
      <c r="AK38" s="281"/>
      <c r="AL38" s="281"/>
      <c r="AM38" s="281"/>
      <c r="AN38" s="281"/>
      <c r="AO38" s="281"/>
      <c r="AP38" s="281"/>
      <c r="AQ38" s="281"/>
      <c r="AR38" s="281"/>
      <c r="AS38" s="281"/>
      <c r="AT38" s="281"/>
      <c r="AU38" s="281"/>
      <c r="AV38" s="281"/>
      <c r="AW38" s="281"/>
      <c r="AX38" s="281"/>
      <c r="AY38" s="281"/>
      <c r="BA38" s="281"/>
      <c r="BB38" s="69"/>
      <c r="BC38" s="69"/>
      <c r="BD38" s="72"/>
      <c r="BI38" s="293"/>
      <c r="BJ38" s="293"/>
      <c r="BK38" s="293"/>
      <c r="BL38" s="294" t="s">
        <v>58</v>
      </c>
      <c r="BM38" s="11"/>
      <c r="BZ38" s="6">
        <f t="shared" si="15"/>
        <v>27</v>
      </c>
      <c r="CA38" s="380"/>
      <c r="CB38" s="380"/>
      <c r="CC38" s="380"/>
      <c r="CD38" s="380"/>
      <c r="CK38"/>
      <c r="CL38"/>
      <c r="CM38"/>
      <c r="CN38"/>
      <c r="CS38" s="1"/>
      <c r="CT38" s="6">
        <f t="shared" si="21"/>
        <v>25</v>
      </c>
      <c r="CU38" s="7" t="s">
        <v>94</v>
      </c>
      <c r="CV38" s="49">
        <f>+'[18]Allocated (CBR)'!B32</f>
        <v>98825617.909999996</v>
      </c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6">
        <f t="shared" si="22"/>
        <v>25</v>
      </c>
      <c r="DI38" s="7" t="s">
        <v>94</v>
      </c>
      <c r="DJ38" s="29"/>
      <c r="DK38" s="29"/>
      <c r="DL38" s="29"/>
      <c r="DM38" s="29"/>
      <c r="DN38" s="29"/>
      <c r="DO38" s="29"/>
      <c r="DP38" s="29"/>
      <c r="DQ38" s="29">
        <f t="shared" si="27"/>
        <v>0</v>
      </c>
      <c r="DR38" s="6">
        <f t="shared" si="23"/>
        <v>25</v>
      </c>
      <c r="DS38" s="7" t="s">
        <v>94</v>
      </c>
      <c r="DT38" s="11">
        <f t="shared" si="28"/>
        <v>98825617.909999996</v>
      </c>
      <c r="DU38" s="11">
        <f t="shared" si="29"/>
        <v>0</v>
      </c>
      <c r="DV38" s="29">
        <f t="shared" si="30"/>
        <v>98825617.909999996</v>
      </c>
    </row>
    <row r="39" spans="1:141" ht="15" customHeight="1" x14ac:dyDescent="0.25">
      <c r="A39" s="2">
        <f t="shared" si="0"/>
        <v>29</v>
      </c>
      <c r="B39" s="7" t="s">
        <v>29</v>
      </c>
      <c r="C39" s="7"/>
      <c r="D39" s="7"/>
      <c r="E39" s="201">
        <f>BD</f>
        <v>7.5490000000000002E-3</v>
      </c>
      <c r="F39" s="202">
        <f>ROUND(G37*E39,0)</f>
        <v>8358</v>
      </c>
      <c r="G39" s="11"/>
      <c r="H39" s="2">
        <f t="shared" si="4"/>
        <v>29</v>
      </c>
      <c r="I39" s="7"/>
      <c r="K39" s="69"/>
      <c r="L39" s="76"/>
      <c r="P39" s="6"/>
      <c r="Q39"/>
      <c r="R39"/>
      <c r="S39"/>
      <c r="T39" s="6">
        <f t="shared" si="7"/>
        <v>28</v>
      </c>
      <c r="U39" s="307" t="s">
        <v>260</v>
      </c>
      <c r="V39" s="57"/>
      <c r="W39" s="111"/>
      <c r="X39" s="514">
        <f>'[12]Lead Sheet'!E38</f>
        <v>79186637.340000004</v>
      </c>
      <c r="Z39"/>
      <c r="AA39"/>
      <c r="AB39"/>
      <c r="AD39" s="281"/>
      <c r="AE39" s="281"/>
      <c r="AF39" s="281"/>
      <c r="AG39" s="281"/>
      <c r="AH39" s="281"/>
      <c r="AI39" s="281"/>
      <c r="AJ39" s="281"/>
      <c r="AK39" s="281"/>
      <c r="AL39" s="281"/>
      <c r="AM39" s="281"/>
      <c r="AN39" s="281"/>
      <c r="AO39" s="281"/>
      <c r="AP39" s="75"/>
      <c r="AQ39" s="281"/>
      <c r="AR39" s="281"/>
      <c r="AS39" s="281"/>
      <c r="AT39" s="281"/>
      <c r="AU39" s="281"/>
      <c r="AV39" s="281"/>
      <c r="AW39" s="281"/>
      <c r="AX39" s="281"/>
      <c r="AY39" s="281"/>
      <c r="BI39" s="292"/>
      <c r="BJ39" s="293"/>
      <c r="BK39" s="293"/>
      <c r="BL39" s="294"/>
      <c r="BM39" s="11"/>
      <c r="BZ39" s="6">
        <f t="shared" si="15"/>
        <v>28</v>
      </c>
      <c r="CA39" s="382" t="s">
        <v>17</v>
      </c>
      <c r="CB39" s="383"/>
      <c r="CC39" s="384"/>
      <c r="CD39" s="385">
        <f>-CD37</f>
        <v>-4957963.66</v>
      </c>
      <c r="CK39"/>
      <c r="CL39"/>
      <c r="CM39"/>
      <c r="CN39"/>
      <c r="CS39" s="1"/>
      <c r="CT39" s="6">
        <f t="shared" si="21"/>
        <v>26</v>
      </c>
      <c r="CU39" s="25" t="s">
        <v>128</v>
      </c>
      <c r="CV39" s="49">
        <f>+'[18]Allocated (CBR)'!B33</f>
        <v>31893438.41</v>
      </c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6">
        <f t="shared" si="22"/>
        <v>26</v>
      </c>
      <c r="DI39" s="25" t="s">
        <v>128</v>
      </c>
      <c r="DJ39" s="29"/>
      <c r="DK39" s="29"/>
      <c r="DL39" s="29"/>
      <c r="DM39" s="29"/>
      <c r="DN39" s="29"/>
      <c r="DO39" s="29"/>
      <c r="DP39" s="29"/>
      <c r="DQ39" s="29">
        <f t="shared" si="27"/>
        <v>0</v>
      </c>
      <c r="DR39" s="6">
        <f t="shared" si="23"/>
        <v>26</v>
      </c>
      <c r="DS39" s="25" t="s">
        <v>128</v>
      </c>
      <c r="DT39" s="11">
        <f t="shared" si="28"/>
        <v>31893438.41</v>
      </c>
      <c r="DU39" s="11">
        <f t="shared" si="29"/>
        <v>0</v>
      </c>
      <c r="DV39" s="29">
        <f t="shared" si="30"/>
        <v>31893438.41</v>
      </c>
    </row>
    <row r="40" spans="1:141" ht="15" customHeight="1" thickBot="1" x14ac:dyDescent="0.3">
      <c r="A40" s="2">
        <f t="shared" si="0"/>
        <v>30</v>
      </c>
      <c r="B40" s="7" t="s">
        <v>30</v>
      </c>
      <c r="C40" s="7"/>
      <c r="D40" s="7"/>
      <c r="E40" s="201">
        <f>FF</f>
        <v>2E-3</v>
      </c>
      <c r="F40" s="203">
        <f>ROUND(G37*E40,0)</f>
        <v>2214</v>
      </c>
      <c r="G40" s="11"/>
      <c r="H40" s="2">
        <f t="shared" si="4"/>
        <v>30</v>
      </c>
      <c r="I40" s="7" t="s">
        <v>115</v>
      </c>
      <c r="L40" s="208">
        <f>L36-L38</f>
        <v>2042249.9647227339</v>
      </c>
      <c r="P40" s="6"/>
      <c r="Q40"/>
      <c r="R40"/>
      <c r="S40"/>
      <c r="T40" s="6">
        <f t="shared" si="7"/>
        <v>29</v>
      </c>
      <c r="U40" s="308" t="s">
        <v>266</v>
      </c>
      <c r="V40" s="57"/>
      <c r="W40" s="111"/>
      <c r="X40" s="514">
        <f>'[12]Lead Sheet'!E39</f>
        <v>124967.45</v>
      </c>
      <c r="Z40"/>
      <c r="AA40"/>
      <c r="AB40"/>
      <c r="AD40" s="281"/>
      <c r="AE40" s="281"/>
      <c r="AF40" s="281"/>
      <c r="AG40" s="281"/>
      <c r="AH40" s="281"/>
      <c r="AI40" s="281"/>
      <c r="AJ40" s="281"/>
      <c r="AK40" s="281"/>
      <c r="AL40" s="281"/>
      <c r="AM40" s="281"/>
      <c r="AN40" s="281"/>
      <c r="AO40" s="281"/>
      <c r="AP40" s="281"/>
      <c r="AQ40" s="295"/>
      <c r="AR40" s="295"/>
      <c r="AS40" s="295"/>
      <c r="AT40" s="295"/>
      <c r="AU40" s="295"/>
      <c r="AV40" s="295"/>
      <c r="AW40" s="295"/>
      <c r="AX40" s="295"/>
      <c r="AY40" s="295"/>
      <c r="BI40" s="292"/>
      <c r="BJ40" s="296"/>
      <c r="BK40" s="297"/>
      <c r="BL40" s="294" t="s">
        <v>58</v>
      </c>
      <c r="BM40" s="11"/>
      <c r="BZ40" s="6">
        <f t="shared" si="15"/>
        <v>29</v>
      </c>
      <c r="CA40" s="383"/>
      <c r="CB40" s="383"/>
      <c r="CC40" s="384"/>
      <c r="CD40" s="384"/>
      <c r="CS40" s="1"/>
      <c r="CT40" s="6">
        <f t="shared" si="21"/>
        <v>27</v>
      </c>
      <c r="CU40" s="7" t="s">
        <v>51</v>
      </c>
      <c r="CV40" s="49">
        <f>+'[18]Allocated (CBR)'!B34</f>
        <v>-56706537.07</v>
      </c>
      <c r="CW40" s="29"/>
      <c r="CX40" s="29">
        <f>L34</f>
        <v>28990997.98</v>
      </c>
      <c r="CY40" s="29"/>
      <c r="CZ40" s="29"/>
      <c r="DA40" s="29">
        <f>X40+X45</f>
        <v>11148689.049999999</v>
      </c>
      <c r="DB40" s="29"/>
      <c r="DC40" s="29"/>
      <c r="DD40" s="29"/>
      <c r="DE40" s="29"/>
      <c r="DF40" s="29"/>
      <c r="DG40" s="29"/>
      <c r="DH40" s="6">
        <f t="shared" si="22"/>
        <v>27</v>
      </c>
      <c r="DI40" s="7" t="s">
        <v>51</v>
      </c>
      <c r="DJ40" s="29"/>
      <c r="DK40" s="29"/>
      <c r="DM40" s="29"/>
      <c r="DN40" s="29"/>
      <c r="DO40" s="29"/>
      <c r="DP40" s="29"/>
      <c r="DQ40" s="29">
        <f>SUM(CW40:DP40)-DH40</f>
        <v>40139687.030000001</v>
      </c>
      <c r="DR40" s="6">
        <f t="shared" si="23"/>
        <v>27</v>
      </c>
      <c r="DS40" s="7" t="s">
        <v>51</v>
      </c>
      <c r="DT40" s="11">
        <f t="shared" si="28"/>
        <v>-56706537.07</v>
      </c>
      <c r="DU40" s="11">
        <f t="shared" si="29"/>
        <v>40139687.030000001</v>
      </c>
      <c r="DV40" s="29">
        <f t="shared" si="30"/>
        <v>-16566850.039999999</v>
      </c>
    </row>
    <row r="41" spans="1:141" ht="15" customHeight="1" thickTop="1" x14ac:dyDescent="0.25">
      <c r="A41" s="2">
        <f t="shared" si="0"/>
        <v>31</v>
      </c>
      <c r="B41" s="25" t="s">
        <v>21</v>
      </c>
      <c r="C41" s="7"/>
      <c r="D41" s="7"/>
      <c r="E41" s="201"/>
      <c r="F41" s="69"/>
      <c r="G41" s="204">
        <f>SUM(F39:F40)</f>
        <v>10572</v>
      </c>
      <c r="H41" s="2">
        <f t="shared" si="4"/>
        <v>31</v>
      </c>
      <c r="P41" s="6"/>
      <c r="Q41"/>
      <c r="R41"/>
      <c r="S41"/>
      <c r="T41" s="6">
        <f t="shared" si="7"/>
        <v>30</v>
      </c>
      <c r="U41" s="307" t="s">
        <v>254</v>
      </c>
      <c r="V41" s="76"/>
      <c r="W41" s="111"/>
      <c r="X41" s="514">
        <f>'[12]Lead Sheet'!E40</f>
        <v>-1817967.96</v>
      </c>
      <c r="Z41"/>
      <c r="AA41"/>
      <c r="AB41"/>
      <c r="AD41" s="281"/>
      <c r="AE41" s="281"/>
      <c r="AF41" s="281"/>
      <c r="AG41" s="281"/>
      <c r="AH41" s="281"/>
      <c r="AI41" s="281"/>
      <c r="AJ41" s="281"/>
      <c r="AK41" s="281"/>
      <c r="AL41" s="281"/>
      <c r="AM41" s="281"/>
      <c r="AN41" s="281"/>
      <c r="AO41" s="281"/>
      <c r="AP41" s="281"/>
      <c r="AQ41" s="298"/>
      <c r="AR41" s="298"/>
      <c r="AS41" s="298"/>
      <c r="AT41" s="298"/>
      <c r="AU41" s="298"/>
      <c r="AV41" s="298"/>
      <c r="AW41" s="298"/>
      <c r="AX41" s="298"/>
      <c r="AY41" s="298"/>
      <c r="BI41" s="292"/>
      <c r="BJ41" s="292"/>
      <c r="BK41" s="292"/>
      <c r="BL41" s="294" t="s">
        <v>58</v>
      </c>
      <c r="BM41" s="11"/>
      <c r="BZ41" s="6">
        <f t="shared" si="15"/>
        <v>30</v>
      </c>
      <c r="CA41" s="382" t="s">
        <v>14</v>
      </c>
      <c r="CB41" s="451">
        <v>0.21</v>
      </c>
      <c r="CC41" s="386"/>
      <c r="CD41" s="387">
        <f>CD39*CB41</f>
        <v>-1041172.3686</v>
      </c>
      <c r="CS41" s="1"/>
      <c r="CT41" s="6">
        <f t="shared" si="21"/>
        <v>28</v>
      </c>
      <c r="CU41" s="7" t="s">
        <v>152</v>
      </c>
      <c r="CV41" s="49">
        <f>+'[18]Allocated (CBR)'!B35</f>
        <v>3574274.1599999992</v>
      </c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6">
        <f t="shared" si="22"/>
        <v>28</v>
      </c>
      <c r="DI41" s="7" t="s">
        <v>228</v>
      </c>
      <c r="DJ41" s="29"/>
      <c r="DK41" s="29"/>
      <c r="DL41" s="29">
        <f>BR12</f>
        <v>-3574274.1599999992</v>
      </c>
      <c r="DM41" s="29"/>
      <c r="DN41" s="29"/>
      <c r="DO41" s="29"/>
      <c r="DP41" s="29"/>
      <c r="DQ41" s="29">
        <f t="shared" si="27"/>
        <v>-3574274.1599999992</v>
      </c>
      <c r="DR41" s="6">
        <f t="shared" si="23"/>
        <v>28</v>
      </c>
      <c r="DS41" s="5" t="s">
        <v>228</v>
      </c>
      <c r="DT41" s="11">
        <f t="shared" si="28"/>
        <v>3574274.1599999992</v>
      </c>
      <c r="DU41" s="11">
        <f t="shared" si="29"/>
        <v>-3574274.1599999992</v>
      </c>
      <c r="DV41" s="29">
        <f t="shared" si="30"/>
        <v>0</v>
      </c>
    </row>
    <row r="42" spans="1:141" ht="15" customHeight="1" thickBot="1" x14ac:dyDescent="0.3">
      <c r="A42" s="2">
        <f t="shared" si="0"/>
        <v>32</v>
      </c>
      <c r="B42" s="7"/>
      <c r="C42" s="7"/>
      <c r="D42" s="7"/>
      <c r="E42" s="201"/>
      <c r="F42" s="72"/>
      <c r="G42" s="11"/>
      <c r="H42" s="2"/>
      <c r="P42" s="6"/>
      <c r="Q42"/>
      <c r="R42"/>
      <c r="S42"/>
      <c r="T42" s="6">
        <f t="shared" si="7"/>
        <v>31</v>
      </c>
      <c r="U42" s="309" t="s">
        <v>255</v>
      </c>
      <c r="W42" s="111"/>
      <c r="X42" s="514">
        <f>'[12]Lead Sheet'!E41</f>
        <v>-748330.34000000008</v>
      </c>
      <c r="Z42"/>
      <c r="AA42"/>
      <c r="AB42"/>
      <c r="AD42" s="281"/>
      <c r="AE42" s="281"/>
      <c r="AF42" s="281"/>
      <c r="AG42" s="281"/>
      <c r="AH42" s="281"/>
      <c r="AI42" s="281"/>
      <c r="AJ42" s="281"/>
      <c r="AK42" s="281"/>
      <c r="AL42" s="281"/>
      <c r="AM42" s="281"/>
      <c r="AN42" s="281"/>
      <c r="AO42" s="281"/>
      <c r="AP42" s="281"/>
      <c r="AQ42" s="298"/>
      <c r="AR42" s="298"/>
      <c r="AS42" s="298"/>
      <c r="AT42" s="298"/>
      <c r="AU42" s="298"/>
      <c r="AV42" s="298"/>
      <c r="AW42" s="298"/>
      <c r="AX42" s="298"/>
      <c r="AY42" s="298"/>
      <c r="BI42" s="292"/>
      <c r="BJ42" s="296"/>
      <c r="BK42" s="297"/>
      <c r="BL42" s="294" t="s">
        <v>58</v>
      </c>
      <c r="BM42" s="11"/>
      <c r="BZ42" s="6">
        <f t="shared" si="15"/>
        <v>31</v>
      </c>
      <c r="CA42" s="382" t="s">
        <v>115</v>
      </c>
      <c r="CB42" s="384"/>
      <c r="CC42" s="384"/>
      <c r="CD42" s="388">
        <f>CD39-CD41</f>
        <v>-3916791.2914</v>
      </c>
      <c r="CS42" s="1"/>
      <c r="CT42" s="6">
        <f t="shared" si="21"/>
        <v>29</v>
      </c>
      <c r="CU42" s="7" t="s">
        <v>121</v>
      </c>
      <c r="CV42" s="49">
        <f>+'[18]Allocated (CBR)'!B36</f>
        <v>232459734.66999999</v>
      </c>
      <c r="CW42" s="29">
        <f>+G44</f>
        <v>42560</v>
      </c>
      <c r="CX42" s="29">
        <f>+L26</f>
        <v>1275039.791307678</v>
      </c>
      <c r="CY42" s="29"/>
      <c r="CZ42" s="29"/>
      <c r="DA42" s="29">
        <f>X31+X37+X44+X36</f>
        <v>-144218571.49077553</v>
      </c>
      <c r="DB42" s="29"/>
      <c r="DC42" s="29"/>
      <c r="DD42" s="29">
        <f>AP14</f>
        <v>48757.15482690162</v>
      </c>
      <c r="DE42" s="29">
        <f>AT14</f>
        <v>-24309.809255003929</v>
      </c>
      <c r="DF42" s="29"/>
      <c r="DG42" s="29"/>
      <c r="DH42" s="6">
        <f t="shared" si="22"/>
        <v>29</v>
      </c>
      <c r="DI42" s="7" t="s">
        <v>121</v>
      </c>
      <c r="DJ42" s="29"/>
      <c r="DK42" s="29"/>
      <c r="DL42" s="29"/>
      <c r="DM42" s="29">
        <f>+BW26</f>
        <v>-34890</v>
      </c>
      <c r="DN42" s="29"/>
      <c r="DO42" s="29">
        <f>-CI22</f>
        <v>-135159.86250000005</v>
      </c>
      <c r="DP42" s="29"/>
      <c r="DQ42" s="29">
        <f t="shared" si="27"/>
        <v>-143046574.21639594</v>
      </c>
      <c r="DR42" s="6">
        <f t="shared" si="23"/>
        <v>29</v>
      </c>
      <c r="DS42" s="7" t="s">
        <v>121</v>
      </c>
      <c r="DT42" s="11">
        <f t="shared" si="28"/>
        <v>232459734.66999999</v>
      </c>
      <c r="DU42" s="11">
        <f t="shared" si="29"/>
        <v>-143046574.21639594</v>
      </c>
      <c r="DV42" s="29">
        <f t="shared" si="30"/>
        <v>89413160.453604043</v>
      </c>
    </row>
    <row r="43" spans="1:141" ht="15" customHeight="1" thickTop="1" x14ac:dyDescent="0.25">
      <c r="A43" s="2">
        <f t="shared" si="0"/>
        <v>33</v>
      </c>
      <c r="B43" s="7" t="s">
        <v>31</v>
      </c>
      <c r="C43" s="7"/>
      <c r="D43" s="7"/>
      <c r="E43" s="201">
        <f>UTN</f>
        <v>3.8441999999999997E-2</v>
      </c>
      <c r="F43" s="205">
        <f>ROUND(G37*E43,0)</f>
        <v>42560</v>
      </c>
      <c r="G43" s="11"/>
      <c r="H43" s="2"/>
      <c r="P43" s="6"/>
      <c r="Q43"/>
      <c r="R43"/>
      <c r="S43"/>
      <c r="T43" s="6">
        <f t="shared" si="7"/>
        <v>32</v>
      </c>
      <c r="U43" s="309" t="s">
        <v>183</v>
      </c>
      <c r="W43" s="242"/>
      <c r="X43" s="514">
        <f>'[12]Lead Sheet'!E42</f>
        <v>-48014.47</v>
      </c>
      <c r="Z43"/>
      <c r="AA43"/>
      <c r="AB43"/>
      <c r="AD43" s="281"/>
      <c r="AE43" s="281"/>
      <c r="AF43" s="281"/>
      <c r="AG43" s="281"/>
      <c r="AH43" s="281"/>
      <c r="AI43" s="281"/>
      <c r="AJ43" s="281"/>
      <c r="AK43" s="281"/>
      <c r="AL43" s="281"/>
      <c r="AM43" s="281"/>
      <c r="AN43" s="281"/>
      <c r="AO43" s="281"/>
      <c r="AP43" s="281"/>
      <c r="AQ43" s="298"/>
      <c r="AR43" s="298"/>
      <c r="AS43" s="298"/>
      <c r="AT43" s="298"/>
      <c r="AU43" s="298"/>
      <c r="AV43" s="298"/>
      <c r="AW43" s="298"/>
      <c r="AX43" s="298"/>
      <c r="AY43" s="298"/>
      <c r="BI43" s="292"/>
      <c r="BJ43" s="296"/>
      <c r="BK43" s="297"/>
      <c r="BL43" s="294"/>
      <c r="BM43" s="11"/>
      <c r="BZ43"/>
      <c r="CA43"/>
      <c r="CB43"/>
      <c r="CC43"/>
      <c r="CD43"/>
      <c r="CS43" s="1"/>
      <c r="CT43" s="6">
        <f t="shared" si="21"/>
        <v>30</v>
      </c>
      <c r="CU43" s="7" t="s">
        <v>52</v>
      </c>
      <c r="CV43" s="49">
        <f>+'[18]Allocated (CBR)'!B37</f>
        <v>31409079.400000002</v>
      </c>
      <c r="CW43" s="29">
        <f>G48</f>
        <v>221338</v>
      </c>
      <c r="CX43" s="29">
        <f>L38</f>
        <v>542876</v>
      </c>
      <c r="CY43" s="29">
        <f>O27</f>
        <v>57204080.910290271</v>
      </c>
      <c r="CZ43" s="29">
        <f>S22</f>
        <v>-31449149.386364859</v>
      </c>
      <c r="DA43" s="29">
        <f>X49</f>
        <v>-82292.984898445298</v>
      </c>
      <c r="DB43" s="29">
        <f>AB30</f>
        <v>112330.12325954999</v>
      </c>
      <c r="DC43" s="29">
        <f>AK28</f>
        <v>-308303</v>
      </c>
      <c r="DD43" s="29">
        <f>AP18</f>
        <v>-125933.94617070386</v>
      </c>
      <c r="DE43" s="29">
        <f>AT24</f>
        <v>-27849</v>
      </c>
      <c r="DF43" s="29">
        <f>AY18</f>
        <v>2555.3247631571262</v>
      </c>
      <c r="DG43" s="29"/>
      <c r="DH43" s="6">
        <f t="shared" si="22"/>
        <v>30</v>
      </c>
      <c r="DI43" s="7" t="s">
        <v>52</v>
      </c>
      <c r="DJ43" s="29">
        <f>+BH17</f>
        <v>-490043.73208562582</v>
      </c>
      <c r="DK43" s="29">
        <f>BM17</f>
        <v>224502</v>
      </c>
      <c r="DL43" s="29"/>
      <c r="DM43" s="29">
        <f>+BY28</f>
        <v>11440.275</v>
      </c>
      <c r="DN43" s="29">
        <f>CD23</f>
        <v>-249846.64786374875</v>
      </c>
      <c r="DO43" s="29">
        <f>CI24</f>
        <v>28383.571125000009</v>
      </c>
      <c r="DP43" s="29">
        <f>CN23</f>
        <v>44533.439999999995</v>
      </c>
      <c r="DQ43" s="29">
        <f t="shared" si="27"/>
        <v>25658620.947054598</v>
      </c>
      <c r="DR43" s="6">
        <f t="shared" si="23"/>
        <v>30</v>
      </c>
      <c r="DS43" s="7" t="s">
        <v>52</v>
      </c>
      <c r="DT43" s="11">
        <f t="shared" si="28"/>
        <v>31409079.400000002</v>
      </c>
      <c r="DU43" s="11">
        <f t="shared" si="29"/>
        <v>25658620.947054598</v>
      </c>
      <c r="DV43" s="29">
        <f t="shared" si="30"/>
        <v>57067700.347054601</v>
      </c>
    </row>
    <row r="44" spans="1:141" ht="15" customHeight="1" x14ac:dyDescent="0.25">
      <c r="A44" s="2">
        <f t="shared" si="0"/>
        <v>34</v>
      </c>
      <c r="B44" s="25" t="s">
        <v>12</v>
      </c>
      <c r="C44" s="7"/>
      <c r="D44" s="7"/>
      <c r="F44" s="72"/>
      <c r="G44" s="206">
        <f>SUM(F43:F43)</f>
        <v>42560</v>
      </c>
      <c r="H44" s="2"/>
      <c r="Q44"/>
      <c r="R44"/>
      <c r="S44"/>
      <c r="T44" s="6">
        <f t="shared" si="7"/>
        <v>33</v>
      </c>
      <c r="U44" s="309" t="s">
        <v>184</v>
      </c>
      <c r="X44" s="514">
        <f>'[12]Lead Sheet'!E43</f>
        <v>-14133.08</v>
      </c>
      <c r="Z44"/>
      <c r="AA44"/>
      <c r="AB44"/>
      <c r="AD44" s="281"/>
      <c r="AE44" s="281"/>
      <c r="AF44" s="281"/>
      <c r="AG44" s="281"/>
      <c r="AH44" s="281"/>
      <c r="AI44" s="281"/>
      <c r="AJ44" s="281"/>
      <c r="AK44" s="281"/>
      <c r="AL44" s="281"/>
      <c r="AM44" s="281"/>
      <c r="AN44" s="281"/>
      <c r="AO44" s="281"/>
      <c r="AP44" s="281"/>
      <c r="AQ44" s="298"/>
      <c r="AR44" s="298"/>
      <c r="AS44" s="298"/>
      <c r="AT44" s="298"/>
      <c r="AU44" s="298"/>
      <c r="AV44" s="298"/>
      <c r="AW44" s="298"/>
      <c r="AX44" s="298"/>
      <c r="AY44" s="298"/>
      <c r="BI44" s="292"/>
      <c r="BJ44" s="292"/>
      <c r="BK44" s="292"/>
      <c r="BL44" s="294" t="s">
        <v>58</v>
      </c>
      <c r="BM44" s="11"/>
      <c r="CA44" s="452"/>
      <c r="CB44" s="452"/>
      <c r="CC44" s="453" t="s">
        <v>364</v>
      </c>
      <c r="CD44" s="454">
        <f>+CD24-CD42</f>
        <v>2976891.9970554216</v>
      </c>
      <c r="CO44" s="57"/>
      <c r="CP44" s="57"/>
      <c r="CQ44" s="57"/>
      <c r="CR44" s="57"/>
      <c r="CS44" s="26"/>
      <c r="CT44" s="6">
        <f t="shared" si="21"/>
        <v>31</v>
      </c>
      <c r="CU44" s="5" t="s">
        <v>53</v>
      </c>
      <c r="CV44" s="3">
        <f>+'[18]Allocated (CBR)'!B38</f>
        <v>28520415.180000007</v>
      </c>
      <c r="CW44" s="3"/>
      <c r="CX44" s="3"/>
      <c r="CY44" s="3">
        <f>O28</f>
        <v>-53240613.376528084</v>
      </c>
      <c r="CZ44" s="29">
        <f>S27</f>
        <v>0</v>
      </c>
      <c r="DA44" s="3"/>
      <c r="DB44" s="3"/>
      <c r="DC44" s="3"/>
      <c r="DD44" s="29"/>
      <c r="DE44" s="3"/>
      <c r="DF44" s="3"/>
      <c r="DG44" s="3"/>
      <c r="DH44" s="6">
        <f t="shared" si="22"/>
        <v>31</v>
      </c>
      <c r="DI44" s="5" t="s">
        <v>53</v>
      </c>
      <c r="DJ44" s="29"/>
      <c r="DK44" s="29"/>
      <c r="DL44" s="29">
        <f>BR18</f>
        <v>750597.57359999977</v>
      </c>
      <c r="DM44" s="29"/>
      <c r="DN44" s="3"/>
      <c r="DO44" s="3"/>
      <c r="DP44" s="29"/>
      <c r="DQ44" s="3">
        <f t="shared" si="27"/>
        <v>-52490015.802928083</v>
      </c>
      <c r="DR44" s="6">
        <f t="shared" si="23"/>
        <v>31</v>
      </c>
      <c r="DS44" s="5" t="s">
        <v>53</v>
      </c>
      <c r="DT44" s="11">
        <f t="shared" si="28"/>
        <v>28520415.180000007</v>
      </c>
      <c r="DU44" s="11">
        <f t="shared" si="29"/>
        <v>-52490015.802928083</v>
      </c>
      <c r="DV44" s="29">
        <f t="shared" si="30"/>
        <v>-23969600.622928075</v>
      </c>
      <c r="EG44"/>
      <c r="EH44"/>
      <c r="EI44"/>
      <c r="EJ44"/>
      <c r="EK44"/>
    </row>
    <row r="45" spans="1:141" ht="15" customHeight="1" x14ac:dyDescent="0.3">
      <c r="A45" s="2">
        <f t="shared" si="0"/>
        <v>35</v>
      </c>
      <c r="B45" s="7"/>
      <c r="C45" s="7"/>
      <c r="D45" s="7"/>
      <c r="E45" s="81"/>
      <c r="G45" s="11"/>
      <c r="H45" s="2"/>
      <c r="Q45"/>
      <c r="R45"/>
      <c r="S45"/>
      <c r="T45" s="6">
        <f t="shared" si="7"/>
        <v>34</v>
      </c>
      <c r="U45" s="309" t="s">
        <v>390</v>
      </c>
      <c r="V45" s="57"/>
      <c r="W45" s="57"/>
      <c r="X45" s="514">
        <f>'[12]Lead Sheet'!E44</f>
        <v>11023721.6</v>
      </c>
      <c r="Z45"/>
      <c r="AA45"/>
      <c r="AB45"/>
      <c r="AD45" s="281"/>
      <c r="AE45" s="281"/>
      <c r="AF45" s="281"/>
      <c r="AG45" s="281"/>
      <c r="AH45" s="281"/>
      <c r="AI45" s="281"/>
      <c r="AJ45" s="281"/>
      <c r="AK45" s="281"/>
      <c r="AL45" s="281"/>
      <c r="AM45" s="281"/>
      <c r="AN45" s="281"/>
      <c r="AO45" s="281"/>
      <c r="AP45" s="281"/>
      <c r="AQ45" s="298"/>
      <c r="AR45" s="298"/>
      <c r="AS45" s="298"/>
      <c r="AT45" s="298"/>
      <c r="AU45" s="298"/>
      <c r="AV45" s="298"/>
      <c r="AW45" s="298"/>
      <c r="AX45" s="298"/>
      <c r="AY45" s="298"/>
      <c r="BI45" s="292"/>
      <c r="BJ45" s="292"/>
      <c r="BK45" s="292"/>
      <c r="BL45" s="294"/>
      <c r="BM45" s="11"/>
      <c r="BS45" s="281"/>
      <c r="BT45" s="281"/>
      <c r="BU45" s="281"/>
      <c r="BV45" s="281"/>
      <c r="BW45" s="281"/>
      <c r="BX45" s="281"/>
      <c r="BY45" s="281"/>
      <c r="CJ45" s="281"/>
      <c r="CK45" s="281"/>
      <c r="CL45" s="281"/>
      <c r="CM45" s="281"/>
      <c r="CN45" s="281"/>
      <c r="CO45" s="90"/>
      <c r="CP45" s="91"/>
      <c r="CQ45" s="35"/>
      <c r="CR45" s="91"/>
      <c r="CS45" s="26"/>
      <c r="CT45" s="6">
        <f t="shared" si="21"/>
        <v>32</v>
      </c>
      <c r="CU45" s="7" t="s">
        <v>54</v>
      </c>
      <c r="CV45" s="77">
        <f t="shared" ref="CV45:DG45" si="32">SUM(CV28:CV44)</f>
        <v>2179923224.6800008</v>
      </c>
      <c r="CW45" s="77">
        <f t="shared" si="32"/>
        <v>274470</v>
      </c>
      <c r="CX45" s="77">
        <f t="shared" si="32"/>
        <v>31125633.894277267</v>
      </c>
      <c r="CY45" s="77">
        <f t="shared" si="32"/>
        <v>3963467.5337621868</v>
      </c>
      <c r="CZ45" s="77">
        <f t="shared" si="32"/>
        <v>-31449149.386364859</v>
      </c>
      <c r="DA45" s="77">
        <f>SUM(DA28:DA44)</f>
        <v>-156276876.01466325</v>
      </c>
      <c r="DB45" s="77">
        <f t="shared" si="32"/>
        <v>-422575.22559545003</v>
      </c>
      <c r="DC45" s="77">
        <f t="shared" si="32"/>
        <v>1159805</v>
      </c>
      <c r="DD45" s="77">
        <f t="shared" si="32"/>
        <v>473751.51178502885</v>
      </c>
      <c r="DE45" s="77">
        <f t="shared" si="32"/>
        <v>104766.68742499687</v>
      </c>
      <c r="DF45" s="77">
        <f t="shared" si="32"/>
        <v>-9612.8883947339509</v>
      </c>
      <c r="DG45" s="77">
        <f t="shared" si="32"/>
        <v>677726.46703644621</v>
      </c>
      <c r="DH45" s="6">
        <f t="shared" si="22"/>
        <v>32</v>
      </c>
      <c r="DI45" s="7" t="s">
        <v>54</v>
      </c>
      <c r="DJ45" s="77">
        <f t="shared" ref="DJ45:DQ45" si="33">SUM(DJ28:DJ44)</f>
        <v>1843497.8492744972</v>
      </c>
      <c r="DK45" s="77">
        <f t="shared" si="33"/>
        <v>-844555.53822735813</v>
      </c>
      <c r="DL45" s="77">
        <f t="shared" si="33"/>
        <v>-2823676.5863999994</v>
      </c>
      <c r="DM45" s="77">
        <f t="shared" si="33"/>
        <v>-43037.22499999994</v>
      </c>
      <c r="DN45" s="77">
        <f t="shared" si="33"/>
        <v>939899.29434457864</v>
      </c>
      <c r="DO45" s="77">
        <f t="shared" si="33"/>
        <v>-106776.29137500003</v>
      </c>
      <c r="DP45" s="77">
        <f t="shared" si="33"/>
        <v>-167530.56</v>
      </c>
      <c r="DQ45" s="77">
        <f t="shared" si="33"/>
        <v>-151580771.47811565</v>
      </c>
      <c r="DR45" s="6">
        <f t="shared" si="23"/>
        <v>32</v>
      </c>
      <c r="DS45" s="7" t="s">
        <v>54</v>
      </c>
      <c r="DT45" s="77">
        <f>SUM(DT28:DT44)</f>
        <v>2179923224.6800008</v>
      </c>
      <c r="DU45" s="77">
        <f>SUM(DU28:DU44)</f>
        <v>-151580771.47811565</v>
      </c>
      <c r="DV45" s="77">
        <f>SUM(DV28:DV44)</f>
        <v>2028342453.2018847</v>
      </c>
      <c r="EG45"/>
      <c r="EH45"/>
      <c r="EI45"/>
      <c r="EJ45"/>
      <c r="EK45"/>
    </row>
    <row r="46" spans="1:141" ht="15" customHeight="1" x14ac:dyDescent="0.25">
      <c r="A46" s="2">
        <f t="shared" si="0"/>
        <v>36</v>
      </c>
      <c r="B46" s="7" t="s">
        <v>5</v>
      </c>
      <c r="C46" s="7"/>
      <c r="D46" s="7"/>
      <c r="E46" s="81"/>
      <c r="F46" s="69"/>
      <c r="G46" s="169">
        <f>G37-G41-G44</f>
        <v>1053991</v>
      </c>
      <c r="H46" s="2"/>
      <c r="Q46"/>
      <c r="R46"/>
      <c r="S46"/>
      <c r="T46" s="6">
        <f t="shared" si="7"/>
        <v>35</v>
      </c>
      <c r="U46" s="307" t="s">
        <v>185</v>
      </c>
      <c r="V46" s="57"/>
      <c r="W46" s="57"/>
      <c r="X46" s="317">
        <f>SUM(X35:X45)</f>
        <v>-148764798.85000005</v>
      </c>
      <c r="Z46"/>
      <c r="AA46"/>
      <c r="AB46"/>
      <c r="AD46" s="281"/>
      <c r="AE46" s="281"/>
      <c r="AF46" s="281"/>
      <c r="AG46" s="281"/>
      <c r="AH46" s="281"/>
      <c r="AI46" s="281"/>
      <c r="AJ46" s="281"/>
      <c r="AK46" s="281"/>
      <c r="AL46" s="281"/>
      <c r="AM46" s="281"/>
      <c r="AN46" s="281"/>
      <c r="AO46" s="281"/>
      <c r="AP46" s="281"/>
      <c r="AQ46" s="298"/>
      <c r="AR46" s="298"/>
      <c r="AS46" s="298"/>
      <c r="AT46" s="298"/>
      <c r="AU46" s="298"/>
      <c r="AV46" s="298"/>
      <c r="AW46" s="298"/>
      <c r="AX46" s="298"/>
      <c r="AY46" s="298"/>
      <c r="BI46" s="294"/>
      <c r="BJ46" s="294" t="s">
        <v>58</v>
      </c>
      <c r="BK46" s="294"/>
      <c r="BL46" s="294"/>
      <c r="BM46" s="11"/>
      <c r="BS46" s="281"/>
      <c r="BT46" s="281"/>
      <c r="BU46" s="281"/>
      <c r="BV46" s="281"/>
      <c r="BW46" s="281"/>
      <c r="BX46" s="281"/>
      <c r="BY46" s="281"/>
      <c r="BZ46" s="281"/>
      <c r="CA46" s="281"/>
      <c r="CB46" s="281"/>
      <c r="CC46" s="281"/>
      <c r="CD46" s="281"/>
      <c r="CE46" s="281"/>
      <c r="CF46" s="281"/>
      <c r="CG46" s="281"/>
      <c r="CH46" s="281"/>
      <c r="CI46" s="281"/>
      <c r="CJ46" s="281"/>
      <c r="CK46" s="281"/>
      <c r="CL46" s="281"/>
      <c r="CM46" s="281"/>
      <c r="CN46" s="281"/>
      <c r="CO46" s="92"/>
      <c r="CP46" s="91"/>
      <c r="CQ46" s="35"/>
      <c r="CR46" s="91"/>
      <c r="CS46" s="93"/>
      <c r="CT46" s="6">
        <f t="shared" si="21"/>
        <v>33</v>
      </c>
      <c r="CV46" s="4"/>
      <c r="CW46" s="4" t="s">
        <v>59</v>
      </c>
      <c r="CX46" s="4" t="s">
        <v>59</v>
      </c>
      <c r="CY46" s="4" t="s">
        <v>59</v>
      </c>
      <c r="CZ46" s="4" t="s">
        <v>59</v>
      </c>
      <c r="DA46" s="4" t="s">
        <v>59</v>
      </c>
      <c r="DB46" s="4" t="s">
        <v>59</v>
      </c>
      <c r="DC46" s="4" t="s">
        <v>59</v>
      </c>
      <c r="DD46" s="4"/>
      <c r="DE46" s="4" t="s">
        <v>59</v>
      </c>
      <c r="DF46" s="4"/>
      <c r="DG46" s="4" t="s">
        <v>59</v>
      </c>
      <c r="DH46" s="6">
        <f t="shared" si="22"/>
        <v>33</v>
      </c>
      <c r="DJ46" s="4"/>
      <c r="DK46" s="4"/>
      <c r="DL46" s="4"/>
      <c r="DM46" s="4"/>
      <c r="DN46" s="4" t="s">
        <v>59</v>
      </c>
      <c r="DO46" s="4" t="s">
        <v>59</v>
      </c>
      <c r="DP46" s="4"/>
      <c r="DQ46" s="4"/>
      <c r="DR46" s="6">
        <f t="shared" si="23"/>
        <v>33</v>
      </c>
      <c r="DT46" s="4"/>
      <c r="DU46" s="4"/>
      <c r="DV46" s="4"/>
      <c r="EG46"/>
      <c r="EH46"/>
      <c r="EI46"/>
      <c r="EJ46"/>
      <c r="EK46"/>
    </row>
    <row r="47" spans="1:141" ht="15" customHeight="1" x14ac:dyDescent="0.25">
      <c r="A47" s="2">
        <f t="shared" si="0"/>
        <v>37</v>
      </c>
      <c r="B47" s="7"/>
      <c r="C47" s="7"/>
      <c r="D47" s="7"/>
      <c r="E47" s="81"/>
      <c r="F47" s="69"/>
      <c r="G47" s="69"/>
      <c r="H47" s="2"/>
      <c r="L47" s="75"/>
      <c r="T47" s="6">
        <f t="shared" si="7"/>
        <v>36</v>
      </c>
      <c r="U47" s="328"/>
      <c r="V47" s="57"/>
      <c r="W47" s="57"/>
      <c r="X47" s="216"/>
      <c r="Z47"/>
      <c r="AA47"/>
      <c r="AB47"/>
      <c r="AD47" s="281"/>
      <c r="AE47" s="281"/>
      <c r="AF47" s="281"/>
      <c r="AG47" s="281"/>
      <c r="AH47" s="281"/>
      <c r="AI47" s="281"/>
      <c r="AJ47" s="281"/>
      <c r="AK47" s="281"/>
      <c r="AL47" s="281"/>
      <c r="AM47" s="281"/>
      <c r="AN47" s="281"/>
      <c r="AO47" s="281"/>
      <c r="AP47" s="281"/>
      <c r="BI47" s="294"/>
      <c r="BJ47" s="294" t="s">
        <v>58</v>
      </c>
      <c r="BK47" s="294"/>
      <c r="BL47" s="294"/>
      <c r="BM47" s="11"/>
      <c r="BS47" s="281"/>
      <c r="BT47" s="281"/>
      <c r="BU47" s="281"/>
      <c r="BV47" s="281"/>
      <c r="BW47" s="281"/>
      <c r="BX47" s="281"/>
      <c r="BY47" s="281"/>
      <c r="BZ47" s="281"/>
      <c r="CA47" s="281"/>
      <c r="CB47" s="281"/>
      <c r="CC47" s="281"/>
      <c r="CD47" s="281"/>
      <c r="CE47" s="281"/>
      <c r="CF47" s="281"/>
      <c r="CG47" s="281"/>
      <c r="CH47" s="281"/>
      <c r="CI47" s="281"/>
      <c r="CJ47" s="281"/>
      <c r="CK47" s="281"/>
      <c r="CL47" s="281"/>
      <c r="CM47" s="281"/>
      <c r="CN47" s="281"/>
      <c r="CO47" s="92"/>
      <c r="CP47" s="91"/>
      <c r="CQ47" s="35"/>
      <c r="CR47" s="91"/>
      <c r="CS47" s="91"/>
      <c r="CT47" s="6">
        <f t="shared" si="21"/>
        <v>34</v>
      </c>
      <c r="CU47" s="7" t="s">
        <v>55</v>
      </c>
      <c r="CV47" s="30">
        <f>CV19-CV45</f>
        <v>336338659.50999975</v>
      </c>
      <c r="CW47" s="30">
        <f>CW19-CW45</f>
        <v>832653</v>
      </c>
      <c r="CX47" s="30">
        <f>CX19-CX45</f>
        <v>2042249.9647227339</v>
      </c>
      <c r="CY47" s="30">
        <f>CY19-CY45</f>
        <v>-3963467.5337621868</v>
      </c>
      <c r="CZ47" s="30">
        <f>CZ19-CZ45</f>
        <v>31449149.386364859</v>
      </c>
      <c r="DA47" s="30">
        <f>ROUND(DA19-DA45,0)</f>
        <v>-309578</v>
      </c>
      <c r="DB47" s="30">
        <f>ROUND(DB19-DB45,0)</f>
        <v>422575</v>
      </c>
      <c r="DC47" s="30">
        <f>DC19-DC45</f>
        <v>-1159805</v>
      </c>
      <c r="DD47" s="30">
        <f>DD19-DD45</f>
        <v>-473751.51178502885</v>
      </c>
      <c r="DE47" s="30">
        <f>DE19-DE45</f>
        <v>-104766.68742499687</v>
      </c>
      <c r="DF47" s="30">
        <f>DF19-DF45</f>
        <v>9612.8883947339509</v>
      </c>
      <c r="DG47" s="30">
        <f>DG19-DG45</f>
        <v>-677726.46703644621</v>
      </c>
      <c r="DH47" s="6">
        <f t="shared" si="22"/>
        <v>34</v>
      </c>
      <c r="DI47" s="7" t="s">
        <v>55</v>
      </c>
      <c r="DJ47" s="30">
        <f t="shared" ref="DJ47:DQ47" si="34">DJ19-DJ45</f>
        <v>-1843497.8492744972</v>
      </c>
      <c r="DK47" s="30">
        <f t="shared" si="34"/>
        <v>844555.53822735813</v>
      </c>
      <c r="DL47" s="30">
        <f t="shared" si="34"/>
        <v>2823676.5863999994</v>
      </c>
      <c r="DM47" s="30">
        <f t="shared" si="34"/>
        <v>43037.22499999994</v>
      </c>
      <c r="DN47" s="30">
        <f t="shared" si="34"/>
        <v>-939899.29434457864</v>
      </c>
      <c r="DO47" s="30">
        <f t="shared" si="34"/>
        <v>106776.29137500003</v>
      </c>
      <c r="DP47" s="30">
        <f t="shared" si="34"/>
        <v>167530.56</v>
      </c>
      <c r="DQ47" s="30">
        <f t="shared" si="34"/>
        <v>29269323.950691491</v>
      </c>
      <c r="DR47" s="6">
        <f t="shared" si="23"/>
        <v>34</v>
      </c>
      <c r="DS47" s="5" t="str">
        <f>CU47</f>
        <v>NET OPERATING INCOME</v>
      </c>
      <c r="DT47" s="30">
        <f>DT19-DT45</f>
        <v>336338659.50999975</v>
      </c>
      <c r="DU47" s="30">
        <f>DU19-DU45</f>
        <v>29269323.950691491</v>
      </c>
      <c r="DV47" s="30">
        <f>DV19-DV45</f>
        <v>365607983.46069098</v>
      </c>
      <c r="EG47"/>
      <c r="EH47"/>
      <c r="EI47"/>
      <c r="EJ47"/>
      <c r="EK47"/>
    </row>
    <row r="48" spans="1:141" ht="15" customHeight="1" x14ac:dyDescent="0.25">
      <c r="A48" s="2">
        <f t="shared" si="0"/>
        <v>38</v>
      </c>
      <c r="B48" s="7" t="s">
        <v>14</v>
      </c>
      <c r="C48" s="7"/>
      <c r="D48" s="7"/>
      <c r="E48" s="207">
        <f>FIT</f>
        <v>0.21</v>
      </c>
      <c r="F48" s="69"/>
      <c r="G48" s="74">
        <f>ROUND(G46*E48,0)</f>
        <v>221338</v>
      </c>
      <c r="H48" s="2"/>
      <c r="L48" s="75"/>
      <c r="T48" s="6">
        <f t="shared" si="7"/>
        <v>37</v>
      </c>
      <c r="U48" s="307" t="s">
        <v>186</v>
      </c>
      <c r="X48" s="337">
        <f>-X26-X32-X46</f>
        <v>-391871.35665926337</v>
      </c>
      <c r="Z48"/>
      <c r="AA48"/>
      <c r="AB48"/>
      <c r="AD48" s="281"/>
      <c r="AE48" s="281"/>
      <c r="AF48" s="281"/>
      <c r="AG48" s="281"/>
      <c r="AH48" s="281"/>
      <c r="AI48" s="281"/>
      <c r="AJ48" s="281"/>
      <c r="AK48" s="281"/>
      <c r="AL48" s="281"/>
      <c r="AM48" s="281"/>
      <c r="AN48" s="281"/>
      <c r="AO48" s="281"/>
      <c r="AP48" s="281"/>
      <c r="BI48" s="294" t="s">
        <v>58</v>
      </c>
      <c r="BJ48" s="294" t="s">
        <v>58</v>
      </c>
      <c r="BK48" s="294" t="s">
        <v>58</v>
      </c>
      <c r="BL48" s="294" t="s">
        <v>58</v>
      </c>
      <c r="BM48" s="11"/>
      <c r="BS48" s="281"/>
      <c r="BT48" s="281"/>
      <c r="BU48" s="281"/>
      <c r="BV48" s="281"/>
      <c r="BW48" s="281"/>
      <c r="BX48" s="281"/>
      <c r="BY48" s="281"/>
      <c r="BZ48" s="281"/>
      <c r="CA48" s="281"/>
      <c r="CB48" s="281"/>
      <c r="CC48" s="281"/>
      <c r="CD48" s="281"/>
      <c r="CE48" s="281"/>
      <c r="CF48" s="281"/>
      <c r="CG48" s="281"/>
      <c r="CH48" s="281"/>
      <c r="CI48" s="281"/>
      <c r="CJ48" s="281"/>
      <c r="CK48" s="281"/>
      <c r="CL48" s="281"/>
      <c r="CM48" s="281"/>
      <c r="CN48" s="281"/>
      <c r="CO48" s="35"/>
      <c r="CP48" s="91"/>
      <c r="CQ48" s="35"/>
      <c r="CR48" s="91"/>
      <c r="CS48" s="91"/>
      <c r="CT48" s="6">
        <f t="shared" si="21"/>
        <v>35</v>
      </c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6">
        <f t="shared" si="22"/>
        <v>35</v>
      </c>
      <c r="DJ48" s="20"/>
      <c r="DK48" s="20"/>
      <c r="DL48" s="20"/>
      <c r="DM48" s="20"/>
      <c r="DN48" s="20"/>
      <c r="DO48" s="20"/>
      <c r="DP48" s="20"/>
      <c r="DQ48" s="20"/>
      <c r="DR48" s="6">
        <f t="shared" si="23"/>
        <v>35</v>
      </c>
      <c r="DS48" s="7"/>
      <c r="DT48" s="20"/>
      <c r="DU48" s="20"/>
      <c r="DV48" s="20"/>
      <c r="EG48"/>
      <c r="EH48"/>
      <c r="EI48"/>
      <c r="EJ48"/>
      <c r="EK48"/>
    </row>
    <row r="49" spans="1:141" ht="15" customHeight="1" thickBot="1" x14ac:dyDescent="0.3">
      <c r="A49" s="2">
        <f t="shared" si="0"/>
        <v>39</v>
      </c>
      <c r="B49" s="7" t="s">
        <v>115</v>
      </c>
      <c r="C49" s="7"/>
      <c r="D49" s="7"/>
      <c r="F49" s="69"/>
      <c r="G49" s="208">
        <f>G46-G48</f>
        <v>832653</v>
      </c>
      <c r="H49" s="2"/>
      <c r="L49" s="75"/>
      <c r="O49"/>
      <c r="T49" s="6">
        <f t="shared" si="7"/>
        <v>38</v>
      </c>
      <c r="U49" s="307" t="s">
        <v>14</v>
      </c>
      <c r="W49" s="79">
        <f>FIT</f>
        <v>0.21</v>
      </c>
      <c r="X49" s="514">
        <f>X48*W49</f>
        <v>-82292.984898445298</v>
      </c>
      <c r="Z49"/>
      <c r="AA49"/>
      <c r="AB49"/>
      <c r="AD49" s="281"/>
      <c r="AE49" s="281"/>
      <c r="AF49" s="281"/>
      <c r="AG49" s="281"/>
      <c r="AH49" s="281"/>
      <c r="AI49" s="281"/>
      <c r="AJ49" s="281"/>
      <c r="AK49" s="281"/>
      <c r="AL49" s="281"/>
      <c r="AM49" s="281"/>
      <c r="AN49" s="281"/>
      <c r="AO49" s="281"/>
      <c r="AP49" s="281"/>
      <c r="BI49" s="294" t="s">
        <v>58</v>
      </c>
      <c r="BJ49" s="294" t="s">
        <v>58</v>
      </c>
      <c r="BK49" s="294" t="s">
        <v>58</v>
      </c>
      <c r="BL49" s="294" t="s">
        <v>58</v>
      </c>
      <c r="BM49" s="11"/>
      <c r="BS49" s="281"/>
      <c r="BT49" s="281"/>
      <c r="BU49" s="281"/>
      <c r="BV49" s="281"/>
      <c r="BW49" s="281"/>
      <c r="BX49" s="281"/>
      <c r="BY49" s="281"/>
      <c r="BZ49" s="281"/>
      <c r="CA49" s="281"/>
      <c r="CB49" s="281"/>
      <c r="CC49" s="281"/>
      <c r="CD49" s="281"/>
      <c r="CE49" s="281"/>
      <c r="CF49" s="281"/>
      <c r="CG49" s="281"/>
      <c r="CH49" s="281"/>
      <c r="CI49" s="281"/>
      <c r="CJ49" s="281"/>
      <c r="CK49" s="281"/>
      <c r="CL49" s="281"/>
      <c r="CM49" s="281"/>
      <c r="CN49" s="281"/>
      <c r="CO49" s="92"/>
      <c r="CP49" s="94"/>
      <c r="CQ49" s="91"/>
      <c r="CR49" s="91"/>
      <c r="CS49" s="91"/>
      <c r="CT49" s="6">
        <f t="shared" si="21"/>
        <v>36</v>
      </c>
      <c r="CU49" s="7" t="s">
        <v>56</v>
      </c>
      <c r="CV49" s="4">
        <f>CV60</f>
        <v>5369209408.3195896</v>
      </c>
      <c r="CW49" s="4">
        <v>0</v>
      </c>
      <c r="CX49" s="4">
        <v>0</v>
      </c>
      <c r="CY49" s="4">
        <v>0</v>
      </c>
      <c r="CZ49" s="4">
        <v>0</v>
      </c>
      <c r="DA49" s="4"/>
      <c r="DB49" s="4"/>
      <c r="DC49" s="4">
        <v>0</v>
      </c>
      <c r="DD49" s="4">
        <v>0</v>
      </c>
      <c r="DE49" s="4">
        <v>0</v>
      </c>
      <c r="DF49" s="4">
        <v>0</v>
      </c>
      <c r="DG49" s="4">
        <v>0</v>
      </c>
      <c r="DH49" s="6">
        <f t="shared" si="22"/>
        <v>36</v>
      </c>
      <c r="DI49" s="7" t="s">
        <v>56</v>
      </c>
      <c r="DJ49" s="4">
        <v>0</v>
      </c>
      <c r="DK49" s="4">
        <v>0</v>
      </c>
      <c r="DL49" s="4">
        <v>0</v>
      </c>
      <c r="DM49" s="4">
        <v>0</v>
      </c>
      <c r="DN49" s="4">
        <v>0</v>
      </c>
      <c r="DO49" s="4">
        <v>0</v>
      </c>
      <c r="DP49" s="4">
        <f>CN17</f>
        <v>-1544382.4849999999</v>
      </c>
      <c r="DQ49" s="29">
        <f>SUM(CW49:DP49)-DH49</f>
        <v>-1544382.4849999999</v>
      </c>
      <c r="DR49" s="6">
        <f t="shared" si="23"/>
        <v>36</v>
      </c>
      <c r="DS49" s="5" t="str">
        <f>CU49</f>
        <v xml:space="preserve">RATE BASE </v>
      </c>
      <c r="DT49" s="4">
        <f>DT60</f>
        <v>5369209408.3195896</v>
      </c>
      <c r="DU49" s="4">
        <f>+DQ49</f>
        <v>-1544382.4849999999</v>
      </c>
      <c r="DV49" s="4">
        <f>SUM(DT49:DU49)</f>
        <v>5367665025.83459</v>
      </c>
      <c r="EG49"/>
      <c r="EH49"/>
      <c r="EI49"/>
      <c r="EJ49"/>
      <c r="EK49"/>
    </row>
    <row r="50" spans="1:141" ht="15" customHeight="1" thickTop="1" thickBot="1" x14ac:dyDescent="0.3">
      <c r="A50" s="2"/>
      <c r="G50" s="4"/>
      <c r="H50" s="11"/>
      <c r="L50" s="75"/>
      <c r="T50" s="6">
        <f t="shared" si="7"/>
        <v>39</v>
      </c>
      <c r="U50" s="307" t="s">
        <v>115</v>
      </c>
      <c r="X50" s="515">
        <f>X48-X49</f>
        <v>-309578.37176081806</v>
      </c>
      <c r="Z50"/>
      <c r="AA50"/>
      <c r="AB50"/>
      <c r="AD50" s="281"/>
      <c r="AE50" s="281"/>
      <c r="AF50" s="281"/>
      <c r="AG50" s="281"/>
      <c r="AH50" s="281"/>
      <c r="AI50" s="281"/>
      <c r="AJ50" s="281"/>
      <c r="AK50" s="281"/>
      <c r="AL50" s="281"/>
      <c r="AM50" s="281"/>
      <c r="AN50" s="281"/>
      <c r="AO50" s="281"/>
      <c r="AP50" s="281"/>
      <c r="BI50" s="294" t="s">
        <v>58</v>
      </c>
      <c r="BJ50" s="294" t="s">
        <v>58</v>
      </c>
      <c r="BK50" s="294" t="s">
        <v>58</v>
      </c>
      <c r="BL50" s="294" t="s">
        <v>58</v>
      </c>
      <c r="BM50" s="11"/>
      <c r="BS50" s="281"/>
      <c r="BT50" s="281"/>
      <c r="BU50" s="281"/>
      <c r="BV50" s="281"/>
      <c r="BW50" s="281"/>
      <c r="BX50" s="281"/>
      <c r="BY50" s="75">
        <f>ROUND(BH19-DJ47,0)</f>
        <v>0</v>
      </c>
      <c r="BZ50" s="281"/>
      <c r="CA50" s="281"/>
      <c r="CB50" s="281"/>
      <c r="CC50" s="281"/>
      <c r="CD50" s="281"/>
      <c r="CE50" s="281"/>
      <c r="CF50" s="281"/>
      <c r="CG50" s="281"/>
      <c r="CH50" s="281"/>
      <c r="CI50" s="281"/>
      <c r="CJ50" s="75"/>
      <c r="CK50" s="75"/>
      <c r="CL50" s="75"/>
      <c r="CM50" s="75"/>
      <c r="CN50" s="75"/>
      <c r="CO50" s="57"/>
      <c r="CP50" s="57"/>
      <c r="CQ50" s="57"/>
      <c r="CR50" s="57"/>
      <c r="CS50" s="57"/>
      <c r="CT50" s="6">
        <f t="shared" si="21"/>
        <v>37</v>
      </c>
      <c r="CV50" s="67"/>
      <c r="DD50" s="7"/>
      <c r="DH50" s="6">
        <f t="shared" si="22"/>
        <v>37</v>
      </c>
      <c r="DJ50" s="7"/>
      <c r="DK50" s="7"/>
      <c r="DL50" s="7"/>
      <c r="DM50" s="7"/>
      <c r="DN50" s="67"/>
      <c r="DP50" s="7"/>
      <c r="DR50" s="6">
        <f t="shared" si="23"/>
        <v>37</v>
      </c>
      <c r="DT50" s="4"/>
      <c r="DU50" s="4"/>
      <c r="EG50"/>
      <c r="EH50"/>
      <c r="EI50"/>
      <c r="EJ50"/>
      <c r="EK50"/>
    </row>
    <row r="51" spans="1:141" ht="15" customHeight="1" thickTop="1" x14ac:dyDescent="0.25">
      <c r="A51" s="2"/>
      <c r="G51" s="75"/>
      <c r="H51" s="169"/>
      <c r="L51" s="75"/>
      <c r="U51" s="281"/>
      <c r="V51" s="281"/>
      <c r="W51" s="281"/>
      <c r="X51" s="281"/>
      <c r="Z51"/>
      <c r="AA51"/>
      <c r="AB51"/>
      <c r="AD51" s="281"/>
      <c r="AE51" s="281"/>
      <c r="AF51" s="281"/>
      <c r="AG51" s="281"/>
      <c r="AH51" s="281"/>
      <c r="AI51" s="281"/>
      <c r="AJ51" s="281"/>
      <c r="AK51" s="281"/>
      <c r="AL51" s="281"/>
      <c r="AM51" s="281"/>
      <c r="AN51" s="281"/>
      <c r="AO51" s="281"/>
      <c r="AP51" s="281"/>
      <c r="AT51" s="75">
        <f>ROUND(AT26-DE47,0)</f>
        <v>0</v>
      </c>
      <c r="AY51" s="75">
        <f>ROUND(AY20-DF47,0)</f>
        <v>0</v>
      </c>
      <c r="BD51" s="75">
        <f>ROUND(CI25-DO47,0)</f>
        <v>0</v>
      </c>
      <c r="BH51" s="75">
        <f>ROUND(BC15-DG47,0)</f>
        <v>0</v>
      </c>
      <c r="BI51" s="294" t="s">
        <v>58</v>
      </c>
      <c r="BJ51" s="299"/>
      <c r="BK51" s="294"/>
      <c r="BL51" s="294" t="s">
        <v>58</v>
      </c>
      <c r="BM51" s="75">
        <f>ROUND(BR20-DL47,0)</f>
        <v>0</v>
      </c>
      <c r="BS51" s="281"/>
      <c r="BT51" s="281"/>
      <c r="BU51" s="281"/>
      <c r="BV51" s="281"/>
      <c r="BW51" s="281"/>
      <c r="BX51" s="281"/>
      <c r="BY51" s="281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281"/>
      <c r="CK51" s="281"/>
      <c r="CL51" s="281"/>
      <c r="CM51" s="281"/>
      <c r="CN51" s="281"/>
      <c r="CO51" s="27"/>
      <c r="CP51" s="57"/>
      <c r="CQ51" s="57"/>
      <c r="CR51" s="57"/>
      <c r="CS51" s="24"/>
      <c r="CT51" s="6">
        <f t="shared" si="21"/>
        <v>38</v>
      </c>
      <c r="CU51" s="7" t="s">
        <v>57</v>
      </c>
      <c r="CV51" s="350">
        <f>CV47/CV49</f>
        <v>6.2642119897361986E-2</v>
      </c>
      <c r="DD51" s="7"/>
      <c r="DH51" s="6">
        <f t="shared" si="22"/>
        <v>38</v>
      </c>
      <c r="DI51" s="7" t="s">
        <v>57</v>
      </c>
      <c r="DJ51" s="7"/>
      <c r="DK51" s="7"/>
      <c r="DL51" s="7"/>
      <c r="DM51" s="7"/>
      <c r="DN51" s="67"/>
      <c r="DP51" s="7"/>
      <c r="DR51" s="6">
        <f t="shared" si="23"/>
        <v>38</v>
      </c>
      <c r="DS51" s="5" t="str">
        <f>CU51</f>
        <v>RATE OF RETURN</v>
      </c>
      <c r="DT51" s="80">
        <f>DT47/DT49</f>
        <v>6.2642119897361986E-2</v>
      </c>
      <c r="DU51" s="80"/>
      <c r="DV51" s="80">
        <f>DV47/DV49</f>
        <v>6.8113040158247304E-2</v>
      </c>
      <c r="EG51"/>
      <c r="EH51"/>
      <c r="EI51"/>
      <c r="EJ51"/>
      <c r="EK51"/>
    </row>
    <row r="52" spans="1:141" ht="15" customHeight="1" x14ac:dyDescent="0.25">
      <c r="A52" s="2"/>
      <c r="H52" s="11"/>
      <c r="L52" s="75"/>
      <c r="T52" s="281"/>
      <c r="U52" s="281"/>
      <c r="V52" s="281"/>
      <c r="W52" s="281"/>
      <c r="X52" s="281"/>
      <c r="Z52" s="75"/>
      <c r="AA52" s="75"/>
      <c r="AB52" s="75"/>
      <c r="AD52" s="281"/>
      <c r="AE52" s="281"/>
      <c r="AF52" s="281"/>
      <c r="AG52" s="281"/>
      <c r="AH52" s="281"/>
      <c r="AI52" s="281"/>
      <c r="AJ52" s="281"/>
      <c r="AK52" s="281"/>
      <c r="AL52" s="281"/>
      <c r="AM52" s="281"/>
      <c r="AN52" s="281"/>
      <c r="AO52" s="281"/>
      <c r="AP52" s="281"/>
      <c r="BI52" s="294" t="s">
        <v>58</v>
      </c>
      <c r="BJ52" s="299"/>
      <c r="BK52" s="294"/>
      <c r="BL52" s="294" t="s">
        <v>58</v>
      </c>
      <c r="BM52" s="11"/>
      <c r="BS52" s="281"/>
      <c r="BT52" s="281"/>
      <c r="BU52" s="281"/>
      <c r="BV52" s="281"/>
      <c r="BW52" s="281"/>
      <c r="BX52" s="281"/>
      <c r="BY52" s="281"/>
      <c r="BZ52" s="281"/>
      <c r="CA52" s="281"/>
      <c r="CB52" s="281"/>
      <c r="CC52" s="281"/>
      <c r="CD52" s="281"/>
      <c r="CE52" s="281"/>
      <c r="CF52" s="281"/>
      <c r="CG52" s="281"/>
      <c r="CH52" s="281"/>
      <c r="CI52" s="281"/>
      <c r="CJ52" s="281"/>
      <c r="CK52" s="281"/>
      <c r="CL52" s="281"/>
      <c r="CM52" s="281"/>
      <c r="CN52" s="281"/>
      <c r="CO52" s="27"/>
      <c r="CP52" s="53"/>
      <c r="CQ52" s="57"/>
      <c r="CR52" s="57"/>
      <c r="CS52" s="24"/>
      <c r="CT52" s="6">
        <f t="shared" si="21"/>
        <v>39</v>
      </c>
      <c r="DH52" s="6">
        <f t="shared" si="22"/>
        <v>39</v>
      </c>
      <c r="DR52" s="6">
        <f t="shared" si="23"/>
        <v>39</v>
      </c>
      <c r="EG52"/>
      <c r="EH52"/>
      <c r="EI52"/>
      <c r="EJ52"/>
      <c r="EK52"/>
    </row>
    <row r="53" spans="1:141" ht="15" customHeight="1" x14ac:dyDescent="0.25">
      <c r="A53" s="2"/>
      <c r="B53" s="110"/>
      <c r="H53" s="169"/>
      <c r="L53" s="75"/>
      <c r="T53" s="281"/>
      <c r="U53" s="281"/>
      <c r="V53" s="281"/>
      <c r="W53" s="281"/>
      <c r="X53" s="281"/>
      <c r="Y53" s="75"/>
      <c r="AD53" s="281"/>
      <c r="AE53" s="281"/>
      <c r="AF53" s="281"/>
      <c r="AG53" s="281"/>
      <c r="AH53" s="281"/>
      <c r="AI53" s="281"/>
      <c r="AJ53" s="281"/>
      <c r="AK53" s="281"/>
      <c r="AL53" s="281"/>
      <c r="AM53" s="281"/>
      <c r="AN53" s="281"/>
      <c r="AO53" s="281"/>
      <c r="AP53" s="281"/>
      <c r="BK53" s="11"/>
      <c r="BL53" s="11"/>
      <c r="BM53" s="11"/>
      <c r="BS53" s="281"/>
      <c r="BT53" s="281"/>
      <c r="BU53" s="281"/>
      <c r="BV53" s="281"/>
      <c r="BW53" s="281"/>
      <c r="BX53" s="281"/>
      <c r="BY53" s="281"/>
      <c r="BZ53" s="281"/>
      <c r="CA53" s="281"/>
      <c r="CB53" s="281"/>
      <c r="CC53" s="281"/>
      <c r="CD53" s="281"/>
      <c r="CE53" s="281"/>
      <c r="CF53" s="281"/>
      <c r="CG53" s="281"/>
      <c r="CH53" s="281"/>
      <c r="CI53" s="281"/>
      <c r="CJ53" s="281"/>
      <c r="CK53" s="281"/>
      <c r="CL53" s="281"/>
      <c r="CM53" s="281"/>
      <c r="CN53" s="281"/>
      <c r="CO53" s="57"/>
      <c r="CP53" s="57"/>
      <c r="CQ53" s="57"/>
      <c r="CR53" s="57"/>
      <c r="CS53" s="57"/>
      <c r="CT53" s="6">
        <f t="shared" si="21"/>
        <v>40</v>
      </c>
      <c r="CU53" s="5" t="s">
        <v>26</v>
      </c>
      <c r="CV53" s="364"/>
      <c r="DH53" s="6">
        <f t="shared" si="22"/>
        <v>40</v>
      </c>
      <c r="DI53" s="5" t="s">
        <v>26</v>
      </c>
      <c r="DR53" s="6">
        <f t="shared" si="23"/>
        <v>40</v>
      </c>
      <c r="DS53" s="5" t="s">
        <v>26</v>
      </c>
      <c r="EG53"/>
      <c r="EH53"/>
      <c r="EI53"/>
      <c r="EJ53"/>
      <c r="EK53"/>
    </row>
    <row r="54" spans="1:141" ht="15" customHeight="1" x14ac:dyDescent="0.25">
      <c r="A54" s="2"/>
      <c r="H54" s="69"/>
      <c r="L54" s="75"/>
      <c r="P54" s="57"/>
      <c r="T54" s="281"/>
      <c r="U54" s="281"/>
      <c r="V54" s="281"/>
      <c r="W54" s="281"/>
      <c r="X54" s="281"/>
      <c r="AD54" s="281"/>
      <c r="AE54" s="281"/>
      <c r="AF54" s="281"/>
      <c r="AG54" s="281"/>
      <c r="AH54" s="281"/>
      <c r="AI54" s="281"/>
      <c r="AJ54" s="281"/>
      <c r="AK54" s="281"/>
      <c r="AL54" s="281"/>
      <c r="AM54" s="281"/>
      <c r="AN54" s="281"/>
      <c r="AO54" s="281"/>
      <c r="AP54" s="281"/>
      <c r="BK54" s="11"/>
      <c r="BL54" s="11"/>
      <c r="BM54" s="11"/>
      <c r="BS54" s="281"/>
      <c r="BT54" s="281"/>
      <c r="BU54" s="281"/>
      <c r="BV54" s="281"/>
      <c r="BW54" s="281"/>
      <c r="BX54" s="281"/>
      <c r="BY54" s="281"/>
      <c r="BZ54" s="281"/>
      <c r="CA54" s="281"/>
      <c r="CB54" s="281"/>
      <c r="CC54" s="281"/>
      <c r="CD54" s="281"/>
      <c r="CE54" s="281"/>
      <c r="CF54" s="281"/>
      <c r="CG54" s="281"/>
      <c r="CH54" s="281"/>
      <c r="CI54" s="281"/>
      <c r="CJ54" s="281"/>
      <c r="CK54" s="281"/>
      <c r="CL54" s="281"/>
      <c r="CM54" s="281"/>
      <c r="CN54" s="281"/>
      <c r="CO54" s="24"/>
      <c r="CP54" s="57"/>
      <c r="CQ54" s="57"/>
      <c r="CR54" s="57"/>
      <c r="CS54" s="95"/>
      <c r="CT54" s="6">
        <f t="shared" si="21"/>
        <v>41</v>
      </c>
      <c r="CU54" s="300" t="s">
        <v>247</v>
      </c>
      <c r="CV54" s="4">
        <f>'[19]ERB AMA'!D96</f>
        <v>11041272570.037695</v>
      </c>
      <c r="CW54" s="4">
        <v>0</v>
      </c>
      <c r="CX54" s="4">
        <v>0</v>
      </c>
      <c r="CY54" s="4">
        <v>0</v>
      </c>
      <c r="CZ54" s="4">
        <v>0</v>
      </c>
      <c r="DA54" s="4">
        <v>0</v>
      </c>
      <c r="DB54" s="4">
        <v>0</v>
      </c>
      <c r="DC54" s="4">
        <v>0</v>
      </c>
      <c r="DD54" s="4">
        <v>0</v>
      </c>
      <c r="DE54" s="4">
        <v>0</v>
      </c>
      <c r="DF54" s="4">
        <v>0</v>
      </c>
      <c r="DG54" s="4">
        <v>0</v>
      </c>
      <c r="DH54" s="6">
        <f t="shared" si="22"/>
        <v>41</v>
      </c>
      <c r="DI54" s="300" t="s">
        <v>247</v>
      </c>
      <c r="DJ54" s="4">
        <v>0</v>
      </c>
      <c r="DK54" s="4">
        <v>0</v>
      </c>
      <c r="DL54" s="4">
        <v>0</v>
      </c>
      <c r="DM54" s="4"/>
      <c r="DN54" s="4">
        <v>0</v>
      </c>
      <c r="DO54" s="4">
        <v>0</v>
      </c>
      <c r="DP54" s="4">
        <f>CN14</f>
        <v>-4539303</v>
      </c>
      <c r="DQ54" s="4">
        <f t="shared" ref="DQ54:DQ59" si="35">SUM(CW54:DP54)-DH54</f>
        <v>-4539303</v>
      </c>
      <c r="DR54" s="6">
        <f t="shared" ref="DR54:DR60" si="36">DR53+1</f>
        <v>41</v>
      </c>
      <c r="DS54" s="300" t="s">
        <v>247</v>
      </c>
      <c r="DT54" s="4">
        <f t="shared" ref="DT54:DT59" si="37">CV54</f>
        <v>11041272570.037695</v>
      </c>
      <c r="DU54" s="4">
        <f t="shared" ref="DU54:DU59" si="38">+DQ54</f>
        <v>-4539303</v>
      </c>
      <c r="DV54" s="4">
        <f t="shared" ref="DV54:DV59" si="39">+DU54+DT54</f>
        <v>11036733267.037695</v>
      </c>
      <c r="EG54"/>
      <c r="EH54"/>
      <c r="EI54"/>
      <c r="EJ54"/>
      <c r="EK54"/>
    </row>
    <row r="55" spans="1:141" ht="15" customHeight="1" x14ac:dyDescent="0.25">
      <c r="A55" s="2"/>
      <c r="H55" s="76"/>
      <c r="L55" s="75"/>
      <c r="P55" s="57"/>
      <c r="T55" s="281"/>
      <c r="U55" s="281"/>
      <c r="V55" s="281"/>
      <c r="W55" s="281"/>
      <c r="X55" s="281"/>
      <c r="AD55" s="281"/>
      <c r="AE55" s="281"/>
      <c r="AF55" s="281"/>
      <c r="AG55" s="281"/>
      <c r="AH55" s="281"/>
      <c r="AI55" s="281"/>
      <c r="AJ55" s="281"/>
      <c r="AK55" s="281"/>
      <c r="AL55" s="281"/>
      <c r="AM55" s="281"/>
      <c r="AN55" s="281"/>
      <c r="AO55" s="281"/>
      <c r="AP55" s="281"/>
      <c r="BK55" s="11"/>
      <c r="BL55" s="11"/>
      <c r="BM55" s="11"/>
      <c r="BS55" s="281"/>
      <c r="BT55" s="281"/>
      <c r="BU55" s="281"/>
      <c r="BV55" s="281"/>
      <c r="BW55" s="281"/>
      <c r="BX55" s="281"/>
      <c r="BY55" s="281"/>
      <c r="BZ55" s="281"/>
      <c r="CA55" s="281"/>
      <c r="CB55" s="281"/>
      <c r="CC55" s="281"/>
      <c r="CD55" s="281"/>
      <c r="CE55" s="281"/>
      <c r="CF55" s="281"/>
      <c r="CG55" s="281"/>
      <c r="CH55" s="281"/>
      <c r="CI55" s="281"/>
      <c r="CJ55" s="281"/>
      <c r="CK55" s="281"/>
      <c r="CL55" s="281"/>
      <c r="CM55" s="281"/>
      <c r="CN55" s="281"/>
      <c r="CO55" s="24"/>
      <c r="CP55" s="38"/>
      <c r="CQ55" s="57"/>
      <c r="CR55" s="57"/>
      <c r="CS55" s="83"/>
      <c r="CT55" s="6">
        <f t="shared" si="21"/>
        <v>42</v>
      </c>
      <c r="CU55" s="300" t="s">
        <v>248</v>
      </c>
      <c r="CV55" s="11">
        <f>'[19]ERB AMA'!D97</f>
        <v>-4562717169.1546459</v>
      </c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6">
        <f t="shared" si="22"/>
        <v>42</v>
      </c>
      <c r="DI55" s="300" t="s">
        <v>248</v>
      </c>
      <c r="DJ55" s="4"/>
      <c r="DK55" s="4"/>
      <c r="DL55" s="4"/>
      <c r="DM55" s="11"/>
      <c r="DN55" s="4"/>
      <c r="DO55" s="4"/>
      <c r="DP55" s="11">
        <f>+CN15</f>
        <v>2226265</v>
      </c>
      <c r="DQ55" s="11">
        <f t="shared" si="35"/>
        <v>2226265</v>
      </c>
      <c r="DR55" s="6">
        <f t="shared" si="36"/>
        <v>42</v>
      </c>
      <c r="DS55" s="300" t="s">
        <v>248</v>
      </c>
      <c r="DT55" s="29">
        <f t="shared" si="37"/>
        <v>-4562717169.1546459</v>
      </c>
      <c r="DU55" s="29">
        <f t="shared" si="38"/>
        <v>2226265</v>
      </c>
      <c r="DV55" s="29">
        <f t="shared" si="39"/>
        <v>-4560490904.1546459</v>
      </c>
      <c r="EG55"/>
      <c r="EH55"/>
      <c r="EI55"/>
      <c r="EJ55"/>
      <c r="EK55"/>
    </row>
    <row r="56" spans="1:141" ht="15" customHeight="1" x14ac:dyDescent="0.25">
      <c r="A56" s="2"/>
      <c r="H56" s="70"/>
      <c r="L56" s="75"/>
      <c r="P56" s="57"/>
      <c r="Q56" s="57"/>
      <c r="R56" s="57"/>
      <c r="S56" s="57"/>
      <c r="T56" s="281"/>
      <c r="U56" s="281"/>
      <c r="V56" s="281"/>
      <c r="W56" s="281"/>
      <c r="X56" s="281"/>
      <c r="AD56" s="281"/>
      <c r="AE56" s="281"/>
      <c r="AF56" s="281"/>
      <c r="AG56" s="281"/>
      <c r="AH56" s="281"/>
      <c r="AI56" s="281"/>
      <c r="AJ56" s="281"/>
      <c r="AK56" s="281"/>
      <c r="AL56" s="281"/>
      <c r="AM56" s="281"/>
      <c r="AN56" s="281"/>
      <c r="AO56" s="281"/>
      <c r="AP56" s="281"/>
      <c r="BK56" s="11"/>
      <c r="BL56" s="11"/>
      <c r="BM56" s="11"/>
      <c r="BS56" s="281"/>
      <c r="BT56" s="281"/>
      <c r="BU56" s="281"/>
      <c r="BV56" s="281"/>
      <c r="BW56" s="281"/>
      <c r="BX56" s="281"/>
      <c r="BY56" s="281"/>
      <c r="BZ56" s="281"/>
      <c r="CA56" s="281"/>
      <c r="CB56" s="281"/>
      <c r="CC56" s="281"/>
      <c r="CD56" s="281"/>
      <c r="CE56" s="281"/>
      <c r="CF56" s="281"/>
      <c r="CG56" s="281"/>
      <c r="CH56" s="281"/>
      <c r="CI56" s="281"/>
      <c r="CJ56" s="281"/>
      <c r="CK56" s="281"/>
      <c r="CL56" s="281"/>
      <c r="CM56" s="281"/>
      <c r="CN56" s="281"/>
      <c r="CO56" s="24"/>
      <c r="CP56" s="38"/>
      <c r="CQ56" s="68"/>
      <c r="CR56" s="57"/>
      <c r="CS56" s="57"/>
      <c r="CT56" s="6">
        <f t="shared" si="21"/>
        <v>43</v>
      </c>
      <c r="CU56" s="5" t="s">
        <v>122</v>
      </c>
      <c r="CV56" s="11">
        <f>'[19]ERB AMA'!D98</f>
        <v>267626830.51499999</v>
      </c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6">
        <f t="shared" si="22"/>
        <v>43</v>
      </c>
      <c r="DI56" s="5" t="s">
        <v>122</v>
      </c>
      <c r="DJ56" s="11"/>
      <c r="DK56" s="11"/>
      <c r="DL56" s="11"/>
      <c r="DM56" s="11"/>
      <c r="DN56" s="11"/>
      <c r="DO56" s="11"/>
      <c r="DP56" s="11"/>
      <c r="DQ56" s="11">
        <f t="shared" si="35"/>
        <v>0</v>
      </c>
      <c r="DR56" s="6">
        <f t="shared" si="36"/>
        <v>43</v>
      </c>
      <c r="DS56" s="5" t="s">
        <v>122</v>
      </c>
      <c r="DT56" s="29">
        <f t="shared" si="37"/>
        <v>267626830.51499999</v>
      </c>
      <c r="DU56" s="29">
        <f t="shared" si="38"/>
        <v>0</v>
      </c>
      <c r="DV56" s="29">
        <f t="shared" si="39"/>
        <v>267626830.51499999</v>
      </c>
      <c r="EG56"/>
      <c r="EH56"/>
      <c r="EI56"/>
      <c r="EJ56"/>
      <c r="EK56"/>
    </row>
    <row r="57" spans="1:141" ht="15" customHeight="1" x14ac:dyDescent="0.25">
      <c r="A57" s="2"/>
      <c r="L57" s="75"/>
      <c r="P57" s="57"/>
      <c r="Q57" s="57"/>
      <c r="R57" s="57"/>
      <c r="S57" s="57"/>
      <c r="T57" s="281"/>
      <c r="U57" s="281"/>
      <c r="V57" s="281"/>
      <c r="W57" s="281"/>
      <c r="X57" s="281"/>
      <c r="AD57" s="281"/>
      <c r="AE57" s="281"/>
      <c r="AF57" s="281"/>
      <c r="AG57" s="281"/>
      <c r="AH57" s="281"/>
      <c r="AI57" s="281"/>
      <c r="AJ57" s="281"/>
      <c r="AK57" s="281"/>
      <c r="AL57" s="281"/>
      <c r="AM57" s="281"/>
      <c r="AN57" s="281"/>
      <c r="AO57" s="281"/>
      <c r="AP57" s="281"/>
      <c r="BK57" s="11"/>
      <c r="BL57" s="11"/>
      <c r="BM57" s="11"/>
      <c r="BS57" s="281"/>
      <c r="BT57" s="281"/>
      <c r="BU57" s="281"/>
      <c r="BV57" s="281"/>
      <c r="BW57" s="281"/>
      <c r="BX57" s="281"/>
      <c r="BY57" s="281"/>
      <c r="BZ57" s="281"/>
      <c r="CA57" s="281"/>
      <c r="CB57" s="281"/>
      <c r="CC57" s="281"/>
      <c r="CD57" s="281"/>
      <c r="CE57" s="281"/>
      <c r="CF57" s="281"/>
      <c r="CG57" s="281"/>
      <c r="CH57" s="281"/>
      <c r="CI57" s="281"/>
      <c r="CJ57" s="281"/>
      <c r="CK57" s="281"/>
      <c r="CL57" s="281"/>
      <c r="CM57" s="281"/>
      <c r="CN57" s="281"/>
      <c r="CO57" s="24"/>
      <c r="CP57" s="57"/>
      <c r="CQ57" s="57"/>
      <c r="CR57" s="57"/>
      <c r="CS57" s="68"/>
      <c r="CT57" s="6">
        <f t="shared" si="21"/>
        <v>44</v>
      </c>
      <c r="CU57" s="5" t="s">
        <v>123</v>
      </c>
      <c r="CV57" s="11">
        <f>'[19]ERB AMA'!D99</f>
        <v>-1406597712.4407401</v>
      </c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6">
        <f t="shared" si="22"/>
        <v>44</v>
      </c>
      <c r="DI57" s="5" t="s">
        <v>123</v>
      </c>
      <c r="DJ57" s="11"/>
      <c r="DK57" s="11"/>
      <c r="DL57" s="11"/>
      <c r="DM57" s="11"/>
      <c r="DN57" s="11"/>
      <c r="DO57" s="11"/>
      <c r="DP57" s="11">
        <f>CN16</f>
        <v>768655.51500000001</v>
      </c>
      <c r="DQ57" s="11">
        <f t="shared" si="35"/>
        <v>768655.51500000001</v>
      </c>
      <c r="DR57" s="6">
        <f t="shared" si="36"/>
        <v>44</v>
      </c>
      <c r="DS57" s="5" t="s">
        <v>123</v>
      </c>
      <c r="DT57" s="29">
        <f t="shared" si="37"/>
        <v>-1406597712.4407401</v>
      </c>
      <c r="DU57" s="29">
        <f t="shared" si="38"/>
        <v>768655.51500000001</v>
      </c>
      <c r="DV57" s="29">
        <f t="shared" si="39"/>
        <v>-1405829056.92574</v>
      </c>
      <c r="EG57"/>
      <c r="EH57"/>
      <c r="EI57"/>
      <c r="EJ57"/>
      <c r="EK57"/>
    </row>
    <row r="58" spans="1:141" s="84" customFormat="1" ht="15" customHeight="1" x14ac:dyDescent="0.25">
      <c r="A58" s="2"/>
      <c r="B58" s="5"/>
      <c r="C58" s="5"/>
      <c r="D58" s="5"/>
      <c r="E58" s="5"/>
      <c r="F58" s="5"/>
      <c r="G58" s="5"/>
      <c r="H58" s="5"/>
      <c r="I58" s="5"/>
      <c r="J58" s="5"/>
      <c r="K58" s="5"/>
      <c r="L58" s="75"/>
      <c r="M58" s="5"/>
      <c r="N58" s="5"/>
      <c r="O58" s="5"/>
      <c r="P58" s="57"/>
      <c r="Q58" s="57"/>
      <c r="R58" s="57"/>
      <c r="S58" s="57"/>
      <c r="T58" s="5"/>
      <c r="U58" s="5"/>
      <c r="V58" s="5"/>
      <c r="W58" s="5"/>
      <c r="X58" s="75"/>
      <c r="Y58" s="5"/>
      <c r="Z58" s="5"/>
      <c r="AA58" s="5"/>
      <c r="AB58" s="5"/>
      <c r="AC58" s="5"/>
      <c r="AD58" s="281"/>
      <c r="AE58" s="281"/>
      <c r="AF58" s="281"/>
      <c r="AG58" s="281"/>
      <c r="AH58" s="281"/>
      <c r="AI58" s="281"/>
      <c r="AJ58" s="281"/>
      <c r="AK58" s="281"/>
      <c r="AL58" s="281"/>
      <c r="AM58" s="281"/>
      <c r="AN58" s="281"/>
      <c r="AO58" s="281"/>
      <c r="AP58" s="281"/>
      <c r="AQ58" s="55"/>
      <c r="AR58" s="55"/>
      <c r="AS58" s="55"/>
      <c r="AT58" s="55"/>
      <c r="AU58" s="55"/>
      <c r="AV58" s="55"/>
      <c r="AW58" s="55"/>
      <c r="AX58" s="55"/>
      <c r="AY58" s="5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11"/>
      <c r="BL58" s="11"/>
      <c r="BM58" s="11"/>
      <c r="BN58"/>
      <c r="BO58"/>
      <c r="BP58" s="5"/>
      <c r="BQ58" s="5"/>
      <c r="BR58" s="5"/>
      <c r="BS58" s="281"/>
      <c r="BT58" s="281"/>
      <c r="BU58" s="281"/>
      <c r="BV58" s="281"/>
      <c r="BW58" s="281"/>
      <c r="BX58" s="281"/>
      <c r="BY58" s="281"/>
      <c r="BZ58" s="281"/>
      <c r="CA58" s="281"/>
      <c r="CB58" s="281"/>
      <c r="CC58" s="281"/>
      <c r="CD58" s="281"/>
      <c r="CE58" s="281"/>
      <c r="CF58" s="281"/>
      <c r="CG58" s="281"/>
      <c r="CH58" s="281"/>
      <c r="CI58" s="281"/>
      <c r="CJ58" s="281"/>
      <c r="CK58" s="281"/>
      <c r="CL58" s="281"/>
      <c r="CM58" s="281"/>
      <c r="CN58" s="281"/>
      <c r="CO58" s="24"/>
      <c r="CP58" s="38"/>
      <c r="CQ58" s="57"/>
      <c r="CR58" s="57"/>
      <c r="CS58" s="68"/>
      <c r="CT58" s="6">
        <f t="shared" si="21"/>
        <v>45</v>
      </c>
      <c r="CU58" s="5" t="s">
        <v>125</v>
      </c>
      <c r="CV58" s="11">
        <f>'[19]ERB AMA'!D100</f>
        <v>136667273.11429122</v>
      </c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6">
        <f t="shared" si="22"/>
        <v>45</v>
      </c>
      <c r="DI58" s="5" t="s">
        <v>125</v>
      </c>
      <c r="DJ58" s="11"/>
      <c r="DK58" s="11"/>
      <c r="DL58" s="11"/>
      <c r="DM58" s="11"/>
      <c r="DN58" s="11"/>
      <c r="DO58" s="11"/>
      <c r="DP58" s="11"/>
      <c r="DQ58" s="11">
        <f t="shared" si="35"/>
        <v>0</v>
      </c>
      <c r="DR58" s="6">
        <f t="shared" si="36"/>
        <v>45</v>
      </c>
      <c r="DS58" s="5" t="s">
        <v>125</v>
      </c>
      <c r="DT58" s="29">
        <f t="shared" si="37"/>
        <v>136667273.11429122</v>
      </c>
      <c r="DU58" s="29">
        <f t="shared" si="38"/>
        <v>0</v>
      </c>
      <c r="DV58" s="29">
        <f t="shared" si="39"/>
        <v>136667273.11429122</v>
      </c>
      <c r="DW58"/>
      <c r="DX58"/>
      <c r="DY58"/>
      <c r="EE58" s="5"/>
      <c r="EF58" s="5"/>
      <c r="EG58"/>
      <c r="EH58"/>
      <c r="EI58"/>
      <c r="EJ58"/>
      <c r="EK58"/>
    </row>
    <row r="59" spans="1:141" s="84" customFormat="1" ht="15" customHeight="1" x14ac:dyDescent="0.25">
      <c r="A59" s="2"/>
      <c r="B59" s="5"/>
      <c r="C59" s="5"/>
      <c r="D59" s="5"/>
      <c r="E59" s="5"/>
      <c r="F59" s="5"/>
      <c r="G59" s="5"/>
      <c r="H59" s="5"/>
      <c r="I59" s="5"/>
      <c r="J59" s="5"/>
      <c r="K59" s="5"/>
      <c r="L59" s="75"/>
      <c r="M59" s="5"/>
      <c r="N59" s="5"/>
      <c r="O59" s="5"/>
      <c r="P59" s="57"/>
      <c r="Q59" s="57"/>
      <c r="R59" s="57"/>
      <c r="S59" s="57"/>
      <c r="T59" s="5"/>
      <c r="U59" s="5"/>
      <c r="V59" s="5"/>
      <c r="W59" s="5"/>
      <c r="X59" s="5"/>
      <c r="Y59" s="5"/>
      <c r="Z59" s="5"/>
      <c r="AA59" s="5"/>
      <c r="AB59" s="5"/>
      <c r="AC59" s="5"/>
      <c r="AD59" s="281"/>
      <c r="AE59" s="281"/>
      <c r="AF59" s="281"/>
      <c r="AG59" s="281"/>
      <c r="AH59" s="281"/>
      <c r="AI59" s="281"/>
      <c r="AJ59" s="281"/>
      <c r="AK59" s="281"/>
      <c r="AL59" s="281"/>
      <c r="AM59" s="281"/>
      <c r="AN59" s="281"/>
      <c r="AO59" s="281"/>
      <c r="AP59" s="281"/>
      <c r="AQ59" s="85"/>
      <c r="AR59" s="55"/>
      <c r="AS59" s="55"/>
      <c r="AT59" s="55"/>
      <c r="AU59" s="55"/>
      <c r="AV59" s="85"/>
      <c r="AW59" s="55"/>
      <c r="AX59" s="55"/>
      <c r="AY59" s="5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11"/>
      <c r="BL59" s="11"/>
      <c r="BM59" s="11"/>
      <c r="BN59"/>
      <c r="BO59"/>
      <c r="BS59" s="281"/>
      <c r="BT59" s="281"/>
      <c r="BU59" s="281"/>
      <c r="BV59" s="281"/>
      <c r="BW59" s="281"/>
      <c r="BX59" s="281"/>
      <c r="BY59" s="281"/>
      <c r="BZ59" s="281"/>
      <c r="CA59" s="281"/>
      <c r="CB59" s="281"/>
      <c r="CC59" s="281"/>
      <c r="CD59" s="281"/>
      <c r="CE59" s="281"/>
      <c r="CF59" s="281"/>
      <c r="CG59" s="281"/>
      <c r="CH59" s="281"/>
      <c r="CI59" s="281"/>
      <c r="CJ59" s="281"/>
      <c r="CK59" s="281"/>
      <c r="CL59" s="281"/>
      <c r="CM59" s="281"/>
      <c r="CN59" s="281"/>
      <c r="CO59" s="24"/>
      <c r="CP59" s="38"/>
      <c r="CQ59" s="57"/>
      <c r="CR59" s="57"/>
      <c r="CS59" s="68"/>
      <c r="CT59" s="6">
        <f t="shared" si="21"/>
        <v>46</v>
      </c>
      <c r="CU59" s="5" t="s">
        <v>124</v>
      </c>
      <c r="CV59" s="74">
        <f>'[19]ERB AMA'!D101</f>
        <v>-107042383.75201167</v>
      </c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6">
        <f t="shared" si="22"/>
        <v>46</v>
      </c>
      <c r="DI59" s="5" t="s">
        <v>124</v>
      </c>
      <c r="DJ59" s="74"/>
      <c r="DK59" s="74"/>
      <c r="DL59" s="74"/>
      <c r="DM59" s="74"/>
      <c r="DN59" s="74"/>
      <c r="DO59" s="74"/>
      <c r="DP59" s="74"/>
      <c r="DQ59" s="74">
        <f t="shared" si="35"/>
        <v>0</v>
      </c>
      <c r="DR59" s="6">
        <f t="shared" si="36"/>
        <v>46</v>
      </c>
      <c r="DS59" s="5" t="s">
        <v>124</v>
      </c>
      <c r="DT59" s="29">
        <f t="shared" si="37"/>
        <v>-107042383.75201167</v>
      </c>
      <c r="DU59" s="29">
        <f t="shared" si="38"/>
        <v>0</v>
      </c>
      <c r="DV59" s="29">
        <f t="shared" si="39"/>
        <v>-107042383.75201167</v>
      </c>
      <c r="DW59"/>
      <c r="DX59"/>
      <c r="DY59"/>
      <c r="EG59" s="5"/>
      <c r="EH59" s="5"/>
      <c r="EI59" s="5"/>
      <c r="EJ59" s="5"/>
      <c r="EK59" s="5"/>
    </row>
    <row r="60" spans="1:141" s="84" customFormat="1" ht="15" customHeight="1" thickBot="1" x14ac:dyDescent="0.3">
      <c r="A60" s="2"/>
      <c r="B60" s="5"/>
      <c r="C60" s="5"/>
      <c r="D60" s="5"/>
      <c r="E60" s="5"/>
      <c r="F60" s="5"/>
      <c r="G60" s="5"/>
      <c r="H60" s="5"/>
      <c r="I60" s="5"/>
      <c r="J60" s="5"/>
      <c r="K60" s="5"/>
      <c r="L60" s="75"/>
      <c r="M60" s="5"/>
      <c r="N60" s="5"/>
      <c r="O60" s="5"/>
      <c r="P60" s="57"/>
      <c r="Q60" s="57"/>
      <c r="R60" s="57"/>
      <c r="S60" s="57"/>
      <c r="T60" s="5"/>
      <c r="U60" s="5"/>
      <c r="V60" s="5"/>
      <c r="W60" s="5"/>
      <c r="X60" s="5"/>
      <c r="Y60" s="5"/>
      <c r="Z60" s="5"/>
      <c r="AA60" s="5"/>
      <c r="AB60" s="5"/>
      <c r="AC60" s="5"/>
      <c r="AD60" s="281"/>
      <c r="AE60" s="281"/>
      <c r="AF60" s="281"/>
      <c r="AG60" s="281"/>
      <c r="AH60" s="281"/>
      <c r="AI60" s="281"/>
      <c r="AJ60" s="281"/>
      <c r="AK60" s="281"/>
      <c r="AL60" s="281"/>
      <c r="AM60" s="281"/>
      <c r="AN60" s="281"/>
      <c r="AO60" s="281"/>
      <c r="AP60" s="281"/>
      <c r="AQ60" s="55"/>
      <c r="AR60" s="55"/>
      <c r="AS60" s="55"/>
      <c r="AT60" s="55"/>
      <c r="AU60" s="55"/>
      <c r="AV60" s="55"/>
      <c r="AW60" s="55"/>
      <c r="AX60" s="55"/>
      <c r="AY60" s="5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11"/>
      <c r="BL60" s="11"/>
      <c r="BM60" s="11"/>
      <c r="BN60"/>
      <c r="BO60"/>
      <c r="BS60" s="281"/>
      <c r="BT60" s="281"/>
      <c r="BU60" s="281"/>
      <c r="BV60" s="281"/>
      <c r="BW60" s="281"/>
      <c r="BX60" s="281"/>
      <c r="BY60" s="281"/>
      <c r="BZ60" s="281"/>
      <c r="CA60" s="281"/>
      <c r="CB60" s="281"/>
      <c r="CC60" s="281"/>
      <c r="CD60" s="281"/>
      <c r="CE60" s="281"/>
      <c r="CF60" s="281"/>
      <c r="CG60" s="281"/>
      <c r="CH60" s="281"/>
      <c r="CI60" s="281"/>
      <c r="CJ60" s="281"/>
      <c r="CK60" s="281"/>
      <c r="CL60" s="281"/>
      <c r="CM60" s="281"/>
      <c r="CN60" s="281"/>
      <c r="CO60" s="24"/>
      <c r="CP60" s="57"/>
      <c r="CQ60" s="57"/>
      <c r="CR60" s="57"/>
      <c r="CS60" s="68"/>
      <c r="CT60" s="6">
        <f t="shared" si="21"/>
        <v>47</v>
      </c>
      <c r="CU60" s="5" t="s">
        <v>126</v>
      </c>
      <c r="CV60" s="301">
        <f t="shared" ref="CV60:DG60" si="40">SUM(CV54:CV59)</f>
        <v>5369209408.3195896</v>
      </c>
      <c r="CW60" s="301">
        <f t="shared" si="40"/>
        <v>0</v>
      </c>
      <c r="CX60" s="301">
        <f t="shared" si="40"/>
        <v>0</v>
      </c>
      <c r="CY60" s="301">
        <f t="shared" si="40"/>
        <v>0</v>
      </c>
      <c r="CZ60" s="301">
        <f t="shared" si="40"/>
        <v>0</v>
      </c>
      <c r="DA60" s="301">
        <f t="shared" si="40"/>
        <v>0</v>
      </c>
      <c r="DB60" s="301">
        <f t="shared" si="40"/>
        <v>0</v>
      </c>
      <c r="DC60" s="301">
        <f t="shared" si="40"/>
        <v>0</v>
      </c>
      <c r="DD60" s="301">
        <f t="shared" si="40"/>
        <v>0</v>
      </c>
      <c r="DE60" s="301">
        <f t="shared" si="40"/>
        <v>0</v>
      </c>
      <c r="DF60" s="301">
        <f t="shared" si="40"/>
        <v>0</v>
      </c>
      <c r="DG60" s="301">
        <f t="shared" si="40"/>
        <v>0</v>
      </c>
      <c r="DH60" s="6">
        <f t="shared" si="22"/>
        <v>47</v>
      </c>
      <c r="DI60" s="5" t="s">
        <v>126</v>
      </c>
      <c r="DJ60" s="301">
        <f t="shared" ref="DJ60:DQ60" si="41">SUM(DJ54:DJ59)</f>
        <v>0</v>
      </c>
      <c r="DK60" s="301">
        <f t="shared" si="41"/>
        <v>0</v>
      </c>
      <c r="DL60" s="301">
        <f t="shared" si="41"/>
        <v>0</v>
      </c>
      <c r="DM60" s="301">
        <f t="shared" si="41"/>
        <v>0</v>
      </c>
      <c r="DN60" s="301">
        <f t="shared" si="41"/>
        <v>0</v>
      </c>
      <c r="DO60" s="301">
        <f t="shared" si="41"/>
        <v>0</v>
      </c>
      <c r="DP60" s="301">
        <f t="shared" si="41"/>
        <v>-1544382.4849999999</v>
      </c>
      <c r="DQ60" s="301">
        <f t="shared" si="41"/>
        <v>-1544382.4849999999</v>
      </c>
      <c r="DR60" s="6">
        <f t="shared" si="36"/>
        <v>47</v>
      </c>
      <c r="DS60" s="5" t="s">
        <v>126</v>
      </c>
      <c r="DT60" s="363">
        <f>SUM(DT54:DT59)</f>
        <v>5369209408.3195896</v>
      </c>
      <c r="DU60" s="363">
        <f>SUM(DU54:DU59)</f>
        <v>-1544382.4849999999</v>
      </c>
      <c r="DV60" s="363">
        <f>SUM(DV54:DV59)</f>
        <v>5367665025.834589</v>
      </c>
      <c r="DW60"/>
      <c r="DX60"/>
      <c r="DY60"/>
      <c r="EG60" s="5"/>
      <c r="EH60" s="5"/>
      <c r="EI60" s="5"/>
      <c r="EJ60" s="5"/>
      <c r="EK60" s="5"/>
    </row>
    <row r="61" spans="1:141" ht="15" customHeight="1" thickTop="1" x14ac:dyDescent="0.25">
      <c r="A61" s="2"/>
      <c r="L61" s="75"/>
      <c r="P61" s="57"/>
      <c r="Q61" s="57"/>
      <c r="R61" s="57"/>
      <c r="S61" s="57"/>
      <c r="AD61" s="281"/>
      <c r="AE61" s="281"/>
      <c r="AF61" s="281"/>
      <c r="AG61" s="281"/>
      <c r="AH61" s="281"/>
      <c r="AI61" s="281"/>
      <c r="AJ61" s="281"/>
      <c r="AK61" s="281"/>
      <c r="AL61" s="281"/>
      <c r="AM61" s="281"/>
      <c r="AN61" s="281"/>
      <c r="AO61" s="281"/>
      <c r="AP61" s="281"/>
      <c r="BK61" s="11"/>
      <c r="BL61" s="11"/>
      <c r="BM61" s="11"/>
      <c r="BP61" s="84"/>
      <c r="BQ61" s="84"/>
      <c r="BR61" s="84"/>
      <c r="BS61" s="281"/>
      <c r="BT61" s="281"/>
      <c r="BU61" s="281"/>
      <c r="BV61" s="281"/>
      <c r="BW61" s="281"/>
      <c r="BX61" s="281"/>
      <c r="BY61" s="281"/>
      <c r="BZ61" s="281"/>
      <c r="CA61" s="281"/>
      <c r="CB61" s="281"/>
      <c r="CC61" s="281"/>
      <c r="CD61" s="281"/>
      <c r="CE61" s="281"/>
      <c r="CF61" s="281"/>
      <c r="CG61" s="281"/>
      <c r="CH61" s="281"/>
      <c r="CI61" s="281"/>
      <c r="CJ61" s="281"/>
      <c r="CK61" s="281"/>
      <c r="CL61" s="281"/>
      <c r="CM61" s="281"/>
      <c r="CN61" s="281"/>
      <c r="CO61" s="24"/>
      <c r="CP61" s="57"/>
      <c r="CQ61" s="57"/>
      <c r="CR61" s="57"/>
      <c r="CS61" s="96"/>
      <c r="CT61" s="86"/>
      <c r="CU61" s="84"/>
      <c r="CV61" s="75">
        <f t="shared" ref="CV61:DG61" si="42">CV60-CV49</f>
        <v>0</v>
      </c>
      <c r="CW61" s="119">
        <f t="shared" si="42"/>
        <v>0</v>
      </c>
      <c r="CX61" s="119">
        <f t="shared" si="42"/>
        <v>0</v>
      </c>
      <c r="CY61" s="119">
        <f t="shared" si="42"/>
        <v>0</v>
      </c>
      <c r="CZ61" s="119">
        <f t="shared" si="42"/>
        <v>0</v>
      </c>
      <c r="DA61" s="119">
        <f t="shared" si="42"/>
        <v>0</v>
      </c>
      <c r="DB61" s="119">
        <f t="shared" si="42"/>
        <v>0</v>
      </c>
      <c r="DC61" s="119">
        <f t="shared" si="42"/>
        <v>0</v>
      </c>
      <c r="DD61" s="119">
        <f t="shared" si="42"/>
        <v>0</v>
      </c>
      <c r="DE61" s="119">
        <f t="shared" si="42"/>
        <v>0</v>
      </c>
      <c r="DF61" s="119">
        <f t="shared" si="42"/>
        <v>0</v>
      </c>
      <c r="DG61" s="119">
        <f t="shared" si="42"/>
        <v>0</v>
      </c>
      <c r="DH61" s="84"/>
      <c r="DI61" s="84"/>
      <c r="DJ61" s="119">
        <f>DJ60-DJ49</f>
        <v>0</v>
      </c>
      <c r="DK61" s="119">
        <f>DK60-DK49</f>
        <v>0</v>
      </c>
      <c r="DL61" s="119">
        <f>DL60-DL49</f>
        <v>0</v>
      </c>
      <c r="DM61" s="119"/>
      <c r="DN61" s="119">
        <f>DN60-DN49</f>
        <v>0</v>
      </c>
      <c r="DO61" s="119">
        <f>DO60-DO49</f>
        <v>0</v>
      </c>
      <c r="DP61" s="119"/>
      <c r="DQ61" s="119">
        <f>DQ60-DQ49</f>
        <v>0</v>
      </c>
      <c r="DR61" s="84"/>
      <c r="DS61" s="84" t="s">
        <v>59</v>
      </c>
      <c r="DT61" s="84"/>
      <c r="DU61" s="84"/>
      <c r="DV61" s="84"/>
      <c r="EE61" s="84"/>
      <c r="EF61" s="84"/>
    </row>
    <row r="62" spans="1:141" customFormat="1" ht="1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75"/>
      <c r="M62" s="5"/>
      <c r="N62" s="57"/>
      <c r="O62" s="57"/>
      <c r="P62" s="57"/>
      <c r="Q62" s="57"/>
      <c r="R62" s="57"/>
      <c r="S62" s="57"/>
      <c r="T62" s="5"/>
      <c r="U62" s="5"/>
      <c r="V62" s="5"/>
      <c r="W62" s="5"/>
      <c r="X62" s="5"/>
      <c r="Y62" s="5"/>
      <c r="Z62" s="5"/>
      <c r="AA62" s="5"/>
      <c r="AB62" s="5"/>
      <c r="AC62" s="5"/>
      <c r="AD62" s="281"/>
      <c r="AE62" s="281"/>
      <c r="AF62" s="281"/>
      <c r="AG62" s="281"/>
      <c r="AH62" s="281"/>
      <c r="AI62" s="281"/>
      <c r="AJ62" s="281"/>
      <c r="AK62" s="281"/>
      <c r="AL62" s="281"/>
      <c r="AM62" s="281"/>
      <c r="AN62" s="281"/>
      <c r="AO62" s="281"/>
      <c r="AP62" s="281"/>
      <c r="AQ62" s="55"/>
      <c r="AR62" s="55"/>
      <c r="AS62" s="55"/>
      <c r="AT62" s="55"/>
      <c r="AU62" s="55"/>
      <c r="AV62" s="55"/>
      <c r="AW62" s="55"/>
      <c r="AX62" s="55"/>
      <c r="AY62" s="5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11"/>
      <c r="BL62" s="11"/>
      <c r="BM62" s="11"/>
      <c r="BP62" s="5"/>
      <c r="BQ62" s="5"/>
      <c r="BR62" s="5"/>
      <c r="BS62" s="281"/>
      <c r="BT62" s="281"/>
      <c r="BU62" s="281"/>
      <c r="BV62" s="281"/>
      <c r="BW62" s="281"/>
      <c r="BX62" s="281"/>
      <c r="BY62" s="281"/>
      <c r="BZ62" s="281"/>
      <c r="CA62" s="281"/>
      <c r="CB62" s="281"/>
      <c r="CC62" s="281"/>
      <c r="CD62" s="281"/>
      <c r="CE62" s="281"/>
      <c r="CF62" s="281"/>
      <c r="CG62" s="281"/>
      <c r="CH62" s="281"/>
      <c r="CI62" s="281"/>
      <c r="CJ62" s="281"/>
      <c r="CK62" s="281"/>
      <c r="CL62" s="281"/>
      <c r="CM62" s="281"/>
      <c r="CN62" s="281"/>
      <c r="CO62" s="24"/>
      <c r="CP62" s="57"/>
      <c r="CQ62" s="57"/>
      <c r="CR62" s="45"/>
      <c r="CS62" s="68"/>
      <c r="CT62" s="86"/>
    </row>
    <row r="63" spans="1:141" customFormat="1" ht="1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75"/>
      <c r="M63" s="5"/>
      <c r="N63" s="57"/>
      <c r="O63" s="57"/>
      <c r="P63" s="57"/>
      <c r="Q63" s="57"/>
      <c r="R63" s="57"/>
      <c r="S63" s="57"/>
      <c r="T63" s="5"/>
      <c r="U63" s="5"/>
      <c r="V63" s="5"/>
      <c r="W63" s="5"/>
      <c r="X63" s="5"/>
      <c r="Y63" s="5"/>
      <c r="Z63" s="5"/>
      <c r="AA63" s="5"/>
      <c r="AB63" s="5"/>
      <c r="AC63" s="5"/>
      <c r="AD63" s="281"/>
      <c r="AE63" s="281"/>
      <c r="AF63" s="281"/>
      <c r="AG63" s="281"/>
      <c r="AH63" s="281"/>
      <c r="AI63" s="281"/>
      <c r="AJ63" s="281"/>
      <c r="AK63" s="281"/>
      <c r="AL63" s="281"/>
      <c r="AM63" s="281"/>
      <c r="AN63" s="281"/>
      <c r="AO63" s="281"/>
      <c r="AP63" s="281"/>
      <c r="AQ63" s="55"/>
      <c r="AR63" s="55"/>
      <c r="AS63" s="55"/>
      <c r="AT63" s="55"/>
      <c r="AU63" s="55"/>
      <c r="AV63" s="55"/>
      <c r="AW63" s="55"/>
      <c r="AX63" s="55"/>
      <c r="AY63" s="5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11"/>
      <c r="BL63" s="11"/>
      <c r="BM63" s="11"/>
      <c r="BP63" s="5"/>
      <c r="BQ63" s="5"/>
      <c r="BR63" s="5"/>
      <c r="BS63" s="281"/>
      <c r="BT63" s="281"/>
      <c r="BU63" s="281"/>
      <c r="BV63" s="281"/>
      <c r="BW63" s="281"/>
      <c r="BX63" s="281"/>
      <c r="BY63" s="281"/>
      <c r="BZ63" s="281"/>
      <c r="CA63" s="281"/>
      <c r="CB63" s="281"/>
      <c r="CC63" s="281"/>
      <c r="CD63" s="281"/>
      <c r="CE63" s="281"/>
      <c r="CF63" s="281"/>
      <c r="CG63" s="281"/>
      <c r="CH63" s="281"/>
      <c r="CI63" s="281"/>
      <c r="CJ63" s="281"/>
      <c r="CK63" s="281"/>
      <c r="CL63" s="281"/>
      <c r="CM63" s="281"/>
      <c r="CN63" s="281"/>
      <c r="CO63" s="24"/>
      <c r="CP63" s="57"/>
      <c r="CQ63" s="57"/>
      <c r="CR63" s="57"/>
      <c r="CS63" s="87"/>
      <c r="CT63" s="86"/>
    </row>
    <row r="64" spans="1:141" customFormat="1" ht="1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75"/>
      <c r="M64" s="5"/>
      <c r="N64" s="57"/>
      <c r="O64" s="57"/>
      <c r="P64" s="57"/>
      <c r="Q64" s="57"/>
      <c r="R64" s="57"/>
      <c r="S64" s="57"/>
      <c r="T64" s="5"/>
      <c r="U64" s="5"/>
      <c r="V64" s="5"/>
      <c r="W64" s="5"/>
      <c r="X64" s="5"/>
      <c r="Y64" s="5"/>
      <c r="Z64" s="5"/>
      <c r="AA64" s="5"/>
      <c r="AB64" s="5"/>
      <c r="AC64" s="5"/>
      <c r="AD64" s="281"/>
      <c r="AE64" s="281"/>
      <c r="AF64" s="281"/>
      <c r="AG64" s="281"/>
      <c r="AH64" s="281"/>
      <c r="AI64" s="281"/>
      <c r="AJ64" s="281"/>
      <c r="AK64" s="281"/>
      <c r="AL64" s="281"/>
      <c r="AM64" s="281"/>
      <c r="AN64" s="281"/>
      <c r="AO64" s="281"/>
      <c r="AP64" s="281"/>
      <c r="AQ64" s="55"/>
      <c r="AR64" s="55"/>
      <c r="AS64" s="55"/>
      <c r="AT64" s="55"/>
      <c r="AU64" s="55"/>
      <c r="AV64" s="55"/>
      <c r="AW64" s="55"/>
      <c r="AX64" s="55"/>
      <c r="AY64" s="5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11"/>
      <c r="BL64" s="11"/>
      <c r="BM64" s="11"/>
      <c r="BP64" s="5"/>
      <c r="BQ64" s="5"/>
      <c r="BR64" s="5"/>
      <c r="BS64" s="281"/>
      <c r="BT64" s="281"/>
      <c r="BU64" s="281"/>
      <c r="BV64" s="281"/>
      <c r="BW64" s="281"/>
      <c r="BX64" s="281"/>
      <c r="BY64" s="281"/>
      <c r="BZ64" s="281"/>
      <c r="CA64" s="281"/>
      <c r="CB64" s="281"/>
      <c r="CC64" s="281"/>
      <c r="CD64" s="281"/>
      <c r="CE64" s="281"/>
      <c r="CF64" s="281"/>
      <c r="CG64" s="281"/>
      <c r="CH64" s="281"/>
      <c r="CI64" s="281"/>
      <c r="CJ64" s="281"/>
      <c r="CK64" s="281"/>
      <c r="CL64" s="281"/>
      <c r="CM64" s="281"/>
      <c r="CN64" s="281"/>
      <c r="CO64" s="24"/>
      <c r="CP64" s="57"/>
      <c r="CQ64" s="57"/>
      <c r="CR64" s="57"/>
      <c r="CS64" s="87"/>
      <c r="CT64" s="86"/>
    </row>
    <row r="65" spans="1:139" customFormat="1" ht="1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75"/>
      <c r="M65" s="5"/>
      <c r="N65" s="57"/>
      <c r="O65" s="57"/>
      <c r="P65" s="57"/>
      <c r="Q65" s="57"/>
      <c r="R65" s="57"/>
      <c r="S65" s="57"/>
      <c r="T65" s="5"/>
      <c r="U65" s="5"/>
      <c r="V65" s="5"/>
      <c r="W65" s="5"/>
      <c r="X65" s="5"/>
      <c r="Y65" s="5"/>
      <c r="Z65" s="5"/>
      <c r="AA65" s="5"/>
      <c r="AB65" s="5"/>
      <c r="AC65" s="5"/>
      <c r="AD65" s="281"/>
      <c r="AE65" s="281"/>
      <c r="AF65" s="281"/>
      <c r="AG65" s="281"/>
      <c r="AH65" s="281"/>
      <c r="AI65" s="281"/>
      <c r="AJ65" s="281"/>
      <c r="AK65" s="281"/>
      <c r="AL65" s="281"/>
      <c r="AM65" s="281"/>
      <c r="AN65" s="281"/>
      <c r="AO65" s="281"/>
      <c r="AP65" s="281"/>
      <c r="AQ65" s="55"/>
      <c r="AR65" s="55"/>
      <c r="AS65" s="55"/>
      <c r="AT65" s="55"/>
      <c r="AU65" s="55"/>
      <c r="AV65" s="55"/>
      <c r="AW65" s="55"/>
      <c r="AX65" s="55"/>
      <c r="AY65" s="5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11"/>
      <c r="BL65" s="11"/>
      <c r="BM65" s="11"/>
      <c r="BP65" s="5"/>
      <c r="BQ65" s="5"/>
      <c r="BR65" s="5"/>
      <c r="BS65" s="281"/>
      <c r="BT65" s="281"/>
      <c r="BU65" s="281"/>
      <c r="BV65" s="281"/>
      <c r="BW65" s="281"/>
      <c r="BX65" s="281"/>
      <c r="BY65" s="281"/>
      <c r="BZ65" s="281"/>
      <c r="CA65" s="281"/>
      <c r="CB65" s="281"/>
      <c r="CC65" s="281"/>
      <c r="CD65" s="281"/>
      <c r="CE65" s="281"/>
      <c r="CF65" s="281"/>
      <c r="CG65" s="281"/>
      <c r="CH65" s="281"/>
      <c r="CI65" s="281"/>
      <c r="CJ65" s="281"/>
      <c r="CK65" s="281"/>
      <c r="CL65" s="281"/>
      <c r="CM65" s="281"/>
      <c r="CN65" s="281"/>
      <c r="CO65" s="24"/>
      <c r="CP65" s="57"/>
      <c r="CQ65" s="57"/>
      <c r="CR65" s="57"/>
      <c r="CS65" s="68"/>
      <c r="CT65" s="58"/>
    </row>
    <row r="66" spans="1:139" customFormat="1" ht="1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75"/>
      <c r="M66" s="5"/>
      <c r="N66" s="57"/>
      <c r="O66" s="57"/>
      <c r="P66" s="57"/>
      <c r="Q66" s="57"/>
      <c r="R66" s="57"/>
      <c r="S66" s="57"/>
      <c r="T66" s="5"/>
      <c r="U66" s="5"/>
      <c r="V66" s="5"/>
      <c r="W66" s="5"/>
      <c r="X66" s="5"/>
      <c r="Y66" s="5"/>
      <c r="Z66" s="5"/>
      <c r="AA66" s="5"/>
      <c r="AB66" s="5"/>
      <c r="AC66" s="5"/>
      <c r="AD66" s="281"/>
      <c r="AE66" s="281"/>
      <c r="AF66" s="281"/>
      <c r="AG66" s="281"/>
      <c r="AH66" s="281"/>
      <c r="AI66" s="281"/>
      <c r="AJ66" s="281"/>
      <c r="AK66" s="281"/>
      <c r="AL66" s="302"/>
      <c r="AM66" s="88"/>
      <c r="AN66" s="89"/>
      <c r="AO66" s="5"/>
      <c r="AP66" s="89"/>
      <c r="AQ66" s="55"/>
      <c r="AR66" s="55"/>
      <c r="AS66" s="55"/>
      <c r="AT66" s="55"/>
      <c r="AU66" s="55"/>
      <c r="AV66" s="55"/>
      <c r="AW66" s="55"/>
      <c r="AX66" s="55"/>
      <c r="AY66" s="5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P66" s="5"/>
      <c r="BQ66" s="5"/>
      <c r="BR66" s="5"/>
      <c r="BS66" s="281"/>
      <c r="BT66" s="281"/>
      <c r="BU66" s="281"/>
      <c r="BV66" s="281"/>
      <c r="BW66" s="281"/>
      <c r="BX66" s="281"/>
      <c r="BY66" s="281"/>
      <c r="BZ66" s="281"/>
      <c r="CA66" s="281"/>
      <c r="CB66" s="281"/>
      <c r="CC66" s="281"/>
      <c r="CD66" s="281"/>
      <c r="CE66" s="281"/>
      <c r="CF66" s="281"/>
      <c r="CG66" s="281"/>
      <c r="CH66" s="281"/>
      <c r="CI66" s="281"/>
      <c r="CJ66" s="281"/>
      <c r="CK66" s="281"/>
      <c r="CL66" s="281"/>
      <c r="CM66" s="281"/>
      <c r="CN66" s="281"/>
      <c r="CO66" s="5"/>
      <c r="CP66" s="5"/>
      <c r="CQ66" s="5"/>
      <c r="CR66" s="5"/>
      <c r="CS66" s="5"/>
      <c r="CT66" s="58"/>
    </row>
    <row r="67" spans="1:139" customFormat="1" ht="1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75"/>
      <c r="M67" s="5"/>
      <c r="N67" s="57"/>
      <c r="O67" s="57"/>
      <c r="P67" s="57"/>
      <c r="Q67" s="57"/>
      <c r="R67" s="57"/>
      <c r="S67" s="57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5"/>
      <c r="AR67" s="55"/>
      <c r="AS67" s="55"/>
      <c r="AT67" s="55"/>
      <c r="AU67" s="55"/>
      <c r="AV67" s="55"/>
      <c r="AW67" s="55"/>
      <c r="AX67" s="55"/>
      <c r="AY67" s="5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P67" s="5"/>
      <c r="BQ67" s="5"/>
      <c r="BR67" s="5"/>
      <c r="BS67" s="281"/>
      <c r="BT67" s="281"/>
      <c r="BU67" s="281"/>
      <c r="BV67" s="281"/>
      <c r="BW67" s="281"/>
      <c r="BX67" s="281"/>
      <c r="BY67" s="281"/>
      <c r="BZ67" s="281"/>
      <c r="CA67" s="281"/>
      <c r="CB67" s="281"/>
      <c r="CC67" s="281"/>
      <c r="CD67" s="281"/>
      <c r="CE67" s="281"/>
      <c r="CF67" s="281"/>
      <c r="CG67" s="281"/>
      <c r="CH67" s="281"/>
      <c r="CI67" s="281"/>
      <c r="CJ67" s="281"/>
      <c r="CK67" s="281"/>
      <c r="CL67" s="281"/>
      <c r="CM67" s="281"/>
      <c r="CN67" s="281"/>
      <c r="CO67" s="5"/>
      <c r="CP67" s="5"/>
      <c r="CQ67" s="5"/>
      <c r="CR67" s="5"/>
      <c r="CS67" s="5"/>
      <c r="CT67" s="58"/>
    </row>
    <row r="68" spans="1:139" customFormat="1" ht="1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75"/>
      <c r="M68" s="5"/>
      <c r="N68" s="57"/>
      <c r="O68" s="57"/>
      <c r="P68" s="57"/>
      <c r="Q68" s="57"/>
      <c r="R68" s="57"/>
      <c r="S68" s="57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5"/>
      <c r="AR68" s="55"/>
      <c r="AS68" s="55"/>
      <c r="AT68" s="55"/>
      <c r="AU68" s="55"/>
      <c r="AV68" s="55"/>
      <c r="AW68" s="55"/>
      <c r="AX68" s="55"/>
      <c r="AY68" s="55"/>
      <c r="AZ68" s="5"/>
      <c r="BA68" s="5"/>
      <c r="BB68" s="5"/>
      <c r="BC68" s="5"/>
      <c r="BD68" s="5"/>
      <c r="BE68" s="54"/>
      <c r="BF68" s="5"/>
      <c r="BG68" s="5"/>
      <c r="BH68" s="5"/>
      <c r="BI68" s="5"/>
      <c r="BJ68" s="5"/>
      <c r="BK68" s="5"/>
      <c r="BL68" s="5"/>
      <c r="BM68" s="5"/>
      <c r="BP68" s="5"/>
      <c r="BQ68" s="5"/>
      <c r="BR68" s="5"/>
      <c r="BS68" s="281"/>
      <c r="BT68" s="281"/>
      <c r="BU68" s="281"/>
      <c r="BV68" s="281"/>
      <c r="BW68" s="281"/>
      <c r="BX68" s="281"/>
      <c r="BY68" s="281"/>
      <c r="BZ68" s="281"/>
      <c r="CA68" s="281"/>
      <c r="CB68" s="281"/>
      <c r="CC68" s="281"/>
      <c r="CD68" s="281"/>
      <c r="CE68" s="281"/>
      <c r="CF68" s="281"/>
      <c r="CG68" s="281"/>
      <c r="CH68" s="281"/>
      <c r="CI68" s="281"/>
      <c r="CJ68" s="281"/>
      <c r="CK68" s="281"/>
      <c r="CL68" s="281"/>
      <c r="CM68" s="281"/>
      <c r="CN68" s="281"/>
      <c r="CO68" s="5"/>
      <c r="CP68" s="5"/>
      <c r="CQ68" s="5"/>
      <c r="CR68" s="5"/>
      <c r="CS68" s="5"/>
      <c r="CT68" s="58"/>
    </row>
    <row r="69" spans="1:139" customFormat="1" ht="1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75"/>
      <c r="M69" s="5"/>
      <c r="N69" s="57"/>
      <c r="O69" s="57"/>
      <c r="P69" s="57"/>
      <c r="Q69" s="57"/>
      <c r="R69" s="57"/>
      <c r="S69" s="57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5"/>
      <c r="AR69" s="55"/>
      <c r="AS69" s="55"/>
      <c r="AT69" s="55"/>
      <c r="AU69" s="55"/>
      <c r="AV69" s="55"/>
      <c r="AW69" s="55"/>
      <c r="AX69" s="55"/>
      <c r="AY69" s="5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P69" s="5"/>
      <c r="BQ69" s="5"/>
      <c r="BR69" s="5"/>
      <c r="BS69" s="281"/>
      <c r="BT69" s="281"/>
      <c r="BU69" s="281"/>
      <c r="BV69" s="281"/>
      <c r="BW69" s="281"/>
      <c r="BX69" s="281"/>
      <c r="BY69" s="281"/>
      <c r="BZ69" s="281"/>
      <c r="CA69" s="281"/>
      <c r="CB69" s="281"/>
      <c r="CC69" s="281"/>
      <c r="CD69" s="281"/>
      <c r="CE69" s="281"/>
      <c r="CF69" s="281"/>
      <c r="CG69" s="281"/>
      <c r="CH69" s="281"/>
      <c r="CI69" s="281"/>
      <c r="CJ69" s="281"/>
      <c r="CK69" s="281"/>
      <c r="CL69" s="281"/>
      <c r="CM69" s="281"/>
      <c r="CN69" s="281"/>
      <c r="CO69" s="5"/>
      <c r="CP69" s="5"/>
      <c r="CQ69" s="5"/>
      <c r="CR69" s="5"/>
      <c r="CS69" s="5"/>
      <c r="CT69" s="58"/>
    </row>
    <row r="70" spans="1:139" customFormat="1" ht="1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75"/>
      <c r="M70" s="5"/>
      <c r="N70" s="57"/>
      <c r="O70" s="57"/>
      <c r="P70" s="57"/>
      <c r="Q70" s="57"/>
      <c r="R70" s="57"/>
      <c r="S70" s="57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5"/>
      <c r="AR70" s="55"/>
      <c r="AS70" s="55"/>
      <c r="AT70" s="55"/>
      <c r="AU70" s="55"/>
      <c r="AV70" s="55"/>
      <c r="AW70" s="55"/>
      <c r="AX70" s="55"/>
      <c r="AY70" s="5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P70" s="5"/>
      <c r="BQ70" s="5"/>
      <c r="BR70" s="5"/>
      <c r="BS70" s="281"/>
      <c r="BT70" s="281"/>
      <c r="BU70" s="281"/>
      <c r="BV70" s="281"/>
      <c r="BW70" s="281"/>
      <c r="BX70" s="281"/>
      <c r="BY70" s="281"/>
      <c r="BZ70" s="281"/>
      <c r="CA70" s="281"/>
      <c r="CB70" s="281"/>
      <c r="CC70" s="281"/>
      <c r="CD70" s="281"/>
      <c r="CE70" s="281"/>
      <c r="CF70" s="281"/>
      <c r="CG70" s="281"/>
      <c r="CH70" s="281"/>
      <c r="CI70" s="281"/>
      <c r="CJ70" s="281"/>
      <c r="CK70" s="281"/>
      <c r="CL70" s="281"/>
      <c r="CM70" s="281"/>
      <c r="CN70" s="281"/>
      <c r="CO70" s="5"/>
      <c r="CP70" s="5"/>
      <c r="CQ70" s="5"/>
      <c r="CR70" s="5"/>
      <c r="CS70" s="5"/>
      <c r="CT70" s="58"/>
    </row>
    <row r="71" spans="1:139" customFormat="1" ht="1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75"/>
      <c r="M71" s="5"/>
      <c r="N71" s="57"/>
      <c r="O71" s="57"/>
      <c r="P71" s="57"/>
      <c r="Q71" s="57"/>
      <c r="R71" s="57"/>
      <c r="S71" s="57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5"/>
      <c r="AR71" s="55"/>
      <c r="AS71" s="55"/>
      <c r="AT71" s="55"/>
      <c r="AU71" s="55"/>
      <c r="AV71" s="55"/>
      <c r="AW71" s="55"/>
      <c r="AX71" s="55"/>
      <c r="AY71" s="5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P71" s="5"/>
      <c r="BQ71" s="5"/>
      <c r="BR71" s="5"/>
      <c r="BS71" s="281"/>
      <c r="BT71" s="281"/>
      <c r="BU71" s="281"/>
      <c r="BV71" s="281"/>
      <c r="BW71" s="281"/>
      <c r="BX71" s="281"/>
      <c r="BY71" s="281"/>
      <c r="BZ71" s="281"/>
      <c r="CA71" s="281"/>
      <c r="CB71" s="281"/>
      <c r="CC71" s="281"/>
      <c r="CD71" s="281"/>
      <c r="CE71" s="281"/>
      <c r="CF71" s="281"/>
      <c r="CG71" s="281"/>
      <c r="CH71" s="281"/>
      <c r="CI71" s="281"/>
      <c r="CJ71" s="281"/>
      <c r="CK71" s="281"/>
      <c r="CL71" s="281"/>
      <c r="CM71" s="281"/>
      <c r="CN71" s="281"/>
      <c r="CO71" s="5"/>
      <c r="CP71" s="5"/>
      <c r="CQ71" s="5"/>
      <c r="CR71" s="5"/>
      <c r="CS71" s="5"/>
      <c r="CT71" s="58"/>
    </row>
    <row r="72" spans="1:139" ht="15" customHeight="1" x14ac:dyDescent="0.25">
      <c r="L72" s="75"/>
      <c r="N72" s="57"/>
      <c r="O72" s="57"/>
      <c r="P72" s="57"/>
      <c r="Q72" s="57"/>
      <c r="R72" s="57"/>
      <c r="S72" s="57"/>
      <c r="BS72" s="281"/>
      <c r="BT72" s="281"/>
      <c r="BU72" s="281"/>
      <c r="BV72" s="281"/>
      <c r="BW72" s="281"/>
      <c r="BX72" s="281"/>
      <c r="BY72" s="281"/>
      <c r="BZ72" s="281"/>
      <c r="CA72" s="281"/>
      <c r="CB72" s="281"/>
      <c r="CC72" s="281"/>
      <c r="CD72" s="281"/>
      <c r="CE72" s="281"/>
      <c r="CF72" s="281"/>
      <c r="CG72" s="281"/>
      <c r="CH72" s="281"/>
      <c r="CI72" s="281"/>
      <c r="CJ72" s="281"/>
      <c r="CK72" s="281"/>
      <c r="CL72" s="281"/>
      <c r="CM72" s="281"/>
      <c r="CN72" s="281"/>
      <c r="CU72"/>
      <c r="CV72" s="488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</row>
    <row r="73" spans="1:139" ht="15" customHeight="1" x14ac:dyDescent="0.25">
      <c r="L73" s="75"/>
      <c r="N73" s="57"/>
      <c r="O73" s="57"/>
      <c r="P73" s="57"/>
      <c r="Q73" s="57"/>
      <c r="R73" s="57"/>
      <c r="S73" s="57"/>
      <c r="BS73" s="281"/>
      <c r="BT73" s="281"/>
      <c r="BU73" s="281"/>
      <c r="BV73" s="281"/>
      <c r="BW73" s="281"/>
      <c r="BX73" s="281"/>
      <c r="BY73" s="281"/>
      <c r="BZ73" s="281"/>
      <c r="CA73" s="281"/>
      <c r="CB73" s="281"/>
      <c r="CC73" s="281"/>
      <c r="CD73" s="281"/>
      <c r="CE73" s="281"/>
      <c r="CF73" s="281"/>
      <c r="CG73" s="281"/>
      <c r="CH73" s="281"/>
      <c r="CI73" s="281"/>
      <c r="CJ73" s="281"/>
      <c r="CK73" s="281"/>
      <c r="CL73" s="281"/>
      <c r="CM73" s="281"/>
      <c r="CN73" s="281"/>
      <c r="CV73" s="11"/>
      <c r="CY73"/>
      <c r="CZ73"/>
      <c r="DA73"/>
    </row>
    <row r="74" spans="1:139" ht="15" customHeight="1" x14ac:dyDescent="0.25">
      <c r="L74" s="75"/>
      <c r="N74" s="57"/>
      <c r="O74" s="57"/>
      <c r="P74" s="57"/>
      <c r="Q74" s="57"/>
      <c r="R74" s="57"/>
      <c r="S74" s="57"/>
      <c r="BS74" s="281"/>
      <c r="BT74" s="281"/>
      <c r="BU74" s="281"/>
      <c r="BV74" s="281"/>
      <c r="BW74" s="281"/>
      <c r="BX74" s="281"/>
      <c r="BY74" s="281"/>
      <c r="BZ74" s="281"/>
      <c r="CA74" s="281"/>
      <c r="CB74" s="281"/>
      <c r="CC74" s="281"/>
      <c r="CD74" s="281"/>
      <c r="CE74" s="281"/>
      <c r="CF74" s="281"/>
      <c r="CG74" s="281"/>
      <c r="CH74" s="281"/>
      <c r="CI74" s="281"/>
      <c r="CJ74" s="281"/>
      <c r="CK74" s="281"/>
      <c r="CL74" s="281"/>
      <c r="CM74" s="281"/>
      <c r="CN74" s="281"/>
      <c r="CU74"/>
      <c r="CV74" s="11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EE74"/>
      <c r="EF74"/>
      <c r="EG74"/>
      <c r="EH74"/>
      <c r="EI74"/>
    </row>
    <row r="75" spans="1:139" s="55" customFormat="1" ht="15" customHeight="1" x14ac:dyDescent="0.25">
      <c r="N75" s="87"/>
      <c r="O75" s="87"/>
      <c r="P75" s="87"/>
      <c r="Q75" s="87"/>
      <c r="R75" s="87"/>
      <c r="S75" s="87"/>
      <c r="T75" s="5"/>
      <c r="U75" s="5"/>
      <c r="V75" s="5"/>
      <c r="W75" s="5"/>
      <c r="X75" s="5"/>
      <c r="BN75" s="475"/>
      <c r="BO75" s="475"/>
      <c r="BS75" s="298"/>
      <c r="BT75" s="298"/>
      <c r="BU75" s="298"/>
      <c r="BV75" s="298"/>
      <c r="BW75" s="298"/>
      <c r="BX75" s="298"/>
      <c r="BY75" s="298"/>
      <c r="BZ75" s="298"/>
      <c r="CA75" s="298"/>
      <c r="CB75" s="298"/>
      <c r="CC75" s="298"/>
      <c r="CD75" s="298"/>
      <c r="CE75" s="298"/>
      <c r="CF75" s="298"/>
      <c r="CG75" s="298"/>
      <c r="CH75" s="298"/>
      <c r="CI75" s="298"/>
      <c r="CJ75" s="298"/>
      <c r="CK75" s="298"/>
      <c r="CL75" s="298"/>
      <c r="CM75" s="298"/>
      <c r="CN75" s="298"/>
      <c r="CU75"/>
      <c r="CV75" s="488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</row>
    <row r="76" spans="1:139" ht="15" customHeight="1" x14ac:dyDescent="0.25">
      <c r="L76" s="75"/>
      <c r="N76" s="57"/>
      <c r="O76" s="57"/>
      <c r="P76" s="57"/>
      <c r="Q76" s="57"/>
      <c r="R76" s="57"/>
      <c r="S76" s="57"/>
      <c r="T76" s="55"/>
      <c r="U76" s="55"/>
      <c r="V76" s="55"/>
      <c r="W76" s="55"/>
      <c r="X76" s="55"/>
      <c r="BS76" s="281"/>
      <c r="BT76" s="281"/>
      <c r="BU76" s="281"/>
      <c r="BV76" s="281"/>
      <c r="BW76" s="281"/>
      <c r="BX76" s="281"/>
      <c r="BY76" s="281"/>
      <c r="BZ76" s="281"/>
      <c r="CA76" s="281"/>
      <c r="CB76" s="281"/>
      <c r="CC76" s="281"/>
      <c r="CD76" s="281"/>
      <c r="CE76" s="281"/>
      <c r="CF76" s="281"/>
      <c r="CG76" s="281"/>
      <c r="CH76" s="281"/>
      <c r="CI76" s="281"/>
      <c r="CJ76" s="281"/>
      <c r="CK76" s="281"/>
      <c r="CL76" s="281"/>
      <c r="CM76" s="281"/>
      <c r="CN76" s="281"/>
      <c r="CU76"/>
      <c r="CV76" s="488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EE76"/>
      <c r="EF76"/>
      <c r="EG76"/>
      <c r="EH76"/>
      <c r="EI76"/>
    </row>
    <row r="77" spans="1:139" ht="15" customHeight="1" x14ac:dyDescent="0.25">
      <c r="L77" s="75"/>
      <c r="N77" s="57"/>
      <c r="O77" s="57"/>
      <c r="P77" s="57"/>
      <c r="Q77" s="57"/>
      <c r="R77" s="57"/>
      <c r="S77" s="57"/>
      <c r="BS77" s="302"/>
      <c r="BT77" s="88"/>
      <c r="BU77" s="89"/>
      <c r="BY77" s="89"/>
      <c r="BZ77" s="281"/>
      <c r="CA77" s="281"/>
      <c r="CB77" s="281"/>
      <c r="CC77" s="281"/>
      <c r="CD77" s="281"/>
      <c r="CE77" s="281"/>
      <c r="CF77" s="281"/>
      <c r="CG77" s="281"/>
      <c r="CH77" s="281"/>
      <c r="CI77" s="281"/>
      <c r="CJ77" s="89"/>
      <c r="CK77" s="89"/>
      <c r="CL77" s="89"/>
      <c r="CM77" s="89"/>
      <c r="CN77" s="89"/>
      <c r="CU77"/>
      <c r="CV77" s="488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EE77"/>
      <c r="EF77"/>
      <c r="EG77"/>
      <c r="EH77"/>
      <c r="EI77"/>
    </row>
    <row r="78" spans="1:139" ht="15" customHeight="1" x14ac:dyDescent="0.25">
      <c r="L78" s="75"/>
      <c r="N78" s="57"/>
      <c r="O78" s="57"/>
      <c r="P78" s="57"/>
      <c r="Q78" s="57"/>
      <c r="R78" s="57"/>
      <c r="S78" s="57"/>
      <c r="BZ78" s="89"/>
      <c r="CA78" s="89"/>
      <c r="CB78" s="89"/>
      <c r="CC78" s="89"/>
      <c r="CD78" s="89"/>
      <c r="CE78" s="89"/>
      <c r="CF78" s="89"/>
      <c r="CG78" s="89"/>
      <c r="CH78" s="89"/>
      <c r="CI78" s="89"/>
      <c r="CU78"/>
      <c r="CV78" s="48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EE78"/>
      <c r="EF78"/>
      <c r="EG78"/>
      <c r="EH78"/>
      <c r="EI78"/>
    </row>
    <row r="79" spans="1:139" ht="15" customHeight="1" x14ac:dyDescent="0.25">
      <c r="L79" s="75"/>
      <c r="N79" s="57"/>
      <c r="O79" s="57"/>
      <c r="P79" s="57"/>
      <c r="Q79" s="57"/>
      <c r="R79" s="57"/>
      <c r="S79" s="57"/>
      <c r="CU79"/>
      <c r="CV79" s="488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EE79"/>
      <c r="EF79"/>
      <c r="EG79"/>
      <c r="EH79"/>
      <c r="EI79"/>
    </row>
    <row r="80" spans="1:139" ht="15" customHeight="1" x14ac:dyDescent="0.25">
      <c r="L80" s="75"/>
      <c r="N80" s="57"/>
      <c r="O80" s="57"/>
      <c r="P80" s="57"/>
      <c r="Q80" s="57"/>
      <c r="R80" s="57"/>
      <c r="S80" s="57"/>
      <c r="CU80"/>
      <c r="CV80" s="488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EE80"/>
      <c r="EF80"/>
      <c r="EG80"/>
      <c r="EH80"/>
      <c r="EI80"/>
    </row>
    <row r="81" spans="12:139" ht="15" customHeight="1" x14ac:dyDescent="0.25">
      <c r="L81" s="75"/>
      <c r="N81" s="57"/>
      <c r="O81" s="57"/>
      <c r="P81" s="57"/>
      <c r="Q81" s="57"/>
      <c r="R81" s="57"/>
      <c r="S81" s="57"/>
      <c r="CU81"/>
      <c r="CV81" s="488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EE81"/>
      <c r="EF81"/>
      <c r="EG81"/>
      <c r="EH81"/>
      <c r="EI81"/>
    </row>
    <row r="82" spans="12:139" ht="15" customHeight="1" x14ac:dyDescent="0.25">
      <c r="L82" s="75"/>
      <c r="N82" s="57"/>
      <c r="O82" s="57"/>
      <c r="P82" s="57"/>
      <c r="Q82" s="57"/>
      <c r="R82" s="57"/>
      <c r="S82" s="57"/>
      <c r="CU82"/>
      <c r="CV82" s="488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EE82"/>
      <c r="EF82"/>
      <c r="EG82"/>
      <c r="EH82"/>
      <c r="EI82"/>
    </row>
    <row r="83" spans="12:139" ht="15" customHeight="1" x14ac:dyDescent="0.25">
      <c r="L83" s="75"/>
      <c r="N83" s="57"/>
      <c r="O83" s="57"/>
      <c r="P83" s="57"/>
      <c r="Q83" s="57"/>
      <c r="R83" s="57"/>
      <c r="S83" s="57"/>
      <c r="CU83"/>
      <c r="CV83" s="488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EE83"/>
      <c r="EF83"/>
      <c r="EG83"/>
      <c r="EH83"/>
      <c r="EI83"/>
    </row>
    <row r="84" spans="12:139" ht="15" customHeight="1" x14ac:dyDescent="0.25">
      <c r="L84" s="75"/>
      <c r="N84" s="57"/>
      <c r="O84" s="57"/>
      <c r="P84" s="57"/>
      <c r="Q84" s="57"/>
      <c r="R84" s="57"/>
      <c r="S84" s="57"/>
    </row>
    <row r="85" spans="12:139" ht="15" customHeight="1" x14ac:dyDescent="0.25">
      <c r="L85" s="75"/>
      <c r="N85" s="57"/>
      <c r="O85" s="57"/>
      <c r="P85" s="57"/>
      <c r="Q85" s="57"/>
      <c r="R85" s="57"/>
      <c r="S85" s="57"/>
    </row>
    <row r="86" spans="12:139" ht="15" customHeight="1" x14ac:dyDescent="0.25">
      <c r="L86" s="75"/>
      <c r="N86" s="57"/>
      <c r="O86" s="57"/>
      <c r="P86" s="57"/>
      <c r="Q86" s="57"/>
      <c r="R86" s="57"/>
      <c r="S86" s="57"/>
    </row>
    <row r="87" spans="12:139" ht="15" customHeight="1" x14ac:dyDescent="0.25">
      <c r="L87" s="75"/>
      <c r="N87" s="57"/>
      <c r="O87" s="57"/>
      <c r="P87" s="57"/>
      <c r="Q87" s="57"/>
      <c r="R87" s="57"/>
      <c r="S87" s="57"/>
    </row>
    <row r="88" spans="12:139" ht="15" customHeight="1" x14ac:dyDescent="0.25">
      <c r="L88" s="75"/>
      <c r="N88" s="57"/>
      <c r="O88" s="57"/>
      <c r="P88" s="57"/>
      <c r="Q88" s="57"/>
      <c r="R88" s="57"/>
      <c r="S88" s="57"/>
      <c r="BP88"/>
      <c r="CU88"/>
      <c r="CV88" s="4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</row>
    <row r="89" spans="12:139" ht="15" customHeight="1" x14ac:dyDescent="0.25">
      <c r="L89" s="75"/>
      <c r="N89" s="57"/>
      <c r="O89" s="57"/>
      <c r="P89" s="57"/>
      <c r="Q89" s="57"/>
      <c r="R89" s="57"/>
      <c r="S89" s="57"/>
      <c r="BP89"/>
      <c r="CU89"/>
      <c r="CV89" s="488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</row>
    <row r="90" spans="12:139" ht="15" customHeight="1" x14ac:dyDescent="0.25">
      <c r="L90" s="75"/>
      <c r="N90" s="57"/>
      <c r="O90" s="57"/>
      <c r="P90" s="57"/>
      <c r="Q90" s="57"/>
      <c r="R90" s="57"/>
      <c r="S90" s="57"/>
      <c r="BP90"/>
      <c r="CU90"/>
      <c r="CV90" s="488"/>
      <c r="CW90"/>
      <c r="CX90"/>
      <c r="CY90"/>
      <c r="CZ90"/>
      <c r="DA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</row>
    <row r="91" spans="12:139" ht="15" customHeight="1" x14ac:dyDescent="0.25">
      <c r="L91" s="75"/>
      <c r="N91" s="57"/>
      <c r="O91" s="57"/>
      <c r="P91" s="57"/>
      <c r="Q91" s="57"/>
      <c r="R91" s="57"/>
      <c r="S91" s="57"/>
      <c r="BP91"/>
      <c r="CU91"/>
      <c r="CV91" s="488"/>
      <c r="CW91"/>
      <c r="CX91"/>
      <c r="CY91"/>
      <c r="CZ91"/>
      <c r="DA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</row>
    <row r="92" spans="12:139" ht="15" customHeight="1" x14ac:dyDescent="0.25">
      <c r="L92" s="75"/>
      <c r="N92" s="57"/>
      <c r="O92" s="57"/>
      <c r="P92" s="57"/>
      <c r="Q92" s="57"/>
      <c r="R92" s="57"/>
      <c r="S92" s="57"/>
      <c r="BP92"/>
      <c r="CU92"/>
      <c r="CV92" s="488"/>
      <c r="CW92"/>
      <c r="CX92"/>
      <c r="CY92"/>
      <c r="CZ92"/>
      <c r="DA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</row>
    <row r="93" spans="12:139" ht="15" customHeight="1" x14ac:dyDescent="0.25">
      <c r="L93" s="75"/>
      <c r="N93" s="57"/>
      <c r="O93" s="57"/>
      <c r="P93" s="57"/>
      <c r="Q93" s="57"/>
      <c r="R93" s="57"/>
      <c r="S93" s="57"/>
      <c r="BP93"/>
      <c r="CU93"/>
      <c r="CV93" s="488"/>
      <c r="CW93"/>
      <c r="CX93"/>
      <c r="CY93"/>
      <c r="CZ93"/>
      <c r="DA93"/>
      <c r="DB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</row>
    <row r="94" spans="12:139" ht="15" customHeight="1" x14ac:dyDescent="0.25">
      <c r="L94" s="75"/>
      <c r="N94" s="57"/>
      <c r="O94" s="57"/>
      <c r="P94" s="57"/>
      <c r="Q94" s="57"/>
      <c r="R94" s="57"/>
      <c r="S94" s="57"/>
      <c r="BP94"/>
      <c r="CU94"/>
      <c r="CV94" s="488"/>
      <c r="CW94"/>
      <c r="CX94"/>
      <c r="CY94"/>
      <c r="CZ94"/>
      <c r="DA94"/>
      <c r="DB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</row>
    <row r="95" spans="12:139" ht="15" customHeight="1" x14ac:dyDescent="0.25">
      <c r="L95" s="75"/>
      <c r="N95" s="57"/>
      <c r="O95" s="57"/>
      <c r="P95" s="57"/>
      <c r="Q95" s="57"/>
      <c r="R95" s="57"/>
      <c r="S95" s="57"/>
      <c r="BP95"/>
      <c r="CU95"/>
      <c r="CV95" s="488"/>
      <c r="CW95"/>
      <c r="CX95"/>
      <c r="CY95"/>
      <c r="CZ95"/>
      <c r="DA95"/>
      <c r="DB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</row>
    <row r="96" spans="12:139" ht="15" customHeight="1" x14ac:dyDescent="0.25">
      <c r="L96" s="75"/>
      <c r="N96" s="57"/>
      <c r="O96" s="57"/>
      <c r="P96" s="57"/>
      <c r="Q96" s="57"/>
      <c r="R96" s="57"/>
      <c r="S96" s="57"/>
      <c r="BP96"/>
      <c r="CU96"/>
      <c r="CV96" s="488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</row>
    <row r="97" spans="12:126" ht="15" customHeight="1" x14ac:dyDescent="0.25">
      <c r="L97" s="75"/>
      <c r="N97" s="57"/>
      <c r="O97" s="57"/>
      <c r="P97" s="57"/>
      <c r="Q97" s="57"/>
      <c r="R97" s="57"/>
      <c r="S97" s="57"/>
      <c r="BP97"/>
      <c r="CU97"/>
      <c r="CV97" s="488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</row>
    <row r="98" spans="12:126" ht="15" customHeight="1" x14ac:dyDescent="0.25">
      <c r="L98" s="75"/>
      <c r="N98" s="57"/>
      <c r="O98" s="57"/>
      <c r="P98" s="57"/>
      <c r="Q98" s="57"/>
      <c r="R98" s="57"/>
      <c r="S98" s="57"/>
      <c r="BP98"/>
      <c r="CU98"/>
      <c r="CV98" s="48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</row>
    <row r="99" spans="12:126" ht="15" customHeight="1" x14ac:dyDescent="0.25">
      <c r="L99" s="75"/>
      <c r="N99" s="57"/>
      <c r="O99" s="57"/>
      <c r="P99" s="57"/>
      <c r="Q99" s="57"/>
      <c r="R99" s="57"/>
      <c r="S99" s="57"/>
      <c r="BP99"/>
      <c r="CU99"/>
      <c r="CV99" s="488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</row>
    <row r="100" spans="12:126" ht="15" customHeight="1" x14ac:dyDescent="0.25">
      <c r="L100" s="75"/>
      <c r="N100" s="57"/>
      <c r="O100" s="57"/>
      <c r="P100" s="57"/>
      <c r="Q100" s="57"/>
      <c r="R100" s="57"/>
      <c r="S100" s="57"/>
      <c r="BP100"/>
      <c r="CU100"/>
      <c r="CV100" s="488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</row>
    <row r="101" spans="12:126" ht="15" customHeight="1" x14ac:dyDescent="0.25">
      <c r="L101" s="75"/>
      <c r="N101" s="57"/>
      <c r="O101" s="57"/>
      <c r="P101" s="57"/>
      <c r="Q101" s="57"/>
      <c r="R101" s="57"/>
      <c r="S101" s="57"/>
      <c r="BP101"/>
      <c r="CU101"/>
      <c r="CV101" s="488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</row>
    <row r="102" spans="12:126" ht="15" customHeight="1" x14ac:dyDescent="0.25">
      <c r="L102" s="75"/>
      <c r="N102" s="57"/>
      <c r="O102" s="57"/>
      <c r="P102" s="57"/>
      <c r="Q102" s="57"/>
      <c r="R102" s="57"/>
      <c r="S102" s="57"/>
      <c r="BP102"/>
      <c r="CU102"/>
      <c r="CV102" s="488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</row>
    <row r="103" spans="12:126" ht="15" customHeight="1" x14ac:dyDescent="0.25">
      <c r="L103" s="75"/>
      <c r="N103" s="57"/>
      <c r="O103" s="57"/>
      <c r="P103" s="57"/>
      <c r="Q103" s="57"/>
      <c r="R103" s="57"/>
      <c r="S103" s="57"/>
      <c r="BP103"/>
      <c r="CU103"/>
      <c r="CV103" s="488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</row>
    <row r="104" spans="12:126" ht="15" customHeight="1" x14ac:dyDescent="0.25">
      <c r="L104" s="75"/>
      <c r="N104" s="57"/>
      <c r="O104" s="57"/>
      <c r="P104" s="57"/>
      <c r="Q104" s="57"/>
      <c r="R104" s="57"/>
      <c r="S104" s="57"/>
      <c r="BP104"/>
      <c r="CU104"/>
      <c r="CV104" s="488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</row>
    <row r="105" spans="12:126" ht="15" customHeight="1" x14ac:dyDescent="0.25">
      <c r="L105" s="75"/>
      <c r="N105" s="57"/>
      <c r="O105" s="57"/>
      <c r="P105" s="57"/>
      <c r="Q105" s="57"/>
      <c r="R105" s="57"/>
      <c r="S105" s="57"/>
      <c r="BP105"/>
      <c r="CU105"/>
      <c r="CV105" s="488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</row>
    <row r="106" spans="12:126" ht="15" customHeight="1" x14ac:dyDescent="0.25">
      <c r="L106" s="75"/>
      <c r="N106" s="57"/>
      <c r="O106" s="57"/>
      <c r="P106" s="57"/>
      <c r="Q106" s="57"/>
      <c r="R106" s="57"/>
      <c r="S106" s="57"/>
      <c r="BP106"/>
      <c r="CU106"/>
      <c r="CV106" s="488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</row>
    <row r="107" spans="12:126" ht="15" customHeight="1" x14ac:dyDescent="0.25">
      <c r="L107" s="75"/>
      <c r="N107" s="57"/>
      <c r="O107" s="57"/>
      <c r="P107" s="57"/>
      <c r="Q107" s="57"/>
      <c r="R107" s="57"/>
      <c r="S107" s="57"/>
      <c r="BP107"/>
      <c r="CU107"/>
      <c r="CV107" s="488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</row>
    <row r="108" spans="12:126" ht="15" customHeight="1" x14ac:dyDescent="0.25">
      <c r="L108" s="75"/>
      <c r="N108" s="57"/>
      <c r="O108" s="57"/>
      <c r="P108" s="57"/>
      <c r="Q108" s="57"/>
      <c r="R108" s="57"/>
      <c r="S108" s="57"/>
      <c r="BP108"/>
      <c r="CU108"/>
      <c r="CV108" s="48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</row>
    <row r="109" spans="12:126" ht="15" customHeight="1" x14ac:dyDescent="0.25">
      <c r="L109" s="75"/>
      <c r="N109" s="57"/>
      <c r="O109" s="57"/>
      <c r="P109" s="57"/>
      <c r="Q109" s="57"/>
      <c r="R109" s="57"/>
      <c r="S109" s="57"/>
      <c r="BP109"/>
      <c r="CU109"/>
      <c r="CV109" s="488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</row>
    <row r="110" spans="12:126" ht="15" customHeight="1" x14ac:dyDescent="0.25">
      <c r="L110" s="75"/>
      <c r="N110" s="57"/>
      <c r="O110" s="57"/>
      <c r="P110" s="57"/>
      <c r="Q110" s="57"/>
      <c r="R110" s="57"/>
      <c r="S110" s="57"/>
      <c r="BP110"/>
      <c r="CU110"/>
      <c r="CV110" s="488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</row>
    <row r="111" spans="12:126" ht="15" customHeight="1" x14ac:dyDescent="0.25">
      <c r="N111" s="57"/>
      <c r="O111" s="57"/>
      <c r="P111" s="57"/>
      <c r="Q111" s="57"/>
      <c r="R111" s="57"/>
      <c r="S111" s="57"/>
      <c r="BP111"/>
      <c r="CU111"/>
      <c r="CV111" s="488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</row>
    <row r="112" spans="12:126" ht="15" customHeight="1" x14ac:dyDescent="0.25">
      <c r="N112" s="57"/>
      <c r="O112" s="57"/>
      <c r="P112" s="57"/>
      <c r="Q112" s="57"/>
      <c r="R112" s="57"/>
      <c r="S112" s="57"/>
      <c r="BP112"/>
      <c r="CU112"/>
      <c r="CV112" s="488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</row>
    <row r="113" spans="14:126" ht="15" customHeight="1" x14ac:dyDescent="0.25">
      <c r="N113" s="57"/>
      <c r="O113" s="57"/>
      <c r="P113" s="57"/>
      <c r="Q113" s="57"/>
      <c r="R113" s="57"/>
      <c r="S113" s="57"/>
      <c r="BP113"/>
      <c r="CU113"/>
      <c r="CV113" s="488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</row>
    <row r="114" spans="14:126" ht="15" customHeight="1" x14ac:dyDescent="0.25">
      <c r="N114" s="57"/>
      <c r="O114" s="57"/>
      <c r="P114" s="57"/>
      <c r="Q114" s="57"/>
      <c r="R114" s="57"/>
      <c r="S114" s="57"/>
      <c r="BP114"/>
      <c r="CU114"/>
      <c r="CV114" s="488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</row>
    <row r="115" spans="14:126" ht="15" customHeight="1" x14ac:dyDescent="0.25">
      <c r="N115" s="57"/>
      <c r="O115" s="57"/>
      <c r="P115" s="57"/>
      <c r="Q115" s="57"/>
      <c r="R115" s="57"/>
      <c r="S115" s="57"/>
      <c r="BP115"/>
      <c r="CU115"/>
      <c r="CV115" s="488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</row>
    <row r="116" spans="14:126" ht="15" customHeight="1" x14ac:dyDescent="0.25">
      <c r="N116" s="57"/>
      <c r="O116" s="57"/>
      <c r="P116" s="57"/>
      <c r="Q116" s="57"/>
      <c r="R116" s="57"/>
      <c r="S116" s="57"/>
      <c r="BP116"/>
      <c r="CU116"/>
      <c r="CV116" s="488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</row>
    <row r="117" spans="14:126" ht="15" customHeight="1" x14ac:dyDescent="0.25">
      <c r="N117" s="57"/>
      <c r="O117" s="57"/>
      <c r="P117" s="57"/>
      <c r="Q117" s="57"/>
      <c r="R117" s="57"/>
      <c r="S117" s="57"/>
      <c r="BP117"/>
      <c r="CU117"/>
      <c r="CV117" s="488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</row>
    <row r="118" spans="14:126" ht="15" customHeight="1" x14ac:dyDescent="0.25">
      <c r="N118" s="57"/>
      <c r="O118" s="57"/>
      <c r="P118" s="57"/>
      <c r="Q118" s="57"/>
      <c r="R118" s="57"/>
      <c r="S118" s="57"/>
      <c r="BP118"/>
      <c r="CU118"/>
      <c r="CV118" s="48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</row>
    <row r="119" spans="14:126" ht="15" customHeight="1" x14ac:dyDescent="0.25">
      <c r="N119" s="57"/>
      <c r="O119" s="57"/>
      <c r="P119" s="57"/>
      <c r="Q119" s="57"/>
      <c r="R119" s="57"/>
      <c r="S119" s="57"/>
      <c r="BP119"/>
      <c r="CU119"/>
      <c r="CV119" s="488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</row>
    <row r="120" spans="14:126" ht="15" customHeight="1" x14ac:dyDescent="0.25">
      <c r="N120" s="57"/>
      <c r="O120" s="57"/>
      <c r="P120" s="57"/>
      <c r="Q120" s="57"/>
      <c r="R120" s="57"/>
      <c r="S120" s="57"/>
    </row>
    <row r="121" spans="14:126" ht="15" customHeight="1" x14ac:dyDescent="0.25">
      <c r="N121" s="57"/>
      <c r="O121" s="57"/>
      <c r="Q121" s="57"/>
      <c r="R121" s="57"/>
      <c r="S121" s="57"/>
    </row>
    <row r="122" spans="14:126" ht="15" customHeight="1" x14ac:dyDescent="0.25">
      <c r="N122" s="57"/>
      <c r="O122" s="57"/>
      <c r="Q122" s="57"/>
      <c r="R122" s="57"/>
      <c r="S122" s="57"/>
    </row>
    <row r="123" spans="14:126" ht="15" customHeight="1" x14ac:dyDescent="0.25">
      <c r="N123" s="57"/>
      <c r="O123" s="57"/>
    </row>
    <row r="124" spans="14:126" ht="15" customHeight="1" x14ac:dyDescent="0.25">
      <c r="N124" s="57"/>
      <c r="O124" s="57"/>
    </row>
    <row r="125" spans="14:126" ht="15" customHeight="1" x14ac:dyDescent="0.25">
      <c r="N125" s="57"/>
      <c r="O125" s="57"/>
    </row>
    <row r="126" spans="14:126" ht="15" customHeight="1" x14ac:dyDescent="0.25">
      <c r="N126" s="57"/>
      <c r="O126" s="57"/>
    </row>
    <row r="127" spans="14:126" ht="15" customHeight="1" x14ac:dyDescent="0.25">
      <c r="N127" s="57"/>
      <c r="O127" s="57"/>
    </row>
    <row r="128" spans="14:126" ht="15" customHeight="1" x14ac:dyDescent="0.25">
      <c r="N128" s="57"/>
      <c r="O128" s="57"/>
    </row>
  </sheetData>
  <customSheetViews>
    <customSheetView guid="{D358E58B-5EA6-4EB2-8562-4D9FEBA8EA54}" scale="75" showPageBreaks="1" fitToPage="1" printArea="1" showRuler="0" topLeftCell="EP13">
      <selection activeCell="ET21" sqref="ET21:EX41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orientation="portrait" horizontalDpi="1200" verticalDpi="1200" r:id="rId1"/>
      <headerFooter alignWithMargins="0"/>
    </customSheetView>
    <customSheetView guid="{DD70B4E1-CC64-4568-BFD6-83390A7B0268}" scale="75" showPageBreaks="1" fitToPage="1" printArea="1" showRuler="0" topLeftCell="J1">
      <selection activeCell="M1" sqref="M1:Q33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"/>
      <headerFooter alignWithMargins="0"/>
    </customSheetView>
    <customSheetView guid="{1E64D771-8C52-4EFE-8F0D-67326F432767}" scale="75" showPageBreaks="1" fitToPage="1" printArea="1" showRuler="0" topLeftCell="O1">
      <selection activeCell="R1" sqref="R1:V27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3"/>
      <headerFooter alignWithMargins="0"/>
    </customSheetView>
    <customSheetView guid="{8920654A-B782-40BF-9A51-A43F20A27C02}" scale="75" showPageBreaks="1" fitToPage="1" printArea="1" showRuler="0" topLeftCell="R1">
      <selection activeCell="W1" sqref="W1:Z31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4"/>
      <headerFooter alignWithMargins="0"/>
    </customSheetView>
    <customSheetView guid="{F985D028-064A-46CA-9D34-E4E9B88A9B3C}" scale="75" showPageBreaks="1" fitToPage="1" printArea="1" showRuler="0" topLeftCell="V1">
      <selection activeCell="AA1" sqref="AA1:AD31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5"/>
      <headerFooter alignWithMargins="0"/>
    </customSheetView>
    <customSheetView guid="{CD5012F4-E6A6-495E-BF90-5F6D9EE7AF29}" scale="75" showPageBreaks="1" fitToPage="1" printArea="1" showRuler="0" topLeftCell="AA1">
      <selection activeCell="AE1" sqref="AE1:AI25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6"/>
      <headerFooter alignWithMargins="0"/>
    </customSheetView>
    <customSheetView guid="{14262664-129C-4E9B-8245-4B43AF19E33A}" scale="75" showPageBreaks="1" fitToPage="1" printArea="1" showRuler="0" topLeftCell="AG39">
      <selection activeCell="AJ1" sqref="AJ1:AN40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7"/>
      <headerFooter alignWithMargins="0"/>
    </customSheetView>
    <customSheetView guid="{8E7EA697-A1C1-4FA5-9CC7-93304413A154}" scale="75" showPageBreaks="1" fitToPage="1" printArea="1" showRuler="0" topLeftCell="AL1">
      <selection activeCell="AO1" sqref="AO1:AV21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8"/>
      <headerFooter alignWithMargins="0"/>
    </customSheetView>
    <customSheetView guid="{F531E925-9E0B-409C-9EAA-ADCDD51D6BA7}" scale="75" showPageBreaks="1" fitToPage="1" printArea="1" showRuler="0" topLeftCell="AW1">
      <selection activeCell="AW1" sqref="AW1:BA30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9"/>
      <headerFooter alignWithMargins="0"/>
    </customSheetView>
    <customSheetView guid="{4840C72E-33E7-45CF-A897-030BC56F6B90}" scale="75" showPageBreaks="1" fitToPage="1" printArea="1" showRuler="0" topLeftCell="AY1">
      <selection activeCell="BB1" sqref="BB1:BG23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0"/>
      <headerFooter alignWithMargins="0"/>
    </customSheetView>
    <customSheetView guid="{40B7FB48-DAE3-4682-852F-AC0650D2BE14}" scale="75" showPageBreaks="1" fitToPage="1" printArea="1" showRuler="0" topLeftCell="BD1">
      <selection activeCell="BH1" sqref="BH1:BL27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1"/>
      <headerFooter alignWithMargins="0"/>
    </customSheetView>
    <customSheetView guid="{A3FBC4C2-6ECB-480C-89DD-35506B048870}" scale="75" showPageBreaks="1" fitToPage="1" printArea="1" showRuler="0" topLeftCell="BH1">
      <selection activeCell="BM1" sqref="BM1:BP1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2"/>
      <headerFooter alignWithMargins="0"/>
    </customSheetView>
    <customSheetView guid="{EDF3DC03-FBB9-4397-9335-6FA548B9B5CD}" scale="75" showPageBreaks="1" fitToPage="1" printArea="1" showRuler="0" topLeftCell="BQ1">
      <selection activeCell="BQ1" sqref="BQ1:BU18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3"/>
      <headerFooter alignWithMargins="0"/>
    </customSheetView>
    <customSheetView guid="{605C023E-A5C7-400F-9AAA-827B8FDB13A8}" scale="75" showPageBreaks="1" fitToPage="1" printArea="1" showRuler="0" topLeftCell="BQ1">
      <selection activeCell="BV1" sqref="BV1:BZ20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4"/>
      <headerFooter alignWithMargins="0"/>
    </customSheetView>
    <customSheetView guid="{3DB8EC99-BD55-4ABF-B71E-F70797B0173C}" scale="75" showPageBreaks="1" fitToPage="1" printArea="1" showRuler="0" topLeftCell="BS1">
      <selection activeCell="CA1" sqref="CA1:CD15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5"/>
      <headerFooter alignWithMargins="0"/>
    </customSheetView>
    <customSheetView guid="{62EE4FB2-B9F8-4C5D-BC5C-181361F6DD86}" scale="75" showPageBreaks="1" fitToPage="1" printArea="1" showRuler="0" topLeftCell="BZ1">
      <selection activeCell="CE1" sqref="CE1:CI20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6"/>
      <headerFooter alignWithMargins="0"/>
    </customSheetView>
    <customSheetView guid="{BBEC464C-25F9-4835-BB05-13062D5DEAC1}" scale="75" showPageBreaks="1" fitToPage="1" printArea="1" showRuler="0" topLeftCell="CE1">
      <selection activeCell="CJ1" sqref="CJ1:CM35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7"/>
      <headerFooter alignWithMargins="0"/>
    </customSheetView>
    <customSheetView guid="{88A240CE-F5A6-4995-A526-0E22BADCFF6D}" scale="75" showPageBreaks="1" fitToPage="1" printArea="1" showRuler="0" topLeftCell="CI1">
      <selection activeCell="CN1" sqref="CN1:CP24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8"/>
      <headerFooter alignWithMargins="0"/>
    </customSheetView>
    <customSheetView guid="{3834E606-B28A-4696-9192-7BDA898195A1}" scale="75" showPageBreaks="1" fitToPage="1" printArea="1" showRuler="0" topLeftCell="CN1">
      <selection activeCell="CQ1" sqref="CQ1:CU18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9"/>
      <headerFooter alignWithMargins="0"/>
    </customSheetView>
    <customSheetView guid="{D564613F-7CF3-40DE-8CDA-0C25C1F35855}" scale="75" showPageBreaks="1" fitToPage="1" printArea="1" showRuler="0" topLeftCell="CQ1">
      <selection activeCell="CV1" sqref="CV1:CZ18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0"/>
      <headerFooter alignWithMargins="0"/>
    </customSheetView>
    <customSheetView guid="{BA39091D-C7FC-45D0-82A3-5E4EAAFABA5A}" scale="75" showPageBreaks="1" fitToPage="1" printArea="1" showRuler="0" topLeftCell="CV1">
      <selection activeCell="DA1" sqref="DA1:DG27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1"/>
      <headerFooter alignWithMargins="0"/>
    </customSheetView>
    <customSheetView guid="{3797879C-3298-4122-A12D-3DFD0284FBDD}" scale="75" showPageBreaks="1" fitToPage="1" printArea="1" showRuler="0" topLeftCell="DA1">
      <selection activeCell="DH1" sqref="DH1:DK2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2"/>
      <headerFooter alignWithMargins="0"/>
    </customSheetView>
    <customSheetView guid="{46E5C546-9AEA-4E06-B017-805B7E255C92}" scale="75" showPageBreaks="1" fitToPage="1" printArea="1" showRuler="0" topLeftCell="DG1">
      <selection activeCell="DL1" sqref="DL1:DP23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3"/>
      <headerFooter alignWithMargins="0"/>
    </customSheetView>
    <customSheetView guid="{813D7A4F-EDF6-49ED-B8FD-B74D0B9276AB}" scale="75" showPageBreaks="1" fitToPage="1" printArea="1" showRuler="0" topLeftCell="DJ1">
      <selection activeCell="DQ1" sqref="DQ1:DT25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4"/>
      <headerFooter alignWithMargins="0"/>
    </customSheetView>
    <customSheetView guid="{28C5A156-92F3-4234-9C7A-A32D75F798CC}" scale="75" showPageBreaks="1" fitToPage="1" printArea="1" showRuler="0" topLeftCell="DR1">
      <selection activeCell="DU1" sqref="DU1:DY48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5"/>
      <headerFooter alignWithMargins="0"/>
    </customSheetView>
    <customSheetView guid="{E98B4028-3602-46AA-8C00-41FD8ABF8836}" scale="75" showPageBreaks="1" fitToPage="1" printArea="1" showRuler="0" topLeftCell="DW1">
      <selection activeCell="DZ1" sqref="DZ1:ED28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6"/>
      <headerFooter alignWithMargins="0"/>
    </customSheetView>
    <customSheetView guid="{41713566-6DDC-4C14-8259-D9C15B9E45DD}" scale="75" showPageBreaks="1" fitToPage="1" printArea="1" showRuler="0" topLeftCell="DZ1">
      <selection activeCell="EE1" sqref="EE1:EH1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7"/>
      <headerFooter alignWithMargins="0"/>
    </customSheetView>
    <customSheetView guid="{990691EF-FF43-4000-BCD8-6862D2BAD44A}" scale="75" showPageBreaks="1" fitToPage="1" printArea="1" showRuler="0" topLeftCell="EE1">
      <selection activeCell="EI1" sqref="EI1:EM18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8"/>
      <headerFooter alignWithMargins="0"/>
    </customSheetView>
    <customSheetView guid="{17768135-68BF-4539-94C0-50ED7816A698}" scale="75" showPageBreaks="1" fitToPage="1" printArea="1" showRuler="0" topLeftCell="EK1">
      <selection activeCell="EN1" sqref="EN1:ER58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9"/>
      <headerFooter alignWithMargins="0"/>
    </customSheetView>
    <customSheetView guid="{DF4E3B04-E442-43A1-A47D-E26F6CE7F11C}" scale="75" showPageBreaks="1" fitToPage="1" printArea="1" showRuler="0" topLeftCell="EP28">
      <selection activeCell="ET42" sqref="ET42:EX65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30"/>
      <headerFooter alignWithMargins="0"/>
    </customSheetView>
    <customSheetView guid="{2DBDF3D7-BA4D-404D-AE4B-DFD7008C0411}" scale="75" showPageBreaks="1" fitToPage="1" printArea="1" showRuler="0" topLeftCell="EY1">
      <selection activeCell="EZ1" sqref="EZ1:FI5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61" orientation="landscape" horizontalDpi="1200" verticalDpi="1200" r:id="rId31"/>
      <headerFooter alignWithMargins="0"/>
    </customSheetView>
    <customSheetView guid="{423F2953-9177-4482-AE78-C7C47BA8995B}" scale="75" showPageBreaks="1" fitToPage="1" printArea="1" showRuler="0" topLeftCell="FJ1">
      <selection activeCell="FJ1" sqref="FJ1:FS5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61" orientation="landscape" horizontalDpi="1200" verticalDpi="1200" r:id="rId32"/>
      <headerFooter alignWithMargins="0"/>
    </customSheetView>
    <customSheetView guid="{E2C26153-D457-4603-B564-60CFADB5026B}" scale="75" showPageBreaks="1" fitToPage="1" printArea="1" showRuler="0" topLeftCell="FU1">
      <selection activeCell="FT1" sqref="FT1:GD5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61" orientation="landscape" horizontalDpi="1200" verticalDpi="1200" r:id="rId33"/>
      <headerFooter alignWithMargins="0"/>
    </customSheetView>
    <customSheetView guid="{C3CE34FF-D7D7-4ECF-B6E1-4700E3130E94}" scale="75" showPageBreaks="1" fitToPage="1" printArea="1" showRuler="0" topLeftCell="GH1">
      <selection activeCell="GE1" sqref="GE1:GN5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61" orientation="landscape" horizontalDpi="1200" verticalDpi="1200" r:id="rId34"/>
      <headerFooter alignWithMargins="0"/>
    </customSheetView>
    <customSheetView guid="{067119CC-1C61-43DB-B4BB-54397DC63A91}" scale="75" showPageBreaks="1" fitToPage="1" printArea="1" showRuler="0" topLeftCell="GO39">
      <selection activeCell="GO1" sqref="GO1:GW5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61" orientation="landscape" horizontalDpi="1200" verticalDpi="1200" r:id="rId35"/>
      <headerFooter alignWithMargins="0"/>
    </customSheetView>
    <customSheetView guid="{FEFCE477-944B-4DAC-AD75-686CC83D0F0B}" scale="75" showPageBreaks="1" fitToPage="1" printArea="1" showRuler="0">
      <selection sqref="A1:G4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36"/>
      <headerFooter alignWithMargins="0"/>
    </customSheetView>
    <customSheetView guid="{D034A8AA-A968-4D12-B6AF-09F53E5CD513}" scale="75" showPageBreaks="1" fitToPage="1" printArea="1" showRuler="0" topLeftCell="G39">
      <selection activeCell="H1" sqref="H1:L52"/>
      <colBreaks count="4" manualBreakCount="4">
        <brk id="160" max="58" man="1"/>
        <brk id="170" max="58" man="1"/>
        <brk id="179" max="58" man="1"/>
        <brk id="190" max="58" man="1"/>
      </colBreaks>
      <pageMargins left="0.5" right="0.5" top="0.28000000000000003" bottom="0.37" header="0.25" footer="0.18"/>
      <printOptions horizontalCentered="1"/>
      <pageSetup scale="94" orientation="portrait" horizontalDpi="1200" verticalDpi="1200" r:id="rId37"/>
      <headerFooter alignWithMargins="0"/>
    </customSheetView>
    <customSheetView guid="{ACABE5FC-E604-45C9-ACB7-53C863CA19F6}" scale="75" showPageBreaks="1" fitToPage="1" printArea="1" showRuler="0" topLeftCell="EP1">
      <selection activeCell="ET1" sqref="ET1:EX19"/>
      <colBreaks count="4" manualBreakCount="4">
        <brk id="160" max="58" man="1"/>
        <brk id="170" max="58" man="1"/>
        <brk id="179" max="58" man="1"/>
        <brk id="190" max="58" man="1"/>
      </colBreaks>
      <pageMargins left="0.5" right="0.5" top="0.28000000000000003" bottom="0.37" header="0.25" footer="0.18"/>
      <printOptions horizontalCentered="1"/>
      <pageSetup orientation="portrait" horizontalDpi="1200" verticalDpi="1200" r:id="rId38"/>
      <headerFooter alignWithMargins="0"/>
    </customSheetView>
  </customSheetViews>
  <phoneticPr fontId="10" type="noConversion"/>
  <conditionalFormatting sqref="E38">
    <cfRule type="cellIs" dxfId="0" priority="11" operator="notEqual">
      <formula>0</formula>
    </cfRule>
  </conditionalFormatting>
  <printOptions horizontalCentered="1"/>
  <pageMargins left="0.5" right="0.25" top="0.78" bottom="0.45" header="0.25" footer="0.18"/>
  <pageSetup orientation="portrait" r:id="rId39"/>
  <headerFooter alignWithMargins="0"/>
  <colBreaks count="1" manualBreakCount="1">
    <brk id="111" max="60" man="1"/>
  </colBreaks>
  <customProperties>
    <customPr name="_pios_id" r:id="rId40"/>
  </customProperties>
  <ignoredErrors>
    <ignoredError sqref="DQ20:DQ23 DU20:DU23 DU28 DV48 DQ29 DV50 DV46 DT19:DT28 DV15:DV28 DT29:DV29 DJ56:DJ59 DQ46 CX17 DQ50:DQ53 DQ60 CW40 CW16:CW19 CW47 DV30:DV44 DT30:DT44 CW20:CX39 DT56:DV60 DV52:DV54 DJ36:DJ54 DT45:DU46 DT48:DU54 DT47 DQ48 CW48:CX54 CW56:CX60 CW41:CX4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activeCell="D52" sqref="D52"/>
    </sheetView>
  </sheetViews>
  <sheetFormatPr defaultColWidth="10.7109375" defaultRowHeight="13.2" x14ac:dyDescent="0.25"/>
  <cols>
    <col min="1" max="1" width="3.85546875" style="353" bestFit="1" customWidth="1"/>
    <col min="2" max="2" width="36.85546875" style="353" bestFit="1" customWidth="1"/>
    <col min="3" max="3" width="19.42578125" style="353" customWidth="1"/>
    <col min="4" max="4" width="12.7109375" style="353" customWidth="1"/>
    <col min="5" max="5" width="12" style="353" customWidth="1"/>
    <col min="6" max="6" width="14.140625" style="353" customWidth="1"/>
    <col min="7" max="7" width="4" style="353" bestFit="1" customWidth="1"/>
    <col min="8" max="8" width="14.28515625" style="353" bestFit="1" customWidth="1"/>
    <col min="9" max="9" width="12.28515625" style="353" bestFit="1" customWidth="1"/>
    <col min="10" max="10" width="18.7109375" style="353" bestFit="1" customWidth="1"/>
    <col min="11" max="13" width="10.85546875" style="353" bestFit="1" customWidth="1"/>
    <col min="14" max="16384" width="10.7109375" style="353"/>
  </cols>
  <sheetData>
    <row r="1" spans="1:14" ht="13.8" thickBot="1" x14ac:dyDescent="0.3">
      <c r="B1" s="354"/>
      <c r="F1" s="441">
        <v>1.02</v>
      </c>
    </row>
    <row r="2" spans="1:14" ht="12.75" customHeight="1" x14ac:dyDescent="0.25">
      <c r="A2" s="355" t="s">
        <v>227</v>
      </c>
      <c r="B2" s="355"/>
      <c r="C2" s="355"/>
      <c r="D2" s="355"/>
      <c r="E2" s="355"/>
      <c r="F2" s="356"/>
      <c r="G2" s="356"/>
    </row>
    <row r="3" spans="1:14" ht="12.75" customHeight="1" x14ac:dyDescent="0.25">
      <c r="A3" s="355"/>
      <c r="B3" s="355"/>
      <c r="C3" s="355"/>
      <c r="D3" s="355"/>
      <c r="E3" s="355"/>
      <c r="F3" s="356"/>
      <c r="G3" s="356"/>
    </row>
    <row r="4" spans="1:14" ht="12.75" customHeight="1" x14ac:dyDescent="0.25">
      <c r="A4" s="355" t="s">
        <v>291</v>
      </c>
      <c r="B4" s="355"/>
      <c r="C4" s="355"/>
      <c r="D4" s="355"/>
      <c r="E4" s="355"/>
      <c r="F4" s="356"/>
      <c r="G4" s="356"/>
    </row>
    <row r="5" spans="1:14" ht="12.75" customHeight="1" x14ac:dyDescent="0.25">
      <c r="A5" s="355" t="s">
        <v>292</v>
      </c>
      <c r="B5" s="355"/>
      <c r="C5" s="355"/>
      <c r="D5" s="355"/>
      <c r="E5" s="355"/>
      <c r="F5" s="356"/>
      <c r="G5" s="356"/>
    </row>
    <row r="6" spans="1:14" s="358" customFormat="1" ht="12.75" customHeight="1" x14ac:dyDescent="0.25">
      <c r="A6" s="13" t="str">
        <f>TESTYEAR</f>
        <v>FOR THE TWELVE MONTHS ENDED DECEMBER 31, 2019</v>
      </c>
      <c r="B6" s="490"/>
      <c r="C6" s="490"/>
      <c r="D6" s="490"/>
      <c r="E6" s="490"/>
      <c r="F6" s="357"/>
      <c r="G6" s="357"/>
      <c r="H6" s="445"/>
    </row>
    <row r="7" spans="1:14" x14ac:dyDescent="0.25">
      <c r="A7" s="359"/>
      <c r="B7" s="491"/>
      <c r="C7" s="491"/>
      <c r="D7" s="491"/>
      <c r="E7" s="491"/>
      <c r="F7" s="491"/>
    </row>
    <row r="8" spans="1:14" x14ac:dyDescent="0.25">
      <c r="A8" s="359"/>
      <c r="B8" s="491"/>
      <c r="C8" s="491"/>
      <c r="D8" s="491"/>
      <c r="E8" s="491"/>
      <c r="F8" s="491"/>
    </row>
    <row r="9" spans="1:14" x14ac:dyDescent="0.25">
      <c r="A9" s="359"/>
      <c r="B9" s="491"/>
      <c r="C9" s="491"/>
      <c r="D9" s="491"/>
      <c r="E9" s="491"/>
      <c r="F9" s="491"/>
    </row>
    <row r="10" spans="1:14" x14ac:dyDescent="0.25">
      <c r="A10" s="360">
        <v>1</v>
      </c>
      <c r="B10" s="492" t="s">
        <v>293</v>
      </c>
      <c r="C10" s="492" t="s">
        <v>294</v>
      </c>
      <c r="D10" s="492" t="s">
        <v>295</v>
      </c>
      <c r="E10" s="492" t="s">
        <v>296</v>
      </c>
      <c r="F10" s="492" t="s">
        <v>297</v>
      </c>
    </row>
    <row r="11" spans="1:14" x14ac:dyDescent="0.25">
      <c r="A11" s="360">
        <v>2</v>
      </c>
      <c r="B11" s="493"/>
      <c r="C11" s="493"/>
      <c r="D11" s="493"/>
      <c r="E11" s="493"/>
      <c r="F11" s="493"/>
      <c r="G11" s="493"/>
      <c r="H11" s="493"/>
      <c r="I11" s="358"/>
      <c r="J11" s="358"/>
    </row>
    <row r="12" spans="1:14" x14ac:dyDescent="0.25">
      <c r="A12" s="360">
        <v>3</v>
      </c>
      <c r="B12" s="493" t="s">
        <v>59</v>
      </c>
      <c r="C12" s="493"/>
      <c r="D12" s="493"/>
      <c r="E12" s="493"/>
      <c r="F12" s="492" t="s">
        <v>298</v>
      </c>
      <c r="G12" s="493"/>
      <c r="H12" s="493"/>
      <c r="I12" s="358"/>
      <c r="J12" s="358"/>
    </row>
    <row r="13" spans="1:14" x14ac:dyDescent="0.25">
      <c r="A13" s="360">
        <v>4</v>
      </c>
      <c r="B13" s="493"/>
      <c r="C13" s="493"/>
      <c r="D13" s="493"/>
      <c r="E13" s="493"/>
      <c r="F13" s="492" t="s">
        <v>299</v>
      </c>
      <c r="G13" s="493"/>
      <c r="H13" s="493"/>
      <c r="I13" s="358"/>
      <c r="J13" s="358"/>
    </row>
    <row r="14" spans="1:14" x14ac:dyDescent="0.25">
      <c r="A14" s="360">
        <v>5</v>
      </c>
      <c r="B14" s="494" t="s">
        <v>203</v>
      </c>
      <c r="C14" s="494" t="s">
        <v>300</v>
      </c>
      <c r="D14" s="494" t="s">
        <v>301</v>
      </c>
      <c r="E14" s="494" t="s">
        <v>302</v>
      </c>
      <c r="F14" s="494" t="s">
        <v>303</v>
      </c>
      <c r="G14" s="493"/>
      <c r="H14" s="493"/>
      <c r="I14" s="358"/>
      <c r="J14" s="358"/>
    </row>
    <row r="15" spans="1:14" x14ac:dyDescent="0.25">
      <c r="A15" s="360">
        <v>6</v>
      </c>
      <c r="B15" s="493"/>
      <c r="C15" s="493"/>
      <c r="D15" s="493"/>
      <c r="E15" s="493"/>
      <c r="F15" s="493"/>
      <c r="G15" s="493"/>
      <c r="H15" s="493"/>
      <c r="I15" s="358"/>
      <c r="J15" s="358"/>
    </row>
    <row r="16" spans="1:14" x14ac:dyDescent="0.25">
      <c r="A16" s="360">
        <v>7</v>
      </c>
      <c r="B16" s="495" t="s">
        <v>349</v>
      </c>
      <c r="C16" s="496">
        <f>'[20]New Format'!$C$26</f>
        <v>4400770723</v>
      </c>
      <c r="D16" s="497">
        <f>'[20]New Format'!$D$26</f>
        <v>0.52329999999999999</v>
      </c>
      <c r="E16" s="498">
        <f>F16/D16</f>
        <v>5.3315497802407803E-2</v>
      </c>
      <c r="F16" s="499">
        <f>'[20]New Format'!$F$26</f>
        <v>2.7900000000000001E-2</v>
      </c>
      <c r="G16" s="512"/>
      <c r="H16" s="493"/>
      <c r="I16" s="358"/>
      <c r="J16" s="61"/>
      <c r="K16"/>
      <c r="L16"/>
      <c r="M16"/>
      <c r="N16"/>
    </row>
    <row r="17" spans="1:14" x14ac:dyDescent="0.25">
      <c r="A17" s="360">
        <v>8</v>
      </c>
      <c r="B17" s="493"/>
      <c r="C17" s="493"/>
      <c r="D17" s="493"/>
      <c r="E17" s="493"/>
      <c r="F17" s="500"/>
      <c r="G17" s="493"/>
      <c r="H17" s="493"/>
      <c r="I17" s="358"/>
      <c r="J17" s="61"/>
      <c r="K17"/>
      <c r="L17"/>
      <c r="M17"/>
      <c r="N17"/>
    </row>
    <row r="18" spans="1:14" x14ac:dyDescent="0.25">
      <c r="A18" s="360">
        <v>9</v>
      </c>
      <c r="B18" s="491" t="s">
        <v>304</v>
      </c>
      <c r="C18" s="496">
        <f>'[20]New Format'!$C$28</f>
        <v>4009571697</v>
      </c>
      <c r="D18" s="501">
        <f>'[20]New Format'!$D$28</f>
        <v>0.47670000000000001</v>
      </c>
      <c r="E18" s="501">
        <f>'[20]New Format'!$E$28</f>
        <v>9.5000000000000001E-2</v>
      </c>
      <c r="F18" s="502">
        <f>ROUND(D18*E18,4)</f>
        <v>4.53E-2</v>
      </c>
      <c r="G18" s="493"/>
      <c r="H18" s="493"/>
      <c r="I18" s="358"/>
      <c r="J18" s="61"/>
      <c r="K18"/>
      <c r="L18"/>
      <c r="M18"/>
      <c r="N18"/>
    </row>
    <row r="19" spans="1:14" x14ac:dyDescent="0.25">
      <c r="A19" s="360">
        <v>10</v>
      </c>
      <c r="B19" s="493"/>
      <c r="C19" s="493"/>
      <c r="D19" s="493"/>
      <c r="E19" s="493"/>
      <c r="F19" s="503"/>
      <c r="G19" s="493"/>
      <c r="H19" s="493"/>
      <c r="I19" s="358"/>
      <c r="J19" s="61"/>
      <c r="K19"/>
      <c r="L19"/>
      <c r="M19"/>
      <c r="N19"/>
    </row>
    <row r="20" spans="1:14" x14ac:dyDescent="0.25">
      <c r="A20" s="360">
        <v>11</v>
      </c>
      <c r="B20" s="491" t="s">
        <v>204</v>
      </c>
      <c r="C20" s="504">
        <f>C16+C18</f>
        <v>8410342420</v>
      </c>
      <c r="D20" s="505">
        <f>SUM(D16:D19)</f>
        <v>1</v>
      </c>
      <c r="E20" s="506"/>
      <c r="F20" s="507">
        <f>F16+F18</f>
        <v>7.3200000000000001E-2</v>
      </c>
      <c r="G20" s="493"/>
      <c r="H20" s="493"/>
      <c r="I20" s="358"/>
      <c r="J20" s="61"/>
      <c r="K20"/>
      <c r="L20"/>
      <c r="M20"/>
      <c r="N20"/>
    </row>
    <row r="21" spans="1:14" x14ac:dyDescent="0.25">
      <c r="A21" s="360">
        <v>12</v>
      </c>
      <c r="B21" s="493"/>
      <c r="C21" s="493"/>
      <c r="D21" s="493"/>
      <c r="E21" s="493"/>
      <c r="F21" s="508"/>
      <c r="G21" s="493"/>
      <c r="H21" s="493"/>
      <c r="I21" s="358"/>
      <c r="J21" s="61"/>
      <c r="K21"/>
      <c r="L21"/>
      <c r="M21"/>
      <c r="N21"/>
    </row>
    <row r="22" spans="1:14" x14ac:dyDescent="0.25">
      <c r="A22" s="360">
        <v>13</v>
      </c>
      <c r="B22" s="493"/>
      <c r="C22" s="493"/>
      <c r="D22" s="493"/>
      <c r="E22" s="493"/>
      <c r="F22" s="509"/>
      <c r="G22" s="493"/>
      <c r="H22" s="493"/>
      <c r="I22" s="358"/>
      <c r="J22" s="61"/>
      <c r="K22"/>
      <c r="L22"/>
      <c r="M22"/>
      <c r="N22"/>
    </row>
    <row r="23" spans="1:14" x14ac:dyDescent="0.25">
      <c r="A23" s="360">
        <f t="shared" ref="A23" si="0">A22+1</f>
        <v>14</v>
      </c>
      <c r="B23" s="491" t="s">
        <v>305</v>
      </c>
      <c r="C23" s="491"/>
      <c r="D23" s="493"/>
      <c r="E23" s="493"/>
      <c r="F23" s="509"/>
      <c r="G23" s="493"/>
      <c r="H23" s="493"/>
      <c r="I23" s="358"/>
      <c r="J23" s="61"/>
      <c r="K23"/>
      <c r="L23"/>
      <c r="M23"/>
      <c r="N23"/>
    </row>
    <row r="24" spans="1:14" x14ac:dyDescent="0.25">
      <c r="B24" s="493"/>
      <c r="C24" s="493"/>
      <c r="D24" s="493"/>
      <c r="E24" s="493"/>
      <c r="F24" s="510"/>
      <c r="G24" s="493"/>
      <c r="H24" s="493"/>
      <c r="I24" s="358"/>
      <c r="J24" s="61"/>
      <c r="K24"/>
      <c r="L24"/>
      <c r="M24"/>
      <c r="N24"/>
    </row>
    <row r="25" spans="1:14" x14ac:dyDescent="0.25">
      <c r="B25" s="493"/>
      <c r="C25" s="493"/>
      <c r="D25" s="493"/>
      <c r="E25" s="493"/>
      <c r="F25" s="510"/>
      <c r="G25" s="360"/>
      <c r="H25" s="360"/>
      <c r="J25"/>
      <c r="K25"/>
      <c r="L25"/>
      <c r="M25"/>
      <c r="N25"/>
    </row>
    <row r="26" spans="1:14" x14ac:dyDescent="0.25">
      <c r="B26" s="493"/>
      <c r="C26" s="511"/>
      <c r="D26" s="493"/>
      <c r="E26" s="493"/>
      <c r="F26" s="493"/>
      <c r="G26" s="360"/>
      <c r="H26" s="360"/>
      <c r="J26"/>
      <c r="K26"/>
      <c r="L26"/>
      <c r="M26"/>
      <c r="N26"/>
    </row>
    <row r="27" spans="1:14" x14ac:dyDescent="0.25">
      <c r="B27" s="493"/>
      <c r="C27" s="511"/>
      <c r="D27" s="493"/>
      <c r="E27" s="493"/>
      <c r="F27" s="493"/>
      <c r="G27" s="360"/>
      <c r="H27" s="360"/>
    </row>
    <row r="28" spans="1:14" x14ac:dyDescent="0.25">
      <c r="B28" s="360"/>
      <c r="C28" s="361"/>
      <c r="D28" s="360"/>
      <c r="E28" s="360"/>
      <c r="F28" s="360"/>
      <c r="G28" s="360"/>
      <c r="H28" s="360"/>
    </row>
    <row r="29" spans="1:14" x14ac:dyDescent="0.25">
      <c r="B29" s="360"/>
      <c r="C29" s="361"/>
      <c r="D29" s="360"/>
      <c r="E29" s="360"/>
      <c r="F29" s="360"/>
      <c r="G29" s="360"/>
    </row>
    <row r="30" spans="1:14" x14ac:dyDescent="0.25">
      <c r="B30" s="360"/>
      <c r="C30" s="361"/>
      <c r="D30" s="360"/>
      <c r="E30" s="360"/>
      <c r="F30" s="360"/>
      <c r="G30" s="360"/>
    </row>
    <row r="31" spans="1:14" x14ac:dyDescent="0.25">
      <c r="B31" s="360"/>
      <c r="C31" s="361"/>
      <c r="D31" s="360"/>
      <c r="E31" s="360"/>
      <c r="F31" s="360"/>
      <c r="G31" s="360"/>
    </row>
    <row r="32" spans="1:14" x14ac:dyDescent="0.25">
      <c r="B32" s="360"/>
      <c r="C32" s="361"/>
      <c r="D32" s="360"/>
      <c r="E32" s="360"/>
      <c r="F32" s="360"/>
      <c r="G32" s="360"/>
    </row>
    <row r="33" spans="2:7" x14ac:dyDescent="0.25">
      <c r="B33" s="360"/>
      <c r="C33" s="361"/>
      <c r="D33" s="360"/>
      <c r="E33" s="360"/>
      <c r="F33" s="360"/>
      <c r="G33" s="360"/>
    </row>
    <row r="34" spans="2:7" x14ac:dyDescent="0.25">
      <c r="B34" s="360"/>
      <c r="C34" s="361"/>
      <c r="D34" s="360"/>
      <c r="E34" s="360"/>
      <c r="F34" s="360"/>
      <c r="G34" s="360"/>
    </row>
    <row r="35" spans="2:7" x14ac:dyDescent="0.25">
      <c r="B35" s="360"/>
      <c r="C35" s="361"/>
      <c r="D35" s="360"/>
      <c r="E35" s="360"/>
      <c r="F35" s="360"/>
      <c r="G35" s="360"/>
    </row>
    <row r="36" spans="2:7" x14ac:dyDescent="0.25">
      <c r="B36" s="360"/>
      <c r="C36" s="361"/>
      <c r="D36" s="360"/>
      <c r="E36" s="360"/>
      <c r="F36" s="360"/>
      <c r="G36" s="360"/>
    </row>
    <row r="37" spans="2:7" x14ac:dyDescent="0.25">
      <c r="B37" s="360"/>
      <c r="C37" s="361"/>
      <c r="D37" s="360"/>
      <c r="E37" s="360"/>
      <c r="F37" s="360"/>
      <c r="G37" s="360"/>
    </row>
    <row r="38" spans="2:7" x14ac:dyDescent="0.25">
      <c r="B38" s="360"/>
      <c r="C38" s="361"/>
      <c r="D38" s="360"/>
      <c r="E38" s="360"/>
      <c r="F38" s="360"/>
      <c r="G38" s="360"/>
    </row>
    <row r="39" spans="2:7" x14ac:dyDescent="0.25">
      <c r="B39" s="360"/>
      <c r="C39" s="361"/>
      <c r="D39" s="360"/>
      <c r="E39" s="360"/>
      <c r="F39" s="360"/>
      <c r="G39" s="360"/>
    </row>
    <row r="40" spans="2:7" x14ac:dyDescent="0.25">
      <c r="B40" s="360"/>
      <c r="C40" s="361"/>
      <c r="D40" s="360"/>
      <c r="E40" s="360"/>
      <c r="F40" s="360"/>
      <c r="G40" s="360"/>
    </row>
    <row r="41" spans="2:7" x14ac:dyDescent="0.25">
      <c r="B41" s="360"/>
      <c r="C41" s="361"/>
      <c r="D41" s="360"/>
      <c r="E41" s="360"/>
      <c r="F41" s="360"/>
      <c r="G41" s="360"/>
    </row>
    <row r="42" spans="2:7" x14ac:dyDescent="0.25">
      <c r="B42" s="360"/>
      <c r="C42" s="361"/>
      <c r="D42" s="360"/>
      <c r="E42" s="360"/>
      <c r="F42" s="360"/>
      <c r="G42" s="360"/>
    </row>
    <row r="43" spans="2:7" x14ac:dyDescent="0.25">
      <c r="B43" s="360"/>
      <c r="C43" s="361"/>
      <c r="D43" s="360"/>
      <c r="E43" s="360"/>
      <c r="F43" s="360"/>
      <c r="G43" s="360"/>
    </row>
    <row r="44" spans="2:7" x14ac:dyDescent="0.25">
      <c r="B44" s="360"/>
      <c r="C44" s="361"/>
      <c r="D44" s="360"/>
      <c r="E44" s="360"/>
      <c r="F44" s="360"/>
      <c r="G44" s="360"/>
    </row>
    <row r="45" spans="2:7" x14ac:dyDescent="0.25">
      <c r="B45" s="360"/>
      <c r="C45" s="361"/>
      <c r="D45" s="360"/>
      <c r="E45" s="360"/>
      <c r="F45" s="360"/>
      <c r="G45" s="360"/>
    </row>
    <row r="46" spans="2:7" x14ac:dyDescent="0.25">
      <c r="B46" s="360"/>
      <c r="C46" s="361"/>
      <c r="D46" s="360"/>
      <c r="E46" s="360"/>
      <c r="F46" s="360"/>
      <c r="G46" s="360"/>
    </row>
    <row r="47" spans="2:7" x14ac:dyDescent="0.25">
      <c r="B47" s="360"/>
      <c r="C47" s="361"/>
      <c r="D47" s="360"/>
      <c r="E47" s="360"/>
      <c r="F47" s="360"/>
      <c r="G47" s="360"/>
    </row>
    <row r="48" spans="2:7" x14ac:dyDescent="0.25">
      <c r="B48" s="360"/>
      <c r="C48" s="361"/>
      <c r="D48" s="360"/>
      <c r="E48" s="360"/>
      <c r="F48" s="360"/>
      <c r="G48" s="360"/>
    </row>
    <row r="49" spans="2:7" x14ac:dyDescent="0.25">
      <c r="B49" s="360"/>
      <c r="C49" s="361"/>
      <c r="D49" s="360"/>
      <c r="E49" s="360"/>
      <c r="F49" s="360"/>
      <c r="G49" s="360"/>
    </row>
  </sheetData>
  <pageMargins left="0.75" right="0.75" top="1" bottom="1" header="0.5" footer="0.5"/>
  <pageSetup orientation="portrait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zoomScale="85" zoomScaleNormal="85" workbookViewId="0">
      <pane xSplit="4" ySplit="8" topLeftCell="L9" activePane="bottomRight" state="frozen"/>
      <selection activeCell="F50" sqref="F50"/>
      <selection pane="topRight" activeCell="F50" sqref="F50"/>
      <selection pane="bottomLeft" activeCell="F50" sqref="F50"/>
      <selection pane="bottomRight" activeCell="L10" sqref="L10"/>
    </sheetView>
  </sheetViews>
  <sheetFormatPr defaultColWidth="9.140625" defaultRowHeight="13.2" outlineLevelCol="1" x14ac:dyDescent="0.25"/>
  <cols>
    <col min="1" max="1" width="5" style="389" customWidth="1"/>
    <col min="2" max="2" width="52.42578125" style="389" customWidth="1"/>
    <col min="3" max="3" width="46.85546875" style="389" customWidth="1" outlineLevel="1"/>
    <col min="4" max="11" width="19.42578125" style="389" bestFit="1" customWidth="1"/>
    <col min="12" max="12" width="21.42578125" style="389" customWidth="1"/>
    <col min="13" max="13" width="5.42578125" style="389" customWidth="1"/>
    <col min="14" max="16384" width="9.140625" style="389"/>
  </cols>
  <sheetData>
    <row r="1" spans="1:14" ht="13.8" thickBot="1" x14ac:dyDescent="0.3">
      <c r="L1" s="441">
        <v>1.03</v>
      </c>
    </row>
    <row r="2" spans="1:14" x14ac:dyDescent="0.25">
      <c r="A2" s="426" t="s">
        <v>227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</row>
    <row r="3" spans="1:14" x14ac:dyDescent="0.25">
      <c r="A3" s="426" t="s">
        <v>347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</row>
    <row r="4" spans="1:14" x14ac:dyDescent="0.25">
      <c r="A4" s="426" t="s">
        <v>348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</row>
    <row r="5" spans="1:14" x14ac:dyDescent="0.25">
      <c r="A5" s="426" t="str">
        <f>TESTYEAR</f>
        <v>FOR THE TWELVE MONTHS ENDED DECEMBER 31, 2019</v>
      </c>
      <c r="B5" s="427"/>
      <c r="C5" s="427"/>
      <c r="D5" s="427"/>
      <c r="E5" s="427"/>
      <c r="F5" s="427"/>
      <c r="G5" s="427"/>
      <c r="H5" s="427"/>
      <c r="I5" s="427"/>
      <c r="J5" s="427"/>
      <c r="K5" s="427"/>
      <c r="L5" s="427"/>
    </row>
    <row r="6" spans="1:14" x14ac:dyDescent="0.25">
      <c r="B6" s="418"/>
      <c r="C6" s="418"/>
    </row>
    <row r="7" spans="1:14" x14ac:dyDescent="0.25">
      <c r="C7" s="417"/>
      <c r="E7" s="419" t="s">
        <v>344</v>
      </c>
      <c r="F7" s="416"/>
      <c r="G7" s="416"/>
      <c r="H7" s="416"/>
      <c r="I7" s="416"/>
      <c r="J7" s="416"/>
      <c r="K7" s="415"/>
      <c r="L7" s="171"/>
    </row>
    <row r="8" spans="1:14" ht="49.5" customHeight="1" thickBot="1" x14ac:dyDescent="0.3">
      <c r="A8" s="420" t="s">
        <v>343</v>
      </c>
      <c r="B8" s="421" t="s">
        <v>203</v>
      </c>
      <c r="C8" s="422" t="s">
        <v>342</v>
      </c>
      <c r="D8" s="414" t="s">
        <v>383</v>
      </c>
      <c r="E8" s="423" t="s">
        <v>341</v>
      </c>
      <c r="F8" s="424" t="s">
        <v>340</v>
      </c>
      <c r="G8" s="424" t="s">
        <v>306</v>
      </c>
      <c r="H8" s="424" t="s">
        <v>309</v>
      </c>
      <c r="I8" s="424" t="s">
        <v>339</v>
      </c>
      <c r="J8" s="424" t="s">
        <v>338</v>
      </c>
      <c r="K8" s="424" t="s">
        <v>318</v>
      </c>
      <c r="L8" s="413" t="s">
        <v>384</v>
      </c>
    </row>
    <row r="9" spans="1:14" x14ac:dyDescent="0.25">
      <c r="A9" s="412">
        <v>1</v>
      </c>
      <c r="B9" s="411" t="s">
        <v>337</v>
      </c>
      <c r="C9" s="410" t="s">
        <v>331</v>
      </c>
      <c r="D9" s="407"/>
      <c r="E9" s="409">
        <f>-Summaries!$CW$49</f>
        <v>0</v>
      </c>
      <c r="F9" s="409">
        <f>-Summaries!$DN$49</f>
        <v>0</v>
      </c>
      <c r="G9" s="409">
        <f>-Summaries!$DB$49</f>
        <v>0</v>
      </c>
      <c r="H9" s="409">
        <f>-Summaries!$DC$49</f>
        <v>0</v>
      </c>
      <c r="I9" s="409">
        <f>-Summaries!$DO$49</f>
        <v>0</v>
      </c>
      <c r="J9" s="409">
        <f>-Summaries!$DK$49</f>
        <v>0</v>
      </c>
      <c r="K9" s="409">
        <f>-Summaries!$DM$49</f>
        <v>0</v>
      </c>
      <c r="L9" s="409"/>
    </row>
    <row r="10" spans="1:14" x14ac:dyDescent="0.25">
      <c r="A10" s="397">
        <f t="shared" ref="A10:A20" si="0">+A9+1</f>
        <v>2</v>
      </c>
      <c r="B10" s="396" t="s">
        <v>336</v>
      </c>
      <c r="C10" s="395" t="s">
        <v>335</v>
      </c>
      <c r="D10" s="402">
        <f>+Summaries!$DV$49</f>
        <v>5367665025.83459</v>
      </c>
      <c r="E10" s="406">
        <f t="shared" ref="E10:K10" si="1">+D10+E9</f>
        <v>5367665025.83459</v>
      </c>
      <c r="F10" s="406">
        <f t="shared" si="1"/>
        <v>5367665025.83459</v>
      </c>
      <c r="G10" s="406">
        <f>+F10+G9</f>
        <v>5367665025.83459</v>
      </c>
      <c r="H10" s="406">
        <f t="shared" si="1"/>
        <v>5367665025.83459</v>
      </c>
      <c r="I10" s="406">
        <f t="shared" si="1"/>
        <v>5367665025.83459</v>
      </c>
      <c r="J10" s="406">
        <f t="shared" si="1"/>
        <v>5367665025.83459</v>
      </c>
      <c r="K10" s="406">
        <f t="shared" si="1"/>
        <v>5367665025.83459</v>
      </c>
      <c r="L10" s="406">
        <f>+K10</f>
        <v>5367665025.83459</v>
      </c>
    </row>
    <row r="11" spans="1:14" x14ac:dyDescent="0.25">
      <c r="A11" s="397">
        <f t="shared" si="0"/>
        <v>3</v>
      </c>
      <c r="B11" s="396" t="s">
        <v>386</v>
      </c>
      <c r="C11" s="395" t="s">
        <v>387</v>
      </c>
      <c r="D11" s="517">
        <f>(D57*2+D75*10)/12</f>
        <v>7.5083333333333321E-2</v>
      </c>
      <c r="E11" s="408">
        <f>+D11</f>
        <v>7.5083333333333321E-2</v>
      </c>
      <c r="F11" s="408">
        <f t="shared" ref="F11:L11" si="2">+E11</f>
        <v>7.5083333333333321E-2</v>
      </c>
      <c r="G11" s="408">
        <f t="shared" si="2"/>
        <v>7.5083333333333321E-2</v>
      </c>
      <c r="H11" s="408">
        <f t="shared" si="2"/>
        <v>7.5083333333333321E-2</v>
      </c>
      <c r="I11" s="408">
        <f t="shared" si="2"/>
        <v>7.5083333333333321E-2</v>
      </c>
      <c r="J11" s="408">
        <f t="shared" si="2"/>
        <v>7.5083333333333321E-2</v>
      </c>
      <c r="K11" s="408">
        <f t="shared" si="2"/>
        <v>7.5083333333333321E-2</v>
      </c>
      <c r="L11" s="408">
        <f t="shared" si="2"/>
        <v>7.5083333333333321E-2</v>
      </c>
    </row>
    <row r="12" spans="1:14" x14ac:dyDescent="0.25">
      <c r="A12" s="397">
        <f t="shared" si="0"/>
        <v>4</v>
      </c>
      <c r="B12" s="396" t="s">
        <v>334</v>
      </c>
      <c r="C12" s="394" t="s">
        <v>333</v>
      </c>
      <c r="D12" s="402">
        <f>ROUND(D10*D11,0)</f>
        <v>403022182</v>
      </c>
      <c r="E12" s="406">
        <f t="shared" ref="E12:L12" si="3">ROUND(E10*E11,0)</f>
        <v>403022182</v>
      </c>
      <c r="F12" s="406">
        <f t="shared" si="3"/>
        <v>403022182</v>
      </c>
      <c r="G12" s="406">
        <f t="shared" si="3"/>
        <v>403022182</v>
      </c>
      <c r="H12" s="406">
        <f t="shared" si="3"/>
        <v>403022182</v>
      </c>
      <c r="I12" s="406">
        <f t="shared" si="3"/>
        <v>403022182</v>
      </c>
      <c r="J12" s="406">
        <f t="shared" si="3"/>
        <v>403022182</v>
      </c>
      <c r="K12" s="406">
        <f t="shared" si="3"/>
        <v>403022182</v>
      </c>
      <c r="L12" s="406">
        <f t="shared" si="3"/>
        <v>403022182</v>
      </c>
    </row>
    <row r="13" spans="1:14" x14ac:dyDescent="0.25">
      <c r="A13" s="397">
        <f t="shared" si="0"/>
        <v>5</v>
      </c>
      <c r="B13" s="396" t="s">
        <v>332</v>
      </c>
      <c r="C13" s="395" t="s">
        <v>331</v>
      </c>
      <c r="D13" s="407"/>
      <c r="E13" s="406">
        <f>-Summaries!$CW$47</f>
        <v>-832653</v>
      </c>
      <c r="F13" s="406">
        <f>-Summaries!CD44</f>
        <v>-2976891.9970554216</v>
      </c>
      <c r="G13" s="406">
        <f>-Summaries!$DB$47</f>
        <v>-422575</v>
      </c>
      <c r="H13" s="406">
        <f>-Summaries!$DC$47</f>
        <v>1159805</v>
      </c>
      <c r="I13" s="406">
        <f>-Summaries!$DO$47</f>
        <v>-106776.29137500003</v>
      </c>
      <c r="J13" s="406">
        <f>-Summaries!$DK$47</f>
        <v>-844555.53822735813</v>
      </c>
      <c r="K13" s="406">
        <f>-Summaries!$DM$47</f>
        <v>-43037.22499999994</v>
      </c>
      <c r="L13" s="406"/>
    </row>
    <row r="14" spans="1:14" x14ac:dyDescent="0.25">
      <c r="A14" s="397">
        <f t="shared" si="0"/>
        <v>6</v>
      </c>
      <c r="B14" s="396" t="s">
        <v>330</v>
      </c>
      <c r="C14" s="395" t="s">
        <v>329</v>
      </c>
      <c r="D14" s="402">
        <f>+Summaries!$DV$47</f>
        <v>365607983.46069098</v>
      </c>
      <c r="E14" s="406">
        <f t="shared" ref="E14:K14" si="4">+D14+E13</f>
        <v>364775330.46069098</v>
      </c>
      <c r="F14" s="406">
        <f t="shared" si="4"/>
        <v>361798438.46363556</v>
      </c>
      <c r="G14" s="406">
        <f>+F14+G13</f>
        <v>361375863.46363556</v>
      </c>
      <c r="H14" s="406">
        <f t="shared" si="4"/>
        <v>362535668.46363556</v>
      </c>
      <c r="I14" s="406">
        <f t="shared" si="4"/>
        <v>362428892.17226058</v>
      </c>
      <c r="J14" s="406">
        <f t="shared" si="4"/>
        <v>361584336.6340332</v>
      </c>
      <c r="K14" s="406">
        <f t="shared" si="4"/>
        <v>361541299.40903318</v>
      </c>
      <c r="L14" s="406">
        <f>+K14</f>
        <v>361541299.40903318</v>
      </c>
      <c r="M14" s="405"/>
      <c r="N14" s="404"/>
    </row>
    <row r="15" spans="1:14" x14ac:dyDescent="0.25">
      <c r="A15" s="397">
        <f t="shared" si="0"/>
        <v>7</v>
      </c>
      <c r="B15" s="396" t="s">
        <v>282</v>
      </c>
      <c r="C15" s="394" t="s">
        <v>328</v>
      </c>
      <c r="D15" s="398">
        <f t="shared" ref="D15:L15" si="5">ROUND(D14-D12,0)</f>
        <v>-37414199</v>
      </c>
      <c r="E15" s="434">
        <f t="shared" si="5"/>
        <v>-38246852</v>
      </c>
      <c r="F15" s="434">
        <f t="shared" si="5"/>
        <v>-41223744</v>
      </c>
      <c r="G15" s="434">
        <f t="shared" si="5"/>
        <v>-41646319</v>
      </c>
      <c r="H15" s="434">
        <f t="shared" si="5"/>
        <v>-40486514</v>
      </c>
      <c r="I15" s="434">
        <f t="shared" si="5"/>
        <v>-40593290</v>
      </c>
      <c r="J15" s="434">
        <f t="shared" si="5"/>
        <v>-41437845</v>
      </c>
      <c r="K15" s="434">
        <f t="shared" si="5"/>
        <v>-41480883</v>
      </c>
      <c r="L15" s="403">
        <f t="shared" si="5"/>
        <v>-41480883</v>
      </c>
    </row>
    <row r="16" spans="1:14" x14ac:dyDescent="0.25">
      <c r="A16" s="397">
        <f t="shared" si="0"/>
        <v>8</v>
      </c>
      <c r="B16" s="396" t="s">
        <v>327</v>
      </c>
      <c r="C16" s="394" t="s">
        <v>326</v>
      </c>
      <c r="D16" s="402">
        <f t="shared" ref="D16:L16" si="6">IF(D15&lt;0,0,D15)</f>
        <v>0</v>
      </c>
      <c r="E16" s="406">
        <f t="shared" si="6"/>
        <v>0</v>
      </c>
      <c r="F16" s="406">
        <f t="shared" si="6"/>
        <v>0</v>
      </c>
      <c r="G16" s="406">
        <f t="shared" si="6"/>
        <v>0</v>
      </c>
      <c r="H16" s="406">
        <f t="shared" si="6"/>
        <v>0</v>
      </c>
      <c r="I16" s="406">
        <f t="shared" si="6"/>
        <v>0</v>
      </c>
      <c r="J16" s="406">
        <f t="shared" si="6"/>
        <v>0</v>
      </c>
      <c r="K16" s="406">
        <f t="shared" si="6"/>
        <v>0</v>
      </c>
      <c r="L16" s="437">
        <f t="shared" si="6"/>
        <v>0</v>
      </c>
    </row>
    <row r="17" spans="1:12" x14ac:dyDescent="0.25">
      <c r="A17" s="397">
        <f t="shared" si="0"/>
        <v>9</v>
      </c>
      <c r="B17" s="396" t="s">
        <v>325</v>
      </c>
      <c r="C17" s="394" t="s">
        <v>345</v>
      </c>
      <c r="D17" s="401">
        <v>0.5</v>
      </c>
      <c r="E17" s="401">
        <v>0.5</v>
      </c>
      <c r="F17" s="401">
        <v>0.5</v>
      </c>
      <c r="G17" s="401">
        <v>0.5</v>
      </c>
      <c r="H17" s="401">
        <v>0.5</v>
      </c>
      <c r="I17" s="401">
        <v>0.5</v>
      </c>
      <c r="J17" s="401">
        <v>0.5</v>
      </c>
      <c r="K17" s="401">
        <v>0.5</v>
      </c>
      <c r="L17" s="401">
        <v>0.5</v>
      </c>
    </row>
    <row r="18" spans="1:12" x14ac:dyDescent="0.25">
      <c r="A18" s="397">
        <f t="shared" si="0"/>
        <v>10</v>
      </c>
      <c r="B18" s="396" t="s">
        <v>324</v>
      </c>
      <c r="C18" s="394" t="s">
        <v>323</v>
      </c>
      <c r="D18" s="400">
        <f t="shared" ref="D18:L18" si="7">ROUND(D16*D17,0)</f>
        <v>0</v>
      </c>
      <c r="E18" s="435">
        <f t="shared" si="7"/>
        <v>0</v>
      </c>
      <c r="F18" s="435">
        <f t="shared" si="7"/>
        <v>0</v>
      </c>
      <c r="G18" s="435">
        <f t="shared" si="7"/>
        <v>0</v>
      </c>
      <c r="H18" s="435">
        <f t="shared" si="7"/>
        <v>0</v>
      </c>
      <c r="I18" s="435">
        <f t="shared" si="7"/>
        <v>0</v>
      </c>
      <c r="J18" s="435">
        <f t="shared" si="7"/>
        <v>0</v>
      </c>
      <c r="K18" s="435">
        <f t="shared" si="7"/>
        <v>0</v>
      </c>
      <c r="L18" s="399">
        <f t="shared" si="7"/>
        <v>0</v>
      </c>
    </row>
    <row r="19" spans="1:12" x14ac:dyDescent="0.25">
      <c r="A19" s="397">
        <f t="shared" si="0"/>
        <v>11</v>
      </c>
      <c r="B19" s="396" t="s">
        <v>310</v>
      </c>
      <c r="C19" s="395" t="s">
        <v>320</v>
      </c>
      <c r="D19" s="474">
        <f>+$E$42</f>
        <v>0.75238499999999997</v>
      </c>
      <c r="E19" s="393">
        <f t="shared" ref="E19:L19" si="8">+$E$42</f>
        <v>0.75238499999999997</v>
      </c>
      <c r="F19" s="393">
        <f t="shared" si="8"/>
        <v>0.75238499999999997</v>
      </c>
      <c r="G19" s="393">
        <f t="shared" si="8"/>
        <v>0.75238499999999997</v>
      </c>
      <c r="H19" s="393">
        <f t="shared" si="8"/>
        <v>0.75238499999999997</v>
      </c>
      <c r="I19" s="393">
        <f t="shared" si="8"/>
        <v>0.75238499999999997</v>
      </c>
      <c r="J19" s="393">
        <f t="shared" si="8"/>
        <v>0.75238499999999997</v>
      </c>
      <c r="K19" s="393">
        <f t="shared" si="8"/>
        <v>0.75238499999999997</v>
      </c>
      <c r="L19" s="393">
        <f t="shared" si="8"/>
        <v>0.75238499999999997</v>
      </c>
    </row>
    <row r="20" spans="1:12" x14ac:dyDescent="0.25">
      <c r="A20" s="392">
        <f t="shared" si="0"/>
        <v>12</v>
      </c>
      <c r="B20" s="391" t="s">
        <v>322</v>
      </c>
      <c r="C20" s="390" t="s">
        <v>321</v>
      </c>
      <c r="D20" s="431">
        <f>ROUND(+D18/D19,0)</f>
        <v>0</v>
      </c>
      <c r="E20" s="436">
        <f t="shared" ref="E20:K20" si="9">+ROUND((E18-D18)/E19,0)</f>
        <v>0</v>
      </c>
      <c r="F20" s="436">
        <f t="shared" si="9"/>
        <v>0</v>
      </c>
      <c r="G20" s="436">
        <f>+ROUND((G18-F18)/G19,0)</f>
        <v>0</v>
      </c>
      <c r="H20" s="436">
        <f t="shared" si="9"/>
        <v>0</v>
      </c>
      <c r="I20" s="436">
        <f t="shared" si="9"/>
        <v>0</v>
      </c>
      <c r="J20" s="436">
        <f t="shared" si="9"/>
        <v>0</v>
      </c>
      <c r="K20" s="436">
        <f t="shared" si="9"/>
        <v>0</v>
      </c>
      <c r="L20" s="432">
        <f>ROUND(+L18/L19,0)</f>
        <v>0</v>
      </c>
    </row>
    <row r="22" spans="1:12" x14ac:dyDescent="0.25">
      <c r="B22" s="389" t="s">
        <v>377</v>
      </c>
      <c r="D22" s="483">
        <f>D14/D10</f>
        <v>6.8113040158247304E-2</v>
      </c>
      <c r="E22" s="483">
        <f>E14/E10-D22</f>
        <v>-1.5512387527769067E-4</v>
      </c>
      <c r="F22" s="483">
        <f>F14/F10-SUM($D$22:E22)</f>
        <v>-5.5459720059422568E-4</v>
      </c>
      <c r="G22" s="483">
        <f>G14/G10-SUM($D$22:F22)</f>
        <v>-7.8726037851875597E-5</v>
      </c>
      <c r="H22" s="483">
        <f>H14/H10-SUM($D$22:G22)</f>
        <v>2.1607253701895479E-4</v>
      </c>
      <c r="I22" s="483">
        <f>I14/I10-SUM($D$22:H22)</f>
        <v>-1.9892502766294395E-5</v>
      </c>
      <c r="J22" s="483">
        <f>J14/J10-SUM($D$22:I22)</f>
        <v>-1.5734132703187909E-4</v>
      </c>
      <c r="K22" s="483">
        <f>K14/K10-SUM($D$22:J22)</f>
        <v>-8.0178671345576547E-6</v>
      </c>
      <c r="L22" s="483">
        <f>L14/L10</f>
        <v>6.7355413884609736E-2</v>
      </c>
    </row>
    <row r="23" spans="1:12" x14ac:dyDescent="0.25">
      <c r="K23" s="484" t="s">
        <v>378</v>
      </c>
      <c r="L23" s="485">
        <f>SUM(D22:K22)-L22</f>
        <v>0</v>
      </c>
    </row>
    <row r="24" spans="1:12" x14ac:dyDescent="0.25">
      <c r="K24" s="443"/>
      <c r="L24" s="442"/>
    </row>
    <row r="26" spans="1:12" x14ac:dyDescent="0.25">
      <c r="A26" s="455" t="s">
        <v>127</v>
      </c>
      <c r="B26" s="456"/>
      <c r="C26" s="456"/>
      <c r="D26" s="456"/>
      <c r="E26" s="456"/>
    </row>
    <row r="27" spans="1:12" x14ac:dyDescent="0.25">
      <c r="A27" s="457" t="s">
        <v>62</v>
      </c>
      <c r="B27" s="456"/>
      <c r="C27" s="456"/>
      <c r="D27" s="456"/>
      <c r="E27" s="456"/>
    </row>
    <row r="28" spans="1:12" x14ac:dyDescent="0.25">
      <c r="A28" s="456" t="s">
        <v>376</v>
      </c>
      <c r="B28" s="456"/>
      <c r="C28" s="456"/>
      <c r="D28" s="456"/>
      <c r="E28" s="456"/>
    </row>
    <row r="29" spans="1:12" x14ac:dyDescent="0.25">
      <c r="A29" s="455" t="s">
        <v>365</v>
      </c>
      <c r="B29" s="456"/>
      <c r="C29" s="456"/>
      <c r="D29" s="456"/>
      <c r="E29" s="456"/>
    </row>
    <row r="30" spans="1:12" x14ac:dyDescent="0.25">
      <c r="A30" s="458"/>
      <c r="B30" s="458"/>
      <c r="C30" s="458"/>
      <c r="D30" s="458"/>
      <c r="E30" s="458"/>
    </row>
    <row r="31" spans="1:12" x14ac:dyDescent="0.25">
      <c r="A31" s="459" t="s">
        <v>65</v>
      </c>
      <c r="B31" s="458"/>
      <c r="C31" s="458"/>
      <c r="D31" s="458"/>
      <c r="E31" s="458"/>
    </row>
    <row r="32" spans="1:12" x14ac:dyDescent="0.25">
      <c r="A32" s="460" t="s">
        <v>78</v>
      </c>
      <c r="B32" s="461" t="s">
        <v>79</v>
      </c>
      <c r="C32" s="462"/>
      <c r="D32" s="462"/>
      <c r="E32" s="463" t="s">
        <v>99</v>
      </c>
    </row>
    <row r="33" spans="1:5" x14ac:dyDescent="0.25">
      <c r="A33" s="340"/>
      <c r="B33" s="340"/>
      <c r="C33" s="340"/>
      <c r="D33" s="340"/>
      <c r="E33" s="464"/>
    </row>
    <row r="34" spans="1:5" x14ac:dyDescent="0.25">
      <c r="A34" s="465">
        <v>1</v>
      </c>
      <c r="B34" s="466" t="s">
        <v>61</v>
      </c>
      <c r="C34" s="340"/>
      <c r="D34" s="340"/>
      <c r="E34" s="467">
        <v>7.1570000000000002E-3</v>
      </c>
    </row>
    <row r="35" spans="1:5" x14ac:dyDescent="0.25">
      <c r="A35" s="465">
        <v>2</v>
      </c>
      <c r="B35" s="466" t="s">
        <v>113</v>
      </c>
      <c r="C35" s="340"/>
      <c r="D35" s="340"/>
      <c r="E35" s="467">
        <v>2E-3</v>
      </c>
    </row>
    <row r="36" spans="1:5" x14ac:dyDescent="0.25">
      <c r="A36" s="465">
        <v>3</v>
      </c>
      <c r="B36" s="466" t="str">
        <f>"STATE UTILITY TAX ( "&amp;D36*100&amp;"% - ( LINE 1 * "&amp;D36*100&amp;"% )  )"</f>
        <v>STATE UTILITY TAX ( 3.8734% - ( LINE 1 * 3.8734% )  )</v>
      </c>
      <c r="C36" s="468"/>
      <c r="D36" s="469">
        <v>3.8733999999999998E-2</v>
      </c>
      <c r="E36" s="470">
        <f>ROUND(D36-(D36*E34),6)</f>
        <v>3.8456999999999998E-2</v>
      </c>
    </row>
    <row r="37" spans="1:5" x14ac:dyDescent="0.25">
      <c r="A37" s="465">
        <v>4</v>
      </c>
      <c r="B37" s="466"/>
      <c r="C37" s="340"/>
      <c r="D37" s="340"/>
      <c r="E37" s="471"/>
    </row>
    <row r="38" spans="1:5" x14ac:dyDescent="0.25">
      <c r="A38" s="465">
        <v>5</v>
      </c>
      <c r="B38" s="466" t="s">
        <v>19</v>
      </c>
      <c r="C38" s="340"/>
      <c r="D38" s="340"/>
      <c r="E38" s="467">
        <f>ROUND(SUM(E34:E36),6)</f>
        <v>4.7613999999999997E-2</v>
      </c>
    </row>
    <row r="39" spans="1:5" x14ac:dyDescent="0.25">
      <c r="A39" s="465">
        <v>6</v>
      </c>
      <c r="B39" s="340"/>
      <c r="C39" s="340"/>
      <c r="D39" s="340"/>
      <c r="E39" s="467"/>
    </row>
    <row r="40" spans="1:5" x14ac:dyDescent="0.25">
      <c r="A40" s="465">
        <v>7</v>
      </c>
      <c r="B40" s="340" t="str">
        <f>"CONVERSION FACTOR EXCLUDING FEDERAL INCOME TAX ( 1 - LINE "&amp;$I$17&amp;" )"</f>
        <v>CONVERSION FACTOR EXCLUDING FEDERAL INCOME TAX ( 1 - LINE 0.5 )</v>
      </c>
      <c r="C40" s="340"/>
      <c r="D40" s="340"/>
      <c r="E40" s="467">
        <f>ROUND(1-E38,6)</f>
        <v>0.95238599999999995</v>
      </c>
    </row>
    <row r="41" spans="1:5" ht="14.4" thickBot="1" x14ac:dyDescent="0.35">
      <c r="A41" s="465">
        <v>8</v>
      </c>
      <c r="B41" s="466" t="str">
        <f>"FEDERAL INCOME TAX ( LINE "&amp;A40&amp;"  * "&amp;k_FITrate*100&amp;"% )"</f>
        <v>FEDERAL INCOME TAX ( LINE 7  * 0% )</v>
      </c>
      <c r="C41" s="340"/>
      <c r="D41" s="472">
        <v>0.21</v>
      </c>
      <c r="E41" s="473">
        <f>ROUND((E40)*D41,6)</f>
        <v>0.20000100000000001</v>
      </c>
    </row>
    <row r="42" spans="1:5" ht="15" thickTop="1" thickBot="1" x14ac:dyDescent="0.35">
      <c r="A42" s="465">
        <v>9</v>
      </c>
      <c r="B42" s="466" t="str">
        <f>"CONVERSION FACTOR INCL FEDERAL INCOME TAX ( LINE "&amp;A40&amp;" - LINE "&amp;A41&amp;" ) "</f>
        <v xml:space="preserve">CONVERSION FACTOR INCL FEDERAL INCOME TAX ( LINE 7 - LINE 8 ) </v>
      </c>
      <c r="C42" s="340"/>
      <c r="D42" s="340"/>
      <c r="E42" s="473">
        <f>E40-E41</f>
        <v>0.75238499999999997</v>
      </c>
    </row>
    <row r="43" spans="1:5" ht="13.8" thickTop="1" x14ac:dyDescent="0.25"/>
    <row r="47" spans="1:5" x14ac:dyDescent="0.25">
      <c r="B47" s="389" t="s">
        <v>388</v>
      </c>
    </row>
    <row r="56" spans="2:4" ht="13.8" thickBot="1" x14ac:dyDescent="0.3"/>
    <row r="57" spans="2:4" ht="13.8" thickBot="1" x14ac:dyDescent="0.3">
      <c r="D57" s="518">
        <v>7.5999999999999998E-2</v>
      </c>
    </row>
    <row r="63" spans="2:4" x14ac:dyDescent="0.25">
      <c r="B63" s="389" t="s">
        <v>389</v>
      </c>
    </row>
    <row r="74" spans="4:4" ht="13.8" thickBot="1" x14ac:dyDescent="0.3"/>
    <row r="75" spans="4:4" ht="13.8" thickBot="1" x14ac:dyDescent="0.3">
      <c r="D75" s="518">
        <v>7.4899999999999994E-2</v>
      </c>
    </row>
  </sheetData>
  <pageMargins left="0.7" right="0.7" top="0.75" bottom="0.75" header="0.3" footer="0.3"/>
  <pageSetup scale="68" orientation="landscape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/>
  </sheetViews>
  <sheetFormatPr defaultRowHeight="10.199999999999999" x14ac:dyDescent="0.2"/>
  <sheetData/>
  <pageMargins left="0.7" right="0.7" top="0.75" bottom="0.75" header="0.3" footer="0.3"/>
  <customProperties>
    <customPr name="_pios_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"/>
  <sheetViews>
    <sheetView workbookViewId="0"/>
  </sheetViews>
  <sheetFormatPr defaultRowHeight="10.199999999999999" x14ac:dyDescent="0.2"/>
  <sheetData/>
  <pageMargins left="0.7" right="0.7" top="0.75" bottom="0.75" header="0.3" footer="0.3"/>
  <customProperties>
    <customPr name="_pios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"/>
  <sheetViews>
    <sheetView workbookViewId="0"/>
  </sheetViews>
  <sheetFormatPr defaultRowHeight="10.199999999999999" x14ac:dyDescent="0.2"/>
  <sheetData/>
  <pageMargins left="0.7" right="0.7" top="0.75" bottom="0.75" header="0.3" footer="0.3"/>
  <customProperties>
    <customPr name="_pios_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"/>
  <sheetViews>
    <sheetView workbookViewId="0"/>
  </sheetViews>
  <sheetFormatPr defaultRowHeight="10.199999999999999" x14ac:dyDescent="0.2"/>
  <sheetData/>
  <pageMargins left="0.7" right="0.7" top="0.75" bottom="0.75" header="0.3" footer="0.3"/>
  <customProperties>
    <customPr name="_pios_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"/>
  <sheetViews>
    <sheetView workbookViewId="0"/>
  </sheetViews>
  <sheetFormatPr defaultRowHeight="10.199999999999999" x14ac:dyDescent="0.2"/>
  <sheetData/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B5C7E7D61FC92429EE0C796A4E4EC6C" ma:contentTypeVersion="52" ma:contentTypeDescription="" ma:contentTypeScope="" ma:versionID="e536c44d1f6f487064718244da67e85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2020-03-31T07:00:00+00:00</OpenedDate>
    <SignificantOrder xmlns="dc463f71-b30c-4ab2-9473-d307f9d35888">false</SignificantOrder>
    <Date1 xmlns="dc463f71-b30c-4ab2-9473-d307f9d35888">2020-03-31T07:00:00+00:00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200294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2E82A6-3873-43CB-9A76-0AD579DA64D8}"/>
</file>

<file path=customXml/itemProps2.xml><?xml version="1.0" encoding="utf-8"?>
<ds:datastoreItem xmlns:ds="http://schemas.openxmlformats.org/officeDocument/2006/customXml" ds:itemID="{8FAB7BD3-B3DD-46D3-8A45-52B8B395EF6D}"/>
</file>

<file path=customXml/itemProps3.xml><?xml version="1.0" encoding="utf-8"?>
<ds:datastoreItem xmlns:ds="http://schemas.openxmlformats.org/officeDocument/2006/customXml" ds:itemID="{7372EA6E-511E-4BC3-9C68-64DEA16FA006}"/>
</file>

<file path=customXml/itemProps4.xml><?xml version="1.0" encoding="utf-8"?>
<ds:datastoreItem xmlns:ds="http://schemas.openxmlformats.org/officeDocument/2006/customXml" ds:itemID="{D5D95DC9-8FC0-4F95-89C8-455588D78D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80</vt:i4>
      </vt:variant>
    </vt:vector>
  </HeadingPairs>
  <TitlesOfParts>
    <vt:vector size="84" baseType="lpstr">
      <vt:lpstr>1.01 ROR ROE</vt:lpstr>
      <vt:lpstr>Summaries</vt:lpstr>
      <vt:lpstr>1.02 COC</vt:lpstr>
      <vt:lpstr>Electric Earnings Sharing</vt:lpstr>
      <vt:lpstr>_3.01_TempNorm</vt:lpstr>
      <vt:lpstr>_3.02_RevAndExp</vt:lpstr>
      <vt:lpstr>_3.03_FIT</vt:lpstr>
      <vt:lpstr>_3.04_TBofRE</vt:lpstr>
      <vt:lpstr>_3.05_Pass_Thru</vt:lpstr>
      <vt:lpstr>_3.06_RateCaseExp</vt:lpstr>
      <vt:lpstr>_3.07_Bad_Debt</vt:lpstr>
      <vt:lpstr>_3.08_Incentives</vt:lpstr>
      <vt:lpstr>_3.09_ExciseTax</vt:lpstr>
      <vt:lpstr>_3.10_DO_Ins</vt:lpstr>
      <vt:lpstr>_3.11_IntOnCustDep</vt:lpstr>
      <vt:lpstr>_3.12_PensionPlan</vt:lpstr>
      <vt:lpstr>_3.13_InjDamages</vt:lpstr>
      <vt:lpstr>_3.15_ASC815</vt:lpstr>
      <vt:lpstr>_3.16_Storm</vt:lpstr>
      <vt:lpstr>_3.17_PwrCost</vt:lpstr>
      <vt:lpstr>_3.18_Montana_En</vt:lpstr>
      <vt:lpstr>_3.19_WHSolar</vt:lpstr>
      <vt:lpstr>_3A</vt:lpstr>
      <vt:lpstr>_3B</vt:lpstr>
      <vt:lpstr>_3Summary</vt:lpstr>
      <vt:lpstr>_4.01_ConvFact</vt:lpstr>
      <vt:lpstr>BD</vt:lpstr>
      <vt:lpstr>DOCKET</vt:lpstr>
      <vt:lpstr>FF</vt:lpstr>
      <vt:lpstr>FIT</vt:lpstr>
      <vt:lpstr>k_FITrate</vt:lpstr>
      <vt:lpstr>MOTANA</vt:lpstr>
      <vt:lpstr>MT</vt:lpstr>
      <vt:lpstr>Summaries!Print_Area</vt:lpstr>
      <vt:lpstr>PSPL</vt:lpstr>
      <vt:lpstr>PWRCSTRS</vt:lpstr>
      <vt:lpstr>RATEBASE</vt:lpstr>
      <vt:lpstr>RESTATING</vt:lpstr>
      <vt:lpstr>REVADJ</vt:lpstr>
      <vt:lpstr>ROR</vt:lpstr>
      <vt:lpstr>TAXBENEFIT</vt:lpstr>
      <vt:lpstr>TAXEXCISE</vt:lpstr>
      <vt:lpstr>TAXINCOME</vt:lpstr>
      <vt:lpstr>TESTYEAR</vt:lpstr>
      <vt:lpstr>UTG</vt:lpstr>
      <vt:lpstr>UTN</vt:lpstr>
      <vt:lpstr>Summaries!Z_067119CC_1C61_43DB_B4BB_54397DC63A91_.wvu.PrintArea</vt:lpstr>
      <vt:lpstr>Summaries!Z_14262664_129C_4E9B_8245_4B43AF19E33A_.wvu.PrintArea</vt:lpstr>
      <vt:lpstr>Summaries!Z_17768135_68BF_4539_94C0_50ED7816A698_.wvu.PrintArea</vt:lpstr>
      <vt:lpstr>Summaries!Z_1E64D771_8C52_4EFE_8F0D_67326F432767_.wvu.PrintArea</vt:lpstr>
      <vt:lpstr>Summaries!Z_28C5A156_92F3_4234_9C7A_A32D75F798CC_.wvu.PrintArea</vt:lpstr>
      <vt:lpstr>Summaries!Z_2DBDF3D7_BA4D_404D_AE4B_DFD7008C0411_.wvu.PrintArea</vt:lpstr>
      <vt:lpstr>Summaries!Z_3797879C_3298_4122_A12D_3DFD0284FBDD_.wvu.PrintArea</vt:lpstr>
      <vt:lpstr>Summaries!Z_3834E606_B28A_4696_9192_7BDA898195A1_.wvu.PrintArea</vt:lpstr>
      <vt:lpstr>Summaries!Z_3DB8EC99_BD55_4ABF_B71E_F70797B0173C_.wvu.PrintArea</vt:lpstr>
      <vt:lpstr>Summaries!Z_40B7FB48_DAE3_4682_852F_AC0650D2BE14_.wvu.PrintArea</vt:lpstr>
      <vt:lpstr>Summaries!Z_41713566_6DDC_4C14_8259_D9C15B9E45DD_.wvu.PrintArea</vt:lpstr>
      <vt:lpstr>Summaries!Z_423F2953_9177_4482_AE78_C7C47BA8995B_.wvu.PrintArea</vt:lpstr>
      <vt:lpstr>Summaries!Z_46E5C546_9AEA_4E06_B017_805B7E255C92_.wvu.PrintArea</vt:lpstr>
      <vt:lpstr>Summaries!Z_4840C72E_33E7_45CF_A897_030BC56F6B90_.wvu.PrintArea</vt:lpstr>
      <vt:lpstr>Summaries!Z_605C023E_A5C7_400F_9AAA_827B8FDB13A8_.wvu.PrintArea</vt:lpstr>
      <vt:lpstr>Summaries!Z_62EE4FB2_B9F8_4C5D_BC5C_181361F6DD86_.wvu.PrintArea</vt:lpstr>
      <vt:lpstr>Summaries!Z_813D7A4F_EDF6_49ED_B8FD_B74D0B9276AB_.wvu.PrintArea</vt:lpstr>
      <vt:lpstr>Summaries!Z_88A240CE_F5A6_4995_A526_0E22BADCFF6D_.wvu.PrintArea</vt:lpstr>
      <vt:lpstr>Summaries!Z_8920654A_B782_40BF_9A51_A43F20A27C02_.wvu.PrintArea</vt:lpstr>
      <vt:lpstr>Summaries!Z_8E7EA697_A1C1_4FA5_9CC7_93304413A154_.wvu.PrintArea</vt:lpstr>
      <vt:lpstr>Summaries!Z_990691EF_FF43_4000_BCD8_6862D2BAD44A_.wvu.PrintArea</vt:lpstr>
      <vt:lpstr>Summaries!Z_A3FBC4C2_6ECB_480C_89DD_35506B048870_.wvu.PrintArea</vt:lpstr>
      <vt:lpstr>Summaries!Z_ACABE5FC_E604_45C9_ACB7_53C863CA19F6_.wvu.PrintArea</vt:lpstr>
      <vt:lpstr>Summaries!Z_BA39091D_C7FC_45D0_82A3_5E4EAAFABA5A_.wvu.PrintArea</vt:lpstr>
      <vt:lpstr>Summaries!Z_BBEC464C_25F9_4835_BB05_13062D5DEAC1_.wvu.PrintArea</vt:lpstr>
      <vt:lpstr>Summaries!Z_C3CE34FF_D7D7_4ECF_B6E1_4700E3130E94_.wvu.PrintArea</vt:lpstr>
      <vt:lpstr>Summaries!Z_CD5012F4_E6A6_495E_BF90_5F6D9EE7AF29_.wvu.PrintArea</vt:lpstr>
      <vt:lpstr>Summaries!Z_D034A8AA_A968_4D12_B6AF_09F53E5CD513_.wvu.PrintArea</vt:lpstr>
      <vt:lpstr>Summaries!Z_D358E58B_5EA6_4EB2_8562_4D9FEBA8EA54_.wvu.PrintArea</vt:lpstr>
      <vt:lpstr>Summaries!Z_D564613F_7CF3_40DE_8CDA_0C25C1F35855_.wvu.PrintArea</vt:lpstr>
      <vt:lpstr>Summaries!Z_DD70B4E1_CC64_4568_BFD6_83390A7B0268_.wvu.PrintArea</vt:lpstr>
      <vt:lpstr>Summaries!Z_DF4E3B04_E442_43A1_A47D_E26F6CE7F11C_.wvu.PrintArea</vt:lpstr>
      <vt:lpstr>Summaries!Z_E2C26153_D457_4603_B564_60CFADB5026B_.wvu.PrintArea</vt:lpstr>
      <vt:lpstr>Summaries!Z_E98B4028_3602_46AA_8C00_41FD8ABF8836_.wvu.PrintArea</vt:lpstr>
      <vt:lpstr>Summaries!Z_EDF3DC03_FBB9_4397_9335_6FA548B9B5CD_.wvu.PrintArea</vt:lpstr>
      <vt:lpstr>Summaries!Z_F531E925_9E0B_409C_9EAA_ADCDD51D6BA7_.wvu.PrintArea</vt:lpstr>
      <vt:lpstr>Summaries!Z_F985D028_064A_46CA_9D34_E4E9B88A9B3C_.wvu.PrintArea</vt:lpstr>
      <vt:lpstr>Summaries!Z_FEFCE477_944B_4DAC_AD75_686CC83D0F0B_.wvu.PrintArea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COMMISSION BASIS REPORT</dc:title>
  <dc:subject>TWELVE MOS. ENDED 6/30/95</dc:subject>
  <dc:creator>Janna D. Greif</dc:creator>
  <cp:lastModifiedBy>Marvelous Marina</cp:lastModifiedBy>
  <cp:lastPrinted>2020-03-23T15:45:27Z</cp:lastPrinted>
  <dcterms:created xsi:type="dcterms:W3CDTF">1997-10-13T22:59:17Z</dcterms:created>
  <dcterms:modified xsi:type="dcterms:W3CDTF">2020-03-30T18:32:45Z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#EL Dec 2019CBR.xlsx</vt:lpwstr>
  </property>
  <property fmtid="{D5CDD505-2E9C-101B-9397-08002B2CF9AE}" pid="3" name="ContentTypeId">
    <vt:lpwstr>0x0101006E56B4D1795A2E4DB2F0B01679ED314A001B5C7E7D61FC92429EE0C796A4E4EC6C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