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0\2020 WA REC Filing\"/>
    </mc:Choice>
  </mc:AlternateContent>
  <bookViews>
    <workbookView xWindow="315" yWindow="98" windowWidth="15045" windowHeight="5618" tabRatio="715"/>
  </bookViews>
  <sheets>
    <sheet name="Rate Design" sheetId="2" r:id="rId1"/>
    <sheet name="3-2020 thru 6-2020 RECs" sheetId="8" r:id="rId2"/>
    <sheet name="7-2020 thru 6-2021 RECs" sheetId="1" r:id="rId3"/>
    <sheet name="Forecast Balance" sheetId="5" r:id="rId4"/>
    <sheet name="Forecasted Revenue" sheetId="6" r:id="rId5"/>
    <sheet name="kWh Forecast" sheetId="3" r:id="rId6"/>
    <sheet name="CF WA Elec" sheetId="9" r:id="rId7"/>
    <sheet name="Tables for Cust Notice" sheetId="10" r:id="rId8"/>
  </sheets>
  <externalReferences>
    <externalReference r:id="rId9"/>
    <externalReference r:id="rId10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3">'Forecast Balance'!$A$1:$T$27</definedName>
    <definedName name="_xlnm.Print_Area" localSheetId="4">'Forecasted Revenue'!$A$1:$S$43</definedName>
    <definedName name="_xlnm.Print_Area" localSheetId="5">'kWh Forecast'!$A$1:$R$56</definedName>
    <definedName name="_xlnm.Print_Area" localSheetId="0">'Rate Design'!$A$1:$J$46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7" i="5" l="1"/>
  <c r="D7" i="5"/>
  <c r="C7" i="5"/>
  <c r="F23" i="9" l="1"/>
  <c r="F25" i="9" s="1"/>
  <c r="C42" i="2" l="1"/>
  <c r="D25" i="2" l="1"/>
  <c r="D11" i="5" l="1"/>
  <c r="E33" i="6" l="1"/>
  <c r="D33" i="6"/>
  <c r="B25" i="5"/>
  <c r="E13" i="1"/>
  <c r="J4" i="5" l="1"/>
  <c r="K4" i="5"/>
  <c r="L4" i="5"/>
  <c r="M4" i="5"/>
  <c r="N4" i="5"/>
  <c r="O4" i="5"/>
  <c r="P4" i="5"/>
  <c r="Q4" i="5"/>
  <c r="R4" i="5"/>
  <c r="S4" i="5"/>
  <c r="T4" i="5"/>
  <c r="I4" i="5"/>
  <c r="B17" i="5" s="1"/>
  <c r="C32" i="6" l="1"/>
  <c r="C31" i="6"/>
  <c r="D38" i="6" s="1"/>
  <c r="E23" i="1"/>
  <c r="E16" i="8"/>
  <c r="G16" i="8"/>
  <c r="H16" i="8" s="1"/>
  <c r="F21" i="9"/>
  <c r="F19" i="9"/>
  <c r="D35" i="6" l="1"/>
  <c r="D36" i="6"/>
  <c r="D37" i="6"/>
  <c r="C11" i="5" l="1"/>
  <c r="C10" i="5"/>
  <c r="D10" i="5" s="1"/>
  <c r="C12" i="5" l="1"/>
  <c r="E4" i="5" l="1"/>
  <c r="F4" i="5"/>
  <c r="G4" i="5"/>
  <c r="H4" i="5"/>
  <c r="C5" i="5"/>
  <c r="D12" i="5"/>
  <c r="B12" i="5" l="1"/>
  <c r="B8" i="5" s="1"/>
  <c r="D13" i="10" l="1"/>
  <c r="B15" i="10"/>
  <c r="B14" i="10"/>
  <c r="B13" i="10"/>
  <c r="S32" i="6"/>
  <c r="B46" i="3" l="1"/>
  <c r="B44" i="3"/>
  <c r="C25" i="5" l="1"/>
  <c r="N41" i="2" l="1"/>
  <c r="N40" i="2"/>
  <c r="G18" i="8" l="1"/>
  <c r="O42" i="3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F18" i="8" l="1"/>
  <c r="D5" i="5"/>
  <c r="C6" i="5" l="1"/>
  <c r="A1" i="9"/>
  <c r="D6" i="5" l="1"/>
  <c r="E19" i="9"/>
  <c r="E21" i="9" s="1"/>
  <c r="E23" i="9" l="1"/>
  <c r="E25" i="9" s="1"/>
  <c r="H18" i="8" l="1"/>
  <c r="I16" i="8"/>
  <c r="I18" i="8" s="1"/>
  <c r="B18" i="3"/>
  <c r="E18" i="8" l="1"/>
  <c r="V4" i="5" l="1"/>
  <c r="R51" i="3"/>
  <c r="Q49" i="3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R41" i="3"/>
  <c r="R40" i="3"/>
  <c r="R39" i="3"/>
  <c r="R38" i="3"/>
  <c r="R37" i="3"/>
  <c r="R36" i="3"/>
  <c r="R35" i="3"/>
  <c r="R34" i="3"/>
  <c r="R33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R25" i="3"/>
  <c r="Q23" i="3"/>
  <c r="S10" i="6" s="1"/>
  <c r="P23" i="3"/>
  <c r="O23" i="3"/>
  <c r="Q10" i="6" s="1"/>
  <c r="N23" i="3"/>
  <c r="P10" i="6" s="1"/>
  <c r="M23" i="3"/>
  <c r="O10" i="6" s="1"/>
  <c r="L23" i="3"/>
  <c r="N10" i="6" s="1"/>
  <c r="K23" i="3"/>
  <c r="M10" i="6" s="1"/>
  <c r="J23" i="3"/>
  <c r="L10" i="6" s="1"/>
  <c r="I23" i="3"/>
  <c r="K10" i="6" s="1"/>
  <c r="H23" i="3"/>
  <c r="J10" i="6" s="1"/>
  <c r="G23" i="3"/>
  <c r="I10" i="6" s="1"/>
  <c r="F23" i="3"/>
  <c r="H10" i="6" s="1"/>
  <c r="Q22" i="3"/>
  <c r="S9" i="6" s="1"/>
  <c r="P22" i="3"/>
  <c r="R9" i="6" s="1"/>
  <c r="O22" i="3"/>
  <c r="N22" i="3"/>
  <c r="P9" i="6" s="1"/>
  <c r="M22" i="3"/>
  <c r="O9" i="6" s="1"/>
  <c r="L22" i="3"/>
  <c r="N9" i="6" s="1"/>
  <c r="K22" i="3"/>
  <c r="M9" i="6" s="1"/>
  <c r="J22" i="3"/>
  <c r="I22" i="3"/>
  <c r="K9" i="6" s="1"/>
  <c r="H22" i="3"/>
  <c r="J9" i="6" s="1"/>
  <c r="G22" i="3"/>
  <c r="I9" i="6" s="1"/>
  <c r="F22" i="3"/>
  <c r="H9" i="6" s="1"/>
  <c r="Q21" i="3"/>
  <c r="S8" i="6" s="1"/>
  <c r="P21" i="3"/>
  <c r="R8" i="6" s="1"/>
  <c r="O21" i="3"/>
  <c r="Q8" i="6" s="1"/>
  <c r="N21" i="3"/>
  <c r="P8" i="6" s="1"/>
  <c r="M21" i="3"/>
  <c r="O8" i="6" s="1"/>
  <c r="L21" i="3"/>
  <c r="N8" i="6" s="1"/>
  <c r="K21" i="3"/>
  <c r="M8" i="6" s="1"/>
  <c r="J21" i="3"/>
  <c r="L8" i="6" s="1"/>
  <c r="I21" i="3"/>
  <c r="K8" i="6" s="1"/>
  <c r="H21" i="3"/>
  <c r="J8" i="6" s="1"/>
  <c r="G21" i="3"/>
  <c r="I8" i="6" s="1"/>
  <c r="F21" i="3"/>
  <c r="H8" i="6" s="1"/>
  <c r="Q20" i="3"/>
  <c r="S7" i="6" s="1"/>
  <c r="P20" i="3"/>
  <c r="R7" i="6" s="1"/>
  <c r="O20" i="3"/>
  <c r="Q7" i="6" s="1"/>
  <c r="N20" i="3"/>
  <c r="P7" i="6" s="1"/>
  <c r="M20" i="3"/>
  <c r="O7" i="6" s="1"/>
  <c r="L20" i="3"/>
  <c r="N7" i="6" s="1"/>
  <c r="K20" i="3"/>
  <c r="M7" i="6" s="1"/>
  <c r="J20" i="3"/>
  <c r="L7" i="6" s="1"/>
  <c r="I20" i="3"/>
  <c r="K7" i="6" s="1"/>
  <c r="H20" i="3"/>
  <c r="J7" i="6" s="1"/>
  <c r="G20" i="3"/>
  <c r="I7" i="6" s="1"/>
  <c r="F20" i="3"/>
  <c r="H7" i="6" s="1"/>
  <c r="Q19" i="3"/>
  <c r="S6" i="6" s="1"/>
  <c r="P19" i="3"/>
  <c r="R6" i="6" s="1"/>
  <c r="O19" i="3"/>
  <c r="Q6" i="6" s="1"/>
  <c r="N19" i="3"/>
  <c r="P6" i="6" s="1"/>
  <c r="M19" i="3"/>
  <c r="O6" i="6" s="1"/>
  <c r="L19" i="3"/>
  <c r="N6" i="6" s="1"/>
  <c r="K19" i="3"/>
  <c r="M6" i="6" s="1"/>
  <c r="J19" i="3"/>
  <c r="L6" i="6" s="1"/>
  <c r="I19" i="3"/>
  <c r="K6" i="6" s="1"/>
  <c r="H19" i="3"/>
  <c r="J6" i="6" s="1"/>
  <c r="G19" i="3"/>
  <c r="I6" i="6" s="1"/>
  <c r="F19" i="3"/>
  <c r="Q18" i="3"/>
  <c r="S5" i="6" s="1"/>
  <c r="P18" i="3"/>
  <c r="O18" i="3"/>
  <c r="Q5" i="6" s="1"/>
  <c r="N18" i="3"/>
  <c r="N26" i="3" s="1"/>
  <c r="M18" i="3"/>
  <c r="O5" i="6" s="1"/>
  <c r="L18" i="3"/>
  <c r="K18" i="3"/>
  <c r="M5" i="6" s="1"/>
  <c r="J18" i="3"/>
  <c r="J26" i="3" s="1"/>
  <c r="I18" i="3"/>
  <c r="K5" i="6" s="1"/>
  <c r="H18" i="3"/>
  <c r="G18" i="3"/>
  <c r="I5" i="6" s="1"/>
  <c r="F18" i="3"/>
  <c r="F26" i="3" s="1"/>
  <c r="R15" i="3"/>
  <c r="R14" i="3"/>
  <c r="R13" i="3"/>
  <c r="R12" i="3"/>
  <c r="R11" i="3"/>
  <c r="R10" i="3"/>
  <c r="R9" i="3"/>
  <c r="R8" i="3"/>
  <c r="R7" i="3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R10" i="6"/>
  <c r="Q9" i="6"/>
  <c r="L9" i="6"/>
  <c r="E3" i="8"/>
  <c r="C22" i="2"/>
  <c r="A19" i="2"/>
  <c r="A18" i="2"/>
  <c r="A17" i="2"/>
  <c r="A16" i="2"/>
  <c r="A15" i="2"/>
  <c r="A14" i="2"/>
  <c r="A13" i="2"/>
  <c r="A12" i="2"/>
  <c r="A11" i="2"/>
  <c r="A10" i="2"/>
  <c r="A9" i="2"/>
  <c r="A8" i="2"/>
  <c r="I50" i="3" l="1"/>
  <c r="M50" i="3"/>
  <c r="Q52" i="3"/>
  <c r="F52" i="3"/>
  <c r="J52" i="3"/>
  <c r="N52" i="3"/>
  <c r="G52" i="3"/>
  <c r="K52" i="3"/>
  <c r="O52" i="3"/>
  <c r="H50" i="3"/>
  <c r="L50" i="3"/>
  <c r="P50" i="3"/>
  <c r="P5" i="6"/>
  <c r="R16" i="3"/>
  <c r="C8" i="5"/>
  <c r="C13" i="5" s="1"/>
  <c r="R42" i="3"/>
  <c r="R19" i="3"/>
  <c r="E10" i="2" s="1"/>
  <c r="J24" i="3"/>
  <c r="L5" i="6"/>
  <c r="L11" i="6" s="1"/>
  <c r="H5" i="6"/>
  <c r="H6" i="6"/>
  <c r="R45" i="3"/>
  <c r="E12" i="2" s="1"/>
  <c r="Q50" i="3"/>
  <c r="R46" i="3"/>
  <c r="F12" i="2" s="1"/>
  <c r="R47" i="3"/>
  <c r="G12" i="2" s="1"/>
  <c r="R48" i="3"/>
  <c r="H12" i="2" s="1"/>
  <c r="R49" i="3"/>
  <c r="F50" i="3"/>
  <c r="J50" i="3"/>
  <c r="N50" i="3"/>
  <c r="H52" i="3"/>
  <c r="L52" i="3"/>
  <c r="P52" i="3"/>
  <c r="G50" i="3"/>
  <c r="K50" i="3"/>
  <c r="O50" i="3"/>
  <c r="I52" i="3"/>
  <c r="M52" i="3"/>
  <c r="R44" i="3"/>
  <c r="I11" i="6"/>
  <c r="Q11" i="6"/>
  <c r="R20" i="3"/>
  <c r="F10" i="2" s="1"/>
  <c r="M11" i="6"/>
  <c r="G24" i="3"/>
  <c r="K24" i="3"/>
  <c r="O24" i="3"/>
  <c r="R21" i="3"/>
  <c r="G10" i="2" s="1"/>
  <c r="R22" i="3"/>
  <c r="H10" i="2" s="1"/>
  <c r="R23" i="3"/>
  <c r="I10" i="2" s="1"/>
  <c r="F24" i="3"/>
  <c r="H24" i="3"/>
  <c r="J5" i="6"/>
  <c r="L24" i="3"/>
  <c r="N5" i="6"/>
  <c r="P24" i="3"/>
  <c r="R5" i="6"/>
  <c r="H26" i="3"/>
  <c r="I26" i="3"/>
  <c r="M26" i="3"/>
  <c r="Q26" i="3"/>
  <c r="N24" i="3"/>
  <c r="L26" i="3"/>
  <c r="P26" i="3"/>
  <c r="P11" i="6"/>
  <c r="I24" i="3"/>
  <c r="M24" i="3"/>
  <c r="Q24" i="3"/>
  <c r="G26" i="3"/>
  <c r="K26" i="3"/>
  <c r="O26" i="3"/>
  <c r="K11" i="6"/>
  <c r="O11" i="6"/>
  <c r="S11" i="6"/>
  <c r="R18" i="3"/>
  <c r="D8" i="5" l="1"/>
  <c r="D13" i="5" s="1"/>
  <c r="S12" i="6"/>
  <c r="P12" i="6"/>
  <c r="M12" i="6"/>
  <c r="H11" i="6"/>
  <c r="H12" i="6" s="1"/>
  <c r="R26" i="3"/>
  <c r="K12" i="6"/>
  <c r="L12" i="6"/>
  <c r="R52" i="3"/>
  <c r="D12" i="2"/>
  <c r="C12" i="2" s="1"/>
  <c r="R50" i="3"/>
  <c r="R24" i="3"/>
  <c r="D10" i="2"/>
  <c r="R11" i="6"/>
  <c r="R12" i="6" s="1"/>
  <c r="J11" i="6"/>
  <c r="J12" i="6" s="1"/>
  <c r="I12" i="6"/>
  <c r="N11" i="6"/>
  <c r="N12" i="6" s="1"/>
  <c r="O12" i="6"/>
  <c r="Q12" i="6"/>
  <c r="D23" i="3"/>
  <c r="F10" i="6" s="1"/>
  <c r="F29" i="6" s="1"/>
  <c r="F38" i="6" s="1"/>
  <c r="D19" i="3"/>
  <c r="F6" i="6" s="1"/>
  <c r="F25" i="6" s="1"/>
  <c r="F34" i="6" s="1"/>
  <c r="C22" i="3"/>
  <c r="E9" i="6" s="1"/>
  <c r="E28" i="6" s="1"/>
  <c r="E37" i="6" s="1"/>
  <c r="B23" i="3"/>
  <c r="D10" i="6" s="1"/>
  <c r="C19" i="3"/>
  <c r="E6" i="6" s="1"/>
  <c r="E25" i="6" s="1"/>
  <c r="E34" i="6" s="1"/>
  <c r="B22" i="3"/>
  <c r="D9" i="6" s="1"/>
  <c r="C21" i="3"/>
  <c r="E8" i="6" s="1"/>
  <c r="E27" i="6" s="1"/>
  <c r="E36" i="6" s="1"/>
  <c r="E23" i="3"/>
  <c r="G10" i="6" s="1"/>
  <c r="G29" i="6" s="1"/>
  <c r="G38" i="6" s="1"/>
  <c r="E20" i="3"/>
  <c r="G7" i="6" s="1"/>
  <c r="G26" i="6" s="1"/>
  <c r="G35" i="6" s="1"/>
  <c r="B21" i="3"/>
  <c r="D8" i="6" s="1"/>
  <c r="D22" i="3"/>
  <c r="F9" i="6" s="1"/>
  <c r="F28" i="6" s="1"/>
  <c r="F37" i="6" s="1"/>
  <c r="B19" i="3"/>
  <c r="E21" i="3"/>
  <c r="G8" i="6" s="1"/>
  <c r="G27" i="6" s="1"/>
  <c r="G36" i="6" s="1"/>
  <c r="B20" i="3"/>
  <c r="D7" i="6" s="1"/>
  <c r="D18" i="3"/>
  <c r="F5" i="6" s="1"/>
  <c r="D20" i="3"/>
  <c r="F7" i="6" s="1"/>
  <c r="F26" i="6" s="1"/>
  <c r="F35" i="6" s="1"/>
  <c r="C23" i="3"/>
  <c r="E10" i="6" s="1"/>
  <c r="E29" i="6" s="1"/>
  <c r="E38" i="6" s="1"/>
  <c r="C20" i="3"/>
  <c r="E7" i="6" s="1"/>
  <c r="E26" i="6" s="1"/>
  <c r="E35" i="6" s="1"/>
  <c r="D21" i="3"/>
  <c r="F8" i="6" s="1"/>
  <c r="F27" i="6" s="1"/>
  <c r="F36" i="6" s="1"/>
  <c r="E22" i="3"/>
  <c r="G9" i="6" s="1"/>
  <c r="G28" i="6" s="1"/>
  <c r="G37" i="6" s="1"/>
  <c r="E19" i="3"/>
  <c r="G6" i="6" s="1"/>
  <c r="G25" i="6" s="1"/>
  <c r="G34" i="6" s="1"/>
  <c r="E18" i="3"/>
  <c r="C18" i="3"/>
  <c r="E5" i="6" s="1"/>
  <c r="D26" i="6" l="1"/>
  <c r="T7" i="6"/>
  <c r="D27" i="6"/>
  <c r="T8" i="6"/>
  <c r="D28" i="6"/>
  <c r="T9" i="6"/>
  <c r="D29" i="6"/>
  <c r="T10" i="6"/>
  <c r="D6" i="6"/>
  <c r="B26" i="3"/>
  <c r="D9" i="2"/>
  <c r="D11" i="2" s="1"/>
  <c r="D16" i="2" s="1"/>
  <c r="E26" i="3"/>
  <c r="C10" i="2"/>
  <c r="G5" i="6"/>
  <c r="G24" i="6" s="1"/>
  <c r="D26" i="3"/>
  <c r="B24" i="3"/>
  <c r="E11" i="6"/>
  <c r="E24" i="6"/>
  <c r="F11" i="6"/>
  <c r="E24" i="3"/>
  <c r="C24" i="3"/>
  <c r="G11" i="6"/>
  <c r="C26" i="3"/>
  <c r="D24" i="3"/>
  <c r="D5" i="6"/>
  <c r="T5" i="6" s="1"/>
  <c r="F24" i="6"/>
  <c r="C44" i="2" l="1"/>
  <c r="C46" i="2" s="1"/>
  <c r="D25" i="6"/>
  <c r="D34" i="6" s="1"/>
  <c r="T6" i="6"/>
  <c r="T11" i="6" s="1"/>
  <c r="G33" i="6"/>
  <c r="G39" i="6" s="1"/>
  <c r="G30" i="6"/>
  <c r="E9" i="2"/>
  <c r="E11" i="2" s="1"/>
  <c r="F9" i="2"/>
  <c r="F11" i="2" s="1"/>
  <c r="H9" i="2"/>
  <c r="H11" i="2" s="1"/>
  <c r="G9" i="2"/>
  <c r="G11" i="2" s="1"/>
  <c r="I9" i="2"/>
  <c r="I11" i="2" s="1"/>
  <c r="I16" i="2" s="1"/>
  <c r="F30" i="6"/>
  <c r="F33" i="6"/>
  <c r="F39" i="6" s="1"/>
  <c r="D24" i="6"/>
  <c r="D11" i="6"/>
  <c r="E30" i="6"/>
  <c r="E39" i="6"/>
  <c r="F3" i="5" s="1"/>
  <c r="G3" i="5" l="1"/>
  <c r="G5" i="5" s="1"/>
  <c r="H3" i="5"/>
  <c r="H5" i="5" s="1"/>
  <c r="F5" i="5"/>
  <c r="C8" i="2"/>
  <c r="F16" i="2"/>
  <c r="F13" i="2"/>
  <c r="F14" i="2"/>
  <c r="S20" i="6"/>
  <c r="S29" i="6" s="1"/>
  <c r="S38" i="6" s="1"/>
  <c r="N20" i="6"/>
  <c r="N29" i="6" s="1"/>
  <c r="N38" i="6" s="1"/>
  <c r="H20" i="6"/>
  <c r="H29" i="6" s="1"/>
  <c r="H38" i="6" s="1"/>
  <c r="I20" i="6"/>
  <c r="I29" i="6" s="1"/>
  <c r="I38" i="6" s="1"/>
  <c r="O20" i="6"/>
  <c r="O29" i="6" s="1"/>
  <c r="O38" i="6" s="1"/>
  <c r="J20" i="6"/>
  <c r="J29" i="6" s="1"/>
  <c r="J38" i="6" s="1"/>
  <c r="Q20" i="6"/>
  <c r="Q29" i="6" s="1"/>
  <c r="Q38" i="6" s="1"/>
  <c r="K20" i="6"/>
  <c r="K29" i="6" s="1"/>
  <c r="K38" i="6" s="1"/>
  <c r="P20" i="6"/>
  <c r="P29" i="6" s="1"/>
  <c r="P38" i="6" s="1"/>
  <c r="I18" i="2"/>
  <c r="I19" i="2" s="1"/>
  <c r="I23" i="2" s="1"/>
  <c r="R20" i="6"/>
  <c r="R29" i="6" s="1"/>
  <c r="R38" i="6" s="1"/>
  <c r="L20" i="6"/>
  <c r="L29" i="6" s="1"/>
  <c r="L38" i="6" s="1"/>
  <c r="M20" i="6"/>
  <c r="M29" i="6" s="1"/>
  <c r="M38" i="6" s="1"/>
  <c r="E13" i="2"/>
  <c r="E14" i="2"/>
  <c r="E16" i="2"/>
  <c r="G16" i="2"/>
  <c r="G13" i="2"/>
  <c r="G14" i="2"/>
  <c r="H16" i="2"/>
  <c r="H13" i="2"/>
  <c r="H14" i="2"/>
  <c r="D30" i="6"/>
  <c r="D39" i="6"/>
  <c r="E3" i="5" s="1"/>
  <c r="O51" i="2" l="1"/>
  <c r="H18" i="10"/>
  <c r="E5" i="5"/>
  <c r="R18" i="6"/>
  <c r="R27" i="6" s="1"/>
  <c r="R36" i="6" s="1"/>
  <c r="L18" i="6"/>
  <c r="L27" i="6" s="1"/>
  <c r="L36" i="6" s="1"/>
  <c r="G18" i="2"/>
  <c r="G19" i="2" s="1"/>
  <c r="G23" i="2" s="1"/>
  <c r="S18" i="6"/>
  <c r="S27" i="6" s="1"/>
  <c r="S36" i="6" s="1"/>
  <c r="N18" i="6"/>
  <c r="N27" i="6" s="1"/>
  <c r="N36" i="6" s="1"/>
  <c r="H18" i="6"/>
  <c r="H27" i="6" s="1"/>
  <c r="H36" i="6" s="1"/>
  <c r="M18" i="6"/>
  <c r="M27" i="6" s="1"/>
  <c r="M36" i="6" s="1"/>
  <c r="O18" i="6"/>
  <c r="O27" i="6" s="1"/>
  <c r="O36" i="6" s="1"/>
  <c r="J18" i="6"/>
  <c r="J27" i="6" s="1"/>
  <c r="J36" i="6" s="1"/>
  <c r="I18" i="6"/>
  <c r="I27" i="6" s="1"/>
  <c r="I36" i="6" s="1"/>
  <c r="K18" i="6"/>
  <c r="K27" i="6" s="1"/>
  <c r="K36" i="6" s="1"/>
  <c r="P18" i="6"/>
  <c r="P27" i="6" s="1"/>
  <c r="P36" i="6" s="1"/>
  <c r="Q18" i="6"/>
  <c r="Q27" i="6" s="1"/>
  <c r="Q36" i="6" s="1"/>
  <c r="R19" i="6"/>
  <c r="R28" i="6" s="1"/>
  <c r="R37" i="6" s="1"/>
  <c r="L19" i="6"/>
  <c r="L28" i="6" s="1"/>
  <c r="L37" i="6" s="1"/>
  <c r="Q19" i="6"/>
  <c r="Q28" i="6" s="1"/>
  <c r="Q37" i="6" s="1"/>
  <c r="S19" i="6"/>
  <c r="S28" i="6" s="1"/>
  <c r="S37" i="6" s="1"/>
  <c r="N19" i="6"/>
  <c r="N28" i="6" s="1"/>
  <c r="N37" i="6" s="1"/>
  <c r="H19" i="6"/>
  <c r="H28" i="6" s="1"/>
  <c r="H37" i="6" s="1"/>
  <c r="H18" i="2"/>
  <c r="H19" i="2" s="1"/>
  <c r="H23" i="2" s="1"/>
  <c r="O19" i="6"/>
  <c r="O28" i="6" s="1"/>
  <c r="O37" i="6" s="1"/>
  <c r="J19" i="6"/>
  <c r="J28" i="6" s="1"/>
  <c r="J37" i="6" s="1"/>
  <c r="M19" i="6"/>
  <c r="M28" i="6" s="1"/>
  <c r="M37" i="6" s="1"/>
  <c r="K19" i="6"/>
  <c r="K28" i="6" s="1"/>
  <c r="K37" i="6" s="1"/>
  <c r="P19" i="6"/>
  <c r="P28" i="6" s="1"/>
  <c r="P37" i="6" s="1"/>
  <c r="I19" i="6"/>
  <c r="I28" i="6" s="1"/>
  <c r="I37" i="6" s="1"/>
  <c r="K16" i="6"/>
  <c r="K25" i="6" s="1"/>
  <c r="K34" i="6" s="1"/>
  <c r="P16" i="6"/>
  <c r="P25" i="6" s="1"/>
  <c r="P34" i="6" s="1"/>
  <c r="E18" i="2"/>
  <c r="E19" i="2" s="1"/>
  <c r="E23" i="2" s="1"/>
  <c r="R16" i="6"/>
  <c r="R25" i="6" s="1"/>
  <c r="R34" i="6" s="1"/>
  <c r="L16" i="6"/>
  <c r="L25" i="6" s="1"/>
  <c r="L34" i="6" s="1"/>
  <c r="M16" i="6"/>
  <c r="M25" i="6" s="1"/>
  <c r="M34" i="6" s="1"/>
  <c r="S16" i="6"/>
  <c r="S25" i="6" s="1"/>
  <c r="S34" i="6" s="1"/>
  <c r="N16" i="6"/>
  <c r="N25" i="6" s="1"/>
  <c r="N34" i="6" s="1"/>
  <c r="H16" i="6"/>
  <c r="H25" i="6" s="1"/>
  <c r="H34" i="6" s="1"/>
  <c r="I16" i="6"/>
  <c r="I25" i="6" s="1"/>
  <c r="I34" i="6" s="1"/>
  <c r="O16" i="6"/>
  <c r="O25" i="6" s="1"/>
  <c r="O34" i="6" s="1"/>
  <c r="J16" i="6"/>
  <c r="J25" i="6" s="1"/>
  <c r="J34" i="6" s="1"/>
  <c r="Q16" i="6"/>
  <c r="Q25" i="6" s="1"/>
  <c r="Q34" i="6" s="1"/>
  <c r="D13" i="2"/>
  <c r="D14" i="2"/>
  <c r="K17" i="6"/>
  <c r="K26" i="6" s="1"/>
  <c r="K35" i="6" s="1"/>
  <c r="P17" i="6"/>
  <c r="P26" i="6" s="1"/>
  <c r="P35" i="6" s="1"/>
  <c r="M17" i="6"/>
  <c r="M26" i="6" s="1"/>
  <c r="M35" i="6" s="1"/>
  <c r="R17" i="6"/>
  <c r="R26" i="6" s="1"/>
  <c r="R35" i="6" s="1"/>
  <c r="L17" i="6"/>
  <c r="L26" i="6" s="1"/>
  <c r="L35" i="6" s="1"/>
  <c r="I17" i="6"/>
  <c r="I26" i="6" s="1"/>
  <c r="I35" i="6" s="1"/>
  <c r="S17" i="6"/>
  <c r="S26" i="6" s="1"/>
  <c r="S35" i="6" s="1"/>
  <c r="N17" i="6"/>
  <c r="N26" i="6" s="1"/>
  <c r="N35" i="6" s="1"/>
  <c r="H17" i="6"/>
  <c r="H26" i="6" s="1"/>
  <c r="H35" i="6" s="1"/>
  <c r="F18" i="2"/>
  <c r="F19" i="2" s="1"/>
  <c r="F23" i="2" s="1"/>
  <c r="O17" i="6"/>
  <c r="O26" i="6" s="1"/>
  <c r="O35" i="6" s="1"/>
  <c r="J17" i="6"/>
  <c r="J26" i="6" s="1"/>
  <c r="J35" i="6" s="1"/>
  <c r="Q17" i="6"/>
  <c r="Q26" i="6" s="1"/>
  <c r="Q35" i="6" s="1"/>
  <c r="O50" i="2" l="1"/>
  <c r="H17" i="10"/>
  <c r="O49" i="2"/>
  <c r="H16" i="10"/>
  <c r="O48" i="2"/>
  <c r="H15" i="10"/>
  <c r="O47" i="2"/>
  <c r="H14" i="10"/>
  <c r="E6" i="5"/>
  <c r="F7" i="5" s="1"/>
  <c r="D26" i="2"/>
  <c r="R15" i="6"/>
  <c r="R24" i="6" s="1"/>
  <c r="L15" i="6"/>
  <c r="L24" i="6" s="1"/>
  <c r="Q15" i="6"/>
  <c r="Q24" i="6" s="1"/>
  <c r="S15" i="6"/>
  <c r="S24" i="6" s="1"/>
  <c r="N15" i="6"/>
  <c r="N24" i="6" s="1"/>
  <c r="H15" i="6"/>
  <c r="H24" i="6" s="1"/>
  <c r="H33" i="6" s="1"/>
  <c r="D18" i="2"/>
  <c r="C14" i="10" s="1"/>
  <c r="O15" i="6"/>
  <c r="O24" i="6" s="1"/>
  <c r="J15" i="6"/>
  <c r="J24" i="6" s="1"/>
  <c r="M15" i="6"/>
  <c r="M24" i="6" s="1"/>
  <c r="K15" i="6"/>
  <c r="K24" i="6" s="1"/>
  <c r="P15" i="6"/>
  <c r="P24" i="6" s="1"/>
  <c r="I15" i="6"/>
  <c r="I24" i="6" s="1"/>
  <c r="C15" i="10" l="1"/>
  <c r="D14" i="10"/>
  <c r="E8" i="5"/>
  <c r="F6" i="5"/>
  <c r="G7" i="5" s="1"/>
  <c r="D19" i="2"/>
  <c r="C19" i="2" s="1"/>
  <c r="C23" i="2" s="1"/>
  <c r="O40" i="2"/>
  <c r="P40" i="2" s="1"/>
  <c r="O41" i="2"/>
  <c r="M30" i="6"/>
  <c r="M33" i="6"/>
  <c r="M39" i="6" s="1"/>
  <c r="H39" i="6"/>
  <c r="I3" i="5" s="1"/>
  <c r="H30" i="6"/>
  <c r="L33" i="6"/>
  <c r="L39" i="6" s="1"/>
  <c r="L30" i="6"/>
  <c r="I30" i="6"/>
  <c r="I33" i="6"/>
  <c r="I39" i="6" s="1"/>
  <c r="J33" i="6"/>
  <c r="J39" i="6" s="1"/>
  <c r="J30" i="6"/>
  <c r="N33" i="6"/>
  <c r="N39" i="6" s="1"/>
  <c r="N30" i="6"/>
  <c r="R33" i="6"/>
  <c r="R39" i="6" s="1"/>
  <c r="R30" i="6"/>
  <c r="P30" i="6"/>
  <c r="P33" i="6"/>
  <c r="P39" i="6" s="1"/>
  <c r="O33" i="6"/>
  <c r="O39" i="6" s="1"/>
  <c r="O30" i="6"/>
  <c r="S33" i="6"/>
  <c r="S39" i="6" s="1"/>
  <c r="S30" i="6"/>
  <c r="K33" i="6"/>
  <c r="K39" i="6" s="1"/>
  <c r="K30" i="6"/>
  <c r="Q33" i="6"/>
  <c r="Q39" i="6" s="1"/>
  <c r="Q30" i="6"/>
  <c r="P3" i="5" l="1"/>
  <c r="P5" i="5" s="1"/>
  <c r="K3" i="5"/>
  <c r="K5" i="5" s="1"/>
  <c r="Q3" i="5"/>
  <c r="Q5" i="5" s="1"/>
  <c r="J3" i="5"/>
  <c r="L3" i="5"/>
  <c r="L5" i="5" s="1"/>
  <c r="M3" i="5"/>
  <c r="M5" i="5" s="1"/>
  <c r="T3" i="5"/>
  <c r="T5" i="5" s="1"/>
  <c r="S3" i="5"/>
  <c r="S5" i="5" s="1"/>
  <c r="R3" i="5"/>
  <c r="R5" i="5" s="1"/>
  <c r="O3" i="5"/>
  <c r="N3" i="5"/>
  <c r="N5" i="5" s="1"/>
  <c r="O52" i="2"/>
  <c r="H19" i="10"/>
  <c r="D15" i="10"/>
  <c r="C16" i="10"/>
  <c r="D16" i="10" s="1"/>
  <c r="D23" i="2"/>
  <c r="F8" i="5"/>
  <c r="G6" i="5"/>
  <c r="H7" i="5" s="1"/>
  <c r="O42" i="2"/>
  <c r="P42" i="2" s="1"/>
  <c r="P41" i="2"/>
  <c r="I5" i="5"/>
  <c r="V3" i="5" l="1"/>
  <c r="B18" i="5"/>
  <c r="O5" i="5"/>
  <c r="J5" i="5"/>
  <c r="O46" i="2"/>
  <c r="H13" i="10"/>
  <c r="G8" i="5"/>
  <c r="H6" i="5"/>
  <c r="H8" i="5" l="1"/>
  <c r="I7" i="5" l="1"/>
  <c r="B16" i="5"/>
  <c r="E15" i="1"/>
  <c r="E17" i="1" s="1"/>
  <c r="I6" i="5"/>
  <c r="J7" i="5" s="1"/>
  <c r="I8" i="5" l="1"/>
  <c r="J6" i="5"/>
  <c r="K7" i="5" s="1"/>
  <c r="K6" i="5" l="1"/>
  <c r="L7" i="5" s="1"/>
  <c r="J8" i="5"/>
  <c r="K8" i="5" l="1"/>
  <c r="L6" i="5"/>
  <c r="M7" i="5" s="1"/>
  <c r="L8" i="5" l="1"/>
  <c r="M6" i="5"/>
  <c r="N7" i="5" s="1"/>
  <c r="N6" i="5" l="1"/>
  <c r="M8" i="5"/>
  <c r="N8" i="5" l="1"/>
  <c r="O6" i="5" l="1"/>
  <c r="P7" i="5" s="1"/>
  <c r="O7" i="5"/>
  <c r="O8" i="5" l="1"/>
  <c r="P6" i="5"/>
  <c r="Q7" i="5" s="1"/>
  <c r="P8" i="5" l="1"/>
  <c r="Q6" i="5"/>
  <c r="R7" i="5" s="1"/>
  <c r="Q8" i="5" l="1"/>
  <c r="R6" i="5"/>
  <c r="S7" i="5" s="1"/>
  <c r="R8" i="5" l="1"/>
  <c r="S6" i="5"/>
  <c r="T6" i="5" s="1"/>
  <c r="T7" i="5" l="1"/>
  <c r="S8" i="5"/>
  <c r="B19" i="5" l="1"/>
  <c r="V7" i="5"/>
  <c r="T8" i="5"/>
  <c r="B49" i="3"/>
  <c r="E48" i="3"/>
  <c r="D49" i="3"/>
  <c r="C49" i="3"/>
  <c r="D48" i="3"/>
  <c r="E49" i="3"/>
  <c r="E50" i="3" s="1"/>
  <c r="C48" i="3"/>
  <c r="B48" i="3"/>
  <c r="E19" i="1" l="1"/>
  <c r="E21" i="1" s="1"/>
  <c r="E25" i="1" s="1"/>
  <c r="U30" i="6" s="1"/>
  <c r="B20" i="5"/>
  <c r="B52" i="3"/>
  <c r="U39" i="6"/>
  <c r="D52" i="3"/>
  <c r="C52" i="3"/>
  <c r="C50" i="3"/>
  <c r="D50" i="3"/>
  <c r="B50" i="3"/>
  <c r="E52" i="3"/>
</calcChain>
</file>

<file path=xl/comments1.xml><?xml version="1.0" encoding="utf-8"?>
<comments xmlns="http://schemas.openxmlformats.org/spreadsheetml/2006/main">
  <authors>
    <author>annette brandon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COD: 2.89% x (1-.21) = 2.28
COE: 4.61%
Total 6.89%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COD: 2.652% x (1-.21) = 2.095
COE: 4.559%
Total 6.654%</t>
        </r>
      </text>
    </comment>
  </commentList>
</comments>
</file>

<file path=xl/sharedStrings.xml><?xml version="1.0" encoding="utf-8"?>
<sst xmlns="http://schemas.openxmlformats.org/spreadsheetml/2006/main" count="268" uniqueCount="180">
  <si>
    <t>Total</t>
  </si>
  <si>
    <t>aMW</t>
  </si>
  <si>
    <t>Rate</t>
  </si>
  <si>
    <t>REC Revenues Rebate Allocation - Generation Level Consumption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</si>
  <si>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</si>
  <si>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</si>
  <si>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</si>
  <si>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</si>
  <si>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</si>
  <si>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</si>
  <si>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</si>
  <si>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</si>
  <si>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</si>
  <si>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</si>
  <si>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</si>
  <si>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</si>
  <si>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</si>
  <si>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</si>
  <si>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</si>
  <si>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</si>
  <si>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</si>
  <si>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</si>
  <si>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</si>
  <si>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</si>
  <si>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</si>
  <si>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</si>
  <si>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</si>
  <si>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</si>
  <si>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Generation Allocated</t>
  </si>
  <si>
    <t>Total Generation Percentage</t>
  </si>
  <si>
    <t>(1)</t>
  </si>
  <si>
    <t>Annual Load (Rate Year)</t>
  </si>
  <si>
    <t>(2)</t>
  </si>
  <si>
    <t>Cents Per kWh Rate</t>
  </si>
  <si>
    <t>Total Bills</t>
  </si>
  <si>
    <t>Avg Monthly Credit Per Customer</t>
  </si>
  <si>
    <t>Avg Annual Credit Per Customer</t>
  </si>
  <si>
    <t>Proposed Cents per kWh Rate</t>
  </si>
  <si>
    <t>Present Cents per kWh Rate</t>
  </si>
  <si>
    <t>Difference in Rate</t>
  </si>
  <si>
    <t>Change in Revenue</t>
  </si>
  <si>
    <t>Gross Up Factor</t>
  </si>
  <si>
    <t>Grossed Up Revenue Requirement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</si>
  <si>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</si>
  <si>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</si>
  <si>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</si>
  <si>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</si>
  <si>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</si>
  <si>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</si>
  <si>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</si>
  <si>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</si>
  <si>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</si>
  <si>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</si>
  <si>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</si>
  <si>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</si>
  <si>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</si>
  <si>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</si>
  <si>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</si>
  <si>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</si>
  <si>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</si>
  <si>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</si>
  <si>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</si>
  <si>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</si>
  <si>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</si>
  <si>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System Total</t>
  </si>
  <si>
    <t>PT Ratio</t>
  </si>
  <si>
    <t>Washington Share</t>
  </si>
  <si>
    <t>End March</t>
  </si>
  <si>
    <t>End April</t>
  </si>
  <si>
    <t>End May</t>
  </si>
  <si>
    <t>End June</t>
  </si>
  <si>
    <t>End July</t>
  </si>
  <si>
    <t>End August</t>
  </si>
  <si>
    <t>End September</t>
  </si>
  <si>
    <t>End October</t>
  </si>
  <si>
    <t>End November</t>
  </si>
  <si>
    <t>End December</t>
  </si>
  <si>
    <t>End January</t>
  </si>
  <si>
    <t>End February</t>
  </si>
  <si>
    <t>Net change in balance</t>
  </si>
  <si>
    <t>Interest on Previous Months Balance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</si>
  <si>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</si>
  <si>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</si>
  <si>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</si>
  <si>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</si>
  <si>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</si>
  <si>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</si>
  <si>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</si>
  <si>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</si>
  <si>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Forecast End of June Balance</t>
  </si>
  <si>
    <t>Forecast Annual REC Sales</t>
  </si>
  <si>
    <t>Per rate order, REC rate is after tax cost of capital</t>
  </si>
  <si>
    <t>The monthly rate is:</t>
  </si>
  <si>
    <t>Interest</t>
  </si>
  <si>
    <t>REC Balance to be Recovered</t>
  </si>
  <si>
    <t>Forecasted Interest Calculation</t>
  </si>
  <si>
    <t>Total REC Balance to be Recovered</t>
  </si>
  <si>
    <t>goal seek to zero by changing (Rate Design - C9)</t>
  </si>
  <si>
    <t>Gross REC Revenue Amortization Credit</t>
  </si>
  <si>
    <t>REC Revenue Amortization Rates</t>
  </si>
  <si>
    <t>Expected net elec REC Amortization credit</t>
  </si>
  <si>
    <t>Cumulative Balance (Before Interest)</t>
  </si>
  <si>
    <t>Compound</t>
  </si>
  <si>
    <t>REC Revenue Balance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</si>
  <si>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</si>
  <si>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</si>
  <si>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</si>
  <si>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</si>
  <si>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</si>
  <si>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</si>
  <si>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</si>
  <si>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</si>
  <si>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</si>
  <si>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</si>
  <si>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</si>
  <si>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</si>
  <si>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</si>
  <si>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</si>
  <si>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</si>
  <si>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</si>
  <si>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</si>
  <si>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 xml:space="preserve"> Gray shaded box is Confidential per WAC-480-07-160</t>
  </si>
  <si>
    <t>SCHEDULE 1, 2</t>
  </si>
  <si>
    <t>WA001/WA002</t>
  </si>
  <si>
    <t>Residential Schedule 001/002</t>
  </si>
  <si>
    <t xml:space="preserve">Net REC Revenue Amortization Credit </t>
  </si>
  <si>
    <t>Electric Service</t>
  </si>
  <si>
    <t>Current Bill Rate</t>
  </si>
  <si>
    <t>Proposed Increase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</si>
  <si>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</si>
  <si>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</si>
  <si>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</si>
  <si>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</si>
  <si>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</si>
  <si>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</si>
  <si>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</si>
  <si>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</si>
  <si>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25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</si>
  <si>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</si>
  <si>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</si>
  <si>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</si>
  <si>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</si>
  <si>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</si>
  <si>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</si>
  <si>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</si>
  <si>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</si>
  <si>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</si>
  <si>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Increase in Billed Revenue</t>
  </si>
  <si>
    <t>Overall</t>
  </si>
  <si>
    <t xml:space="preserve"> UE-170485</t>
  </si>
  <si>
    <t>UE-170485</t>
  </si>
  <si>
    <t>Residential Bill Impact (918 kWh's)</t>
  </si>
  <si>
    <t>Present</t>
  </si>
  <si>
    <t>Proposed</t>
  </si>
  <si>
    <t>Over 1,500 Kwh/Month</t>
  </si>
  <si>
    <t>Total Rebate Amount (Grossed Up)</t>
  </si>
  <si>
    <t>Acct 186323</t>
  </si>
  <si>
    <t>Acct 186322</t>
  </si>
  <si>
    <t>Balance Sheet</t>
  </si>
  <si>
    <t>interest correction</t>
  </si>
  <si>
    <t>UE-190334</t>
  </si>
  <si>
    <t>Approved In</t>
  </si>
  <si>
    <t>July 1, 2020 through June 30, 2021 Forecasted Loads (input)</t>
  </si>
  <si>
    <t>UE-170485/UE-190334</t>
  </si>
  <si>
    <t xml:space="preserve"> UE-190334</t>
  </si>
  <si>
    <t>(for MAR 2019 Only)</t>
  </si>
  <si>
    <t>TWELVE MONTHS ENDED DECEMBER 31, 2018 (Effective 04/01/20)</t>
  </si>
  <si>
    <t>Morgan Stanley</t>
  </si>
  <si>
    <t>Shell</t>
  </si>
  <si>
    <t>UE-190334 Cost of Service Study</t>
  </si>
  <si>
    <t>Bill at 918 kWhs</t>
  </si>
  <si>
    <t>Projected end of June 2020 Balance</t>
  </si>
  <si>
    <t>July 2020 - June 2021 REC Revenue Forecast</t>
  </si>
  <si>
    <t>July 2020 - June 2021 Amortization Credit</t>
  </si>
  <si>
    <t>Total Projected REC Balance as of June 2021</t>
  </si>
  <si>
    <t xml:space="preserve">EREV Dec Mid-month 12.14.19 </t>
  </si>
  <si>
    <t>Proposed Change</t>
  </si>
  <si>
    <t>Change in Billed Revenue</t>
  </si>
  <si>
    <r>
      <t>PT Ratio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</si>
  <si>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1</t>
    </r>
    <r>
      <rPr>
        <sz val="11"/>
        <color theme="1"/>
        <rFont val="Calibri"/>
        <family val="2"/>
        <scheme val="minor"/>
      </rPr>
      <t>Remains consistent with ERM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</si>
</sst>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_(* #,##0_);_(* \(#,##0\);_(* &quot;-&quot;??_);_(@_)"/>
    <numFmt numFmtId="170" formatCode="mmm\ yy"/>
    <numFmt numFmtId="171" formatCode="0.000000"/>
    <numFmt numFmtId="172" formatCode="0.0%"/>
    <numFmt numFmtId="173" formatCode="0.00000"/>
    <numFmt numFmtId="174" formatCode="0.0000000"/>
    <numFmt numFmtId="175" formatCode="0.000%"/>
  </numFmts>
  <fonts count="4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219">
    <xf numFmtId="0" fontId="0" fillId="0" borderId="0" xfId="0"/>
    <xf numFmtId="0" fontId="11" fillId="0" borderId="0" xfId="0" applyFont="1"/>
    <xf numFmtId="0" fontId="14" fillId="0" borderId="0" xfId="0" applyFont="1"/>
    <xf numFmtId="0" fontId="15" fillId="0" borderId="4" xfId="0" applyFont="1" applyFill="1" applyBorder="1"/>
    <xf numFmtId="0" fontId="15" fillId="0" borderId="5" xfId="0" applyFont="1" applyFill="1" applyBorder="1"/>
    <xf numFmtId="0" fontId="15" fillId="0" borderId="6" xfId="0" applyFont="1" applyFill="1" applyBorder="1"/>
    <xf numFmtId="0" fontId="15" fillId="0" borderId="7" xfId="0" applyFont="1" applyFill="1" applyBorder="1"/>
    <xf numFmtId="0" fontId="15" fillId="0" borderId="8" xfId="0" applyFont="1" applyFill="1" applyBorder="1"/>
    <xf numFmtId="0" fontId="15" fillId="0" borderId="0" xfId="0" applyFont="1" applyFill="1" applyBorder="1"/>
    <xf numFmtId="0" fontId="15" fillId="0" borderId="9" xfId="4" applyFont="1" applyFill="1" applyBorder="1" applyAlignment="1">
      <alignment horizontal="center"/>
    </xf>
    <xf numFmtId="0" fontId="15" fillId="0" borderId="10" xfId="4" applyFont="1" applyFill="1" applyBorder="1" applyAlignment="1">
      <alignment horizontal="center"/>
    </xf>
    <xf numFmtId="0" fontId="15" fillId="0" borderId="10" xfId="0" applyFont="1" applyFill="1" applyBorder="1"/>
    <xf numFmtId="0" fontId="15" fillId="0" borderId="11" xfId="4" applyFont="1" applyFill="1" applyBorder="1" applyAlignment="1">
      <alignment horizontal="center"/>
    </xf>
    <xf numFmtId="0" fontId="15" fillId="0" borderId="12" xfId="4" applyFont="1" applyFill="1" applyBorder="1" applyAlignment="1">
      <alignment horizontal="center"/>
    </xf>
    <xf numFmtId="0" fontId="15" fillId="0" borderId="14" xfId="4" applyFont="1" applyFill="1" applyBorder="1" applyAlignment="1">
      <alignment horizontal="center"/>
    </xf>
    <xf numFmtId="0" fontId="15" fillId="0" borderId="15" xfId="4" applyFont="1" applyFill="1" applyBorder="1" applyAlignment="1">
      <alignment horizontal="center" wrapText="1"/>
    </xf>
    <xf numFmtId="0" fontId="15" fillId="0" borderId="16" xfId="4" applyFont="1" applyFill="1" applyBorder="1" applyAlignment="1">
      <alignment horizontal="center"/>
    </xf>
    <xf numFmtId="0" fontId="15" fillId="0" borderId="17" xfId="4" applyFont="1" applyFill="1" applyBorder="1" applyAlignment="1">
      <alignment horizontal="center"/>
    </xf>
    <xf numFmtId="0" fontId="15" fillId="0" borderId="18" xfId="4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6" fillId="0" borderId="0" xfId="0" applyFont="1" applyFill="1" applyBorder="1"/>
    <xf numFmtId="10" fontId="15" fillId="0" borderId="9" xfId="0" applyNumberFormat="1" applyFont="1" applyFill="1" applyBorder="1"/>
    <xf numFmtId="49" fontId="14" fillId="0" borderId="10" xfId="0" applyNumberFormat="1" applyFont="1" applyBorder="1" applyAlignment="1">
      <alignment horizontal="center"/>
    </xf>
    <xf numFmtId="167" fontId="17" fillId="0" borderId="19" xfId="2" applyNumberFormat="1" applyFont="1" applyFill="1" applyBorder="1"/>
    <xf numFmtId="37" fontId="15" fillId="0" borderId="9" xfId="5" applyNumberFormat="1" applyFont="1" applyFill="1" applyBorder="1"/>
    <xf numFmtId="0" fontId="15" fillId="0" borderId="9" xfId="0" applyFont="1" applyFill="1" applyBorder="1"/>
    <xf numFmtId="37" fontId="15" fillId="0" borderId="9" xfId="6" applyNumberFormat="1" applyFont="1" applyFill="1" applyBorder="1"/>
    <xf numFmtId="0" fontId="15" fillId="0" borderId="0" xfId="0" applyFont="1" applyFill="1"/>
    <xf numFmtId="168" fontId="15" fillId="0" borderId="9" xfId="0" applyNumberFormat="1" applyFont="1" applyFill="1" applyBorder="1"/>
    <xf numFmtId="167" fontId="15" fillId="0" borderId="13" xfId="0" applyNumberFormat="1" applyFont="1" applyFill="1" applyBorder="1"/>
    <xf numFmtId="167" fontId="15" fillId="0" borderId="12" xfId="0" applyNumberFormat="1" applyFont="1" applyFill="1" applyBorder="1"/>
    <xf numFmtId="0" fontId="15" fillId="0" borderId="12" xfId="0" applyFont="1" applyFill="1" applyBorder="1"/>
    <xf numFmtId="0" fontId="15" fillId="0" borderId="0" xfId="0" applyFont="1" applyFill="1" applyBorder="1" applyAlignment="1">
      <alignment horizontal="center"/>
    </xf>
    <xf numFmtId="167" fontId="19" fillId="0" borderId="0" xfId="2" applyNumberFormat="1" applyFont="1"/>
    <xf numFmtId="172" fontId="11" fillId="0" borderId="0" xfId="3" applyNumberFormat="1" applyFont="1"/>
    <xf numFmtId="44" fontId="11" fillId="0" borderId="0" xfId="2" applyFont="1"/>
    <xf numFmtId="49" fontId="14" fillId="0" borderId="0" xfId="0" applyNumberFormat="1" applyFont="1" applyBorder="1" applyAlignment="1">
      <alignment horizontal="center"/>
    </xf>
    <xf numFmtId="37" fontId="11" fillId="0" borderId="0" xfId="0" applyNumberFormat="1" applyFont="1"/>
    <xf numFmtId="44" fontId="11" fillId="0" borderId="0" xfId="0" applyNumberFormat="1" applyFont="1"/>
    <xf numFmtId="0" fontId="11" fillId="3" borderId="0" xfId="0" applyFont="1" applyFill="1"/>
    <xf numFmtId="0" fontId="20" fillId="3" borderId="0" xfId="0" applyFont="1" applyFill="1" applyAlignment="1">
      <alignment horizontal="right"/>
    </xf>
    <xf numFmtId="164" fontId="20" fillId="3" borderId="0" xfId="0" applyNumberFormat="1" applyFont="1" applyFill="1"/>
    <xf numFmtId="165" fontId="11" fillId="0" borderId="0" xfId="0" applyNumberFormat="1" applyFont="1"/>
    <xf numFmtId="5" fontId="11" fillId="0" borderId="0" xfId="1" applyNumberFormat="1" applyFont="1"/>
    <xf numFmtId="166" fontId="11" fillId="0" borderId="0" xfId="1" applyNumberFormat="1" applyFont="1"/>
    <xf numFmtId="166" fontId="11" fillId="0" borderId="0" xfId="0" applyNumberFormat="1" applyFont="1"/>
    <xf numFmtId="5" fontId="11" fillId="0" borderId="0" xfId="0" applyNumberFormat="1" applyFont="1"/>
    <xf numFmtId="0" fontId="14" fillId="2" borderId="1" xfId="0" applyFont="1" applyFill="1" applyBorder="1"/>
    <xf numFmtId="0" fontId="14" fillId="2" borderId="2" xfId="0" applyFont="1" applyFill="1" applyBorder="1"/>
    <xf numFmtId="5" fontId="14" fillId="2" borderId="3" xfId="0" applyNumberFormat="1" applyFont="1" applyFill="1" applyBorder="1"/>
    <xf numFmtId="0" fontId="14" fillId="0" borderId="0" xfId="0" applyFont="1" applyFill="1" applyBorder="1"/>
    <xf numFmtId="5" fontId="14" fillId="0" borderId="0" xfId="0" applyNumberFormat="1" applyFont="1" applyFill="1" applyBorder="1"/>
    <xf numFmtId="10" fontId="14" fillId="0" borderId="0" xfId="3" applyNumberFormat="1" applyFont="1" applyFill="1" applyBorder="1"/>
    <xf numFmtId="0" fontId="17" fillId="0" borderId="0" xfId="0" applyFont="1"/>
    <xf numFmtId="17" fontId="11" fillId="0" borderId="0" xfId="0" applyNumberFormat="1" applyFont="1" applyAlignment="1">
      <alignment horizontal="center"/>
    </xf>
    <xf numFmtId="169" fontId="11" fillId="0" borderId="0" xfId="0" applyNumberFormat="1" applyFont="1" applyFill="1"/>
    <xf numFmtId="169" fontId="11" fillId="0" borderId="5" xfId="0" applyNumberFormat="1" applyFont="1" applyBorder="1"/>
    <xf numFmtId="169" fontId="11" fillId="0" borderId="0" xfId="0" applyNumberFormat="1" applyFont="1"/>
    <xf numFmtId="173" fontId="11" fillId="0" borderId="0" xfId="0" applyNumberFormat="1" applyFont="1"/>
    <xf numFmtId="10" fontId="11" fillId="0" borderId="0" xfId="0" applyNumberFormat="1" applyFont="1"/>
    <xf numFmtId="167" fontId="11" fillId="0" borderId="0" xfId="2" applyNumberFormat="1" applyFont="1"/>
    <xf numFmtId="167" fontId="11" fillId="0" borderId="0" xfId="0" applyNumberFormat="1" applyFont="1"/>
    <xf numFmtId="167" fontId="11" fillId="0" borderId="11" xfId="2" applyNumberFormat="1" applyFont="1" applyBorder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/>
    <xf numFmtId="167" fontId="15" fillId="0" borderId="9" xfId="2" applyNumberFormat="1" applyFont="1" applyFill="1" applyBorder="1"/>
    <xf numFmtId="44" fontId="15" fillId="0" borderId="9" xfId="2" applyFont="1" applyFill="1" applyBorder="1"/>
    <xf numFmtId="0" fontId="21" fillId="0" borderId="0" xfId="0" applyFont="1" applyAlignment="1">
      <alignment horizontal="right"/>
    </xf>
    <xf numFmtId="167" fontId="21" fillId="0" borderId="0" xfId="2" applyNumberFormat="1" applyFont="1" applyFill="1"/>
    <xf numFmtId="167" fontId="21" fillId="0" borderId="0" xfId="2" applyNumberFormat="1" applyFont="1" applyAlignment="1">
      <alignment horizontal="right"/>
    </xf>
    <xf numFmtId="167" fontId="21" fillId="0" borderId="0" xfId="0" applyNumberFormat="1" applyFont="1" applyFill="1" applyBorder="1"/>
    <xf numFmtId="167" fontId="21" fillId="0" borderId="11" xfId="0" applyNumberFormat="1" applyFont="1" applyFill="1" applyBorder="1"/>
    <xf numFmtId="167" fontId="21" fillId="0" borderId="0" xfId="0" applyNumberFormat="1" applyFont="1" applyFill="1"/>
    <xf numFmtId="0" fontId="21" fillId="0" borderId="0" xfId="0" applyFont="1"/>
    <xf numFmtId="0" fontId="21" fillId="0" borderId="0" xfId="0" applyFont="1" applyFill="1"/>
    <xf numFmtId="0" fontId="22" fillId="0" borderId="22" xfId="0" applyFont="1" applyFill="1" applyBorder="1"/>
    <xf numFmtId="0" fontId="10" fillId="0" borderId="0" xfId="0" applyFont="1"/>
    <xf numFmtId="170" fontId="18" fillId="0" borderId="0" xfId="0" applyNumberFormat="1" applyFont="1">
      <alignment readingOrder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 indent="1" readingOrder="1"/>
    </xf>
    <xf numFmtId="0" fontId="15" fillId="0" borderId="0" xfId="0" applyFont="1" applyFill="1" applyAlignment="1">
      <alignment horizontal="left" indent="1" readingOrder="1"/>
    </xf>
    <xf numFmtId="0" fontId="15" fillId="0" borderId="0" xfId="0" applyFont="1" applyBorder="1" applyAlignment="1">
      <alignment horizontal="left" indent="1" readingOrder="1"/>
    </xf>
    <xf numFmtId="0" fontId="15" fillId="0" borderId="0" xfId="0" applyFont="1" applyFill="1" applyBorder="1" applyAlignment="1">
      <alignment horizontal="left" indent="1" readingOrder="1"/>
    </xf>
    <xf numFmtId="0" fontId="15" fillId="0" borderId="0" xfId="0" applyFont="1"/>
    <xf numFmtId="169" fontId="10" fillId="0" borderId="0" xfId="0" applyNumberFormat="1" applyFont="1"/>
    <xf numFmtId="169" fontId="15" fillId="0" borderId="0" xfId="0" applyNumberFormat="1" applyFont="1"/>
    <xf numFmtId="9" fontId="10" fillId="0" borderId="0" xfId="3" applyFont="1"/>
    <xf numFmtId="171" fontId="18" fillId="0" borderId="0" xfId="5" applyNumberFormat="1" applyFont="1"/>
    <xf numFmtId="14" fontId="18" fillId="0" borderId="0" xfId="5" applyNumberFormat="1" applyFont="1"/>
    <xf numFmtId="0" fontId="18" fillId="0" borderId="0" xfId="5" applyFont="1"/>
    <xf numFmtId="171" fontId="18" fillId="0" borderId="0" xfId="5" applyNumberFormat="1" applyFont="1" applyAlignment="1">
      <alignment horizontal="right"/>
    </xf>
    <xf numFmtId="171" fontId="15" fillId="0" borderId="0" xfId="5" applyNumberFormat="1" applyFont="1"/>
    <xf numFmtId="0" fontId="15" fillId="0" borderId="0" xfId="5" applyFont="1"/>
    <xf numFmtId="171" fontId="15" fillId="0" borderId="16" xfId="5" applyNumberFormat="1" applyFont="1" applyBorder="1"/>
    <xf numFmtId="0" fontId="24" fillId="0" borderId="0" xfId="5" applyFont="1"/>
    <xf numFmtId="4" fontId="25" fillId="0" borderId="0" xfId="5" applyNumberFormat="1" applyFont="1" applyAlignment="1">
      <alignment horizontal="left"/>
    </xf>
    <xf numFmtId="44" fontId="11" fillId="0" borderId="0" xfId="0" applyNumberFormat="1" applyFont="1" applyFill="1"/>
    <xf numFmtId="44" fontId="15" fillId="0" borderId="0" xfId="2" applyFont="1"/>
    <xf numFmtId="168" fontId="11" fillId="0" borderId="0" xfId="2" applyNumberFormat="1" applyFont="1"/>
    <xf numFmtId="168" fontId="15" fillId="0" borderId="0" xfId="2" applyNumberFormat="1" applyFont="1"/>
    <xf numFmtId="0" fontId="20" fillId="0" borderId="0" xfId="0" applyFont="1"/>
    <xf numFmtId="0" fontId="20" fillId="0" borderId="0" xfId="5" applyFont="1"/>
    <xf numFmtId="0" fontId="26" fillId="0" borderId="0" xfId="0" applyFont="1"/>
    <xf numFmtId="0" fontId="26" fillId="0" borderId="0" xfId="5" applyFont="1"/>
    <xf numFmtId="0" fontId="26" fillId="0" borderId="0" xfId="0" applyFont="1" applyFill="1"/>
    <xf numFmtId="172" fontId="9" fillId="0" borderId="0" xfId="3" applyNumberFormat="1" applyFont="1"/>
    <xf numFmtId="0" fontId="22" fillId="0" borderId="20" xfId="0" applyFont="1" applyFill="1" applyBorder="1" applyAlignment="1">
      <alignment vertical="center"/>
    </xf>
    <xf numFmtId="0" fontId="8" fillId="0" borderId="0" xfId="0" applyFont="1" applyFill="1" applyBorder="1"/>
    <xf numFmtId="0" fontId="11" fillId="4" borderId="11" xfId="0" applyFont="1" applyFill="1" applyBorder="1"/>
    <xf numFmtId="165" fontId="11" fillId="4" borderId="11" xfId="0" applyNumberFormat="1" applyFont="1" applyFill="1" applyBorder="1"/>
    <xf numFmtId="5" fontId="11" fillId="4" borderId="11" xfId="1" applyNumberFormat="1" applyFont="1" applyFill="1" applyBorder="1"/>
    <xf numFmtId="166" fontId="11" fillId="4" borderId="11" xfId="1" applyNumberFormat="1" applyFont="1" applyFill="1" applyBorder="1"/>
    <xf numFmtId="0" fontId="11" fillId="4" borderId="4" xfId="0" applyFont="1" applyFill="1" applyBorder="1"/>
    <xf numFmtId="0" fontId="11" fillId="4" borderId="5" xfId="0" applyFont="1" applyFill="1" applyBorder="1"/>
    <xf numFmtId="165" fontId="11" fillId="4" borderId="5" xfId="0" applyNumberFormat="1" applyFont="1" applyFill="1" applyBorder="1"/>
    <xf numFmtId="5" fontId="11" fillId="4" borderId="5" xfId="1" applyNumberFormat="1" applyFont="1" applyFill="1" applyBorder="1"/>
    <xf numFmtId="166" fontId="11" fillId="4" borderId="5" xfId="1" applyNumberFormat="1" applyFont="1" applyFill="1" applyBorder="1"/>
    <xf numFmtId="166" fontId="11" fillId="4" borderId="7" xfId="1" applyNumberFormat="1" applyFont="1" applyFill="1" applyBorder="1"/>
    <xf numFmtId="0" fontId="11" fillId="4" borderId="13" xfId="0" applyFont="1" applyFill="1" applyBorder="1"/>
    <xf numFmtId="166" fontId="11" fillId="4" borderId="14" xfId="1" applyNumberFormat="1" applyFont="1" applyFill="1" applyBorder="1"/>
    <xf numFmtId="169" fontId="11" fillId="4" borderId="11" xfId="1" applyNumberFormat="1" applyFont="1" applyFill="1" applyBorder="1"/>
    <xf numFmtId="169" fontId="10" fillId="0" borderId="0" xfId="1" applyNumberFormat="1" applyFont="1"/>
    <xf numFmtId="169" fontId="19" fillId="0" borderId="0" xfId="1" applyNumberFormat="1" applyFont="1" applyFill="1">
      <alignment readingOrder="1"/>
    </xf>
    <xf numFmtId="169" fontId="19" fillId="0" borderId="0" xfId="1" applyNumberFormat="1" applyFont="1" applyFill="1"/>
    <xf numFmtId="169" fontId="19" fillId="0" borderId="0" xfId="0" applyNumberFormat="1" applyFont="1" applyFill="1"/>
    <xf numFmtId="2" fontId="10" fillId="0" borderId="0" xfId="0" applyNumberFormat="1" applyFont="1"/>
    <xf numFmtId="3" fontId="19" fillId="0" borderId="0" xfId="4" applyNumberFormat="1" applyFont="1" applyFill="1"/>
    <xf numFmtId="168" fontId="19" fillId="0" borderId="0" xfId="2" applyNumberFormat="1" applyFont="1" applyFill="1"/>
    <xf numFmtId="0" fontId="22" fillId="0" borderId="0" xfId="0" applyFont="1" applyFill="1" applyBorder="1" applyAlignment="1">
      <alignment vertical="center" wrapText="1"/>
    </xf>
    <xf numFmtId="168" fontId="18" fillId="0" borderId="17" xfId="2" applyNumberFormat="1" applyFont="1" applyFill="1" applyBorder="1"/>
    <xf numFmtId="168" fontId="19" fillId="0" borderId="9" xfId="0" applyNumberFormat="1" applyFont="1" applyFill="1" applyBorder="1"/>
    <xf numFmtId="0" fontId="11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/>
    <xf numFmtId="44" fontId="27" fillId="0" borderId="0" xfId="2" applyFont="1"/>
    <xf numFmtId="168" fontId="27" fillId="0" borderId="0" xfId="2" applyNumberFormat="1" applyFont="1"/>
    <xf numFmtId="0" fontId="27" fillId="0" borderId="0" xfId="0" applyFont="1" applyAlignment="1">
      <alignment horizontal="center" vertical="center"/>
    </xf>
    <xf numFmtId="16" fontId="27" fillId="0" borderId="0" xfId="0" quotePrefix="1" applyNumberFormat="1" applyFont="1" applyAlignment="1">
      <alignment horizontal="center"/>
    </xf>
    <xf numFmtId="172" fontId="27" fillId="0" borderId="0" xfId="0" applyNumberFormat="1" applyFont="1"/>
    <xf numFmtId="0" fontId="27" fillId="0" borderId="0" xfId="0" quotePrefix="1" applyFont="1" applyAlignment="1">
      <alignment horizontal="center"/>
    </xf>
    <xf numFmtId="0" fontId="28" fillId="0" borderId="0" xfId="0" applyFont="1"/>
    <xf numFmtId="172" fontId="28" fillId="0" borderId="0" xfId="0" applyNumberFormat="1" applyFont="1"/>
    <xf numFmtId="10" fontId="15" fillId="0" borderId="0" xfId="5" applyNumberFormat="1" applyFont="1" applyFill="1"/>
    <xf numFmtId="171" fontId="19" fillId="0" borderId="0" xfId="0" applyNumberFormat="1" applyFont="1" applyFill="1"/>
    <xf numFmtId="0" fontId="11" fillId="0" borderId="0" xfId="0" applyFont="1" applyAlignment="1">
      <alignment horizontal="center"/>
    </xf>
    <xf numFmtId="5" fontId="14" fillId="0" borderId="3" xfId="0" applyNumberFormat="1" applyFont="1" applyFill="1" applyBorder="1"/>
    <xf numFmtId="174" fontId="22" fillId="0" borderId="23" xfId="0" applyNumberFormat="1" applyFont="1" applyFill="1" applyBorder="1"/>
    <xf numFmtId="0" fontId="7" fillId="3" borderId="0" xfId="0" applyFont="1" applyFill="1"/>
    <xf numFmtId="10" fontId="14" fillId="0" borderId="0" xfId="0" applyNumberFormat="1" applyFont="1" applyFill="1" applyBorder="1"/>
    <xf numFmtId="10" fontId="15" fillId="0" borderId="9" xfId="3" applyNumberFormat="1" applyFont="1" applyFill="1" applyBorder="1"/>
    <xf numFmtId="0" fontId="31" fillId="0" borderId="0" xfId="0" applyFont="1"/>
    <xf numFmtId="0" fontId="31" fillId="0" borderId="0" xfId="0" applyFont="1" applyAlignment="1">
      <alignment wrapText="1"/>
    </xf>
    <xf numFmtId="0" fontId="31" fillId="0" borderId="8" xfId="0" applyFont="1" applyBorder="1"/>
    <xf numFmtId="44" fontId="31" fillId="0" borderId="0" xfId="0" applyNumberFormat="1" applyFont="1" applyBorder="1"/>
    <xf numFmtId="0" fontId="31" fillId="0" borderId="0" xfId="0" applyFont="1" applyBorder="1"/>
    <xf numFmtId="44" fontId="31" fillId="0" borderId="10" xfId="0" applyNumberFormat="1" applyFont="1" applyBorder="1"/>
    <xf numFmtId="168" fontId="31" fillId="0" borderId="0" xfId="2" applyNumberFormat="1" applyFont="1" applyBorder="1"/>
    <xf numFmtId="168" fontId="31" fillId="0" borderId="10" xfId="2" applyNumberFormat="1" applyFont="1" applyBorder="1"/>
    <xf numFmtId="0" fontId="31" fillId="0" borderId="13" xfId="0" applyFont="1" applyBorder="1"/>
    <xf numFmtId="168" fontId="31" fillId="0" borderId="11" xfId="2" applyNumberFormat="1" applyFont="1" applyBorder="1"/>
    <xf numFmtId="168" fontId="31" fillId="0" borderId="14" xfId="2" applyNumberFormat="1" applyFont="1" applyBorder="1"/>
    <xf numFmtId="0" fontId="31" fillId="0" borderId="5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31" fillId="0" borderId="4" xfId="0" applyFont="1" applyBorder="1" applyAlignment="1">
      <alignment horizontal="center" vertical="center" wrapText="1"/>
    </xf>
    <xf numFmtId="10" fontId="11" fillId="0" borderId="0" xfId="3" applyNumberFormat="1" applyFont="1"/>
    <xf numFmtId="175" fontId="23" fillId="0" borderId="21" xfId="3" applyNumberFormat="1" applyFont="1" applyFill="1" applyBorder="1"/>
    <xf numFmtId="171" fontId="11" fillId="0" borderId="0" xfId="0" applyNumberFormat="1" applyFont="1" applyFill="1"/>
    <xf numFmtId="171" fontId="25" fillId="0" borderId="24" xfId="5" applyNumberFormat="1" applyFont="1" applyFill="1" applyBorder="1"/>
    <xf numFmtId="171" fontId="18" fillId="0" borderId="0" xfId="5" applyNumberFormat="1" applyFont="1" applyFill="1"/>
    <xf numFmtId="10" fontId="11" fillId="0" borderId="11" xfId="0" applyNumberFormat="1" applyFont="1" applyFill="1" applyBorder="1"/>
    <xf numFmtId="0" fontId="31" fillId="6" borderId="15" xfId="0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8" xfId="0" quotePrefix="1" applyFont="1" applyFill="1" applyBorder="1" applyAlignment="1">
      <alignment horizontal="center"/>
    </xf>
    <xf numFmtId="0" fontId="31" fillId="6" borderId="0" xfId="0" applyFont="1" applyFill="1" applyBorder="1"/>
    <xf numFmtId="10" fontId="31" fillId="6" borderId="10" xfId="3" applyNumberFormat="1" applyFont="1" applyFill="1" applyBorder="1"/>
    <xf numFmtId="0" fontId="31" fillId="6" borderId="8" xfId="0" applyFont="1" applyFill="1" applyBorder="1" applyAlignment="1">
      <alignment horizontal="center"/>
    </xf>
    <xf numFmtId="0" fontId="32" fillId="6" borderId="15" xfId="0" applyFont="1" applyFill="1" applyBorder="1"/>
    <xf numFmtId="0" fontId="33" fillId="6" borderId="16" xfId="0" applyFont="1" applyFill="1" applyBorder="1"/>
    <xf numFmtId="0" fontId="21" fillId="0" borderId="8" xfId="0" applyFont="1" applyBorder="1"/>
    <xf numFmtId="167" fontId="21" fillId="0" borderId="8" xfId="0" applyNumberFormat="1" applyFont="1" applyBorder="1"/>
    <xf numFmtId="0" fontId="21" fillId="0" borderId="0" xfId="0" applyFont="1" applyBorder="1"/>
    <xf numFmtId="167" fontId="21" fillId="0" borderId="0" xfId="2" applyNumberFormat="1" applyFont="1"/>
    <xf numFmtId="44" fontId="21" fillId="0" borderId="0" xfId="2" applyFont="1"/>
    <xf numFmtId="168" fontId="21" fillId="0" borderId="0" xfId="2" applyNumberFormat="1" applyFont="1"/>
    <xf numFmtId="0" fontId="34" fillId="0" borderId="0" xfId="0" applyFont="1" applyAlignment="1">
      <alignment horizontal="center"/>
    </xf>
    <xf numFmtId="0" fontId="34" fillId="0" borderId="0" xfId="0" applyFont="1"/>
    <xf numFmtId="0" fontId="21" fillId="0" borderId="11" xfId="0" applyFont="1" applyBorder="1"/>
    <xf numFmtId="167" fontId="35" fillId="0" borderId="0" xfId="2" applyNumberFormat="1" applyFont="1" applyFill="1"/>
    <xf numFmtId="167" fontId="21" fillId="0" borderId="11" xfId="2" applyNumberFormat="1" applyFont="1" applyFill="1" applyBorder="1"/>
    <xf numFmtId="167" fontId="21" fillId="0" borderId="14" xfId="0" applyNumberFormat="1" applyFont="1" applyFill="1" applyBorder="1"/>
    <xf numFmtId="167" fontId="21" fillId="0" borderId="11" xfId="2" applyNumberFormat="1" applyFont="1" applyBorder="1"/>
    <xf numFmtId="167" fontId="21" fillId="0" borderId="0" xfId="2" applyNumberFormat="1" applyFont="1" applyBorder="1"/>
    <xf numFmtId="167" fontId="21" fillId="0" borderId="0" xfId="0" applyNumberFormat="1" applyFont="1"/>
    <xf numFmtId="0" fontId="36" fillId="0" borderId="0" xfId="0" applyFont="1"/>
    <xf numFmtId="0" fontId="37" fillId="0" borderId="0" xfId="0" applyFont="1"/>
    <xf numFmtId="167" fontId="34" fillId="5" borderId="0" xfId="2" applyNumberFormat="1" applyFont="1" applyFill="1"/>
    <xf numFmtId="14" fontId="21" fillId="0" borderId="0" xfId="0" applyNumberFormat="1" applyFont="1"/>
    <xf numFmtId="0" fontId="6" fillId="0" borderId="0" xfId="0" applyFont="1"/>
    <xf numFmtId="171" fontId="11" fillId="0" borderId="0" xfId="0" applyNumberFormat="1" applyFont="1"/>
    <xf numFmtId="0" fontId="5" fillId="4" borderId="4" xfId="0" applyFont="1" applyFill="1" applyBorder="1"/>
    <xf numFmtId="7" fontId="11" fillId="0" borderId="0" xfId="0" applyNumberFormat="1" applyFont="1" applyFill="1"/>
    <xf numFmtId="10" fontId="33" fillId="6" borderId="18" xfId="0" applyNumberFormat="1" applyFont="1" applyFill="1" applyBorder="1"/>
    <xf numFmtId="0" fontId="4" fillId="0" borderId="0" xfId="0" applyFont="1"/>
    <xf numFmtId="44" fontId="11" fillId="0" borderId="0" xfId="2" applyNumberFormat="1" applyFont="1"/>
    <xf numFmtId="167" fontId="38" fillId="0" borderId="0" xfId="2" applyNumberFormat="1" applyFont="1" applyFill="1"/>
    <xf numFmtId="167" fontId="38" fillId="0" borderId="0" xfId="2" applyNumberFormat="1" applyFont="1" applyFill="1" applyBorder="1"/>
    <xf numFmtId="0" fontId="3" fillId="0" borderId="0" xfId="0" applyFont="1"/>
    <xf numFmtId="0" fontId="2" fillId="0" borderId="0" xfId="0" applyFont="1"/>
    <xf numFmtId="0" fontId="40" fillId="0" borderId="0" xfId="0" applyFont="1" applyFill="1" applyBorder="1"/>
    <xf numFmtId="166" fontId="7" fillId="4" borderId="0" xfId="0" applyNumberFormat="1" applyFont="1" applyFill="1" applyBorder="1" applyAlignment="1">
      <alignment horizontal="center"/>
    </xf>
    <xf numFmtId="166" fontId="11" fillId="4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8" xfId="0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53"/>
  <sheetViews>
    <sheetView tabSelected="1" topLeftCell="A16" zoomScaleNormal="100" workbookViewId="0">
      <selection activeCell="D36" sqref="D36"/>
    </sheetView>
  </sheetViews>
  <sheetFormatPr defaultColWidth="9.1328125" defaultRowHeight="14.25" x14ac:dyDescent="0.45"/>
  <cols>
    <col min="1" max="1" width="9.1328125" style="1"/>
    <col min="2" max="2" width="36.46484375" style="1" customWidth="1"/>
    <col min="3" max="3" width="17.86328125" style="1" customWidth="1"/>
    <col min="4" max="9" width="17" style="1" customWidth="1"/>
    <col min="10" max="10" width="4.86328125" style="1" customWidth="1"/>
    <col min="11" max="12" width="9.1328125" style="1"/>
    <col min="13" max="13" width="10.53125" style="1" customWidth="1"/>
    <col min="14" max="14" width="30" style="1" customWidth="1"/>
    <col min="15" max="15" width="15.53125" style="1" customWidth="1"/>
    <col min="16" max="16" width="13.1328125" style="1" customWidth="1"/>
    <col min="17" max="16384" width="9.1328125" style="1"/>
  </cols>
  <sheetData>
    <row r="1" spans="1:10" x14ac:dyDescent="0.45">
      <c r="C1" s="2" t="s">
        <v>3</v>
      </c>
      <c r="D1" s="2"/>
    </row>
    <row r="3" spans="1:10" x14ac:dyDescent="0.45">
      <c r="A3" s="3"/>
      <c r="B3" s="4"/>
      <c r="C3" s="5"/>
      <c r="D3" s="5"/>
      <c r="E3" s="5"/>
      <c r="F3" s="5"/>
      <c r="G3" s="5"/>
      <c r="H3" s="5"/>
      <c r="I3" s="5"/>
      <c r="J3" s="6"/>
    </row>
    <row r="4" spans="1:10" x14ac:dyDescent="0.45">
      <c r="A4" s="7"/>
      <c r="B4" s="8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1"/>
    </row>
    <row r="5" spans="1:10" x14ac:dyDescent="0.45">
      <c r="A5" s="7"/>
      <c r="B5" s="12" t="s">
        <v>11</v>
      </c>
      <c r="C5" s="13" t="s">
        <v>12</v>
      </c>
      <c r="D5" s="13" t="s">
        <v>122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4"/>
    </row>
    <row r="6" spans="1:10" x14ac:dyDescent="0.45">
      <c r="A6" s="15" t="s">
        <v>18</v>
      </c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7" t="s">
        <v>24</v>
      </c>
      <c r="H6" s="17" t="s">
        <v>25</v>
      </c>
      <c r="I6" s="17" t="s">
        <v>26</v>
      </c>
      <c r="J6" s="18" t="s">
        <v>27</v>
      </c>
    </row>
    <row r="7" spans="1:10" x14ac:dyDescent="0.45">
      <c r="A7" s="19">
        <v>1</v>
      </c>
      <c r="B7" s="20" t="s">
        <v>28</v>
      </c>
      <c r="C7" s="9"/>
      <c r="D7" s="9"/>
      <c r="E7" s="9"/>
      <c r="F7" s="9"/>
      <c r="G7" s="9"/>
      <c r="H7" s="9"/>
      <c r="I7" s="9"/>
      <c r="J7" s="10"/>
    </row>
    <row r="8" spans="1:10" ht="14.65" thickBot="1" x14ac:dyDescent="0.5">
      <c r="A8" s="19">
        <f>A7+1</f>
        <v>2</v>
      </c>
      <c r="B8" s="8" t="s">
        <v>29</v>
      </c>
      <c r="C8" s="21">
        <f>SUM(D8:I8)</f>
        <v>1</v>
      </c>
      <c r="D8" s="152">
        <v>0.42299999999999999</v>
      </c>
      <c r="E8" s="152">
        <v>0.1103</v>
      </c>
      <c r="F8" s="152">
        <v>0.24299999999999999</v>
      </c>
      <c r="G8" s="152">
        <v>0.19439999999999999</v>
      </c>
      <c r="H8" s="152">
        <v>2.5999999999999999E-2</v>
      </c>
      <c r="I8" s="152">
        <v>3.3E-3</v>
      </c>
      <c r="J8" s="22" t="s">
        <v>30</v>
      </c>
    </row>
    <row r="9" spans="1:10" ht="14.65" thickBot="1" x14ac:dyDescent="0.5">
      <c r="A9" s="19">
        <f t="shared" ref="A9:A19" si="0">A8+1</f>
        <v>3</v>
      </c>
      <c r="B9" s="8" t="s">
        <v>155</v>
      </c>
      <c r="C9" s="23">
        <v>-1834960.8821736777</v>
      </c>
      <c r="D9" s="67">
        <f>$C$9*D8</f>
        <v>-776188.45315946569</v>
      </c>
      <c r="E9" s="67">
        <f t="shared" ref="E9:I9" si="1">$C$9*E8</f>
        <v>-202396.18530375665</v>
      </c>
      <c r="F9" s="67">
        <f t="shared" si="1"/>
        <v>-445895.49436820368</v>
      </c>
      <c r="G9" s="67">
        <f t="shared" si="1"/>
        <v>-356716.39549456292</v>
      </c>
      <c r="H9" s="67">
        <f t="shared" si="1"/>
        <v>-47708.982936515618</v>
      </c>
      <c r="I9" s="67">
        <f t="shared" si="1"/>
        <v>-6055.3709111731359</v>
      </c>
      <c r="J9" s="11"/>
    </row>
    <row r="10" spans="1:10" x14ac:dyDescent="0.45">
      <c r="A10" s="19">
        <f t="shared" si="0"/>
        <v>4</v>
      </c>
      <c r="B10" s="8" t="s">
        <v>31</v>
      </c>
      <c r="C10" s="24">
        <f>SUM(D10:I10)</f>
        <v>5711642922.9452419</v>
      </c>
      <c r="D10" s="24">
        <f>'kWh Forecast'!R18</f>
        <v>2396455626.1171346</v>
      </c>
      <c r="E10" s="24">
        <f>'kWh Forecast'!R19</f>
        <v>632559601.92780733</v>
      </c>
      <c r="F10" s="24">
        <f>'kWh Forecast'!R20</f>
        <v>1389414756.4699054</v>
      </c>
      <c r="G10" s="24">
        <f>'kWh Forecast'!R21</f>
        <v>1132483332</v>
      </c>
      <c r="H10" s="24">
        <f>'kWh Forecast'!R22</f>
        <v>143279339.87134948</v>
      </c>
      <c r="I10" s="24">
        <f>'kWh Forecast'!R23</f>
        <v>17450266.559046257</v>
      </c>
      <c r="J10" s="22" t="s">
        <v>32</v>
      </c>
    </row>
    <row r="11" spans="1:10" x14ac:dyDescent="0.45">
      <c r="A11" s="19">
        <f t="shared" si="0"/>
        <v>5</v>
      </c>
      <c r="B11" s="8" t="s">
        <v>33</v>
      </c>
      <c r="C11" s="25"/>
      <c r="D11" s="131">
        <f>D9/D10</f>
        <v>-3.238901837782357E-4</v>
      </c>
      <c r="E11" s="131">
        <f t="shared" ref="E11:I11" si="2">E9/E10</f>
        <v>-3.1996381793419632E-4</v>
      </c>
      <c r="F11" s="131">
        <f t="shared" si="2"/>
        <v>-3.2092324649055342E-4</v>
      </c>
      <c r="G11" s="131">
        <f t="shared" si="2"/>
        <v>-3.149860006015196E-4</v>
      </c>
      <c r="H11" s="131">
        <f t="shared" si="2"/>
        <v>-3.3297880196372703E-4</v>
      </c>
      <c r="I11" s="131">
        <f t="shared" si="2"/>
        <v>-3.4700735892392534E-4</v>
      </c>
      <c r="J11" s="11"/>
    </row>
    <row r="12" spans="1:10" x14ac:dyDescent="0.45">
      <c r="A12" s="19">
        <f t="shared" si="0"/>
        <v>6</v>
      </c>
      <c r="B12" s="8" t="s">
        <v>34</v>
      </c>
      <c r="C12" s="26">
        <f>SUM(D12:I12)</f>
        <v>3118821.7676910632</v>
      </c>
      <c r="D12" s="26">
        <f>'kWh Forecast'!R44</f>
        <v>2664563</v>
      </c>
      <c r="E12" s="26">
        <f>'kWh Forecast'!R45</f>
        <v>401373.70988794445</v>
      </c>
      <c r="F12" s="26">
        <f>'kWh Forecast'!R46</f>
        <v>22919.527287805256</v>
      </c>
      <c r="G12" s="26">
        <f>'kWh Forecast'!R47</f>
        <v>276</v>
      </c>
      <c r="H12" s="26">
        <f>'kWh Forecast'!R48</f>
        <v>29689.530515313054</v>
      </c>
      <c r="I12" s="26"/>
      <c r="J12" s="22"/>
    </row>
    <row r="13" spans="1:10" x14ac:dyDescent="0.45">
      <c r="A13" s="19">
        <f t="shared" si="0"/>
        <v>7</v>
      </c>
      <c r="B13" s="8" t="s">
        <v>35</v>
      </c>
      <c r="C13" s="25"/>
      <c r="D13" s="68">
        <f>(D10/D12)*D11</f>
        <v>-0.29130046959274958</v>
      </c>
      <c r="E13" s="68">
        <f>(E10/E12)*E11</f>
        <v>-0.50425870035250098</v>
      </c>
      <c r="F13" s="68">
        <f>(F10/F12)*F11</f>
        <v>-19.454829446044045</v>
      </c>
      <c r="G13" s="68">
        <f>(G10/G12)*G11</f>
        <v>-1292.4507083136339</v>
      </c>
      <c r="H13" s="68">
        <f>(H10/H12)*H11</f>
        <v>-1.6069295171881757</v>
      </c>
      <c r="I13" s="68"/>
      <c r="J13" s="11"/>
    </row>
    <row r="14" spans="1:10" x14ac:dyDescent="0.45">
      <c r="A14" s="19">
        <f t="shared" si="0"/>
        <v>8</v>
      </c>
      <c r="B14" s="8" t="s">
        <v>36</v>
      </c>
      <c r="C14" s="25"/>
      <c r="D14" s="68">
        <f>(D10/(D12/12))*D11</f>
        <v>-3.4956056351129949</v>
      </c>
      <c r="E14" s="68">
        <f>(E10/(E12/12))*E11</f>
        <v>-6.0511044042300126</v>
      </c>
      <c r="F14" s="68">
        <f>(F10/(F12/12))*F11</f>
        <v>-233.45795335252856</v>
      </c>
      <c r="G14" s="68">
        <f>(G10/(G12/12))*G11</f>
        <v>-15509.408499763606</v>
      </c>
      <c r="H14" s="68">
        <f>(H10/(H12/12))*H11</f>
        <v>-19.283154206258107</v>
      </c>
      <c r="I14" s="68"/>
      <c r="J14" s="11"/>
    </row>
    <row r="15" spans="1:10" x14ac:dyDescent="0.45">
      <c r="A15" s="19">
        <f t="shared" si="0"/>
        <v>9</v>
      </c>
      <c r="B15" s="27"/>
      <c r="C15" s="7"/>
      <c r="D15" s="25"/>
      <c r="E15" s="25"/>
      <c r="F15" s="25"/>
      <c r="G15" s="25"/>
      <c r="H15" s="25"/>
      <c r="I15" s="25"/>
      <c r="J15" s="25"/>
    </row>
    <row r="16" spans="1:10" x14ac:dyDescent="0.45">
      <c r="A16" s="19">
        <f t="shared" si="0"/>
        <v>10</v>
      </c>
      <c r="B16" s="27" t="s">
        <v>37</v>
      </c>
      <c r="C16" s="7"/>
      <c r="D16" s="28">
        <f>D11</f>
        <v>-3.238901837782357E-4</v>
      </c>
      <c r="E16" s="28">
        <f t="shared" ref="E16:I16" si="3">E11</f>
        <v>-3.1996381793419632E-4</v>
      </c>
      <c r="F16" s="28">
        <f t="shared" si="3"/>
        <v>-3.2092324649055342E-4</v>
      </c>
      <c r="G16" s="28">
        <f t="shared" si="3"/>
        <v>-3.149860006015196E-4</v>
      </c>
      <c r="H16" s="28">
        <f t="shared" si="3"/>
        <v>-3.3297880196372703E-4</v>
      </c>
      <c r="I16" s="28">
        <f t="shared" si="3"/>
        <v>-3.4700735892392534E-4</v>
      </c>
      <c r="J16" s="25"/>
    </row>
    <row r="17" spans="1:10" x14ac:dyDescent="0.45">
      <c r="A17" s="19">
        <f t="shared" si="0"/>
        <v>11</v>
      </c>
      <c r="B17" s="27" t="s">
        <v>38</v>
      </c>
      <c r="C17" s="7"/>
      <c r="D17" s="132">
        <v>-2.5000000000000001E-4</v>
      </c>
      <c r="E17" s="132">
        <v>-2.5000000000000001E-4</v>
      </c>
      <c r="F17" s="132">
        <v>-2.5999999999999998E-4</v>
      </c>
      <c r="G17" s="132">
        <v>-2.4000000000000001E-4</v>
      </c>
      <c r="H17" s="132">
        <v>-2.4000000000000001E-4</v>
      </c>
      <c r="I17" s="132">
        <v>-4.4999999999999999E-4</v>
      </c>
      <c r="J17" s="25"/>
    </row>
    <row r="18" spans="1:10" x14ac:dyDescent="0.45">
      <c r="A18" s="19">
        <f t="shared" si="0"/>
        <v>12</v>
      </c>
      <c r="B18" s="27" t="s">
        <v>39</v>
      </c>
      <c r="C18" s="7"/>
      <c r="D18" s="28">
        <f t="shared" ref="D18:I18" si="4">D16-D17</f>
        <v>-7.3890183778235698E-5</v>
      </c>
      <c r="E18" s="28">
        <f t="shared" si="4"/>
        <v>-6.9963817934196319E-5</v>
      </c>
      <c r="F18" s="28">
        <f t="shared" si="4"/>
        <v>-6.0923246490553445E-5</v>
      </c>
      <c r="G18" s="28">
        <f t="shared" si="4"/>
        <v>-7.4986000601519597E-5</v>
      </c>
      <c r="H18" s="28">
        <f t="shared" si="4"/>
        <v>-9.2978801963727024E-5</v>
      </c>
      <c r="I18" s="28">
        <f t="shared" si="4"/>
        <v>1.0299264107607465E-4</v>
      </c>
      <c r="J18" s="25"/>
    </row>
    <row r="19" spans="1:10" x14ac:dyDescent="0.45">
      <c r="A19" s="65">
        <f t="shared" si="0"/>
        <v>13</v>
      </c>
      <c r="B19" s="66" t="s">
        <v>40</v>
      </c>
      <c r="C19" s="29">
        <f>SUM(D19:I19)</f>
        <v>-402423.57727957203</v>
      </c>
      <c r="D19" s="30">
        <f t="shared" ref="D19:I19" si="5">D18*D10</f>
        <v>-177074.54663018195</v>
      </c>
      <c r="E19" s="30">
        <f t="shared" si="5"/>
        <v>-44256.284821804809</v>
      </c>
      <c r="F19" s="30">
        <f t="shared" si="5"/>
        <v>-84647.657686028339</v>
      </c>
      <c r="G19" s="30">
        <f t="shared" si="5"/>
        <v>-84920.395814562915</v>
      </c>
      <c r="H19" s="30">
        <f t="shared" si="5"/>
        <v>-13321.941367391741</v>
      </c>
      <c r="I19" s="30">
        <f t="shared" si="5"/>
        <v>1797.2490403976794</v>
      </c>
      <c r="J19" s="31"/>
    </row>
    <row r="20" spans="1:10" x14ac:dyDescent="0.45">
      <c r="A20" s="19"/>
      <c r="B20" s="27"/>
      <c r="C20" s="27"/>
      <c r="D20" s="27"/>
      <c r="E20" s="27"/>
      <c r="F20" s="27"/>
      <c r="G20" s="27"/>
      <c r="H20" s="27"/>
      <c r="I20" s="27"/>
      <c r="J20" s="27"/>
    </row>
    <row r="21" spans="1:10" x14ac:dyDescent="0.45">
      <c r="A21" s="32"/>
      <c r="B21" s="27"/>
      <c r="C21" s="27"/>
      <c r="D21" s="27"/>
      <c r="E21" s="27"/>
      <c r="F21" s="27"/>
      <c r="G21" s="27"/>
      <c r="H21" s="27"/>
      <c r="I21" s="27"/>
      <c r="J21" s="27"/>
    </row>
    <row r="22" spans="1:10" x14ac:dyDescent="0.45">
      <c r="B22" s="8" t="s">
        <v>61</v>
      </c>
      <c r="C22" s="33">
        <f>SUM(D22:I22)</f>
        <v>528922000</v>
      </c>
      <c r="D22" s="33">
        <v>222668000</v>
      </c>
      <c r="E22" s="33">
        <v>80650000</v>
      </c>
      <c r="F22" s="33">
        <v>136458000</v>
      </c>
      <c r="G22" s="33">
        <v>69319000</v>
      </c>
      <c r="H22" s="33">
        <v>13073000</v>
      </c>
      <c r="I22" s="33">
        <v>6754000</v>
      </c>
      <c r="J22" s="27"/>
    </row>
    <row r="23" spans="1:10" x14ac:dyDescent="0.45">
      <c r="B23" s="8" t="s">
        <v>62</v>
      </c>
      <c r="C23" s="34">
        <f t="shared" ref="C23:I23" si="6">C19/C22</f>
        <v>-7.6083728277434484E-4</v>
      </c>
      <c r="D23" s="34">
        <f t="shared" si="6"/>
        <v>-7.9524020797861372E-4</v>
      </c>
      <c r="E23" s="34">
        <f t="shared" si="6"/>
        <v>-5.4874500708995428E-4</v>
      </c>
      <c r="F23" s="34">
        <f t="shared" si="6"/>
        <v>-6.2032022809969619E-4</v>
      </c>
      <c r="G23" s="34">
        <f t="shared" si="6"/>
        <v>-1.2250666601445913E-3</v>
      </c>
      <c r="H23" s="34">
        <f t="shared" si="6"/>
        <v>-1.0190424055222015E-3</v>
      </c>
      <c r="I23" s="167">
        <f t="shared" si="6"/>
        <v>2.6610142736121996E-4</v>
      </c>
    </row>
    <row r="25" spans="1:10" x14ac:dyDescent="0.45">
      <c r="B25" s="1" t="s">
        <v>151</v>
      </c>
      <c r="D25" s="207">
        <f>ROUND((ROUND(D16,5)-ROUND(D17,5))*918,2)</f>
        <v>-0.06</v>
      </c>
    </row>
    <row r="26" spans="1:10" x14ac:dyDescent="0.45">
      <c r="B26" s="1" t="s">
        <v>63</v>
      </c>
      <c r="D26" s="107">
        <f>D25/82.79</f>
        <v>-7.247252083584973E-4</v>
      </c>
    </row>
    <row r="28" spans="1:10" x14ac:dyDescent="0.45">
      <c r="F28" s="38"/>
    </row>
    <row r="29" spans="1:10" x14ac:dyDescent="0.45">
      <c r="A29" s="36" t="s">
        <v>30</v>
      </c>
      <c r="B29" s="8" t="s">
        <v>169</v>
      </c>
      <c r="C29" s="63"/>
    </row>
    <row r="30" spans="1:10" x14ac:dyDescent="0.45">
      <c r="A30" s="36"/>
      <c r="B30" s="8" t="s">
        <v>120</v>
      </c>
      <c r="C30" s="63"/>
      <c r="G30" s="104"/>
    </row>
    <row r="31" spans="1:10" x14ac:dyDescent="0.45">
      <c r="A31" s="36" t="s">
        <v>32</v>
      </c>
      <c r="B31" s="8" t="s">
        <v>162</v>
      </c>
      <c r="C31" s="63"/>
      <c r="G31" s="37"/>
    </row>
    <row r="32" spans="1:10" x14ac:dyDescent="0.45">
      <c r="A32" s="36"/>
    </row>
    <row r="38" spans="2:16" ht="28.5" x14ac:dyDescent="0.45">
      <c r="B38" s="102" t="s">
        <v>104</v>
      </c>
      <c r="M38" s="134" t="s">
        <v>126</v>
      </c>
      <c r="N38" s="135" t="s">
        <v>127</v>
      </c>
      <c r="O38" s="135" t="s">
        <v>128</v>
      </c>
      <c r="P38" s="134" t="s">
        <v>129</v>
      </c>
    </row>
    <row r="39" spans="2:16" x14ac:dyDescent="0.45">
      <c r="B39" s="1" t="s">
        <v>105</v>
      </c>
      <c r="C39" s="35">
        <v>9</v>
      </c>
      <c r="M39" s="136" t="s">
        <v>105</v>
      </c>
      <c r="N39" s="137">
        <v>8.5</v>
      </c>
      <c r="O39" s="137">
        <v>0</v>
      </c>
      <c r="P39" s="137">
        <v>8.5</v>
      </c>
    </row>
    <row r="40" spans="2:16" x14ac:dyDescent="0.45">
      <c r="B40" s="1" t="s">
        <v>106</v>
      </c>
      <c r="C40" s="100">
        <v>7.8170000000000003E-2</v>
      </c>
      <c r="M40" s="136" t="s">
        <v>130</v>
      </c>
      <c r="N40" s="138">
        <f>C40</f>
        <v>7.8170000000000003E-2</v>
      </c>
      <c r="O40" s="138">
        <f>D18</f>
        <v>-7.3890183778235698E-5</v>
      </c>
      <c r="P40" s="138">
        <f>N40+O40</f>
        <v>7.8096109816221768E-2</v>
      </c>
    </row>
    <row r="41" spans="2:16" x14ac:dyDescent="0.45">
      <c r="B41" s="1" t="s">
        <v>107</v>
      </c>
      <c r="C41" s="100">
        <v>9.0490000000000001E-2</v>
      </c>
      <c r="M41" s="136" t="s">
        <v>131</v>
      </c>
      <c r="N41" s="138">
        <f>C41</f>
        <v>9.0490000000000001E-2</v>
      </c>
      <c r="O41" s="138">
        <f>D18</f>
        <v>-7.3890183778235698E-5</v>
      </c>
      <c r="P41" s="138">
        <f>N41+O41</f>
        <v>9.0416109816221765E-2</v>
      </c>
    </row>
    <row r="42" spans="2:16" x14ac:dyDescent="0.45">
      <c r="B42" s="206" t="s">
        <v>170</v>
      </c>
      <c r="C42" s="35">
        <f>C39+ROUND((800*C40),2)+ROUND(((918-800)*C41),2)</f>
        <v>82.22</v>
      </c>
      <c r="M42" s="136" t="s">
        <v>132</v>
      </c>
      <c r="N42" s="138">
        <v>0.10836</v>
      </c>
      <c r="O42" s="138">
        <f>O41</f>
        <v>-7.3890183778235698E-5</v>
      </c>
      <c r="P42" s="138">
        <f>O42+N42</f>
        <v>0.10828610981622176</v>
      </c>
    </row>
    <row r="43" spans="2:16" x14ac:dyDescent="0.45">
      <c r="M43" s="136"/>
      <c r="N43" s="136"/>
      <c r="O43" s="136"/>
      <c r="P43" s="136"/>
    </row>
    <row r="44" spans="2:16" x14ac:dyDescent="0.45">
      <c r="B44" s="1" t="s">
        <v>108</v>
      </c>
      <c r="C44" s="98">
        <f>D25</f>
        <v>-0.06</v>
      </c>
      <c r="M44" s="136"/>
      <c r="N44" s="136"/>
      <c r="O44" s="136"/>
      <c r="P44" s="136"/>
    </row>
    <row r="45" spans="2:16" ht="28.5" x14ac:dyDescent="0.45">
      <c r="M45" s="134" t="s">
        <v>133</v>
      </c>
      <c r="N45" s="139" t="s">
        <v>139</v>
      </c>
      <c r="O45" s="134" t="s">
        <v>147</v>
      </c>
      <c r="P45" s="136"/>
    </row>
    <row r="46" spans="2:16" x14ac:dyDescent="0.45">
      <c r="B46" s="1" t="s">
        <v>119</v>
      </c>
      <c r="C46" s="38">
        <f>SUM(C42:C45)</f>
        <v>82.16</v>
      </c>
      <c r="M46" s="140" t="s">
        <v>134</v>
      </c>
      <c r="N46" s="136" t="s">
        <v>140</v>
      </c>
      <c r="O46" s="141">
        <f>D23</f>
        <v>-7.9524020797861372E-4</v>
      </c>
      <c r="P46" s="136"/>
    </row>
    <row r="47" spans="2:16" x14ac:dyDescent="0.45">
      <c r="M47" s="142" t="s">
        <v>135</v>
      </c>
      <c r="N47" s="136" t="s">
        <v>141</v>
      </c>
      <c r="O47" s="141">
        <f>E23</f>
        <v>-5.4874500708995428E-4</v>
      </c>
      <c r="P47" s="136"/>
    </row>
    <row r="48" spans="2:16" x14ac:dyDescent="0.45">
      <c r="M48" s="142" t="s">
        <v>136</v>
      </c>
      <c r="N48" s="136" t="s">
        <v>142</v>
      </c>
      <c r="O48" s="141">
        <f>F23</f>
        <v>-6.2032022809969619E-4</v>
      </c>
      <c r="P48" s="136"/>
    </row>
    <row r="49" spans="13:16" x14ac:dyDescent="0.45">
      <c r="M49" s="142" t="s">
        <v>137</v>
      </c>
      <c r="N49" s="136" t="s">
        <v>144</v>
      </c>
      <c r="O49" s="141">
        <f>G23</f>
        <v>-1.2250666601445913E-3</v>
      </c>
      <c r="P49" s="136"/>
    </row>
    <row r="50" spans="13:16" x14ac:dyDescent="0.45">
      <c r="M50" s="142" t="s">
        <v>138</v>
      </c>
      <c r="N50" s="136" t="s">
        <v>143</v>
      </c>
      <c r="O50" s="141">
        <f>H23</f>
        <v>-1.0190424055222015E-3</v>
      </c>
      <c r="P50" s="136"/>
    </row>
    <row r="51" spans="13:16" x14ac:dyDescent="0.45">
      <c r="M51" s="142" t="s">
        <v>145</v>
      </c>
      <c r="N51" s="136" t="s">
        <v>146</v>
      </c>
      <c r="O51" s="141">
        <f>I23</f>
        <v>2.6610142736121996E-4</v>
      </c>
      <c r="P51" s="136"/>
    </row>
    <row r="52" spans="13:16" x14ac:dyDescent="0.45">
      <c r="M52" s="136"/>
      <c r="N52" s="143" t="s">
        <v>148</v>
      </c>
      <c r="O52" s="144">
        <f>C23</f>
        <v>-7.6083728277434484E-4</v>
      </c>
      <c r="P52" s="136"/>
    </row>
    <row r="53" spans="13:16" x14ac:dyDescent="0.45">
      <c r="M53" s="136"/>
      <c r="N53" s="136"/>
      <c r="O53" s="136"/>
      <c r="P53" s="136"/>
    </row>
  </sheetData>
  <pageMargins left="0.7" right="0.7" top="0.75" bottom="0.75" header="0.3" footer="0.3"/>
  <pageSetup scale="72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I44"/>
  <sheetViews>
    <sheetView workbookViewId="0">
      <selection activeCell="E6" sqref="E6:I7"/>
    </sheetView>
  </sheetViews>
  <sheetFormatPr defaultColWidth="9.1328125" defaultRowHeight="14.25" x14ac:dyDescent="0.45"/>
  <cols>
    <col min="1" max="1" width="9.1328125" style="1"/>
    <col min="2" max="2" width="20.6640625" style="1" customWidth="1"/>
    <col min="3" max="4" width="10.33203125" style="1" customWidth="1"/>
    <col min="5" max="5" width="14" style="1" bestFit="1" customWidth="1"/>
    <col min="6" max="9" width="10.796875" style="1" customWidth="1"/>
    <col min="10" max="16384" width="9.1328125" style="1"/>
  </cols>
  <sheetData>
    <row r="1" spans="2:9" x14ac:dyDescent="0.45">
      <c r="C1" s="213" t="s">
        <v>121</v>
      </c>
      <c r="D1" s="214"/>
      <c r="E1" s="214"/>
      <c r="F1" s="214"/>
      <c r="G1" s="214"/>
      <c r="H1" s="214"/>
    </row>
    <row r="3" spans="2:9" x14ac:dyDescent="0.45">
      <c r="C3" s="39"/>
      <c r="D3" s="39"/>
      <c r="E3" s="39">
        <f>SUM(F3:I3)</f>
        <v>2927</v>
      </c>
      <c r="F3" s="150">
        <v>743</v>
      </c>
      <c r="G3" s="150">
        <v>720</v>
      </c>
      <c r="H3" s="150">
        <v>744</v>
      </c>
      <c r="I3" s="150">
        <v>720</v>
      </c>
    </row>
    <row r="4" spans="2:9" x14ac:dyDescent="0.45">
      <c r="C4" s="40" t="s">
        <v>1</v>
      </c>
      <c r="D4" s="40" t="s">
        <v>2</v>
      </c>
      <c r="E4" s="40" t="s">
        <v>0</v>
      </c>
      <c r="F4" s="41">
        <v>43891</v>
      </c>
      <c r="G4" s="41">
        <v>43922</v>
      </c>
      <c r="H4" s="41">
        <v>43952</v>
      </c>
      <c r="I4" s="41">
        <v>43983</v>
      </c>
    </row>
    <row r="6" spans="2:9" x14ac:dyDescent="0.45">
      <c r="B6" s="203" t="s">
        <v>167</v>
      </c>
      <c r="C6" s="115"/>
      <c r="D6" s="116"/>
      <c r="E6" s="117"/>
      <c r="F6" s="118"/>
      <c r="G6" s="118"/>
      <c r="H6" s="118"/>
      <c r="I6" s="119"/>
    </row>
    <row r="7" spans="2:9" x14ac:dyDescent="0.45">
      <c r="B7" s="120"/>
      <c r="C7" s="122"/>
      <c r="D7" s="111"/>
      <c r="E7" s="112"/>
      <c r="F7" s="113"/>
      <c r="G7" s="113"/>
      <c r="H7" s="113"/>
      <c r="I7" s="121"/>
    </row>
    <row r="8" spans="2:9" ht="14.65" thickBot="1" x14ac:dyDescent="0.5">
      <c r="E8" s="46"/>
    </row>
    <row r="9" spans="2:9" ht="14.65" thickBot="1" x14ac:dyDescent="0.5">
      <c r="B9" s="47" t="s">
        <v>64</v>
      </c>
      <c r="C9" s="48"/>
      <c r="D9" s="48"/>
      <c r="E9" s="49">
        <v>-1111684.5</v>
      </c>
    </row>
    <row r="10" spans="2:9" x14ac:dyDescent="0.45">
      <c r="B10" s="50"/>
      <c r="C10" s="50"/>
      <c r="D10" s="50"/>
      <c r="E10" s="51"/>
      <c r="F10" s="147"/>
      <c r="G10" s="147"/>
      <c r="H10" s="147"/>
      <c r="I10" s="147"/>
    </row>
    <row r="11" spans="2:9" x14ac:dyDescent="0.45">
      <c r="B11" s="50" t="s">
        <v>65</v>
      </c>
      <c r="C11" s="50"/>
      <c r="D11" s="50"/>
      <c r="E11" s="51"/>
      <c r="F11" s="172">
        <v>0.6573</v>
      </c>
      <c r="G11" s="172">
        <v>0.6573</v>
      </c>
      <c r="H11" s="172">
        <v>0.6573</v>
      </c>
      <c r="I11" s="172">
        <v>0.6573</v>
      </c>
    </row>
    <row r="12" spans="2:9" x14ac:dyDescent="0.45">
      <c r="B12" s="50"/>
      <c r="C12" s="109"/>
      <c r="D12" s="130"/>
      <c r="E12" s="52"/>
      <c r="F12" s="45">
        <v>185448.32144999999</v>
      </c>
      <c r="G12" s="45">
        <v>118089.2034</v>
      </c>
      <c r="H12" s="45">
        <v>175388.67360000001</v>
      </c>
      <c r="I12" s="45">
        <v>251784.02340000001</v>
      </c>
    </row>
    <row r="13" spans="2:9" x14ac:dyDescent="0.45">
      <c r="B13" s="50"/>
      <c r="C13" s="50"/>
      <c r="D13" s="50"/>
      <c r="E13" s="52"/>
    </row>
    <row r="14" spans="2:9" x14ac:dyDescent="0.45">
      <c r="B14" s="50" t="s">
        <v>66</v>
      </c>
      <c r="C14" s="50"/>
      <c r="D14" s="147" t="s">
        <v>150</v>
      </c>
      <c r="E14" s="151">
        <v>0.6573</v>
      </c>
      <c r="F14" s="45">
        <v>-185448.32144999999</v>
      </c>
      <c r="G14" s="45">
        <v>-118089.2034</v>
      </c>
      <c r="H14" s="45">
        <v>-175388.67360000001</v>
      </c>
      <c r="I14" s="45">
        <v>-251784.02340000001</v>
      </c>
    </row>
    <row r="15" spans="2:9" x14ac:dyDescent="0.45">
      <c r="B15" s="50"/>
      <c r="C15" s="50"/>
      <c r="D15" s="50"/>
      <c r="E15" s="51"/>
    </row>
    <row r="16" spans="2:9" x14ac:dyDescent="0.45">
      <c r="B16" s="1" t="s">
        <v>41</v>
      </c>
      <c r="C16" s="215" t="s">
        <v>163</v>
      </c>
      <c r="D16" s="215"/>
      <c r="E16" s="146">
        <f>'CF WA Elec'!E21</f>
        <v>0.95332300000000003</v>
      </c>
      <c r="F16" s="146">
        <v>0.95332300000000003</v>
      </c>
      <c r="G16" s="146">
        <f>'CF WA Elec'!F21</f>
        <v>0.95563100000000001</v>
      </c>
      <c r="H16" s="169">
        <f>G16</f>
        <v>0.95563100000000001</v>
      </c>
      <c r="I16" s="63">
        <f>H16</f>
        <v>0.95563100000000001</v>
      </c>
    </row>
    <row r="17" spans="2:9" ht="14.65" thickBot="1" x14ac:dyDescent="0.5"/>
    <row r="18" spans="2:9" ht="14.65" thickBot="1" x14ac:dyDescent="0.5">
      <c r="B18" s="47" t="s">
        <v>42</v>
      </c>
      <c r="C18" s="48"/>
      <c r="D18" s="48"/>
      <c r="E18" s="49">
        <f>SUM(F18:I18)</f>
        <v>-765106.18974497379</v>
      </c>
      <c r="F18" s="148">
        <f>F14/F16</f>
        <v>-194528.31983493525</v>
      </c>
      <c r="G18" s="148">
        <f t="shared" ref="G18:I18" si="0">G14/G16</f>
        <v>-123571.96805042951</v>
      </c>
      <c r="H18" s="148">
        <f t="shared" si="0"/>
        <v>-183531.79585007185</v>
      </c>
      <c r="I18" s="148">
        <f t="shared" si="0"/>
        <v>-263474.10600953718</v>
      </c>
    </row>
    <row r="20" spans="2:9" x14ac:dyDescent="0.45">
      <c r="E20" s="35"/>
    </row>
    <row r="28" spans="2:9" x14ac:dyDescent="0.45">
      <c r="G28" s="104"/>
    </row>
    <row r="36" spans="2:3" x14ac:dyDescent="0.45">
      <c r="B36" s="102"/>
    </row>
    <row r="37" spans="2:3" x14ac:dyDescent="0.45">
      <c r="C37" s="35"/>
    </row>
    <row r="38" spans="2:3" x14ac:dyDescent="0.45">
      <c r="C38" s="100"/>
    </row>
    <row r="39" spans="2:3" x14ac:dyDescent="0.45">
      <c r="C39" s="100"/>
    </row>
    <row r="44" spans="2:3" x14ac:dyDescent="0.45">
      <c r="B44" s="1" t="s">
        <v>119</v>
      </c>
    </row>
  </sheetData>
  <mergeCells count="2">
    <mergeCell ref="C1:H1"/>
    <mergeCell ref="C16:D16"/>
  </mergeCells>
  <pageMargins left="0.7" right="0.7" top="0.75" bottom="0.75" header="0.3" footer="0.3"/>
  <pageSetup scale="74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Q31"/>
  <sheetViews>
    <sheetView workbookViewId="0">
      <selection activeCell="E6" sqref="E6:Q7"/>
    </sheetView>
  </sheetViews>
  <sheetFormatPr defaultColWidth="9.1328125" defaultRowHeight="14.25" x14ac:dyDescent="0.45"/>
  <cols>
    <col min="1" max="1" width="9.1328125" style="1"/>
    <col min="2" max="2" width="17.86328125" style="1" customWidth="1"/>
    <col min="3" max="4" width="10.33203125" style="1" customWidth="1"/>
    <col min="5" max="5" width="14" style="1" bestFit="1" customWidth="1"/>
    <col min="6" max="7" width="10.796875" style="1" customWidth="1"/>
    <col min="8" max="8" width="14.86328125" style="1" customWidth="1"/>
    <col min="9" max="17" width="10.796875" style="1" customWidth="1"/>
    <col min="18" max="16384" width="9.1328125" style="1"/>
  </cols>
  <sheetData>
    <row r="1" spans="2:17" x14ac:dyDescent="0.45">
      <c r="D1" s="213" t="s">
        <v>121</v>
      </c>
      <c r="E1" s="214"/>
      <c r="F1" s="214"/>
      <c r="G1" s="214"/>
      <c r="H1" s="214"/>
      <c r="I1" s="214"/>
    </row>
    <row r="3" spans="2:17" x14ac:dyDescent="0.45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2:17" x14ac:dyDescent="0.45">
      <c r="C4" s="40"/>
      <c r="D4" s="40"/>
      <c r="E4" s="40" t="s">
        <v>0</v>
      </c>
      <c r="F4" s="41">
        <v>44013</v>
      </c>
      <c r="G4" s="41">
        <v>44044</v>
      </c>
      <c r="H4" s="41">
        <v>44075</v>
      </c>
      <c r="I4" s="41">
        <v>44105</v>
      </c>
      <c r="J4" s="41">
        <v>44136</v>
      </c>
      <c r="K4" s="41">
        <v>44166</v>
      </c>
      <c r="L4" s="41">
        <v>44197</v>
      </c>
      <c r="M4" s="41">
        <v>44228</v>
      </c>
      <c r="N4" s="41">
        <v>44256</v>
      </c>
      <c r="O4" s="41">
        <v>44287</v>
      </c>
      <c r="P4" s="41">
        <v>44317</v>
      </c>
      <c r="Q4" s="41">
        <v>44348</v>
      </c>
    </row>
    <row r="6" spans="2:17" x14ac:dyDescent="0.45">
      <c r="B6" s="114" t="s">
        <v>167</v>
      </c>
      <c r="C6" s="115"/>
      <c r="D6" s="116"/>
      <c r="E6" s="117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</row>
    <row r="7" spans="2:17" x14ac:dyDescent="0.45">
      <c r="B7" s="120" t="s">
        <v>168</v>
      </c>
      <c r="C7" s="110"/>
      <c r="D7" s="111"/>
      <c r="E7" s="112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21"/>
    </row>
    <row r="8" spans="2:17" ht="14.65" thickBot="1" x14ac:dyDescent="0.5">
      <c r="D8" s="42"/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2:17" ht="14.65" thickBot="1" x14ac:dyDescent="0.5">
      <c r="B9" s="47" t="s">
        <v>64</v>
      </c>
      <c r="C9" s="48"/>
      <c r="D9" s="48"/>
      <c r="E9" s="49">
        <v>-2826128</v>
      </c>
    </row>
    <row r="10" spans="2:17" x14ac:dyDescent="0.45">
      <c r="B10" s="50"/>
      <c r="C10" s="50"/>
      <c r="D10" s="50"/>
      <c r="E10" s="51"/>
    </row>
    <row r="11" spans="2:17" ht="15.75" x14ac:dyDescent="0.45">
      <c r="B11" s="50" t="s">
        <v>178</v>
      </c>
      <c r="C11" s="130" t="s">
        <v>149</v>
      </c>
      <c r="D11" s="211"/>
      <c r="E11" s="52">
        <v>0.6573</v>
      </c>
      <c r="F11" s="45">
        <v>199104.71489999999</v>
      </c>
      <c r="G11" s="45">
        <v>124957.3311</v>
      </c>
      <c r="H11" s="45">
        <v>69840.754199999996</v>
      </c>
      <c r="I11" s="45">
        <v>88481.124899999995</v>
      </c>
      <c r="J11" s="45">
        <v>142337.65770000001</v>
      </c>
      <c r="K11" s="45">
        <v>190504.6017</v>
      </c>
      <c r="L11" s="45">
        <v>51241.793400000002</v>
      </c>
      <c r="M11" s="45">
        <v>122366.2545</v>
      </c>
      <c r="N11" s="45">
        <v>171123.45389999999</v>
      </c>
      <c r="O11" s="45">
        <v>253333.9368</v>
      </c>
      <c r="P11" s="45">
        <v>246223.2654</v>
      </c>
      <c r="Q11" s="45">
        <v>198099.0459</v>
      </c>
    </row>
    <row r="12" spans="2:17" x14ac:dyDescent="0.45">
      <c r="B12" s="50"/>
      <c r="C12" s="50"/>
      <c r="D12" s="50"/>
      <c r="E12" s="52"/>
    </row>
    <row r="13" spans="2:17" x14ac:dyDescent="0.45">
      <c r="B13" s="50" t="s">
        <v>66</v>
      </c>
      <c r="C13" s="50"/>
      <c r="D13" s="50"/>
      <c r="E13" s="51">
        <f>E9*E11</f>
        <v>-1857613.9343999999</v>
      </c>
      <c r="G13" s="63"/>
      <c r="H13" s="63"/>
      <c r="I13" s="63"/>
      <c r="J13" s="63"/>
    </row>
    <row r="14" spans="2:17" x14ac:dyDescent="0.45">
      <c r="B14" s="50"/>
      <c r="C14" s="50"/>
      <c r="D14" s="50"/>
      <c r="E14" s="51"/>
      <c r="G14" s="63"/>
      <c r="H14" s="63"/>
      <c r="I14" s="63"/>
      <c r="J14" s="64"/>
    </row>
    <row r="15" spans="2:17" x14ac:dyDescent="0.45">
      <c r="B15" s="1" t="s">
        <v>89</v>
      </c>
      <c r="C15" s="50"/>
      <c r="D15" s="50"/>
      <c r="E15" s="51">
        <f>-'Forecast Balance'!H8</f>
        <v>93325.300371917663</v>
      </c>
      <c r="G15" s="63"/>
      <c r="H15" s="204"/>
      <c r="I15" s="63"/>
      <c r="J15" s="64"/>
    </row>
    <row r="16" spans="2:17" x14ac:dyDescent="0.45">
      <c r="B16" s="50"/>
      <c r="C16" s="50"/>
      <c r="D16" s="50"/>
      <c r="E16" s="51"/>
      <c r="G16" s="63"/>
      <c r="H16" s="63"/>
      <c r="I16" s="63"/>
      <c r="J16" s="64"/>
    </row>
    <row r="17" spans="2:10" x14ac:dyDescent="0.45">
      <c r="B17" s="50" t="s">
        <v>94</v>
      </c>
      <c r="C17" s="50"/>
      <c r="D17" s="50"/>
      <c r="E17" s="51">
        <f>E13+E15</f>
        <v>-1764288.6340280822</v>
      </c>
      <c r="G17" s="63"/>
      <c r="H17" s="63"/>
      <c r="I17" s="63"/>
      <c r="J17" s="64"/>
    </row>
    <row r="18" spans="2:10" x14ac:dyDescent="0.45">
      <c r="B18" s="50"/>
      <c r="C18" s="50"/>
      <c r="D18" s="50"/>
      <c r="E18" s="51"/>
      <c r="G18" s="106"/>
      <c r="H18" s="63"/>
      <c r="I18" s="63"/>
      <c r="J18" s="64"/>
    </row>
    <row r="19" spans="2:10" x14ac:dyDescent="0.45">
      <c r="B19" s="50" t="s">
        <v>95</v>
      </c>
      <c r="C19" s="50"/>
      <c r="D19" s="50"/>
      <c r="E19" s="51">
        <f>-'Forecast Balance'!B19</f>
        <v>11012.817018824539</v>
      </c>
      <c r="G19" s="63"/>
      <c r="H19" s="63"/>
      <c r="I19" s="63"/>
      <c r="J19" s="64"/>
    </row>
    <row r="20" spans="2:10" x14ac:dyDescent="0.45">
      <c r="B20" s="50"/>
      <c r="C20" s="50"/>
      <c r="D20" s="50"/>
      <c r="E20" s="51"/>
      <c r="G20" s="63"/>
      <c r="H20" s="63"/>
      <c r="I20" s="63"/>
      <c r="J20" s="63"/>
    </row>
    <row r="21" spans="2:10" x14ac:dyDescent="0.45">
      <c r="B21" s="50" t="s">
        <v>96</v>
      </c>
      <c r="C21" s="50"/>
      <c r="D21" s="50"/>
      <c r="E21" s="51">
        <f>E17+E19</f>
        <v>-1753275.8170092576</v>
      </c>
    </row>
    <row r="22" spans="2:10" x14ac:dyDescent="0.45">
      <c r="B22" s="50"/>
      <c r="C22" s="50"/>
      <c r="D22" s="50"/>
      <c r="E22" s="51"/>
    </row>
    <row r="23" spans="2:10" x14ac:dyDescent="0.45">
      <c r="B23" s="1" t="s">
        <v>41</v>
      </c>
      <c r="D23" s="130" t="s">
        <v>164</v>
      </c>
      <c r="E23" s="146">
        <f>'CF WA Elec'!F21</f>
        <v>0.95563100000000001</v>
      </c>
    </row>
    <row r="24" spans="2:10" ht="14.65" thickBot="1" x14ac:dyDescent="0.5"/>
    <row r="25" spans="2:10" ht="14.65" thickBot="1" x14ac:dyDescent="0.5">
      <c r="B25" s="47" t="s">
        <v>42</v>
      </c>
      <c r="C25" s="48"/>
      <c r="D25" s="48"/>
      <c r="E25" s="49">
        <f>E21/E23</f>
        <v>-1834678.6751468482</v>
      </c>
    </row>
    <row r="26" spans="2:10" x14ac:dyDescent="0.45">
      <c r="B26" s="102"/>
    </row>
    <row r="27" spans="2:10" x14ac:dyDescent="0.45">
      <c r="C27" s="35"/>
    </row>
    <row r="28" spans="2:10" x14ac:dyDescent="0.45">
      <c r="C28" s="100"/>
    </row>
    <row r="29" spans="2:10" ht="15.75" x14ac:dyDescent="0.45">
      <c r="B29" s="212" t="s">
        <v>179</v>
      </c>
      <c r="C29" s="100"/>
    </row>
    <row r="31" spans="2:10" x14ac:dyDescent="0.45">
      <c r="H31" s="2"/>
    </row>
  </sheetData>
  <mergeCells count="1">
    <mergeCell ref="D1:I1"/>
  </mergeCells>
  <pageMargins left="0.7" right="0.7" top="0.75" bottom="0.75" header="0.3" footer="0.3"/>
  <pageSetup scale="65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V42"/>
  <sheetViews>
    <sheetView zoomScaleNormal="100" workbookViewId="0">
      <selection activeCell="C23" sqref="C23"/>
    </sheetView>
  </sheetViews>
  <sheetFormatPr defaultColWidth="9.1328125" defaultRowHeight="13.15" x14ac:dyDescent="0.4"/>
  <cols>
    <col min="1" max="1" width="41.86328125" style="75" bestFit="1" customWidth="1"/>
    <col min="2" max="2" width="13.46484375" style="75" bestFit="1" customWidth="1"/>
    <col min="3" max="3" width="13.86328125" style="75" customWidth="1"/>
    <col min="4" max="11" width="10.53125" style="75" customWidth="1"/>
    <col min="12" max="12" width="10.46484375" style="75" bestFit="1" customWidth="1"/>
    <col min="13" max="17" width="10.53125" style="75" customWidth="1"/>
    <col min="18" max="18" width="10.6640625" style="75" bestFit="1" customWidth="1"/>
    <col min="19" max="20" width="12.33203125" style="75" customWidth="1"/>
    <col min="21" max="21" width="11.86328125" style="75" bestFit="1" customWidth="1"/>
    <col min="22" max="22" width="11.33203125" style="75" customWidth="1"/>
    <col min="23" max="16384" width="9.1328125" style="75"/>
  </cols>
  <sheetData>
    <row r="1" spans="1:22" x14ac:dyDescent="0.4">
      <c r="B1" s="75">
        <v>2019</v>
      </c>
      <c r="C1" s="75">
        <v>2020</v>
      </c>
      <c r="D1" s="75">
        <v>2020</v>
      </c>
      <c r="E1" s="75">
        <v>2020</v>
      </c>
      <c r="F1" s="75">
        <v>2020</v>
      </c>
      <c r="G1" s="75">
        <v>2020</v>
      </c>
      <c r="H1" s="75">
        <v>2020</v>
      </c>
      <c r="I1" s="188" t="s">
        <v>102</v>
      </c>
      <c r="J1" s="75">
        <v>2020</v>
      </c>
      <c r="K1" s="75">
        <v>2020</v>
      </c>
      <c r="L1" s="75">
        <v>2020</v>
      </c>
      <c r="M1" s="75">
        <v>2020</v>
      </c>
      <c r="N1" s="75">
        <v>2020</v>
      </c>
      <c r="O1" s="189" t="s">
        <v>102</v>
      </c>
      <c r="P1" s="75">
        <v>2021</v>
      </c>
      <c r="Q1" s="75">
        <v>2021</v>
      </c>
      <c r="R1" s="75">
        <v>2021</v>
      </c>
      <c r="S1" s="75">
        <v>2021</v>
      </c>
      <c r="T1" s="75">
        <v>2021</v>
      </c>
    </row>
    <row r="2" spans="1:22" x14ac:dyDescent="0.4">
      <c r="A2" s="190"/>
      <c r="B2" s="190" t="s">
        <v>76</v>
      </c>
      <c r="C2" s="190" t="s">
        <v>77</v>
      </c>
      <c r="D2" s="190" t="s">
        <v>78</v>
      </c>
      <c r="E2" s="190" t="s">
        <v>67</v>
      </c>
      <c r="F2" s="190" t="s">
        <v>68</v>
      </c>
      <c r="G2" s="190" t="s">
        <v>69</v>
      </c>
      <c r="H2" s="190" t="s">
        <v>70</v>
      </c>
      <c r="I2" s="190" t="s">
        <v>71</v>
      </c>
      <c r="J2" s="190" t="s">
        <v>72</v>
      </c>
      <c r="K2" s="190" t="s">
        <v>73</v>
      </c>
      <c r="L2" s="190" t="s">
        <v>74</v>
      </c>
      <c r="M2" s="190" t="s">
        <v>75</v>
      </c>
      <c r="N2" s="190" t="s">
        <v>76</v>
      </c>
      <c r="O2" s="190" t="s">
        <v>77</v>
      </c>
      <c r="P2" s="190" t="s">
        <v>78</v>
      </c>
      <c r="Q2" s="190" t="s">
        <v>67</v>
      </c>
      <c r="R2" s="190" t="s">
        <v>68</v>
      </c>
      <c r="S2" s="190" t="s">
        <v>69</v>
      </c>
      <c r="T2" s="190" t="s">
        <v>70</v>
      </c>
      <c r="U2" s="182"/>
    </row>
    <row r="3" spans="1:22" x14ac:dyDescent="0.4">
      <c r="A3" s="75" t="s">
        <v>100</v>
      </c>
      <c r="B3" s="70">
        <v>0</v>
      </c>
      <c r="C3" s="191">
        <v>-128660</v>
      </c>
      <c r="D3" s="191">
        <v>-120773</v>
      </c>
      <c r="E3" s="208">
        <f>'Forecasted Revenue'!D39</f>
        <v>-113183.46700015823</v>
      </c>
      <c r="F3" s="208">
        <f>'Forecasted Revenue'!E39</f>
        <v>-101789.22467037456</v>
      </c>
      <c r="G3" s="208">
        <f>'Forecasted Revenue'!F39</f>
        <v>-101443.12034882611</v>
      </c>
      <c r="H3" s="208">
        <f>'Forecasted Revenue'!G39</f>
        <v>-103549.51214580666</v>
      </c>
      <c r="I3" s="208">
        <f>'Forecasted Revenue'!H39</f>
        <v>-152000.36202655322</v>
      </c>
      <c r="J3" s="208">
        <f>'Forecasted Revenue'!I39</f>
        <v>-148581.79321444326</v>
      </c>
      <c r="K3" s="208">
        <f>'Forecasted Revenue'!J39</f>
        <v>-130551.13175556216</v>
      </c>
      <c r="L3" s="208">
        <f>'Forecasted Revenue'!K39</f>
        <v>-137877.69173875576</v>
      </c>
      <c r="M3" s="208">
        <f>'Forecasted Revenue'!L39</f>
        <v>-152013.21245997306</v>
      </c>
      <c r="N3" s="208">
        <f>'Forecasted Revenue'!M39</f>
        <v>-173637.24261643257</v>
      </c>
      <c r="O3" s="208">
        <f>'Forecasted Revenue'!N39</f>
        <v>-171354.3118707489</v>
      </c>
      <c r="P3" s="208">
        <f>'Forecasted Revenue'!O39</f>
        <v>-147800.67737153664</v>
      </c>
      <c r="Q3" s="208">
        <f>'Forecasted Revenue'!P39</f>
        <v>-146018.17531732228</v>
      </c>
      <c r="R3" s="208">
        <f>'Forecasted Revenue'!Q39</f>
        <v>-131505.89375337865</v>
      </c>
      <c r="S3" s="208">
        <f>'Forecasted Revenue'!R39</f>
        <v>-129991.33803859469</v>
      </c>
      <c r="T3" s="208">
        <f>'Forecasted Revenue'!S39</f>
        <v>-132213.67262921264</v>
      </c>
      <c r="U3" s="182"/>
      <c r="V3" s="191">
        <f>SUM(I3:U3)</f>
        <v>-1753545.5027925142</v>
      </c>
    </row>
    <row r="4" spans="1:22" x14ac:dyDescent="0.4">
      <c r="A4" s="75" t="s">
        <v>90</v>
      </c>
      <c r="B4" s="70">
        <v>0</v>
      </c>
      <c r="C4" s="191">
        <v>207454</v>
      </c>
      <c r="D4" s="191">
        <v>189625</v>
      </c>
      <c r="E4" s="208">
        <f>-'3-2020 thru 6-2020 RECs'!F14</f>
        <v>185448.32144999999</v>
      </c>
      <c r="F4" s="208">
        <f>-'3-2020 thru 6-2020 RECs'!G14</f>
        <v>118089.2034</v>
      </c>
      <c r="G4" s="208">
        <f>-'3-2020 thru 6-2020 RECs'!H14</f>
        <v>175388.67360000001</v>
      </c>
      <c r="H4" s="208">
        <f>-'3-2020 thru 6-2020 RECs'!I14</f>
        <v>251784.02340000001</v>
      </c>
      <c r="I4" s="209">
        <f>'7-2020 thru 6-2021 RECs'!F11</f>
        <v>199104.71489999999</v>
      </c>
      <c r="J4" s="209">
        <f>'7-2020 thru 6-2021 RECs'!G11</f>
        <v>124957.3311</v>
      </c>
      <c r="K4" s="209">
        <f>'7-2020 thru 6-2021 RECs'!H11</f>
        <v>69840.754199999996</v>
      </c>
      <c r="L4" s="209">
        <f>'7-2020 thru 6-2021 RECs'!I11</f>
        <v>88481.124899999995</v>
      </c>
      <c r="M4" s="209">
        <f>'7-2020 thru 6-2021 RECs'!J11</f>
        <v>142337.65770000001</v>
      </c>
      <c r="N4" s="209">
        <f>'7-2020 thru 6-2021 RECs'!K11</f>
        <v>190504.6017</v>
      </c>
      <c r="O4" s="209">
        <f>'7-2020 thru 6-2021 RECs'!L11</f>
        <v>51241.793400000002</v>
      </c>
      <c r="P4" s="209">
        <f>'7-2020 thru 6-2021 RECs'!M11</f>
        <v>122366.2545</v>
      </c>
      <c r="Q4" s="209">
        <f>'7-2020 thru 6-2021 RECs'!N11</f>
        <v>171123.45389999999</v>
      </c>
      <c r="R4" s="209">
        <f>'7-2020 thru 6-2021 RECs'!O11</f>
        <v>253333.9368</v>
      </c>
      <c r="S4" s="209">
        <f>'7-2020 thru 6-2021 RECs'!P11</f>
        <v>246223.2654</v>
      </c>
      <c r="T4" s="209">
        <f>'7-2020 thru 6-2021 RECs'!Q11</f>
        <v>198099.0459</v>
      </c>
      <c r="U4" s="182"/>
      <c r="V4" s="191">
        <f>SUM(I4:U4)</f>
        <v>1857613.9343999999</v>
      </c>
    </row>
    <row r="5" spans="1:22" x14ac:dyDescent="0.4">
      <c r="A5" s="75" t="s">
        <v>79</v>
      </c>
      <c r="B5" s="192">
        <v>0</v>
      </c>
      <c r="C5" s="192">
        <f>C3+C4</f>
        <v>78794</v>
      </c>
      <c r="D5" s="192">
        <f>D3+D4</f>
        <v>68852</v>
      </c>
      <c r="E5" s="192">
        <f t="shared" ref="E5:T5" si="0">E3+E4</f>
        <v>72264.854449841761</v>
      </c>
      <c r="F5" s="192">
        <f t="shared" si="0"/>
        <v>16299.978729625436</v>
      </c>
      <c r="G5" s="192">
        <f>G3+G4</f>
        <v>73945.5532511739</v>
      </c>
      <c r="H5" s="192">
        <f>H3+H4</f>
        <v>148234.51125419335</v>
      </c>
      <c r="I5" s="192">
        <f>I3+I4</f>
        <v>47104.352873446769</v>
      </c>
      <c r="J5" s="192">
        <f t="shared" si="0"/>
        <v>-23624.46211444326</v>
      </c>
      <c r="K5" s="192">
        <f t="shared" si="0"/>
        <v>-60710.377555562169</v>
      </c>
      <c r="L5" s="192">
        <f t="shared" si="0"/>
        <v>-49396.566838755767</v>
      </c>
      <c r="M5" s="192">
        <f t="shared" si="0"/>
        <v>-9675.5547599730489</v>
      </c>
      <c r="N5" s="192">
        <f t="shared" si="0"/>
        <v>16867.359083567426</v>
      </c>
      <c r="O5" s="192">
        <f t="shared" si="0"/>
        <v>-120112.51847074891</v>
      </c>
      <c r="P5" s="192">
        <f t="shared" si="0"/>
        <v>-25434.422871536648</v>
      </c>
      <c r="Q5" s="192">
        <f t="shared" si="0"/>
        <v>25105.278582677711</v>
      </c>
      <c r="R5" s="192">
        <f t="shared" si="0"/>
        <v>121828.04304662134</v>
      </c>
      <c r="S5" s="192">
        <f t="shared" si="0"/>
        <v>116231.92736140531</v>
      </c>
      <c r="T5" s="193">
        <f t="shared" si="0"/>
        <v>65885.373270787357</v>
      </c>
      <c r="U5" s="182"/>
      <c r="V5" s="191"/>
    </row>
    <row r="6" spans="1:22" x14ac:dyDescent="0.4">
      <c r="A6" s="75" t="s">
        <v>101</v>
      </c>
      <c r="B6" s="70">
        <v>0</v>
      </c>
      <c r="C6" s="70">
        <f>B8+C5</f>
        <v>-461470.51</v>
      </c>
      <c r="D6" s="70">
        <f>C6+D5</f>
        <v>-392618.51</v>
      </c>
      <c r="E6" s="70">
        <f>D6+E5</f>
        <v>-320353.65555015823</v>
      </c>
      <c r="F6" s="70">
        <f>E6+F5</f>
        <v>-304053.67682053277</v>
      </c>
      <c r="G6" s="70">
        <f>F6+G5</f>
        <v>-230108.12356935887</v>
      </c>
      <c r="H6" s="70">
        <f>G6+H5</f>
        <v>-81873.612315165519</v>
      </c>
      <c r="I6" s="70">
        <f>H8+I5</f>
        <v>-46220.947498470894</v>
      </c>
      <c r="J6" s="70">
        <f>I6+J5</f>
        <v>-69845.409612914154</v>
      </c>
      <c r="K6" s="70">
        <f>J6+K5</f>
        <v>-130555.78716847632</v>
      </c>
      <c r="L6" s="70">
        <f>K6+L5</f>
        <v>-179952.35400723209</v>
      </c>
      <c r="M6" s="70">
        <f>L6+M5</f>
        <v>-189627.90876720514</v>
      </c>
      <c r="N6" s="70">
        <f>M6+N5</f>
        <v>-172760.54968363771</v>
      </c>
      <c r="O6" s="70">
        <f>N8+O5</f>
        <v>-297027.63352078176</v>
      </c>
      <c r="P6" s="70">
        <f>O6+P5</f>
        <v>-322462.05639231839</v>
      </c>
      <c r="Q6" s="70">
        <f>P6+Q5</f>
        <v>-297356.77780964068</v>
      </c>
      <c r="R6" s="70">
        <f>Q6+R5</f>
        <v>-175528.73476301934</v>
      </c>
      <c r="S6" s="70">
        <f>R6+S5</f>
        <v>-59296.807401614031</v>
      </c>
      <c r="T6" s="70">
        <f>S6+T5</f>
        <v>6588.5658691733261</v>
      </c>
      <c r="U6" s="182"/>
      <c r="V6" s="191"/>
    </row>
    <row r="7" spans="1:22" x14ac:dyDescent="0.4">
      <c r="A7" s="75" t="s">
        <v>93</v>
      </c>
      <c r="B7" s="194">
        <v>0</v>
      </c>
      <c r="C7" s="192">
        <f>(B8+(0.5*C5))*$B$25</f>
        <v>-2875.8142865833333</v>
      </c>
      <c r="D7" s="192">
        <f>(C6+(0.5*D5))*$B$25</f>
        <v>-2451.9472282500001</v>
      </c>
      <c r="E7" s="192">
        <f>(D6+(0.5*E5))*$B$25</f>
        <v>-2046.8242586002459</v>
      </c>
      <c r="F7" s="192">
        <f>(E6+(0.5*F5))*$C$25</f>
        <v>-1731.1693289977409</v>
      </c>
      <c r="G7" s="192">
        <f>(F6+(0.5*G5))*$C$25</f>
        <v>-1480.9635915809747</v>
      </c>
      <c r="H7" s="192">
        <f>(G6+(0.5*H5))*$C$25</f>
        <v>-864.96936273984397</v>
      </c>
      <c r="I7" s="192">
        <f>(H8+(0.5*I5))*$C$25</f>
        <v>-386.89197222065229</v>
      </c>
      <c r="J7" s="192">
        <f>(I6+(0.5*J5))*$C$25</f>
        <v>-321.79397509131508</v>
      </c>
      <c r="K7" s="192">
        <f>(J6+(0.5*K5))*$C$25</f>
        <v>-555.61231807640513</v>
      </c>
      <c r="L7" s="192">
        <f>(K6+(0.5*L5))*$C$25</f>
        <v>-860.88382140965155</v>
      </c>
      <c r="M7" s="192">
        <f>(L6+(0.5*M5))*$C$25</f>
        <v>-1024.6612785421273</v>
      </c>
      <c r="N7" s="192">
        <f>(M6+(0.5*N5))*$C$25</f>
        <v>-1004.722001054962</v>
      </c>
      <c r="O7" s="192">
        <f>(N8+(0.5*O5))*$C$25</f>
        <v>-1314.0062704125835</v>
      </c>
      <c r="P7" s="192">
        <f>(O6+(0.5*P5))*$C$25</f>
        <v>-1717.5351652840704</v>
      </c>
      <c r="Q7" s="192">
        <f>(P6+(0.5*Q5))*$C$25</f>
        <v>-1718.4477178249317</v>
      </c>
      <c r="R7" s="192">
        <f>(Q6+(0.5*R5))*$C$25</f>
        <v>-1311.0750836077</v>
      </c>
      <c r="S7" s="192">
        <f>(R6+(0.5*S5))*$C$25</f>
        <v>-651.05381565144603</v>
      </c>
      <c r="T7" s="192">
        <f>(S6+(0.5*T5))*$C$25</f>
        <v>-146.13359964869187</v>
      </c>
      <c r="U7" s="183"/>
      <c r="V7" s="191">
        <f>SUM(I7:U7)</f>
        <v>-11012.817018824539</v>
      </c>
    </row>
    <row r="8" spans="1:22" x14ac:dyDescent="0.4">
      <c r="A8" s="75" t="s">
        <v>103</v>
      </c>
      <c r="B8" s="70">
        <f>-B12</f>
        <v>-540264.51</v>
      </c>
      <c r="C8" s="70">
        <f>C6+C7</f>
        <v>-464346.32428658335</v>
      </c>
      <c r="D8" s="70">
        <f>D6+D7+C7</f>
        <v>-397946.27151483332</v>
      </c>
      <c r="E8" s="70">
        <f>E6+E7+D7+C7</f>
        <v>-327728.24132359179</v>
      </c>
      <c r="F8" s="70">
        <f>F6+F7+E7+D7+C7</f>
        <v>-313159.43192296405</v>
      </c>
      <c r="G8" s="70">
        <f>G6+G7+F7+E7+D7+C7</f>
        <v>-240694.84226337116</v>
      </c>
      <c r="H8" s="70">
        <f>H6+H7+G7+F7+E7+D7+C7</f>
        <v>-93325.300371917663</v>
      </c>
      <c r="I8" s="70">
        <f>I6+I7</f>
        <v>-46607.83947069155</v>
      </c>
      <c r="J8" s="70">
        <f>J6+J7+I7</f>
        <v>-70554.095560226124</v>
      </c>
      <c r="K8" s="70">
        <f>K6+K7+J7+I7</f>
        <v>-131820.08543386467</v>
      </c>
      <c r="L8" s="70">
        <f>L6+L7+K7+J7+I7</f>
        <v>-182077.5360940301</v>
      </c>
      <c r="M8" s="70">
        <f>M6+M7+L7+K7+J7+I7</f>
        <v>-192777.75213254528</v>
      </c>
      <c r="N8" s="70">
        <f>N6+N7+M7+L7+K7+J7+I7</f>
        <v>-176915.11505003282</v>
      </c>
      <c r="O8" s="70">
        <f>O6+O7</f>
        <v>-298341.63979119435</v>
      </c>
      <c r="P8" s="70">
        <f>P6+P7+O7</f>
        <v>-325493.59782801504</v>
      </c>
      <c r="Q8" s="70">
        <f>Q6+Q7+P7+O7</f>
        <v>-302106.76696316228</v>
      </c>
      <c r="R8" s="70">
        <f>R6+R7+Q7+P7+O7</f>
        <v>-181589.7990001486</v>
      </c>
      <c r="S8" s="70">
        <f>S6+S7+R7+Q7+P7+O7</f>
        <v>-66008.925454394761</v>
      </c>
      <c r="T8" s="70">
        <f>T6+T7+S7+R7+Q7+P7+O7</f>
        <v>-269.68578325609724</v>
      </c>
      <c r="U8" s="184" t="s">
        <v>97</v>
      </c>
    </row>
    <row r="9" spans="1:22" x14ac:dyDescent="0.4">
      <c r="B9" s="185"/>
      <c r="C9" s="185"/>
      <c r="D9" s="185"/>
      <c r="E9" s="195"/>
      <c r="F9" s="195"/>
      <c r="G9" s="195"/>
      <c r="H9" s="185"/>
      <c r="I9" s="185"/>
      <c r="J9" s="185"/>
      <c r="K9" s="185"/>
      <c r="L9" s="185"/>
      <c r="M9" s="185"/>
      <c r="N9" s="185"/>
      <c r="O9" s="185"/>
      <c r="P9" s="185"/>
      <c r="Q9" s="195"/>
      <c r="R9" s="184"/>
      <c r="S9" s="184"/>
    </row>
    <row r="10" spans="1:22" x14ac:dyDescent="0.4">
      <c r="A10" s="75" t="s">
        <v>156</v>
      </c>
      <c r="B10" s="195">
        <v>252722</v>
      </c>
      <c r="C10" s="185">
        <f>B10-C3+1837.94</f>
        <v>383219.94</v>
      </c>
      <c r="D10" s="185">
        <f>C10-D3+2554.03</f>
        <v>506546.97000000003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</row>
    <row r="11" spans="1:22" x14ac:dyDescent="0.4">
      <c r="A11" s="75" t="s">
        <v>157</v>
      </c>
      <c r="B11" s="192">
        <v>287542.51</v>
      </c>
      <c r="C11" s="194">
        <f>B11-C4+946.79</f>
        <v>81035.3</v>
      </c>
      <c r="D11" s="194">
        <f>C11-D4-193.17</f>
        <v>-108782.87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</row>
    <row r="12" spans="1:22" x14ac:dyDescent="0.4">
      <c r="A12" s="75" t="s">
        <v>158</v>
      </c>
      <c r="B12" s="196">
        <f>SUM(B10:B11)</f>
        <v>540264.51</v>
      </c>
      <c r="C12" s="185">
        <f>SUM(C10:C11)</f>
        <v>464255.24</v>
      </c>
      <c r="D12" s="185">
        <f>SUM(D10:D11)</f>
        <v>397764.10000000003</v>
      </c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</row>
    <row r="13" spans="1:22" x14ac:dyDescent="0.4">
      <c r="B13" s="75" t="s">
        <v>159</v>
      </c>
      <c r="C13" s="185">
        <f>C8+C12</f>
        <v>-91.084286583354697</v>
      </c>
      <c r="D13" s="199">
        <f>D8+D12</f>
        <v>-182.1715148332878</v>
      </c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</row>
    <row r="14" spans="1:22" x14ac:dyDescent="0.4">
      <c r="A14" s="69"/>
      <c r="B14" s="185"/>
      <c r="L14" s="196"/>
      <c r="M14" s="196"/>
      <c r="N14" s="196"/>
      <c r="O14" s="196"/>
      <c r="P14" s="196"/>
    </row>
    <row r="15" spans="1:22" x14ac:dyDescent="0.4">
      <c r="A15" s="69"/>
      <c r="B15" s="70"/>
      <c r="M15" s="196"/>
    </row>
    <row r="16" spans="1:22" x14ac:dyDescent="0.4">
      <c r="A16" s="69" t="s">
        <v>171</v>
      </c>
      <c r="B16" s="70">
        <f>H8</f>
        <v>-93325.300371917663</v>
      </c>
    </row>
    <row r="17" spans="1:7" x14ac:dyDescent="0.4">
      <c r="A17" s="71" t="s">
        <v>172</v>
      </c>
      <c r="B17" s="72">
        <f>SUM(I4:T4)</f>
        <v>1857613.9343999999</v>
      </c>
    </row>
    <row r="18" spans="1:7" x14ac:dyDescent="0.4">
      <c r="A18" s="71" t="s">
        <v>173</v>
      </c>
      <c r="B18" s="72">
        <f>SUM(I3:T3)</f>
        <v>-1753545.5027925142</v>
      </c>
    </row>
    <row r="19" spans="1:7" x14ac:dyDescent="0.4">
      <c r="A19" s="71" t="s">
        <v>80</v>
      </c>
      <c r="B19" s="73">
        <f>SUM(I7:T7)</f>
        <v>-11012.817018824539</v>
      </c>
    </row>
    <row r="20" spans="1:7" x14ac:dyDescent="0.4">
      <c r="A20" s="69" t="s">
        <v>174</v>
      </c>
      <c r="B20" s="74">
        <f>B16+B17+B19+B18</f>
        <v>-269.6857832565438</v>
      </c>
      <c r="C20" s="76"/>
    </row>
    <row r="21" spans="1:7" x14ac:dyDescent="0.4">
      <c r="A21" s="69"/>
      <c r="B21" s="74"/>
      <c r="C21" s="76"/>
    </row>
    <row r="22" spans="1:7" x14ac:dyDescent="0.4">
      <c r="B22" s="75" t="s">
        <v>150</v>
      </c>
      <c r="C22" s="76" t="s">
        <v>160</v>
      </c>
    </row>
    <row r="23" spans="1:7" ht="13.5" thickBot="1" x14ac:dyDescent="0.45">
      <c r="B23" s="200">
        <v>43952</v>
      </c>
      <c r="C23" s="200">
        <v>44287</v>
      </c>
    </row>
    <row r="24" spans="1:7" x14ac:dyDescent="0.4">
      <c r="A24" s="108" t="s">
        <v>91</v>
      </c>
      <c r="B24" s="168">
        <v>6.8900000000000003E-2</v>
      </c>
      <c r="C24" s="168">
        <v>6.6540000000000002E-2</v>
      </c>
    </row>
    <row r="25" spans="1:7" ht="13.5" thickBot="1" x14ac:dyDescent="0.45">
      <c r="A25" s="77" t="s">
        <v>92</v>
      </c>
      <c r="B25" s="149">
        <f>B24/12</f>
        <v>5.7416666666666666E-3</v>
      </c>
      <c r="C25" s="149">
        <f>C24/12</f>
        <v>5.5450000000000004E-3</v>
      </c>
    </row>
    <row r="31" spans="1:7" x14ac:dyDescent="0.4">
      <c r="G31" s="197"/>
    </row>
    <row r="39" spans="2:3" x14ac:dyDescent="0.4">
      <c r="B39" s="198"/>
    </row>
    <row r="40" spans="2:3" x14ac:dyDescent="0.4">
      <c r="C40" s="186"/>
    </row>
    <row r="41" spans="2:3" x14ac:dyDescent="0.4">
      <c r="C41" s="187"/>
    </row>
    <row r="42" spans="2:3" x14ac:dyDescent="0.4">
      <c r="C42" s="187"/>
    </row>
  </sheetData>
  <pageMargins left="0.7" right="0.7" top="0.75" bottom="0.75" header="0.3" footer="0.3"/>
  <pageSetup scale="49" orientation="landscape" r:id="rId1"/>
  <headerFooter>
    <oddFooter>&amp;L&amp;F&amp;RPage: &amp;P of &amp;N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43"/>
  <sheetViews>
    <sheetView topLeftCell="C4" zoomScaleNormal="100" workbookViewId="0">
      <selection activeCell="H30" sqref="H30"/>
    </sheetView>
  </sheetViews>
  <sheetFormatPr defaultColWidth="9.1328125" defaultRowHeight="14.25" x14ac:dyDescent="0.45"/>
  <cols>
    <col min="1" max="1" width="8.33203125" style="1" customWidth="1"/>
    <col min="2" max="2" width="28" style="1" customWidth="1"/>
    <col min="3" max="3" width="8.53125" style="1" bestFit="1" customWidth="1"/>
    <col min="4" max="19" width="13.46484375" style="1" bestFit="1" customWidth="1"/>
    <col min="20" max="20" width="14.33203125" style="1" bestFit="1" customWidth="1"/>
    <col min="21" max="21" width="12.53125" style="1" bestFit="1" customWidth="1"/>
    <col min="22" max="16384" width="9.1328125" style="1"/>
  </cols>
  <sheetData>
    <row r="1" spans="1:20" x14ac:dyDescent="0.45">
      <c r="A1" s="53" t="s">
        <v>111</v>
      </c>
      <c r="B1" s="53"/>
    </row>
    <row r="4" spans="1:20" x14ac:dyDescent="0.45">
      <c r="A4" s="1" t="s">
        <v>81</v>
      </c>
      <c r="D4" s="54">
        <v>43905</v>
      </c>
      <c r="E4" s="54">
        <v>43936</v>
      </c>
      <c r="F4" s="54">
        <v>43966</v>
      </c>
      <c r="G4" s="54">
        <v>43997</v>
      </c>
      <c r="H4" s="54">
        <v>44027</v>
      </c>
      <c r="I4" s="54">
        <v>44058</v>
      </c>
      <c r="J4" s="54">
        <v>44089</v>
      </c>
      <c r="K4" s="54">
        <v>44119</v>
      </c>
      <c r="L4" s="54">
        <v>44150</v>
      </c>
      <c r="M4" s="54">
        <v>44180</v>
      </c>
      <c r="N4" s="54">
        <v>44211</v>
      </c>
      <c r="O4" s="54">
        <v>44242</v>
      </c>
      <c r="P4" s="54">
        <v>44270</v>
      </c>
      <c r="Q4" s="54">
        <v>44301</v>
      </c>
      <c r="R4" s="54">
        <v>44331</v>
      </c>
      <c r="S4" s="54">
        <v>44362</v>
      </c>
    </row>
    <row r="5" spans="1:20" x14ac:dyDescent="0.45">
      <c r="B5" s="1" t="s">
        <v>124</v>
      </c>
      <c r="D5" s="55">
        <f>'kWh Forecast'!B18</f>
        <v>209557646.01818919</v>
      </c>
      <c r="E5" s="55">
        <f>'kWh Forecast'!C18</f>
        <v>170739395.18109137</v>
      </c>
      <c r="F5" s="55">
        <f>'kWh Forecast'!D18</f>
        <v>157730852.83538321</v>
      </c>
      <c r="G5" s="55">
        <f>'kWh Forecast'!E18</f>
        <v>156779181.59136423</v>
      </c>
      <c r="H5" s="55">
        <f>'kWh Forecast'!F18</f>
        <v>189053261.26996332</v>
      </c>
      <c r="I5" s="55">
        <f>'kWh Forecast'!G18</f>
        <v>183738319.76352239</v>
      </c>
      <c r="J5" s="55">
        <f>'kWh Forecast'!H18</f>
        <v>154256824.71770203</v>
      </c>
      <c r="K5" s="55">
        <f>'kWh Forecast'!I18</f>
        <v>173608546.75477669</v>
      </c>
      <c r="L5" s="55">
        <f>'kWh Forecast'!J18</f>
        <v>220260503.1964848</v>
      </c>
      <c r="M5" s="55">
        <f>'kWh Forecast'!K18</f>
        <v>278674737.25062209</v>
      </c>
      <c r="N5" s="55">
        <f>'kWh Forecast'!L18</f>
        <v>275262226.39226985</v>
      </c>
      <c r="O5" s="55">
        <f>'kWh Forecast'!M18</f>
        <v>222166837.17605758</v>
      </c>
      <c r="P5" s="55">
        <f>'kWh Forecast'!N18</f>
        <v>213038240.63612437</v>
      </c>
      <c r="Q5" s="55">
        <f>'kWh Forecast'!O18</f>
        <v>173745130.38044211</v>
      </c>
      <c r="R5" s="55">
        <f>'kWh Forecast'!P18</f>
        <v>158600876.14844045</v>
      </c>
      <c r="S5" s="55">
        <f>'kWh Forecast'!Q18</f>
        <v>154050122.43072891</v>
      </c>
      <c r="T5" s="57">
        <f>SUM(D5:S5)</f>
        <v>3091262701.7431626</v>
      </c>
    </row>
    <row r="6" spans="1:20" x14ac:dyDescent="0.45">
      <c r="B6" s="1" t="s">
        <v>83</v>
      </c>
      <c r="D6" s="55">
        <f>'kWh Forecast'!B19</f>
        <v>52813395.380578458</v>
      </c>
      <c r="E6" s="55">
        <f>'kWh Forecast'!C19</f>
        <v>46479651.769129559</v>
      </c>
      <c r="F6" s="55">
        <f>'kWh Forecast'!D19</f>
        <v>45790247.304427378</v>
      </c>
      <c r="G6" s="55">
        <f>'kWh Forecast'!E19</f>
        <v>46951384.359909646</v>
      </c>
      <c r="H6" s="55">
        <f>'kWh Forecast'!F19</f>
        <v>55000644.174642451</v>
      </c>
      <c r="I6" s="55">
        <f>'kWh Forecast'!G19</f>
        <v>53393617.649614893</v>
      </c>
      <c r="J6" s="55">
        <f>'kWh Forecast'!H19</f>
        <v>46037450.062995426</v>
      </c>
      <c r="K6" s="55">
        <f>'kWh Forecast'!I19</f>
        <v>49029426.93788363</v>
      </c>
      <c r="L6" s="55">
        <f>'kWh Forecast'!J19</f>
        <v>54971634.484798916</v>
      </c>
      <c r="M6" s="55">
        <f>'kWh Forecast'!K19</f>
        <v>62831556.725467302</v>
      </c>
      <c r="N6" s="55">
        <f>'kWh Forecast'!L19</f>
        <v>62260961.632219426</v>
      </c>
      <c r="O6" s="55">
        <f>'kWh Forecast'!M19</f>
        <v>53243580.862359986</v>
      </c>
      <c r="P6" s="55">
        <f>'kWh Forecast'!N19</f>
        <v>53876322.915154919</v>
      </c>
      <c r="Q6" s="55">
        <f>'kWh Forecast'!O19</f>
        <v>47469802.530410998</v>
      </c>
      <c r="R6" s="55">
        <f>'kWh Forecast'!P19</f>
        <v>46603753.094557211</v>
      </c>
      <c r="S6" s="55">
        <f>'kWh Forecast'!Q19</f>
        <v>47840850.857702196</v>
      </c>
      <c r="T6" s="57">
        <f t="shared" ref="T6:T10" si="0">SUM(D6:S6)</f>
        <v>824594280.74185228</v>
      </c>
    </row>
    <row r="7" spans="1:20" x14ac:dyDescent="0.45">
      <c r="B7" s="1" t="s">
        <v>84</v>
      </c>
      <c r="D7" s="55">
        <f>'kWh Forecast'!B20</f>
        <v>112481325.93284965</v>
      </c>
      <c r="E7" s="55">
        <f>'kWh Forecast'!C20</f>
        <v>106248433.34853317</v>
      </c>
      <c r="F7" s="55">
        <f>'kWh Forecast'!D20</f>
        <v>110262247.35815325</v>
      </c>
      <c r="G7" s="55">
        <f>'kWh Forecast'!E20</f>
        <v>113990762.79191613</v>
      </c>
      <c r="H7" s="55">
        <f>'kWh Forecast'!F20</f>
        <v>128208253.50027162</v>
      </c>
      <c r="I7" s="55">
        <f>'kWh Forecast'!G20</f>
        <v>121500322.90274143</v>
      </c>
      <c r="J7" s="55">
        <f>'kWh Forecast'!H20</f>
        <v>108394415.25920324</v>
      </c>
      <c r="K7" s="55">
        <f>'kWh Forecast'!I20</f>
        <v>118324075.71575473</v>
      </c>
      <c r="L7" s="55">
        <f>'kWh Forecast'!J20</f>
        <v>119590821.09342454</v>
      </c>
      <c r="M7" s="55">
        <f>'kWh Forecast'!K20</f>
        <v>124282706.39392364</v>
      </c>
      <c r="N7" s="55">
        <f>'kWh Forecast'!L20</f>
        <v>120745487.44893375</v>
      </c>
      <c r="O7" s="55">
        <f>'kWh Forecast'!M20</f>
        <v>106496826.40784264</v>
      </c>
      <c r="P7" s="55">
        <f>'kWh Forecast'!N20</f>
        <v>111831253.43508556</v>
      </c>
      <c r="Q7" s="55">
        <f>'kWh Forecast'!O20</f>
        <v>105736665.15926878</v>
      </c>
      <c r="R7" s="55">
        <f>'kWh Forecast'!P20</f>
        <v>110053148.01684168</v>
      </c>
      <c r="S7" s="55">
        <f>'kWh Forecast'!Q20</f>
        <v>114250781.13661391</v>
      </c>
      <c r="T7" s="57">
        <f t="shared" si="0"/>
        <v>1832397525.9013579</v>
      </c>
    </row>
    <row r="8" spans="1:20" x14ac:dyDescent="0.45">
      <c r="B8" s="1" t="s">
        <v>85</v>
      </c>
      <c r="D8" s="55">
        <f>'kWh Forecast'!B21</f>
        <v>92203398</v>
      </c>
      <c r="E8" s="55">
        <f>'kWh Forecast'!C21</f>
        <v>92574764</v>
      </c>
      <c r="F8" s="55">
        <f>'kWh Forecast'!D21</f>
        <v>94771113</v>
      </c>
      <c r="G8" s="55">
        <f>'kWh Forecast'!E21</f>
        <v>93857682</v>
      </c>
      <c r="H8" s="55">
        <f>'kWh Forecast'!F21</f>
        <v>95042374</v>
      </c>
      <c r="I8" s="55">
        <f>'kWh Forecast'!G21</f>
        <v>97438286</v>
      </c>
      <c r="J8" s="55">
        <f>'kWh Forecast'!H21</f>
        <v>96033288</v>
      </c>
      <c r="K8" s="55">
        <f>'kWh Forecast'!I21</f>
        <v>95468273</v>
      </c>
      <c r="L8" s="55">
        <f>'kWh Forecast'!J21</f>
        <v>93820409</v>
      </c>
      <c r="M8" s="55">
        <f>'kWh Forecast'!K21</f>
        <v>93754301</v>
      </c>
      <c r="N8" s="55">
        <f>'kWh Forecast'!L21</f>
        <v>93805925</v>
      </c>
      <c r="O8" s="55">
        <f>'kWh Forecast'!M21</f>
        <v>94368623</v>
      </c>
      <c r="P8" s="55">
        <f>'kWh Forecast'!N21</f>
        <v>90997067</v>
      </c>
      <c r="Q8" s="55">
        <f>'kWh Forecast'!O21</f>
        <v>93462660</v>
      </c>
      <c r="R8" s="55">
        <f>'kWh Forecast'!P21</f>
        <v>94238773</v>
      </c>
      <c r="S8" s="55">
        <f>'kWh Forecast'!Q21</f>
        <v>94053353</v>
      </c>
      <c r="T8" s="57">
        <f t="shared" si="0"/>
        <v>1505890289</v>
      </c>
    </row>
    <row r="9" spans="1:20" x14ac:dyDescent="0.45">
      <c r="B9" s="1" t="s">
        <v>86</v>
      </c>
      <c r="D9" s="55">
        <f>'kWh Forecast'!B22</f>
        <v>4592181.9848575098</v>
      </c>
      <c r="E9" s="55">
        <f>'kWh Forecast'!C22</f>
        <v>7126244.9890603144</v>
      </c>
      <c r="F9" s="55">
        <f>'kWh Forecast'!D22</f>
        <v>13335119.939263839</v>
      </c>
      <c r="G9" s="55">
        <f>'kWh Forecast'!E22</f>
        <v>19163775.40243132</v>
      </c>
      <c r="H9" s="55">
        <f>'kWh Forecast'!F22</f>
        <v>25933170.232051194</v>
      </c>
      <c r="I9" s="55">
        <f>'kWh Forecast'!G22</f>
        <v>26109739.008214019</v>
      </c>
      <c r="J9" s="55">
        <f>'kWh Forecast'!H22</f>
        <v>19145182.607799251</v>
      </c>
      <c r="K9" s="55">
        <f>'kWh Forecast'!I22</f>
        <v>11450271.338606676</v>
      </c>
      <c r="L9" s="55">
        <f>'kWh Forecast'!J22</f>
        <v>5125079.6700619143</v>
      </c>
      <c r="M9" s="55">
        <f>'kWh Forecast'!K22</f>
        <v>4226787.8270823592</v>
      </c>
      <c r="N9" s="55">
        <f>'kWh Forecast'!L22</f>
        <v>4283828.6368749337</v>
      </c>
      <c r="O9" s="55">
        <f>'kWh Forecast'!M22</f>
        <v>3807653.6741516101</v>
      </c>
      <c r="P9" s="55">
        <f>'kWh Forecast'!N22</f>
        <v>4526790.205575604</v>
      </c>
      <c r="Q9" s="55">
        <f>'kWh Forecast'!O22</f>
        <v>6835776.4326037001</v>
      </c>
      <c r="R9" s="55">
        <f>'kWh Forecast'!P22</f>
        <v>12743937.361094257</v>
      </c>
      <c r="S9" s="55">
        <f>'kWh Forecast'!Q22</f>
        <v>19091122.87723396</v>
      </c>
      <c r="T9" s="57">
        <f t="shared" si="0"/>
        <v>187496662.18696246</v>
      </c>
    </row>
    <row r="10" spans="1:20" x14ac:dyDescent="0.45">
      <c r="B10" s="1" t="s">
        <v>87</v>
      </c>
      <c r="D10" s="55">
        <f>'kWh Forecast'!B23</f>
        <v>1458575.6149070947</v>
      </c>
      <c r="E10" s="55">
        <f>'kWh Forecast'!C23</f>
        <v>1461335.3360660193</v>
      </c>
      <c r="F10" s="55">
        <f>'kWh Forecast'!D23</f>
        <v>1464596.9137381876</v>
      </c>
      <c r="G10" s="55">
        <f>'kWh Forecast'!E23</f>
        <v>1470719.4542163699</v>
      </c>
      <c r="H10" s="55">
        <f>'kWh Forecast'!F23</f>
        <v>1468713.3792344006</v>
      </c>
      <c r="I10" s="55">
        <f>'kWh Forecast'!G23</f>
        <v>1461844.9858372675</v>
      </c>
      <c r="J10" s="55">
        <f>'kWh Forecast'!H23</f>
        <v>1468363.2767403731</v>
      </c>
      <c r="K10" s="55">
        <f>'kWh Forecast'!I23</f>
        <v>1454308.9053965849</v>
      </c>
      <c r="L10" s="55">
        <f>'kWh Forecast'!J23</f>
        <v>1451708.3040111903</v>
      </c>
      <c r="M10" s="55">
        <f>'kWh Forecast'!K23</f>
        <v>1473393.3830310313</v>
      </c>
      <c r="N10" s="55">
        <f>'kWh Forecast'!L23</f>
        <v>1470065.401887435</v>
      </c>
      <c r="O10" s="55">
        <f>'kWh Forecast'!M23</f>
        <v>1438784.4670880933</v>
      </c>
      <c r="P10" s="55">
        <f>'kWh Forecast'!N23</f>
        <v>1437460.2018461707</v>
      </c>
      <c r="Q10" s="55">
        <f>'kWh Forecast'!O23</f>
        <v>1439936.5840910934</v>
      </c>
      <c r="R10" s="55">
        <f>'kWh Forecast'!P23</f>
        <v>1440766.4380931831</v>
      </c>
      <c r="S10" s="55">
        <f>'kWh Forecast'!Q23</f>
        <v>1444921.2317894329</v>
      </c>
      <c r="T10" s="57">
        <f t="shared" si="0"/>
        <v>23305493.877973925</v>
      </c>
    </row>
    <row r="11" spans="1:20" x14ac:dyDescent="0.45">
      <c r="A11" s="1" t="s">
        <v>88</v>
      </c>
      <c r="D11" s="56">
        <f>SUM(D5:D10)</f>
        <v>473106522.93138188</v>
      </c>
      <c r="E11" s="56">
        <f>SUM(E5:E10)</f>
        <v>424629824.62388045</v>
      </c>
      <c r="F11" s="56">
        <f>SUM(F5:F10)</f>
        <v>423354177.35096586</v>
      </c>
      <c r="G11" s="56">
        <f t="shared" ref="G11:S11" si="1">SUM(G5:G10)</f>
        <v>432213505.59983772</v>
      </c>
      <c r="H11" s="56">
        <f t="shared" si="1"/>
        <v>494706416.55616295</v>
      </c>
      <c r="I11" s="56">
        <f t="shared" si="1"/>
        <v>483642130.30993003</v>
      </c>
      <c r="J11" s="56">
        <f t="shared" si="1"/>
        <v>425335523.92444032</v>
      </c>
      <c r="K11" s="56">
        <f t="shared" si="1"/>
        <v>449334902.65241832</v>
      </c>
      <c r="L11" s="56">
        <f t="shared" si="1"/>
        <v>495220155.74878132</v>
      </c>
      <c r="M11" s="56">
        <f t="shared" si="1"/>
        <v>565243482.5801264</v>
      </c>
      <c r="N11" s="56">
        <f t="shared" si="1"/>
        <v>557828494.51218534</v>
      </c>
      <c r="O11" s="56">
        <f t="shared" si="1"/>
        <v>481522305.58749992</v>
      </c>
      <c r="P11" s="56">
        <f t="shared" si="1"/>
        <v>475707134.39378661</v>
      </c>
      <c r="Q11" s="56">
        <f t="shared" si="1"/>
        <v>428689971.08681667</v>
      </c>
      <c r="R11" s="56">
        <f t="shared" si="1"/>
        <v>423681254.05902672</v>
      </c>
      <c r="S11" s="56">
        <f t="shared" si="1"/>
        <v>430731151.53406841</v>
      </c>
      <c r="T11" s="57">
        <f>SUM(T5:T10)</f>
        <v>7464946953.4513083</v>
      </c>
    </row>
    <row r="12" spans="1:20" x14ac:dyDescent="0.45">
      <c r="D12" s="57"/>
      <c r="E12" s="57"/>
      <c r="F12" s="57"/>
      <c r="G12" s="57"/>
      <c r="H12" s="57">
        <f>H11-'kWh Forecast'!F24</f>
        <v>0</v>
      </c>
      <c r="I12" s="57">
        <f>I11-'kWh Forecast'!G24</f>
        <v>0</v>
      </c>
      <c r="J12" s="57">
        <f>J11-'kWh Forecast'!H24</f>
        <v>0</v>
      </c>
      <c r="K12" s="57">
        <f>K11-'kWh Forecast'!I24</f>
        <v>0</v>
      </c>
      <c r="L12" s="57">
        <f>L11-'kWh Forecast'!J24</f>
        <v>0</v>
      </c>
      <c r="M12" s="57">
        <f>M11-'kWh Forecast'!K24</f>
        <v>0</v>
      </c>
      <c r="N12" s="57">
        <f>N11-'kWh Forecast'!L24</f>
        <v>0</v>
      </c>
      <c r="O12" s="57">
        <f>O11-'kWh Forecast'!M24</f>
        <v>0</v>
      </c>
      <c r="P12" s="57">
        <f>P11-'kWh Forecast'!N24</f>
        <v>0</v>
      </c>
      <c r="Q12" s="57">
        <f>Q11-'kWh Forecast'!O24</f>
        <v>0</v>
      </c>
      <c r="R12" s="57">
        <f>R11-'kWh Forecast'!P24</f>
        <v>0</v>
      </c>
      <c r="S12" s="57">
        <f>S11-'kWh Forecast'!Q24</f>
        <v>0</v>
      </c>
    </row>
    <row r="14" spans="1:20" x14ac:dyDescent="0.45">
      <c r="A14" s="1" t="s">
        <v>99</v>
      </c>
      <c r="D14" s="216" t="s">
        <v>152</v>
      </c>
      <c r="E14" s="217"/>
      <c r="F14" s="217"/>
      <c r="G14" s="218"/>
      <c r="H14" s="216" t="s">
        <v>153</v>
      </c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8"/>
    </row>
    <row r="15" spans="1:20" x14ac:dyDescent="0.45">
      <c r="B15" s="1" t="s">
        <v>124</v>
      </c>
      <c r="D15" s="58">
        <f>'Rate Design'!$D$17</f>
        <v>-2.5000000000000001E-4</v>
      </c>
      <c r="E15" s="58">
        <f>'Rate Design'!$D$17</f>
        <v>-2.5000000000000001E-4</v>
      </c>
      <c r="F15" s="58">
        <f>'Rate Design'!$D$17</f>
        <v>-2.5000000000000001E-4</v>
      </c>
      <c r="G15" s="58">
        <f>'Rate Design'!$D$17</f>
        <v>-2.5000000000000001E-4</v>
      </c>
      <c r="H15" s="58">
        <f>'Rate Design'!$D$16</f>
        <v>-3.238901837782357E-4</v>
      </c>
      <c r="I15" s="58">
        <f>'Rate Design'!$D$16</f>
        <v>-3.238901837782357E-4</v>
      </c>
      <c r="J15" s="58">
        <f>'Rate Design'!$D$16</f>
        <v>-3.238901837782357E-4</v>
      </c>
      <c r="K15" s="58">
        <f>'Rate Design'!$D$16</f>
        <v>-3.238901837782357E-4</v>
      </c>
      <c r="L15" s="58">
        <f>'Rate Design'!$D$16</f>
        <v>-3.238901837782357E-4</v>
      </c>
      <c r="M15" s="58">
        <f>'Rate Design'!$D$16</f>
        <v>-3.238901837782357E-4</v>
      </c>
      <c r="N15" s="58">
        <f>'Rate Design'!$D$16</f>
        <v>-3.238901837782357E-4</v>
      </c>
      <c r="O15" s="58">
        <f>'Rate Design'!$D$16</f>
        <v>-3.238901837782357E-4</v>
      </c>
      <c r="P15" s="58">
        <f>'Rate Design'!$D$16</f>
        <v>-3.238901837782357E-4</v>
      </c>
      <c r="Q15" s="58">
        <f>'Rate Design'!$D$16</f>
        <v>-3.238901837782357E-4</v>
      </c>
      <c r="R15" s="58">
        <f>'Rate Design'!$D$16</f>
        <v>-3.238901837782357E-4</v>
      </c>
      <c r="S15" s="58">
        <f>'Rate Design'!$D$16</f>
        <v>-3.238901837782357E-4</v>
      </c>
    </row>
    <row r="16" spans="1:20" x14ac:dyDescent="0.45">
      <c r="B16" s="1" t="s">
        <v>83</v>
      </c>
      <c r="D16" s="58">
        <f>'Rate Design'!$E$17</f>
        <v>-2.5000000000000001E-4</v>
      </c>
      <c r="E16" s="58">
        <f>'Rate Design'!$E$17</f>
        <v>-2.5000000000000001E-4</v>
      </c>
      <c r="F16" s="58">
        <f>'Rate Design'!$E$17</f>
        <v>-2.5000000000000001E-4</v>
      </c>
      <c r="G16" s="58">
        <f>'Rate Design'!$E$17</f>
        <v>-2.5000000000000001E-4</v>
      </c>
      <c r="H16" s="58">
        <f>'Rate Design'!$E$16</f>
        <v>-3.1996381793419632E-4</v>
      </c>
      <c r="I16" s="58">
        <f>'Rate Design'!$E$16</f>
        <v>-3.1996381793419632E-4</v>
      </c>
      <c r="J16" s="58">
        <f>'Rate Design'!$E$16</f>
        <v>-3.1996381793419632E-4</v>
      </c>
      <c r="K16" s="58">
        <f>'Rate Design'!$E$16</f>
        <v>-3.1996381793419632E-4</v>
      </c>
      <c r="L16" s="58">
        <f>'Rate Design'!$E$16</f>
        <v>-3.1996381793419632E-4</v>
      </c>
      <c r="M16" s="58">
        <f>'Rate Design'!$E$16</f>
        <v>-3.1996381793419632E-4</v>
      </c>
      <c r="N16" s="58">
        <f>'Rate Design'!$E$16</f>
        <v>-3.1996381793419632E-4</v>
      </c>
      <c r="O16" s="58">
        <f>'Rate Design'!$E$16</f>
        <v>-3.1996381793419632E-4</v>
      </c>
      <c r="P16" s="58">
        <f>'Rate Design'!$E$16</f>
        <v>-3.1996381793419632E-4</v>
      </c>
      <c r="Q16" s="58">
        <f>'Rate Design'!$E$16</f>
        <v>-3.1996381793419632E-4</v>
      </c>
      <c r="R16" s="58">
        <f>'Rate Design'!$E$16</f>
        <v>-3.1996381793419632E-4</v>
      </c>
      <c r="S16" s="58">
        <f>'Rate Design'!$E$16</f>
        <v>-3.1996381793419632E-4</v>
      </c>
    </row>
    <row r="17" spans="1:21" x14ac:dyDescent="0.45">
      <c r="B17" s="1" t="s">
        <v>84</v>
      </c>
      <c r="D17" s="58">
        <f>'Rate Design'!$F$17</f>
        <v>-2.5999999999999998E-4</v>
      </c>
      <c r="E17" s="58">
        <f>'Rate Design'!$F$17</f>
        <v>-2.5999999999999998E-4</v>
      </c>
      <c r="F17" s="58">
        <f>'Rate Design'!$F$17</f>
        <v>-2.5999999999999998E-4</v>
      </c>
      <c r="G17" s="58">
        <f>'Rate Design'!$F$17</f>
        <v>-2.5999999999999998E-4</v>
      </c>
      <c r="H17" s="58">
        <f>'Rate Design'!$F$16</f>
        <v>-3.2092324649055342E-4</v>
      </c>
      <c r="I17" s="58">
        <f>'Rate Design'!$F$16</f>
        <v>-3.2092324649055342E-4</v>
      </c>
      <c r="J17" s="58">
        <f>'Rate Design'!$F$16</f>
        <v>-3.2092324649055342E-4</v>
      </c>
      <c r="K17" s="58">
        <f>'Rate Design'!$F$16</f>
        <v>-3.2092324649055342E-4</v>
      </c>
      <c r="L17" s="58">
        <f>'Rate Design'!$F$16</f>
        <v>-3.2092324649055342E-4</v>
      </c>
      <c r="M17" s="58">
        <f>'Rate Design'!$F$16</f>
        <v>-3.2092324649055342E-4</v>
      </c>
      <c r="N17" s="58">
        <f>'Rate Design'!$F$16</f>
        <v>-3.2092324649055342E-4</v>
      </c>
      <c r="O17" s="58">
        <f>'Rate Design'!$F$16</f>
        <v>-3.2092324649055342E-4</v>
      </c>
      <c r="P17" s="58">
        <f>'Rate Design'!$F$16</f>
        <v>-3.2092324649055342E-4</v>
      </c>
      <c r="Q17" s="58">
        <f>'Rate Design'!$F$16</f>
        <v>-3.2092324649055342E-4</v>
      </c>
      <c r="R17" s="58">
        <f>'Rate Design'!$F$16</f>
        <v>-3.2092324649055342E-4</v>
      </c>
      <c r="S17" s="58">
        <f>'Rate Design'!$F$16</f>
        <v>-3.2092324649055342E-4</v>
      </c>
    </row>
    <row r="18" spans="1:21" x14ac:dyDescent="0.45">
      <c r="B18" s="1" t="s">
        <v>85</v>
      </c>
      <c r="D18" s="58">
        <f>'Rate Design'!$G$17</f>
        <v>-2.4000000000000001E-4</v>
      </c>
      <c r="E18" s="58">
        <f>'Rate Design'!$G$17</f>
        <v>-2.4000000000000001E-4</v>
      </c>
      <c r="F18" s="58">
        <f>'Rate Design'!$G$17</f>
        <v>-2.4000000000000001E-4</v>
      </c>
      <c r="G18" s="58">
        <f>'Rate Design'!$G$17</f>
        <v>-2.4000000000000001E-4</v>
      </c>
      <c r="H18" s="58">
        <f>'Rate Design'!$G$16</f>
        <v>-3.149860006015196E-4</v>
      </c>
      <c r="I18" s="58">
        <f>'Rate Design'!$G$16</f>
        <v>-3.149860006015196E-4</v>
      </c>
      <c r="J18" s="58">
        <f>'Rate Design'!$G$16</f>
        <v>-3.149860006015196E-4</v>
      </c>
      <c r="K18" s="58">
        <f>'Rate Design'!$G$16</f>
        <v>-3.149860006015196E-4</v>
      </c>
      <c r="L18" s="58">
        <f>'Rate Design'!$G$16</f>
        <v>-3.149860006015196E-4</v>
      </c>
      <c r="M18" s="58">
        <f>'Rate Design'!$G$16</f>
        <v>-3.149860006015196E-4</v>
      </c>
      <c r="N18" s="58">
        <f>'Rate Design'!$G$16</f>
        <v>-3.149860006015196E-4</v>
      </c>
      <c r="O18" s="58">
        <f>'Rate Design'!$G$16</f>
        <v>-3.149860006015196E-4</v>
      </c>
      <c r="P18" s="58">
        <f>'Rate Design'!$G$16</f>
        <v>-3.149860006015196E-4</v>
      </c>
      <c r="Q18" s="58">
        <f>'Rate Design'!$G$16</f>
        <v>-3.149860006015196E-4</v>
      </c>
      <c r="R18" s="58">
        <f>'Rate Design'!$G$16</f>
        <v>-3.149860006015196E-4</v>
      </c>
      <c r="S18" s="58">
        <f>'Rate Design'!$G$16</f>
        <v>-3.149860006015196E-4</v>
      </c>
    </row>
    <row r="19" spans="1:21" x14ac:dyDescent="0.45">
      <c r="B19" s="1" t="s">
        <v>86</v>
      </c>
      <c r="D19" s="58">
        <f>'Rate Design'!$H$17</f>
        <v>-2.4000000000000001E-4</v>
      </c>
      <c r="E19" s="58">
        <f>'Rate Design'!$H$17</f>
        <v>-2.4000000000000001E-4</v>
      </c>
      <c r="F19" s="58">
        <f>'Rate Design'!$H$17</f>
        <v>-2.4000000000000001E-4</v>
      </c>
      <c r="G19" s="58">
        <f>'Rate Design'!$H$17</f>
        <v>-2.4000000000000001E-4</v>
      </c>
      <c r="H19" s="58">
        <f>'Rate Design'!$H$16</f>
        <v>-3.3297880196372703E-4</v>
      </c>
      <c r="I19" s="58">
        <f>'Rate Design'!$H$16</f>
        <v>-3.3297880196372703E-4</v>
      </c>
      <c r="J19" s="58">
        <f>'Rate Design'!$H$16</f>
        <v>-3.3297880196372703E-4</v>
      </c>
      <c r="K19" s="58">
        <f>'Rate Design'!$H$16</f>
        <v>-3.3297880196372703E-4</v>
      </c>
      <c r="L19" s="58">
        <f>'Rate Design'!$H$16</f>
        <v>-3.3297880196372703E-4</v>
      </c>
      <c r="M19" s="58">
        <f>'Rate Design'!$H$16</f>
        <v>-3.3297880196372703E-4</v>
      </c>
      <c r="N19" s="58">
        <f>'Rate Design'!$H$16</f>
        <v>-3.3297880196372703E-4</v>
      </c>
      <c r="O19" s="58">
        <f>'Rate Design'!$H$16</f>
        <v>-3.3297880196372703E-4</v>
      </c>
      <c r="P19" s="58">
        <f>'Rate Design'!$H$16</f>
        <v>-3.3297880196372703E-4</v>
      </c>
      <c r="Q19" s="58">
        <f>'Rate Design'!$H$16</f>
        <v>-3.3297880196372703E-4</v>
      </c>
      <c r="R19" s="58">
        <f>'Rate Design'!$H$16</f>
        <v>-3.3297880196372703E-4</v>
      </c>
      <c r="S19" s="58">
        <f>'Rate Design'!$H$16</f>
        <v>-3.3297880196372703E-4</v>
      </c>
    </row>
    <row r="20" spans="1:21" x14ac:dyDescent="0.45">
      <c r="B20" s="1" t="s">
        <v>87</v>
      </c>
      <c r="D20" s="58">
        <f>'Rate Design'!$I$17</f>
        <v>-4.4999999999999999E-4</v>
      </c>
      <c r="E20" s="58">
        <f>'Rate Design'!$I$17</f>
        <v>-4.4999999999999999E-4</v>
      </c>
      <c r="F20" s="58">
        <f>'Rate Design'!$I$17</f>
        <v>-4.4999999999999999E-4</v>
      </c>
      <c r="G20" s="58">
        <f>'Rate Design'!$I$17</f>
        <v>-4.4999999999999999E-4</v>
      </c>
      <c r="H20" s="58">
        <f>'Rate Design'!$I$16</f>
        <v>-3.4700735892392534E-4</v>
      </c>
      <c r="I20" s="58">
        <f>'Rate Design'!$I$16</f>
        <v>-3.4700735892392534E-4</v>
      </c>
      <c r="J20" s="58">
        <f>'Rate Design'!$I$16</f>
        <v>-3.4700735892392534E-4</v>
      </c>
      <c r="K20" s="58">
        <f>'Rate Design'!$I$16</f>
        <v>-3.4700735892392534E-4</v>
      </c>
      <c r="L20" s="58">
        <f>'Rate Design'!$I$16</f>
        <v>-3.4700735892392534E-4</v>
      </c>
      <c r="M20" s="58">
        <f>'Rate Design'!$I$16</f>
        <v>-3.4700735892392534E-4</v>
      </c>
      <c r="N20" s="58">
        <f>'Rate Design'!$I$16</f>
        <v>-3.4700735892392534E-4</v>
      </c>
      <c r="O20" s="58">
        <f>'Rate Design'!$I$16</f>
        <v>-3.4700735892392534E-4</v>
      </c>
      <c r="P20" s="58">
        <f>'Rate Design'!$I$16</f>
        <v>-3.4700735892392534E-4</v>
      </c>
      <c r="Q20" s="58">
        <f>'Rate Design'!$I$16</f>
        <v>-3.4700735892392534E-4</v>
      </c>
      <c r="R20" s="58">
        <f>'Rate Design'!$I$16</f>
        <v>-3.4700735892392534E-4</v>
      </c>
      <c r="S20" s="58">
        <f>'Rate Design'!$I$16</f>
        <v>-3.4700735892392534E-4</v>
      </c>
    </row>
    <row r="21" spans="1:21" x14ac:dyDescent="0.45"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3" spans="1:21" x14ac:dyDescent="0.45">
      <c r="A23" s="1" t="s">
        <v>98</v>
      </c>
      <c r="D23" s="54">
        <f>D4</f>
        <v>43905</v>
      </c>
      <c r="E23" s="54">
        <f t="shared" ref="E23:S23" si="2">E4</f>
        <v>43936</v>
      </c>
      <c r="F23" s="54">
        <f t="shared" si="2"/>
        <v>43966</v>
      </c>
      <c r="G23" s="54">
        <f t="shared" si="2"/>
        <v>43997</v>
      </c>
      <c r="H23" s="54">
        <f t="shared" si="2"/>
        <v>44027</v>
      </c>
      <c r="I23" s="54">
        <f t="shared" si="2"/>
        <v>44058</v>
      </c>
      <c r="J23" s="54">
        <f t="shared" si="2"/>
        <v>44089</v>
      </c>
      <c r="K23" s="54">
        <f t="shared" si="2"/>
        <v>44119</v>
      </c>
      <c r="L23" s="54">
        <f t="shared" si="2"/>
        <v>44150</v>
      </c>
      <c r="M23" s="54">
        <f t="shared" si="2"/>
        <v>44180</v>
      </c>
      <c r="N23" s="54">
        <f t="shared" si="2"/>
        <v>44211</v>
      </c>
      <c r="O23" s="54">
        <f t="shared" si="2"/>
        <v>44242</v>
      </c>
      <c r="P23" s="54">
        <f t="shared" si="2"/>
        <v>44270</v>
      </c>
      <c r="Q23" s="54">
        <f t="shared" si="2"/>
        <v>44301</v>
      </c>
      <c r="R23" s="54">
        <f t="shared" si="2"/>
        <v>44331</v>
      </c>
      <c r="S23" s="54">
        <f t="shared" si="2"/>
        <v>44362</v>
      </c>
    </row>
    <row r="24" spans="1:21" x14ac:dyDescent="0.45">
      <c r="B24" s="1" t="s">
        <v>82</v>
      </c>
      <c r="D24" s="60">
        <f>D5*D15</f>
        <v>-52389.411504547301</v>
      </c>
      <c r="E24" s="60">
        <f>E5*E15</f>
        <v>-42684.848795272846</v>
      </c>
      <c r="F24" s="60">
        <f>F5*F15</f>
        <v>-39432.713208845802</v>
      </c>
      <c r="G24" s="60">
        <f t="shared" ref="G24:S28" si="3">G5*G15</f>
        <v>-39194.795397841059</v>
      </c>
      <c r="H24" s="60">
        <f t="shared" si="3"/>
        <v>-61232.49553660323</v>
      </c>
      <c r="I24" s="60">
        <f t="shared" si="3"/>
        <v>-59511.0381553115</v>
      </c>
      <c r="J24" s="60">
        <f t="shared" si="3"/>
        <v>-49962.2713068636</v>
      </c>
      <c r="K24" s="60">
        <f t="shared" si="3"/>
        <v>-56230.104113877045</v>
      </c>
      <c r="L24" s="60">
        <f t="shared" si="3"/>
        <v>-71340.214859396132</v>
      </c>
      <c r="M24" s="60">
        <f t="shared" si="3"/>
        <v>-90260.011862455533</v>
      </c>
      <c r="N24" s="60">
        <f t="shared" si="3"/>
        <v>-89154.733093398609</v>
      </c>
      <c r="O24" s="60">
        <f t="shared" si="3"/>
        <v>-71957.657722382661</v>
      </c>
      <c r="P24" s="60">
        <f t="shared" si="3"/>
        <v>-69000.994911426329</v>
      </c>
      <c r="Q24" s="60">
        <f t="shared" si="3"/>
        <v>-56274.34220949492</v>
      </c>
      <c r="R24" s="60">
        <f t="shared" si="3"/>
        <v>-51369.266923107578</v>
      </c>
      <c r="S24" s="60">
        <f t="shared" si="3"/>
        <v>-49895.3224651485</v>
      </c>
    </row>
    <row r="25" spans="1:21" x14ac:dyDescent="0.45">
      <c r="B25" s="1" t="s">
        <v>83</v>
      </c>
      <c r="D25" s="60">
        <f>D6*D16</f>
        <v>-13203.348845144616</v>
      </c>
      <c r="E25" s="60">
        <f t="shared" ref="E25:F28" si="4">E6*E16</f>
        <v>-11619.91294228239</v>
      </c>
      <c r="F25" s="60">
        <f t="shared" si="4"/>
        <v>-11447.561826106845</v>
      </c>
      <c r="G25" s="60">
        <f t="shared" si="3"/>
        <v>-11737.846089977413</v>
      </c>
      <c r="H25" s="60">
        <f t="shared" si="3"/>
        <v>-17598.216098958812</v>
      </c>
      <c r="I25" s="60">
        <f t="shared" si="3"/>
        <v>-17084.025756489471</v>
      </c>
      <c r="J25" s="60">
        <f t="shared" si="3"/>
        <v>-14730.318290110923</v>
      </c>
      <c r="K25" s="60">
        <f t="shared" si="3"/>
        <v>-15687.642634170979</v>
      </c>
      <c r="L25" s="60">
        <f t="shared" si="3"/>
        <v>-17588.93404783939</v>
      </c>
      <c r="M25" s="60">
        <f t="shared" si="3"/>
        <v>-20103.82477662955</v>
      </c>
      <c r="N25" s="60">
        <f t="shared" si="3"/>
        <v>-19921.254992099439</v>
      </c>
      <c r="O25" s="60">
        <f t="shared" si="3"/>
        <v>-17036.019413208811</v>
      </c>
      <c r="P25" s="60">
        <f t="shared" si="3"/>
        <v>-17238.473976188598</v>
      </c>
      <c r="Q25" s="60">
        <f t="shared" si="3"/>
        <v>-15188.619254212676</v>
      </c>
      <c r="R25" s="60">
        <f t="shared" si="3"/>
        <v>-14911.514770197142</v>
      </c>
      <c r="S25" s="60">
        <f t="shared" si="3"/>
        <v>-15307.341293650865</v>
      </c>
    </row>
    <row r="26" spans="1:21" x14ac:dyDescent="0.45">
      <c r="B26" s="1" t="s">
        <v>84</v>
      </c>
      <c r="D26" s="60">
        <f>D7*D17</f>
        <v>-29245.144742540906</v>
      </c>
      <c r="E26" s="60">
        <f t="shared" si="4"/>
        <v>-27624.592670618622</v>
      </c>
      <c r="F26" s="60">
        <f t="shared" si="4"/>
        <v>-28668.184313119844</v>
      </c>
      <c r="G26" s="60">
        <f t="shared" si="3"/>
        <v>-29637.598325898191</v>
      </c>
      <c r="H26" s="60">
        <f t="shared" si="3"/>
        <v>-41145.00894019103</v>
      </c>
      <c r="I26" s="60">
        <f t="shared" si="3"/>
        <v>-38992.278075598319</v>
      </c>
      <c r="J26" s="60">
        <f t="shared" si="3"/>
        <v>-34786.287646428689</v>
      </c>
      <c r="K26" s="60">
        <f t="shared" si="3"/>
        <v>-37972.946516694064</v>
      </c>
      <c r="L26" s="60">
        <f t="shared" si="3"/>
        <v>-38379.474555772758</v>
      </c>
      <c r="M26" s="60">
        <f t="shared" si="3"/>
        <v>-39885.209618570239</v>
      </c>
      <c r="N26" s="60">
        <f t="shared" si="3"/>
        <v>-38750.03383119619</v>
      </c>
      <c r="O26" s="60">
        <f t="shared" si="3"/>
        <v>-34177.307271745762</v>
      </c>
      <c r="P26" s="60">
        <f t="shared" si="3"/>
        <v>-35889.248911495517</v>
      </c>
      <c r="Q26" s="60">
        <f t="shared" si="3"/>
        <v>-33933.353855997128</v>
      </c>
      <c r="R26" s="60">
        <f t="shared" si="3"/>
        <v>-35318.613548070243</v>
      </c>
      <c r="S26" s="60">
        <f t="shared" si="3"/>
        <v>-36665.731596443817</v>
      </c>
    </row>
    <row r="27" spans="1:21" x14ac:dyDescent="0.45">
      <c r="B27" s="1" t="s">
        <v>85</v>
      </c>
      <c r="D27" s="60">
        <f>D8*D18</f>
        <v>-22128.81552</v>
      </c>
      <c r="E27" s="60">
        <f t="shared" si="4"/>
        <v>-22217.943360000001</v>
      </c>
      <c r="F27" s="60">
        <f t="shared" si="4"/>
        <v>-22745.06712</v>
      </c>
      <c r="G27" s="60">
        <f t="shared" si="3"/>
        <v>-22525.843680000002</v>
      </c>
      <c r="H27" s="60">
        <f t="shared" si="3"/>
        <v>-29937.017273933852</v>
      </c>
      <c r="I27" s="60">
        <f t="shared" si="3"/>
        <v>-30691.696012607041</v>
      </c>
      <c r="J27" s="60">
        <f t="shared" si="3"/>
        <v>-30249.141311733907</v>
      </c>
      <c r="K27" s="60">
        <f t="shared" si="3"/>
        <v>-30071.169496604038</v>
      </c>
      <c r="L27" s="60">
        <f t="shared" si="3"/>
        <v>-29552.115405708817</v>
      </c>
      <c r="M27" s="60">
        <f t="shared" si="3"/>
        <v>-29531.292311181049</v>
      </c>
      <c r="N27" s="60">
        <f t="shared" si="3"/>
        <v>-29547.553148476101</v>
      </c>
      <c r="O27" s="60">
        <f t="shared" si="3"/>
        <v>-29724.795141042578</v>
      </c>
      <c r="P27" s="60">
        <f t="shared" si="3"/>
        <v>-28662.80220079852</v>
      </c>
      <c r="Q27" s="60">
        <f t="shared" si="3"/>
        <v>-29439.429478979622</v>
      </c>
      <c r="R27" s="60">
        <f t="shared" si="3"/>
        <v>-29683.894208864469</v>
      </c>
      <c r="S27" s="60">
        <f t="shared" si="3"/>
        <v>-29625.489504632937</v>
      </c>
    </row>
    <row r="28" spans="1:21" x14ac:dyDescent="0.45">
      <c r="B28" s="1" t="s">
        <v>86</v>
      </c>
      <c r="D28" s="60">
        <f>D9*D19</f>
        <v>-1102.1236763658023</v>
      </c>
      <c r="E28" s="60">
        <f t="shared" si="4"/>
        <v>-1710.2987973744755</v>
      </c>
      <c r="F28" s="60">
        <f t="shared" si="4"/>
        <v>-3200.4287854233216</v>
      </c>
      <c r="G28" s="60">
        <f t="shared" si="3"/>
        <v>-4599.3060965835166</v>
      </c>
      <c r="H28" s="60">
        <f t="shared" si="3"/>
        <v>-8635.1959549897947</v>
      </c>
      <c r="I28" s="60">
        <f t="shared" si="3"/>
        <v>-8693.9896145406947</v>
      </c>
      <c r="J28" s="60">
        <f t="shared" si="3"/>
        <v>-6374.9399681217774</v>
      </c>
      <c r="K28" s="60">
        <f t="shared" si="3"/>
        <v>-3812.6976324888519</v>
      </c>
      <c r="L28" s="60">
        <f t="shared" si="3"/>
        <v>-1706.5428885058695</v>
      </c>
      <c r="M28" s="60">
        <f t="shared" si="3"/>
        <v>-1407.430746816749</v>
      </c>
      <c r="N28" s="60">
        <f t="shared" si="3"/>
        <v>-1426.4241273245214</v>
      </c>
      <c r="O28" s="60">
        <f t="shared" si="3"/>
        <v>-1267.8679587117865</v>
      </c>
      <c r="P28" s="60">
        <f t="shared" si="3"/>
        <v>-1507.3251793936981</v>
      </c>
      <c r="Q28" s="60">
        <f t="shared" si="3"/>
        <v>-2276.1686470202599</v>
      </c>
      <c r="R28" s="60">
        <f t="shared" si="3"/>
        <v>-4243.460994797947</v>
      </c>
      <c r="S28" s="60">
        <f t="shared" si="3"/>
        <v>-6356.9392238036653</v>
      </c>
    </row>
    <row r="29" spans="1:21" x14ac:dyDescent="0.45">
      <c r="B29" s="1" t="s">
        <v>87</v>
      </c>
      <c r="D29" s="60">
        <f>D10*D20</f>
        <v>-656.35902670819257</v>
      </c>
      <c r="E29" s="60">
        <f t="shared" ref="E29:S29" si="5">E10*E20</f>
        <v>-657.6009012297086</v>
      </c>
      <c r="F29" s="60">
        <f t="shared" si="5"/>
        <v>-659.06861118218444</v>
      </c>
      <c r="G29" s="60">
        <f t="shared" si="5"/>
        <v>-661.82375439736643</v>
      </c>
      <c r="H29" s="60">
        <f t="shared" si="5"/>
        <v>-509.65435074436289</v>
      </c>
      <c r="I29" s="60">
        <f t="shared" si="5"/>
        <v>-507.27096769157322</v>
      </c>
      <c r="J29" s="60">
        <f t="shared" si="5"/>
        <v>-509.53286260255777</v>
      </c>
      <c r="K29" s="60">
        <f t="shared" si="5"/>
        <v>-504.65589232121368</v>
      </c>
      <c r="L29" s="60">
        <f t="shared" si="5"/>
        <v>-503.75346450285406</v>
      </c>
      <c r="M29" s="60">
        <f t="shared" si="5"/>
        <v>-511.2783465015857</v>
      </c>
      <c r="N29" s="60">
        <f t="shared" si="5"/>
        <v>-510.12351255439768</v>
      </c>
      <c r="O29" s="60">
        <f t="shared" si="5"/>
        <v>-499.26879798500664</v>
      </c>
      <c r="P29" s="60">
        <f t="shared" si="5"/>
        <v>-498.80926820089235</v>
      </c>
      <c r="Q29" s="60">
        <f t="shared" si="5"/>
        <v>-499.66859106338904</v>
      </c>
      <c r="R29" s="60">
        <f t="shared" si="5"/>
        <v>-499.95655650894662</v>
      </c>
      <c r="S29" s="60">
        <f t="shared" si="5"/>
        <v>-501.39830049635606</v>
      </c>
    </row>
    <row r="30" spans="1:21" x14ac:dyDescent="0.45">
      <c r="B30" s="1" t="s">
        <v>0</v>
      </c>
      <c r="D30" s="60">
        <f t="shared" ref="D30:S30" si="6">SUM(D24:D29)</f>
        <v>-118725.20331530683</v>
      </c>
      <c r="E30" s="60">
        <f t="shared" si="6"/>
        <v>-106515.19746677805</v>
      </c>
      <c r="F30" s="60">
        <f t="shared" si="6"/>
        <v>-106153.02386467801</v>
      </c>
      <c r="G30" s="60">
        <f t="shared" si="6"/>
        <v>-108357.21334469755</v>
      </c>
      <c r="H30" s="60">
        <f t="shared" si="6"/>
        <v>-159057.58815542108</v>
      </c>
      <c r="I30" s="60">
        <f t="shared" si="6"/>
        <v>-155480.29858223861</v>
      </c>
      <c r="J30" s="60">
        <f t="shared" si="6"/>
        <v>-136612.49138586147</v>
      </c>
      <c r="K30" s="60">
        <f t="shared" si="6"/>
        <v>-144279.21628615618</v>
      </c>
      <c r="L30" s="60">
        <f t="shared" si="6"/>
        <v>-159071.03522172585</v>
      </c>
      <c r="M30" s="60">
        <f t="shared" si="6"/>
        <v>-181699.04766215468</v>
      </c>
      <c r="N30" s="60">
        <f t="shared" si="6"/>
        <v>-179310.12270504926</v>
      </c>
      <c r="O30" s="60">
        <f t="shared" si="6"/>
        <v>-154662.91630507662</v>
      </c>
      <c r="P30" s="60">
        <f t="shared" si="6"/>
        <v>-152797.65444750356</v>
      </c>
      <c r="Q30" s="60">
        <f t="shared" si="6"/>
        <v>-137611.582036768</v>
      </c>
      <c r="R30" s="60">
        <f t="shared" si="6"/>
        <v>-136026.70700154634</v>
      </c>
      <c r="S30" s="60">
        <f t="shared" si="6"/>
        <v>-138352.22238417616</v>
      </c>
      <c r="U30" s="61">
        <f>SUM(H30:S30)-'7-2020 thru 6-2021 RECs'!E25</f>
        <v>-282.20702682971023</v>
      </c>
    </row>
    <row r="31" spans="1:21" x14ac:dyDescent="0.45">
      <c r="B31" s="201"/>
      <c r="C31" s="202">
        <f>'CF WA Elec'!E21</f>
        <v>0.95332300000000003</v>
      </c>
      <c r="D31" s="201" t="s">
        <v>165</v>
      </c>
    </row>
    <row r="32" spans="1:21" ht="36" customHeight="1" x14ac:dyDescent="0.45">
      <c r="A32" s="1" t="s">
        <v>125</v>
      </c>
      <c r="B32" s="133"/>
      <c r="C32" s="169">
        <f>'CF WA Elec'!F21</f>
        <v>0.95563100000000001</v>
      </c>
      <c r="D32" s="54">
        <f>D4</f>
        <v>43905</v>
      </c>
      <c r="E32" s="54">
        <f t="shared" ref="E32:R32" si="7">E4</f>
        <v>43936</v>
      </c>
      <c r="F32" s="54">
        <f t="shared" si="7"/>
        <v>43966</v>
      </c>
      <c r="G32" s="54">
        <f t="shared" si="7"/>
        <v>43997</v>
      </c>
      <c r="H32" s="54">
        <f t="shared" si="7"/>
        <v>44027</v>
      </c>
      <c r="I32" s="54">
        <f t="shared" si="7"/>
        <v>44058</v>
      </c>
      <c r="J32" s="54">
        <f t="shared" si="7"/>
        <v>44089</v>
      </c>
      <c r="K32" s="54">
        <f t="shared" si="7"/>
        <v>44119</v>
      </c>
      <c r="L32" s="54">
        <f t="shared" si="7"/>
        <v>44150</v>
      </c>
      <c r="M32" s="54">
        <f t="shared" si="7"/>
        <v>44180</v>
      </c>
      <c r="N32" s="54">
        <f t="shared" si="7"/>
        <v>44211</v>
      </c>
      <c r="O32" s="54">
        <f t="shared" si="7"/>
        <v>44242</v>
      </c>
      <c r="P32" s="54">
        <f t="shared" si="7"/>
        <v>44270</v>
      </c>
      <c r="Q32" s="54">
        <f t="shared" si="7"/>
        <v>44301</v>
      </c>
      <c r="R32" s="54">
        <f t="shared" si="7"/>
        <v>44331</v>
      </c>
      <c r="S32" s="54">
        <f>S4</f>
        <v>44362</v>
      </c>
    </row>
    <row r="33" spans="2:21" x14ac:dyDescent="0.45">
      <c r="B33" s="1" t="s">
        <v>82</v>
      </c>
      <c r="D33" s="60">
        <f>D24*$C$31</f>
        <v>-49944.030943749545</v>
      </c>
      <c r="E33" s="60">
        <f>E24*$C$32</f>
        <v>-40790.964739075389</v>
      </c>
      <c r="F33" s="60">
        <f>F24*$C$32</f>
        <v>-37683.123156482521</v>
      </c>
      <c r="G33" s="60">
        <f t="shared" ref="G33:S38" si="8">G24*$C$32</f>
        <v>-37455.761520834247</v>
      </c>
      <c r="H33" s="60">
        <f>H24*$C$32</f>
        <v>-58515.670942139681</v>
      </c>
      <c r="I33" s="60">
        <f t="shared" si="8"/>
        <v>-56870.592903398487</v>
      </c>
      <c r="J33" s="60">
        <f t="shared" si="8"/>
        <v>-47745.495291249368</v>
      </c>
      <c r="K33" s="60">
        <f t="shared" si="8"/>
        <v>-53735.230624448435</v>
      </c>
      <c r="L33" s="60">
        <f t="shared" si="8"/>
        <v>-68174.920866299581</v>
      </c>
      <c r="M33" s="60">
        <f t="shared" si="8"/>
        <v>-86255.265396130242</v>
      </c>
      <c r="N33" s="60">
        <f t="shared" si="8"/>
        <v>-85199.026740777612</v>
      </c>
      <c r="O33" s="60">
        <f t="shared" si="8"/>
        <v>-68764.968406898261</v>
      </c>
      <c r="P33" s="60">
        <f t="shared" si="8"/>
        <v>-65939.489768201252</v>
      </c>
      <c r="Q33" s="60">
        <f t="shared" si="8"/>
        <v>-53777.505920001844</v>
      </c>
      <c r="R33" s="60">
        <f t="shared" si="8"/>
        <v>-49090.063918996217</v>
      </c>
      <c r="S33" s="60">
        <f t="shared" si="8"/>
        <v>-47681.516902692325</v>
      </c>
    </row>
    <row r="34" spans="2:21" x14ac:dyDescent="0.45">
      <c r="B34" s="1" t="s">
        <v>83</v>
      </c>
      <c r="D34" s="60">
        <f t="shared" ref="D34:D38" si="9">D25*$C$31</f>
        <v>-12587.0561310998</v>
      </c>
      <c r="E34" s="60">
        <f t="shared" ref="E34:F38" si="10">E25*$C$32</f>
        <v>-11104.349024946263</v>
      </c>
      <c r="F34" s="60">
        <f t="shared" si="10"/>
        <v>-10939.64495544431</v>
      </c>
      <c r="G34" s="60">
        <f t="shared" si="8"/>
        <v>-11217.049596811205</v>
      </c>
      <c r="H34" s="60">
        <f t="shared" si="8"/>
        <v>-16817.400848864108</v>
      </c>
      <c r="I34" s="60">
        <f t="shared" si="8"/>
        <v>-16326.02461769979</v>
      </c>
      <c r="J34" s="60">
        <f t="shared" si="8"/>
        <v>-14076.748797896991</v>
      </c>
      <c r="K34" s="60">
        <f t="shared" si="8"/>
        <v>-14991.597618135447</v>
      </c>
      <c r="L34" s="60">
        <f t="shared" si="8"/>
        <v>-16808.530633070804</v>
      </c>
      <c r="M34" s="60">
        <f t="shared" si="8"/>
        <v>-19211.838175115274</v>
      </c>
      <c r="N34" s="60">
        <f t="shared" si="8"/>
        <v>-19037.368829354979</v>
      </c>
      <c r="O34" s="60">
        <f t="shared" si="8"/>
        <v>-16280.14826786415</v>
      </c>
      <c r="P34" s="60">
        <f t="shared" si="8"/>
        <v>-16473.620124339086</v>
      </c>
      <c r="Q34" s="60">
        <f t="shared" si="8"/>
        <v>-14514.715406522513</v>
      </c>
      <c r="R34" s="60">
        <f t="shared" si="8"/>
        <v>-14249.905771358264</v>
      </c>
      <c r="S34" s="60">
        <f t="shared" si="8"/>
        <v>-14628.169867792869</v>
      </c>
    </row>
    <row r="35" spans="2:21" x14ac:dyDescent="0.45">
      <c r="B35" s="1" t="s">
        <v>84</v>
      </c>
      <c r="D35" s="60">
        <f t="shared" si="9"/>
        <v>-27880.069121393324</v>
      </c>
      <c r="E35" s="60">
        <f t="shared" si="10"/>
        <v>-26398.917118415946</v>
      </c>
      <c r="F35" s="60">
        <f t="shared" si="10"/>
        <v>-27396.205643331028</v>
      </c>
      <c r="G35" s="60">
        <f t="shared" si="8"/>
        <v>-28322.607725776415</v>
      </c>
      <c r="H35" s="60">
        <f t="shared" si="8"/>
        <v>-39319.446038523696</v>
      </c>
      <c r="I35" s="60">
        <f t="shared" si="8"/>
        <v>-37262.229689662097</v>
      </c>
      <c r="J35" s="60">
        <f t="shared" si="8"/>
        <v>-33242.854849844298</v>
      </c>
      <c r="K35" s="60">
        <f t="shared" si="8"/>
        <v>-36288.124852694869</v>
      </c>
      <c r="L35" s="60">
        <f t="shared" si="8"/>
        <v>-36676.615649207677</v>
      </c>
      <c r="M35" s="60">
        <f t="shared" si="8"/>
        <v>-38115.542753003894</v>
      </c>
      <c r="N35" s="60">
        <f t="shared" si="8"/>
        <v>-37030.733580139844</v>
      </c>
      <c r="O35" s="60">
        <f t="shared" si="8"/>
        <v>-32660.894325405676</v>
      </c>
      <c r="P35" s="60">
        <f t="shared" si="8"/>
        <v>-34296.878826541375</v>
      </c>
      <c r="Q35" s="60">
        <f t="shared" si="8"/>
        <v>-32427.76487876039</v>
      </c>
      <c r="R35" s="60">
        <f t="shared" si="8"/>
        <v>-33751.561983555912</v>
      </c>
      <c r="S35" s="60">
        <f t="shared" si="8"/>
        <v>-35038.909751241205</v>
      </c>
    </row>
    <row r="36" spans="2:21" x14ac:dyDescent="0.45">
      <c r="B36" s="1" t="s">
        <v>85</v>
      </c>
      <c r="D36" s="60">
        <f t="shared" si="9"/>
        <v>-21095.908797972959</v>
      </c>
      <c r="E36" s="60">
        <f t="shared" si="10"/>
        <v>-21232.15543106016</v>
      </c>
      <c r="F36" s="60">
        <f t="shared" si="10"/>
        <v>-21735.891236952721</v>
      </c>
      <c r="G36" s="60">
        <f t="shared" si="8"/>
        <v>-21526.394521762082</v>
      </c>
      <c r="H36" s="60">
        <f t="shared" si="8"/>
        <v>-28608.741754506682</v>
      </c>
      <c r="I36" s="60">
        <f t="shared" si="8"/>
        <v>-29329.93615222368</v>
      </c>
      <c r="J36" s="60">
        <f t="shared" si="8"/>
        <v>-28907.017160873587</v>
      </c>
      <c r="K36" s="60">
        <f t="shared" si="8"/>
        <v>-28736.941777209213</v>
      </c>
      <c r="L36" s="60">
        <f t="shared" si="8"/>
        <v>-28240.917597272924</v>
      </c>
      <c r="M36" s="60">
        <f t="shared" si="8"/>
        <v>-28221.018402626258</v>
      </c>
      <c r="N36" s="60">
        <f t="shared" si="8"/>
        <v>-28236.557762831366</v>
      </c>
      <c r="O36" s="60">
        <f t="shared" si="8"/>
        <v>-28405.93570542966</v>
      </c>
      <c r="P36" s="60">
        <f t="shared" si="8"/>
        <v>-27391.062329951292</v>
      </c>
      <c r="Q36" s="60">
        <f t="shared" si="8"/>
        <v>-28133.231432426775</v>
      </c>
      <c r="R36" s="60">
        <f t="shared" si="8"/>
        <v>-28366.849506711362</v>
      </c>
      <c r="S36" s="60">
        <f t="shared" si="8"/>
        <v>-28311.036160801879</v>
      </c>
    </row>
    <row r="37" spans="2:21" x14ac:dyDescent="0.45">
      <c r="B37" s="1" t="s">
        <v>86</v>
      </c>
      <c r="D37" s="60">
        <f t="shared" si="9"/>
        <v>-1050.6798495240757</v>
      </c>
      <c r="E37" s="60">
        <f t="shared" si="10"/>
        <v>-1634.4145500337675</v>
      </c>
      <c r="F37" s="60">
        <f t="shared" si="10"/>
        <v>-3058.4289606428742</v>
      </c>
      <c r="G37" s="60">
        <f t="shared" si="8"/>
        <v>-4395.239484384203</v>
      </c>
      <c r="H37" s="60">
        <f t="shared" si="8"/>
        <v>-8252.0609456628517</v>
      </c>
      <c r="I37" s="60">
        <f t="shared" si="8"/>
        <v>-8308.2459893331379</v>
      </c>
      <c r="J37" s="60">
        <f t="shared" si="8"/>
        <v>-6092.0902566761824</v>
      </c>
      <c r="K37" s="60">
        <f t="shared" si="8"/>
        <v>-3643.532051232954</v>
      </c>
      <c r="L37" s="60">
        <f t="shared" si="8"/>
        <v>-1630.8252870857527</v>
      </c>
      <c r="M37" s="60">
        <f t="shared" si="8"/>
        <v>-1344.9844520112367</v>
      </c>
      <c r="N37" s="60">
        <f t="shared" si="8"/>
        <v>-1363.1351152192597</v>
      </c>
      <c r="O37" s="60">
        <f t="shared" si="8"/>
        <v>-1211.6139252517032</v>
      </c>
      <c r="P37" s="60">
        <f t="shared" si="8"/>
        <v>-1440.4466685091791</v>
      </c>
      <c r="Q37" s="60">
        <f t="shared" si="8"/>
        <v>-2175.177320320618</v>
      </c>
      <c r="R37" s="60">
        <f t="shared" si="8"/>
        <v>-4055.1828739197567</v>
      </c>
      <c r="S37" s="60">
        <f t="shared" si="8"/>
        <v>-6074.8881873827204</v>
      </c>
    </row>
    <row r="38" spans="2:21" x14ac:dyDescent="0.45">
      <c r="B38" s="102" t="s">
        <v>87</v>
      </c>
      <c r="D38" s="62">
        <f t="shared" si="9"/>
        <v>-625.72215641853427</v>
      </c>
      <c r="E38" s="62">
        <f t="shared" si="10"/>
        <v>-628.42380684304771</v>
      </c>
      <c r="F38" s="62">
        <f t="shared" si="10"/>
        <v>-629.8263959726421</v>
      </c>
      <c r="G38" s="62">
        <f t="shared" si="8"/>
        <v>-632.45929623850964</v>
      </c>
      <c r="H38" s="62">
        <f t="shared" si="8"/>
        <v>-487.04149685618626</v>
      </c>
      <c r="I38" s="62">
        <f t="shared" si="8"/>
        <v>-484.76386212606582</v>
      </c>
      <c r="J38" s="62">
        <f t="shared" si="8"/>
        <v>-486.92539902174491</v>
      </c>
      <c r="K38" s="62">
        <f t="shared" si="8"/>
        <v>-482.26481503481375</v>
      </c>
      <c r="L38" s="62">
        <f t="shared" si="8"/>
        <v>-481.40242703632691</v>
      </c>
      <c r="M38" s="62">
        <f t="shared" si="8"/>
        <v>-488.59343754565685</v>
      </c>
      <c r="N38" s="62">
        <f t="shared" si="8"/>
        <v>-487.48984242587159</v>
      </c>
      <c r="O38" s="62">
        <f t="shared" si="8"/>
        <v>-477.11674068720987</v>
      </c>
      <c r="P38" s="62">
        <f t="shared" si="8"/>
        <v>-476.67759978008695</v>
      </c>
      <c r="Q38" s="62">
        <f t="shared" si="8"/>
        <v>-477.49879534649756</v>
      </c>
      <c r="R38" s="62">
        <f t="shared" si="8"/>
        <v>-477.77398405320116</v>
      </c>
      <c r="S38" s="62">
        <f t="shared" si="8"/>
        <v>-479.15175930163326</v>
      </c>
    </row>
    <row r="39" spans="2:21" x14ac:dyDescent="0.45">
      <c r="B39" s="1" t="s">
        <v>0</v>
      </c>
      <c r="C39" s="35"/>
      <c r="D39" s="61">
        <f>SUM(D33:D38)</f>
        <v>-113183.46700015823</v>
      </c>
      <c r="E39" s="61">
        <f>SUM(E33:E38)</f>
        <v>-101789.22467037456</v>
      </c>
      <c r="F39" s="61">
        <f>SUM(F33:F38)</f>
        <v>-101443.12034882611</v>
      </c>
      <c r="G39" s="61">
        <f t="shared" ref="G39:S39" si="11">SUM(G33:G38)</f>
        <v>-103549.51214580666</v>
      </c>
      <c r="H39" s="61">
        <f t="shared" si="11"/>
        <v>-152000.36202655322</v>
      </c>
      <c r="I39" s="61">
        <f t="shared" si="11"/>
        <v>-148581.79321444326</v>
      </c>
      <c r="J39" s="61">
        <f t="shared" si="11"/>
        <v>-130551.13175556216</v>
      </c>
      <c r="K39" s="61">
        <f t="shared" si="11"/>
        <v>-137877.69173875576</v>
      </c>
      <c r="L39" s="61">
        <f t="shared" si="11"/>
        <v>-152013.21245997306</v>
      </c>
      <c r="M39" s="61">
        <f t="shared" si="11"/>
        <v>-173637.24261643257</v>
      </c>
      <c r="N39" s="61">
        <f t="shared" si="11"/>
        <v>-171354.3118707489</v>
      </c>
      <c r="O39" s="61">
        <f t="shared" si="11"/>
        <v>-147800.67737153664</v>
      </c>
      <c r="P39" s="61">
        <f t="shared" si="11"/>
        <v>-146018.17531732228</v>
      </c>
      <c r="Q39" s="61">
        <f t="shared" si="11"/>
        <v>-131505.89375337865</v>
      </c>
      <c r="R39" s="61">
        <f t="shared" si="11"/>
        <v>-129991.33803859469</v>
      </c>
      <c r="S39" s="61">
        <f t="shared" si="11"/>
        <v>-132213.67262921264</v>
      </c>
      <c r="U39" s="61">
        <f>SUM(H39:S39)-'7-2020 thru 6-2021 RECs'!E21</f>
        <v>-269.6857832565438</v>
      </c>
    </row>
    <row r="40" spans="2:21" x14ac:dyDescent="0.45">
      <c r="C40" s="100"/>
    </row>
    <row r="41" spans="2:21" x14ac:dyDescent="0.45">
      <c r="C41" s="10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3" spans="2:21" x14ac:dyDescent="0.45"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</sheetData>
  <mergeCells count="2">
    <mergeCell ref="D14:G14"/>
    <mergeCell ref="H14:S14"/>
  </mergeCells>
  <pageMargins left="0.7" right="0.7" top="0.75" bottom="0.75" header="0.3" footer="0.3"/>
  <pageSetup scale="5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U52"/>
  <sheetViews>
    <sheetView workbookViewId="0">
      <selection activeCell="D3" sqref="D3"/>
    </sheetView>
  </sheetViews>
  <sheetFormatPr defaultColWidth="9.1328125" defaultRowHeight="14.25" x14ac:dyDescent="0.45"/>
  <cols>
    <col min="1" max="1" width="16.53125" style="78" customWidth="1"/>
    <col min="2" max="4" width="15.1328125" style="78" bestFit="1" customWidth="1"/>
    <col min="5" max="5" width="15" style="78" customWidth="1"/>
    <col min="6" max="9" width="12.53125" style="78" bestFit="1" customWidth="1"/>
    <col min="10" max="12" width="14.33203125" style="78" customWidth="1"/>
    <col min="13" max="17" width="12.53125" style="78" bestFit="1" customWidth="1"/>
    <col min="18" max="18" width="15.53125" style="78" customWidth="1"/>
    <col min="19" max="19" width="9.33203125" style="78" bestFit="1" customWidth="1"/>
    <col min="20" max="20" width="14.53125" style="78" customWidth="1"/>
    <col min="21" max="16384" width="9.1328125" style="78"/>
  </cols>
  <sheetData>
    <row r="1" spans="1:20" x14ac:dyDescent="0.45">
      <c r="A1" s="210" t="s">
        <v>175</v>
      </c>
    </row>
    <row r="3" spans="1:20" x14ac:dyDescent="0.45">
      <c r="A3" s="2" t="s">
        <v>55</v>
      </c>
    </row>
    <row r="4" spans="1:20" x14ac:dyDescent="0.45">
      <c r="A4" s="78" t="s">
        <v>109</v>
      </c>
    </row>
    <row r="6" spans="1:20" x14ac:dyDescent="0.45">
      <c r="B6" s="79">
        <v>43905</v>
      </c>
      <c r="C6" s="79">
        <v>43936</v>
      </c>
      <c r="D6" s="79">
        <v>43966</v>
      </c>
      <c r="E6" s="79">
        <v>43997</v>
      </c>
      <c r="F6" s="79">
        <v>44028</v>
      </c>
      <c r="G6" s="79">
        <v>44059</v>
      </c>
      <c r="H6" s="79">
        <v>44090</v>
      </c>
      <c r="I6" s="79">
        <v>44120</v>
      </c>
      <c r="J6" s="79">
        <v>44151</v>
      </c>
      <c r="K6" s="79">
        <v>43815</v>
      </c>
      <c r="L6" s="79">
        <v>44212</v>
      </c>
      <c r="M6" s="79">
        <v>44243</v>
      </c>
      <c r="N6" s="79">
        <v>44271</v>
      </c>
      <c r="O6" s="79">
        <v>44302</v>
      </c>
      <c r="P6" s="79">
        <v>44332</v>
      </c>
      <c r="Q6" s="79">
        <v>44363</v>
      </c>
      <c r="R6" s="80" t="s">
        <v>0</v>
      </c>
    </row>
    <row r="7" spans="1:20" x14ac:dyDescent="0.45">
      <c r="A7" s="81" t="s">
        <v>123</v>
      </c>
      <c r="B7" s="124">
        <v>209557646.01818919</v>
      </c>
      <c r="C7" s="124">
        <v>170739395.18109137</v>
      </c>
      <c r="D7" s="124">
        <v>157730852.83538321</v>
      </c>
      <c r="E7" s="124">
        <v>156779181.59136423</v>
      </c>
      <c r="F7" s="125">
        <v>189053261.26996332</v>
      </c>
      <c r="G7" s="125">
        <v>183738319.76352239</v>
      </c>
      <c r="H7" s="125">
        <v>154256824.71770203</v>
      </c>
      <c r="I7" s="125">
        <v>173608546.75477669</v>
      </c>
      <c r="J7" s="125">
        <v>220260503.1964848</v>
      </c>
      <c r="K7" s="125">
        <v>278674737.25062209</v>
      </c>
      <c r="L7" s="125">
        <v>275262226.39226985</v>
      </c>
      <c r="M7" s="125">
        <v>222166837.17605758</v>
      </c>
      <c r="N7" s="125">
        <v>213038240.63612437</v>
      </c>
      <c r="O7" s="125">
        <v>173745130.38044211</v>
      </c>
      <c r="P7" s="125">
        <v>158600876.14844045</v>
      </c>
      <c r="Q7" s="125">
        <v>154050122.43072891</v>
      </c>
      <c r="R7" s="126">
        <f>SUM(F7:Q7)</f>
        <v>2396455626.1171346</v>
      </c>
      <c r="T7" s="123"/>
    </row>
    <row r="8" spans="1:20" x14ac:dyDescent="0.45">
      <c r="A8" s="81" t="s">
        <v>44</v>
      </c>
      <c r="B8" s="124">
        <v>47109747.318587109</v>
      </c>
      <c r="C8" s="124">
        <v>41838519.559158579</v>
      </c>
      <c r="D8" s="124">
        <v>41657429.190631323</v>
      </c>
      <c r="E8" s="124">
        <v>42974301.609838963</v>
      </c>
      <c r="F8" s="125">
        <v>50577853.903755151</v>
      </c>
      <c r="G8" s="125">
        <v>49154859.501866408</v>
      </c>
      <c r="H8" s="125">
        <v>42147727.79761529</v>
      </c>
      <c r="I8" s="125">
        <v>44438756.385146335</v>
      </c>
      <c r="J8" s="125">
        <v>49338901.737191625</v>
      </c>
      <c r="K8" s="125">
        <v>55829785.175520718</v>
      </c>
      <c r="L8" s="125">
        <v>55128433.829368278</v>
      </c>
      <c r="M8" s="125">
        <v>47178588.541090712</v>
      </c>
      <c r="N8" s="125">
        <v>48039454.028310366</v>
      </c>
      <c r="O8" s="125">
        <v>42680436.92246455</v>
      </c>
      <c r="P8" s="125">
        <v>42300247.76783438</v>
      </c>
      <c r="Q8" s="125">
        <v>43714298.094941668</v>
      </c>
      <c r="R8" s="126">
        <f t="shared" ref="R8:R26" si="0">SUM(F8:Q8)</f>
        <v>570529343.68510544</v>
      </c>
      <c r="T8" s="123"/>
    </row>
    <row r="9" spans="1:20" x14ac:dyDescent="0.45">
      <c r="A9" s="81" t="s">
        <v>45</v>
      </c>
      <c r="B9" s="124">
        <v>5703648.0619913489</v>
      </c>
      <c r="C9" s="124">
        <v>4641132.2099709827</v>
      </c>
      <c r="D9" s="124">
        <v>4132818.1137960535</v>
      </c>
      <c r="E9" s="124">
        <v>3977082.7500706846</v>
      </c>
      <c r="F9" s="125">
        <v>4422790.2708872994</v>
      </c>
      <c r="G9" s="125">
        <v>4238758.1477484852</v>
      </c>
      <c r="H9" s="125">
        <v>3889722.2653801395</v>
      </c>
      <c r="I9" s="125">
        <v>4590670.5527372956</v>
      </c>
      <c r="J9" s="125">
        <v>5632732.7476072889</v>
      </c>
      <c r="K9" s="125">
        <v>7001771.5499465857</v>
      </c>
      <c r="L9" s="125">
        <v>7132527.8028511461</v>
      </c>
      <c r="M9" s="125">
        <v>6064992.3212692719</v>
      </c>
      <c r="N9" s="125">
        <v>5836868.8868445521</v>
      </c>
      <c r="O9" s="125">
        <v>4789365.607946448</v>
      </c>
      <c r="P9" s="125">
        <v>4303505.3267228333</v>
      </c>
      <c r="Q9" s="125">
        <v>4126552.7627605312</v>
      </c>
      <c r="R9" s="126">
        <f t="shared" si="0"/>
        <v>62030258.242701873</v>
      </c>
      <c r="T9" s="123"/>
    </row>
    <row r="10" spans="1:20" x14ac:dyDescent="0.45">
      <c r="A10" s="81" t="s">
        <v>46</v>
      </c>
      <c r="B10" s="124">
        <v>109635891.32640086</v>
      </c>
      <c r="C10" s="124">
        <v>103812634.00628354</v>
      </c>
      <c r="D10" s="124">
        <v>107929174.87279649</v>
      </c>
      <c r="E10" s="124">
        <v>111652674.19978835</v>
      </c>
      <c r="F10" s="125">
        <v>125555639.96176717</v>
      </c>
      <c r="G10" s="125">
        <v>118977439.01145054</v>
      </c>
      <c r="H10" s="125">
        <v>106183507.77215046</v>
      </c>
      <c r="I10" s="125">
        <v>115836802.662278</v>
      </c>
      <c r="J10" s="125">
        <v>116765426.69542095</v>
      </c>
      <c r="K10" s="125">
        <v>120972036.1544428</v>
      </c>
      <c r="L10" s="125">
        <v>117411135.64731997</v>
      </c>
      <c r="M10" s="125">
        <v>103624069.12432989</v>
      </c>
      <c r="N10" s="125">
        <v>109002637.27255979</v>
      </c>
      <c r="O10" s="125">
        <v>103294201.27071936</v>
      </c>
      <c r="P10" s="125">
        <v>107697052.12042569</v>
      </c>
      <c r="Q10" s="125">
        <v>111904216.46356753</v>
      </c>
      <c r="R10" s="126">
        <f t="shared" si="0"/>
        <v>1357224164.1564322</v>
      </c>
      <c r="T10" s="123"/>
    </row>
    <row r="11" spans="1:20" x14ac:dyDescent="0.45">
      <c r="A11" s="81" t="s">
        <v>47</v>
      </c>
      <c r="B11" s="124">
        <v>2845434.6064487863</v>
      </c>
      <c r="C11" s="124">
        <v>2435799.3422496296</v>
      </c>
      <c r="D11" s="124">
        <v>2333072.4853567621</v>
      </c>
      <c r="E11" s="124">
        <v>2338088.5921277925</v>
      </c>
      <c r="F11" s="125">
        <v>2652613.5385044501</v>
      </c>
      <c r="G11" s="125">
        <v>2522883.891290884</v>
      </c>
      <c r="H11" s="125">
        <v>2210907.4870527787</v>
      </c>
      <c r="I11" s="125">
        <v>2487273.0534767332</v>
      </c>
      <c r="J11" s="125">
        <v>2825394.3980035898</v>
      </c>
      <c r="K11" s="125">
        <v>3310670.2394808419</v>
      </c>
      <c r="L11" s="125">
        <v>3334351.8016137844</v>
      </c>
      <c r="M11" s="125">
        <v>2872757.2835127469</v>
      </c>
      <c r="N11" s="125">
        <v>2828616.1625257768</v>
      </c>
      <c r="O11" s="125">
        <v>2442463.8885494107</v>
      </c>
      <c r="P11" s="125">
        <v>2356095.8964159945</v>
      </c>
      <c r="Q11" s="125">
        <v>2346564.6730463859</v>
      </c>
      <c r="R11" s="126">
        <f t="shared" si="0"/>
        <v>32190592.313473374</v>
      </c>
      <c r="T11" s="123"/>
    </row>
    <row r="12" spans="1:20" x14ac:dyDescent="0.45">
      <c r="A12" s="82" t="s">
        <v>48</v>
      </c>
      <c r="B12" s="125">
        <v>92203398</v>
      </c>
      <c r="C12" s="125">
        <v>92574764</v>
      </c>
      <c r="D12" s="125">
        <v>94771113</v>
      </c>
      <c r="E12" s="125">
        <v>93857682</v>
      </c>
      <c r="F12" s="125">
        <v>95042374</v>
      </c>
      <c r="G12" s="125">
        <v>97438286</v>
      </c>
      <c r="H12" s="125">
        <v>96033288</v>
      </c>
      <c r="I12" s="125">
        <v>95468273</v>
      </c>
      <c r="J12" s="125">
        <v>93820409</v>
      </c>
      <c r="K12" s="125">
        <v>93754301</v>
      </c>
      <c r="L12" s="125">
        <v>93805925</v>
      </c>
      <c r="M12" s="125">
        <v>94368623</v>
      </c>
      <c r="N12" s="125">
        <v>90997067</v>
      </c>
      <c r="O12" s="125">
        <v>93462660</v>
      </c>
      <c r="P12" s="125">
        <v>94238773</v>
      </c>
      <c r="Q12" s="125">
        <v>94053353</v>
      </c>
      <c r="R12" s="126">
        <f t="shared" si="0"/>
        <v>1132483332</v>
      </c>
      <c r="T12" s="123"/>
    </row>
    <row r="13" spans="1:20" x14ac:dyDescent="0.45">
      <c r="A13" s="81" t="s">
        <v>49</v>
      </c>
      <c r="B13" s="125">
        <v>4320644.5359749114</v>
      </c>
      <c r="C13" s="125">
        <v>6721117.6253410028</v>
      </c>
      <c r="D13" s="125">
        <v>12617296.580828048</v>
      </c>
      <c r="E13" s="125">
        <v>18042453.779457536</v>
      </c>
      <c r="F13" s="125">
        <v>24186628.99812597</v>
      </c>
      <c r="G13" s="125">
        <v>24466566.604187284</v>
      </c>
      <c r="H13" s="125">
        <v>18064783.295671929</v>
      </c>
      <c r="I13" s="125">
        <v>10858241.131668773</v>
      </c>
      <c r="J13" s="125">
        <v>4828615.78732788</v>
      </c>
      <c r="K13" s="125">
        <v>3942583.7243964011</v>
      </c>
      <c r="L13" s="125">
        <v>3981459.5032211859</v>
      </c>
      <c r="M13" s="125">
        <v>3545043.6564875739</v>
      </c>
      <c r="N13" s="125">
        <v>4251762.427608002</v>
      </c>
      <c r="O13" s="125">
        <v>6436613.9075620091</v>
      </c>
      <c r="P13" s="125">
        <v>12034048.900514852</v>
      </c>
      <c r="Q13" s="125">
        <v>17996240.028780762</v>
      </c>
      <c r="R13" s="126">
        <f t="shared" si="0"/>
        <v>134592587.96555263</v>
      </c>
      <c r="T13" s="123"/>
    </row>
    <row r="14" spans="1:20" x14ac:dyDescent="0.45">
      <c r="A14" s="81" t="s">
        <v>50</v>
      </c>
      <c r="B14" s="125">
        <v>271537.44888259837</v>
      </c>
      <c r="C14" s="125">
        <v>405127.36371931108</v>
      </c>
      <c r="D14" s="125">
        <v>717823.35843579145</v>
      </c>
      <c r="E14" s="125">
        <v>1121321.6229737857</v>
      </c>
      <c r="F14" s="125">
        <v>1746541.2339252222</v>
      </c>
      <c r="G14" s="125">
        <v>1643172.404026737</v>
      </c>
      <c r="H14" s="125">
        <v>1080399.312127321</v>
      </c>
      <c r="I14" s="125">
        <v>592030.20693790365</v>
      </c>
      <c r="J14" s="125">
        <v>296463.88273403439</v>
      </c>
      <c r="K14" s="125">
        <v>284204.1026859578</v>
      </c>
      <c r="L14" s="125">
        <v>302369.13365374808</v>
      </c>
      <c r="M14" s="125">
        <v>262610.01766403642</v>
      </c>
      <c r="N14" s="125">
        <v>275027.77796760184</v>
      </c>
      <c r="O14" s="125">
        <v>399162.52504169079</v>
      </c>
      <c r="P14" s="125">
        <v>709888.46057940461</v>
      </c>
      <c r="Q14" s="125">
        <v>1094882.8484531983</v>
      </c>
      <c r="R14" s="126">
        <f t="shared" si="0"/>
        <v>8686751.9057968557</v>
      </c>
      <c r="T14" s="123"/>
    </row>
    <row r="15" spans="1:20" x14ac:dyDescent="0.45">
      <c r="A15" s="83" t="s">
        <v>51</v>
      </c>
      <c r="B15" s="125">
        <v>1458575.6149070947</v>
      </c>
      <c r="C15" s="125">
        <v>1461335.3360660193</v>
      </c>
      <c r="D15" s="125">
        <v>1464596.9137381876</v>
      </c>
      <c r="E15" s="125">
        <v>1470719.4542163699</v>
      </c>
      <c r="F15" s="125">
        <v>1468713.3792344006</v>
      </c>
      <c r="G15" s="125">
        <v>1461844.9858372675</v>
      </c>
      <c r="H15" s="125">
        <v>1468363.2767403731</v>
      </c>
      <c r="I15" s="125">
        <v>1454308.9053965849</v>
      </c>
      <c r="J15" s="125">
        <v>1451708.3040111903</v>
      </c>
      <c r="K15" s="125">
        <v>1473393.3830310313</v>
      </c>
      <c r="L15" s="125">
        <v>1470065.401887435</v>
      </c>
      <c r="M15" s="125">
        <v>1438784.4670880933</v>
      </c>
      <c r="N15" s="125">
        <v>1437460.2018461707</v>
      </c>
      <c r="O15" s="125">
        <v>1439936.5840910934</v>
      </c>
      <c r="P15" s="125">
        <v>1440766.4380931831</v>
      </c>
      <c r="Q15" s="125">
        <v>1444921.2317894329</v>
      </c>
      <c r="R15" s="126">
        <f t="shared" si="0"/>
        <v>17450266.559046257</v>
      </c>
      <c r="T15" s="123"/>
    </row>
    <row r="16" spans="1:20" x14ac:dyDescent="0.45">
      <c r="A16" s="84" t="s">
        <v>0</v>
      </c>
      <c r="B16" s="87">
        <f>SUM(B7:B15)</f>
        <v>473106522.93138188</v>
      </c>
      <c r="C16" s="87">
        <f t="shared" ref="C16:R16" si="1">SUM(C7:C15)</f>
        <v>424629824.62388039</v>
      </c>
      <c r="D16" s="87">
        <f t="shared" si="1"/>
        <v>423354177.35096592</v>
      </c>
      <c r="E16" s="87">
        <f t="shared" si="1"/>
        <v>432213505.59983772</v>
      </c>
      <c r="F16" s="87">
        <f t="shared" si="1"/>
        <v>494706416.55616289</v>
      </c>
      <c r="G16" s="87">
        <f t="shared" si="1"/>
        <v>483642130.30993003</v>
      </c>
      <c r="H16" s="87">
        <f t="shared" si="1"/>
        <v>425335523.92444032</v>
      </c>
      <c r="I16" s="87">
        <f t="shared" si="1"/>
        <v>449334902.65241832</v>
      </c>
      <c r="J16" s="87">
        <f t="shared" si="1"/>
        <v>495220155.74878138</v>
      </c>
      <c r="K16" s="87">
        <f t="shared" si="1"/>
        <v>565243482.58012629</v>
      </c>
      <c r="L16" s="87">
        <f t="shared" si="1"/>
        <v>557828494.51218534</v>
      </c>
      <c r="M16" s="87">
        <f t="shared" si="1"/>
        <v>481522305.58749998</v>
      </c>
      <c r="N16" s="87">
        <f t="shared" si="1"/>
        <v>475707134.39378661</v>
      </c>
      <c r="O16" s="87">
        <f t="shared" si="1"/>
        <v>428689971.08681667</v>
      </c>
      <c r="P16" s="87">
        <f t="shared" si="1"/>
        <v>423681254.05902678</v>
      </c>
      <c r="Q16" s="87">
        <f t="shared" si="1"/>
        <v>430731151.53406847</v>
      </c>
      <c r="R16" s="87">
        <f t="shared" si="1"/>
        <v>5711642922.9452429</v>
      </c>
    </row>
    <row r="17" spans="1:19" x14ac:dyDescent="0.45">
      <c r="A17" s="85"/>
      <c r="B17" s="85"/>
      <c r="F17" s="85"/>
      <c r="R17" s="86"/>
    </row>
    <row r="18" spans="1:19" x14ac:dyDescent="0.45">
      <c r="A18" s="84" t="s">
        <v>123</v>
      </c>
      <c r="B18" s="87">
        <f>B7</f>
        <v>209557646.01818919</v>
      </c>
      <c r="C18" s="86">
        <f>C7</f>
        <v>170739395.18109137</v>
      </c>
      <c r="D18" s="86">
        <f>D7</f>
        <v>157730852.83538321</v>
      </c>
      <c r="E18" s="86">
        <f>E7</f>
        <v>156779181.59136423</v>
      </c>
      <c r="F18" s="87">
        <f t="shared" ref="F18:Q18" si="2">F7</f>
        <v>189053261.26996332</v>
      </c>
      <c r="G18" s="86">
        <f t="shared" si="2"/>
        <v>183738319.76352239</v>
      </c>
      <c r="H18" s="86">
        <f t="shared" si="2"/>
        <v>154256824.71770203</v>
      </c>
      <c r="I18" s="86">
        <f t="shared" si="2"/>
        <v>173608546.75477669</v>
      </c>
      <c r="J18" s="86">
        <f t="shared" si="2"/>
        <v>220260503.1964848</v>
      </c>
      <c r="K18" s="86">
        <f t="shared" si="2"/>
        <v>278674737.25062209</v>
      </c>
      <c r="L18" s="86">
        <f t="shared" si="2"/>
        <v>275262226.39226985</v>
      </c>
      <c r="M18" s="86">
        <f t="shared" si="2"/>
        <v>222166837.17605758</v>
      </c>
      <c r="N18" s="86">
        <f t="shared" si="2"/>
        <v>213038240.63612437</v>
      </c>
      <c r="O18" s="86">
        <f t="shared" si="2"/>
        <v>173745130.38044211</v>
      </c>
      <c r="P18" s="86">
        <f t="shared" si="2"/>
        <v>158600876.14844045</v>
      </c>
      <c r="Q18" s="86">
        <f t="shared" si="2"/>
        <v>154050122.43072891</v>
      </c>
      <c r="R18" s="86">
        <f t="shared" si="0"/>
        <v>2396455626.1171346</v>
      </c>
      <c r="S18" s="88"/>
    </row>
    <row r="19" spans="1:19" x14ac:dyDescent="0.45">
      <c r="A19" s="84" t="s">
        <v>52</v>
      </c>
      <c r="B19" s="87">
        <f>B8+B9</f>
        <v>52813395.380578458</v>
      </c>
      <c r="C19" s="86">
        <f>C8+C9</f>
        <v>46479651.769129559</v>
      </c>
      <c r="D19" s="86">
        <f>D8+D9</f>
        <v>45790247.304427378</v>
      </c>
      <c r="E19" s="86">
        <f>E8+E9</f>
        <v>46951384.359909646</v>
      </c>
      <c r="F19" s="87">
        <f t="shared" ref="F19:Q19" si="3">F8+F9</f>
        <v>55000644.174642451</v>
      </c>
      <c r="G19" s="86">
        <f t="shared" si="3"/>
        <v>53393617.649614893</v>
      </c>
      <c r="H19" s="86">
        <f t="shared" si="3"/>
        <v>46037450.062995426</v>
      </c>
      <c r="I19" s="86">
        <f t="shared" si="3"/>
        <v>49029426.93788363</v>
      </c>
      <c r="J19" s="86">
        <f t="shared" si="3"/>
        <v>54971634.484798916</v>
      </c>
      <c r="K19" s="86">
        <f t="shared" si="3"/>
        <v>62831556.725467302</v>
      </c>
      <c r="L19" s="86">
        <f t="shared" si="3"/>
        <v>62260961.632219426</v>
      </c>
      <c r="M19" s="86">
        <f t="shared" si="3"/>
        <v>53243580.862359986</v>
      </c>
      <c r="N19" s="86">
        <f t="shared" si="3"/>
        <v>53876322.915154919</v>
      </c>
      <c r="O19" s="86">
        <f t="shared" si="3"/>
        <v>47469802.530410998</v>
      </c>
      <c r="P19" s="86">
        <f t="shared" si="3"/>
        <v>46603753.094557211</v>
      </c>
      <c r="Q19" s="86">
        <f t="shared" si="3"/>
        <v>47840850.857702196</v>
      </c>
      <c r="R19" s="86">
        <f t="shared" si="0"/>
        <v>632559601.92780733</v>
      </c>
    </row>
    <row r="20" spans="1:19" x14ac:dyDescent="0.45">
      <c r="A20" s="84" t="s">
        <v>53</v>
      </c>
      <c r="B20" s="87">
        <f>B10+B11</f>
        <v>112481325.93284965</v>
      </c>
      <c r="C20" s="86">
        <f>C10+C11</f>
        <v>106248433.34853317</v>
      </c>
      <c r="D20" s="86">
        <f>D10+D11</f>
        <v>110262247.35815325</v>
      </c>
      <c r="E20" s="86">
        <f>E10+E11</f>
        <v>113990762.79191613</v>
      </c>
      <c r="F20" s="87">
        <f t="shared" ref="F20:Q20" si="4">F10+F11</f>
        <v>128208253.50027162</v>
      </c>
      <c r="G20" s="86">
        <f t="shared" si="4"/>
        <v>121500322.90274143</v>
      </c>
      <c r="H20" s="86">
        <f t="shared" si="4"/>
        <v>108394415.25920324</v>
      </c>
      <c r="I20" s="86">
        <f t="shared" si="4"/>
        <v>118324075.71575473</v>
      </c>
      <c r="J20" s="86">
        <f t="shared" si="4"/>
        <v>119590821.09342454</v>
      </c>
      <c r="K20" s="86">
        <f t="shared" si="4"/>
        <v>124282706.39392364</v>
      </c>
      <c r="L20" s="86">
        <f t="shared" si="4"/>
        <v>120745487.44893375</v>
      </c>
      <c r="M20" s="86">
        <f t="shared" si="4"/>
        <v>106496826.40784264</v>
      </c>
      <c r="N20" s="86">
        <f t="shared" si="4"/>
        <v>111831253.43508556</v>
      </c>
      <c r="O20" s="86">
        <f t="shared" si="4"/>
        <v>105736665.15926878</v>
      </c>
      <c r="P20" s="86">
        <f t="shared" si="4"/>
        <v>110053148.01684168</v>
      </c>
      <c r="Q20" s="86">
        <f t="shared" si="4"/>
        <v>114250781.13661391</v>
      </c>
      <c r="R20" s="86">
        <f t="shared" si="0"/>
        <v>1389414756.4699054</v>
      </c>
    </row>
    <row r="21" spans="1:19" x14ac:dyDescent="0.45">
      <c r="A21" s="84" t="s">
        <v>48</v>
      </c>
      <c r="B21" s="87">
        <f>B12</f>
        <v>92203398</v>
      </c>
      <c r="C21" s="86">
        <f>C12</f>
        <v>92574764</v>
      </c>
      <c r="D21" s="86">
        <f>D12</f>
        <v>94771113</v>
      </c>
      <c r="E21" s="86">
        <f>E12</f>
        <v>93857682</v>
      </c>
      <c r="F21" s="87">
        <f t="shared" ref="F21:Q21" si="5">F12</f>
        <v>95042374</v>
      </c>
      <c r="G21" s="86">
        <f t="shared" si="5"/>
        <v>97438286</v>
      </c>
      <c r="H21" s="86">
        <f t="shared" si="5"/>
        <v>96033288</v>
      </c>
      <c r="I21" s="86">
        <f t="shared" si="5"/>
        <v>95468273</v>
      </c>
      <c r="J21" s="86">
        <f t="shared" si="5"/>
        <v>93820409</v>
      </c>
      <c r="K21" s="86">
        <f t="shared" si="5"/>
        <v>93754301</v>
      </c>
      <c r="L21" s="86">
        <f t="shared" si="5"/>
        <v>93805925</v>
      </c>
      <c r="M21" s="86">
        <f t="shared" si="5"/>
        <v>94368623</v>
      </c>
      <c r="N21" s="86">
        <f t="shared" si="5"/>
        <v>90997067</v>
      </c>
      <c r="O21" s="86">
        <f t="shared" si="5"/>
        <v>93462660</v>
      </c>
      <c r="P21" s="86">
        <f t="shared" si="5"/>
        <v>94238773</v>
      </c>
      <c r="Q21" s="86">
        <f t="shared" si="5"/>
        <v>94053353</v>
      </c>
      <c r="R21" s="86">
        <f t="shared" si="0"/>
        <v>1132483332</v>
      </c>
    </row>
    <row r="22" spans="1:19" x14ac:dyDescent="0.45">
      <c r="A22" s="84" t="s">
        <v>54</v>
      </c>
      <c r="B22" s="87">
        <f>B13+B14</f>
        <v>4592181.9848575098</v>
      </c>
      <c r="C22" s="86">
        <f>C13+C14</f>
        <v>7126244.9890603144</v>
      </c>
      <c r="D22" s="86">
        <f>D13+D14</f>
        <v>13335119.939263839</v>
      </c>
      <c r="E22" s="86">
        <f>E13+E14</f>
        <v>19163775.40243132</v>
      </c>
      <c r="F22" s="87">
        <f>F13+F14</f>
        <v>25933170.232051194</v>
      </c>
      <c r="G22" s="86">
        <f t="shared" ref="G22:Q22" si="6">G13+G14</f>
        <v>26109739.008214019</v>
      </c>
      <c r="H22" s="86">
        <f t="shared" si="6"/>
        <v>19145182.607799251</v>
      </c>
      <c r="I22" s="86">
        <f t="shared" si="6"/>
        <v>11450271.338606676</v>
      </c>
      <c r="J22" s="86">
        <f t="shared" si="6"/>
        <v>5125079.6700619143</v>
      </c>
      <c r="K22" s="86">
        <f t="shared" si="6"/>
        <v>4226787.8270823592</v>
      </c>
      <c r="L22" s="86">
        <f t="shared" si="6"/>
        <v>4283828.6368749337</v>
      </c>
      <c r="M22" s="86">
        <f t="shared" si="6"/>
        <v>3807653.6741516101</v>
      </c>
      <c r="N22" s="86">
        <f t="shared" si="6"/>
        <v>4526790.205575604</v>
      </c>
      <c r="O22" s="86">
        <f t="shared" si="6"/>
        <v>6835776.4326037001</v>
      </c>
      <c r="P22" s="86">
        <f t="shared" si="6"/>
        <v>12743937.361094257</v>
      </c>
      <c r="Q22" s="86">
        <f t="shared" si="6"/>
        <v>19091122.87723396</v>
      </c>
      <c r="R22" s="86">
        <f t="shared" si="0"/>
        <v>143279339.87134948</v>
      </c>
    </row>
    <row r="23" spans="1:19" x14ac:dyDescent="0.45">
      <c r="A23" s="84" t="s">
        <v>51</v>
      </c>
      <c r="B23" s="87">
        <f>B15</f>
        <v>1458575.6149070947</v>
      </c>
      <c r="C23" s="86">
        <f>C15</f>
        <v>1461335.3360660193</v>
      </c>
      <c r="D23" s="86">
        <f>D15</f>
        <v>1464596.9137381876</v>
      </c>
      <c r="E23" s="86">
        <f>E15</f>
        <v>1470719.4542163699</v>
      </c>
      <c r="F23" s="87">
        <f>F15</f>
        <v>1468713.3792344006</v>
      </c>
      <c r="G23" s="86">
        <f t="shared" ref="G23:Q23" si="7">G15</f>
        <v>1461844.9858372675</v>
      </c>
      <c r="H23" s="86">
        <f t="shared" si="7"/>
        <v>1468363.2767403731</v>
      </c>
      <c r="I23" s="86">
        <f t="shared" si="7"/>
        <v>1454308.9053965849</v>
      </c>
      <c r="J23" s="86">
        <f t="shared" si="7"/>
        <v>1451708.3040111903</v>
      </c>
      <c r="K23" s="86">
        <f t="shared" si="7"/>
        <v>1473393.3830310313</v>
      </c>
      <c r="L23" s="86">
        <f t="shared" si="7"/>
        <v>1470065.401887435</v>
      </c>
      <c r="M23" s="86">
        <f t="shared" si="7"/>
        <v>1438784.4670880933</v>
      </c>
      <c r="N23" s="86">
        <f t="shared" si="7"/>
        <v>1437460.2018461707</v>
      </c>
      <c r="O23" s="86">
        <f t="shared" si="7"/>
        <v>1439936.5840910934</v>
      </c>
      <c r="P23" s="86">
        <f t="shared" si="7"/>
        <v>1440766.4380931831</v>
      </c>
      <c r="Q23" s="86">
        <f t="shared" si="7"/>
        <v>1444921.2317894329</v>
      </c>
      <c r="R23" s="86">
        <f t="shared" si="0"/>
        <v>17450266.559046257</v>
      </c>
    </row>
    <row r="24" spans="1:19" x14ac:dyDescent="0.45">
      <c r="A24" s="84" t="s">
        <v>0</v>
      </c>
      <c r="B24" s="87">
        <f>SUM(B18:B23)</f>
        <v>473106522.93138188</v>
      </c>
      <c r="C24" s="86">
        <f>SUM(C18:C23)</f>
        <v>424629824.62388045</v>
      </c>
      <c r="D24" s="86">
        <f>SUM(D18:D23)</f>
        <v>423354177.35096586</v>
      </c>
      <c r="E24" s="86">
        <f>SUM(E18:E23)</f>
        <v>432213505.59983772</v>
      </c>
      <c r="F24" s="87">
        <f>SUM(F18:F23)</f>
        <v>494706416.55616295</v>
      </c>
      <c r="G24" s="86">
        <f t="shared" ref="G24:R24" si="8">SUM(G18:G23)</f>
        <v>483642130.30993003</v>
      </c>
      <c r="H24" s="86">
        <f t="shared" si="8"/>
        <v>425335523.92444032</v>
      </c>
      <c r="I24" s="86">
        <f t="shared" si="8"/>
        <v>449334902.65241832</v>
      </c>
      <c r="J24" s="86">
        <f t="shared" si="8"/>
        <v>495220155.74878132</v>
      </c>
      <c r="K24" s="86">
        <f t="shared" si="8"/>
        <v>565243482.5801264</v>
      </c>
      <c r="L24" s="86">
        <f t="shared" si="8"/>
        <v>557828494.51218534</v>
      </c>
      <c r="M24" s="86">
        <f t="shared" si="8"/>
        <v>481522305.58749992</v>
      </c>
      <c r="N24" s="86">
        <f t="shared" si="8"/>
        <v>475707134.39378661</v>
      </c>
      <c r="O24" s="86">
        <f t="shared" si="8"/>
        <v>428689971.08681667</v>
      </c>
      <c r="P24" s="86">
        <f t="shared" si="8"/>
        <v>423681254.05902672</v>
      </c>
      <c r="Q24" s="86">
        <f t="shared" si="8"/>
        <v>430731151.53406841</v>
      </c>
      <c r="R24" s="86">
        <f t="shared" si="8"/>
        <v>5711642922.9452419</v>
      </c>
    </row>
    <row r="25" spans="1:19" x14ac:dyDescent="0.45">
      <c r="A25" s="85"/>
      <c r="B25" s="85"/>
      <c r="F25" s="85"/>
      <c r="R25" s="86">
        <f t="shared" si="0"/>
        <v>0</v>
      </c>
    </row>
    <row r="26" spans="1:19" x14ac:dyDescent="0.45">
      <c r="A26" s="84" t="s">
        <v>118</v>
      </c>
      <c r="B26" s="86">
        <f>SUM(B7:B15)-SUM(B18:B23)</f>
        <v>0</v>
      </c>
      <c r="C26" s="86">
        <f>SUM(C7:C15)-SUM(C18:C23)</f>
        <v>0</v>
      </c>
      <c r="D26" s="86">
        <f>SUM(D7:D15)-SUM(D18:D23)</f>
        <v>0</v>
      </c>
      <c r="E26" s="86">
        <f>SUM(E7:E15)-SUM(E18:E23)</f>
        <v>0</v>
      </c>
      <c r="F26" s="86">
        <f t="shared" ref="F26:Q26" si="9">SUM(F7:F15)-SUM(F18:F23)</f>
        <v>0</v>
      </c>
      <c r="G26" s="86">
        <f t="shared" si="9"/>
        <v>0</v>
      </c>
      <c r="H26" s="86">
        <f t="shared" si="9"/>
        <v>0</v>
      </c>
      <c r="I26" s="86">
        <f t="shared" si="9"/>
        <v>0</v>
      </c>
      <c r="J26" s="86">
        <f t="shared" si="9"/>
        <v>0</v>
      </c>
      <c r="K26" s="86">
        <f t="shared" si="9"/>
        <v>0</v>
      </c>
      <c r="L26" s="86">
        <f t="shared" si="9"/>
        <v>0</v>
      </c>
      <c r="M26" s="86">
        <f t="shared" si="9"/>
        <v>0</v>
      </c>
      <c r="N26" s="86">
        <f t="shared" si="9"/>
        <v>0</v>
      </c>
      <c r="O26" s="86">
        <f t="shared" si="9"/>
        <v>0</v>
      </c>
      <c r="P26" s="86">
        <f t="shared" si="9"/>
        <v>0</v>
      </c>
      <c r="Q26" s="86">
        <f t="shared" si="9"/>
        <v>0</v>
      </c>
      <c r="R26" s="86">
        <f t="shared" si="0"/>
        <v>0</v>
      </c>
    </row>
    <row r="29" spans="1:19" x14ac:dyDescent="0.45">
      <c r="A29" s="2" t="s">
        <v>56</v>
      </c>
    </row>
    <row r="30" spans="1:19" x14ac:dyDescent="0.45">
      <c r="A30" s="78" t="s">
        <v>110</v>
      </c>
      <c r="F30" s="104"/>
    </row>
    <row r="32" spans="1:19" x14ac:dyDescent="0.45">
      <c r="B32" s="79">
        <f>B6</f>
        <v>43905</v>
      </c>
      <c r="C32" s="79">
        <f>C6</f>
        <v>43936</v>
      </c>
      <c r="D32" s="79">
        <f>D6</f>
        <v>43966</v>
      </c>
      <c r="E32" s="79">
        <f>E6</f>
        <v>43997</v>
      </c>
      <c r="F32" s="79">
        <f t="shared" ref="F32:Q32" si="10">F6</f>
        <v>44028</v>
      </c>
      <c r="G32" s="79">
        <f t="shared" si="10"/>
        <v>44059</v>
      </c>
      <c r="H32" s="79">
        <f t="shared" si="10"/>
        <v>44090</v>
      </c>
      <c r="I32" s="79">
        <f t="shared" si="10"/>
        <v>44120</v>
      </c>
      <c r="J32" s="79">
        <f t="shared" si="10"/>
        <v>44151</v>
      </c>
      <c r="K32" s="79">
        <f t="shared" si="10"/>
        <v>43815</v>
      </c>
      <c r="L32" s="79">
        <f t="shared" si="10"/>
        <v>44212</v>
      </c>
      <c r="M32" s="79">
        <f t="shared" si="10"/>
        <v>44243</v>
      </c>
      <c r="N32" s="79">
        <f t="shared" si="10"/>
        <v>44271</v>
      </c>
      <c r="O32" s="79">
        <f t="shared" si="10"/>
        <v>44302</v>
      </c>
      <c r="P32" s="79">
        <f t="shared" si="10"/>
        <v>44332</v>
      </c>
      <c r="Q32" s="79">
        <f t="shared" si="10"/>
        <v>44363</v>
      </c>
      <c r="R32" s="80" t="s">
        <v>0</v>
      </c>
    </row>
    <row r="33" spans="1:21" x14ac:dyDescent="0.45">
      <c r="A33" s="81" t="s">
        <v>43</v>
      </c>
      <c r="B33" s="128">
        <v>220667</v>
      </c>
      <c r="C33" s="128">
        <v>220554</v>
      </c>
      <c r="D33" s="128">
        <v>220352</v>
      </c>
      <c r="E33" s="128">
        <v>219946</v>
      </c>
      <c r="F33" s="128">
        <v>220341</v>
      </c>
      <c r="G33" s="128">
        <v>220508</v>
      </c>
      <c r="H33" s="128">
        <v>221121</v>
      </c>
      <c r="I33" s="128">
        <v>221836</v>
      </c>
      <c r="J33" s="128">
        <v>222294</v>
      </c>
      <c r="K33" s="128">
        <v>222685</v>
      </c>
      <c r="L33" s="128">
        <v>222889</v>
      </c>
      <c r="M33" s="128">
        <v>222884</v>
      </c>
      <c r="N33" s="128">
        <v>222810</v>
      </c>
      <c r="O33" s="128">
        <v>222728</v>
      </c>
      <c r="P33" s="128">
        <v>222448</v>
      </c>
      <c r="Q33" s="128">
        <v>222019</v>
      </c>
      <c r="R33" s="126">
        <f>SUM(F33:Q33)</f>
        <v>2664563</v>
      </c>
      <c r="T33" s="123"/>
      <c r="U33" s="127"/>
    </row>
    <row r="34" spans="1:21" x14ac:dyDescent="0.45">
      <c r="A34" s="81" t="s">
        <v>44</v>
      </c>
      <c r="B34" s="128">
        <v>23136.402974614062</v>
      </c>
      <c r="C34" s="128">
        <v>23141.103222498568</v>
      </c>
      <c r="D34" s="128">
        <v>23162.945157706781</v>
      </c>
      <c r="E34" s="128">
        <v>23177.440587515681</v>
      </c>
      <c r="F34" s="128">
        <v>23167.143969808654</v>
      </c>
      <c r="G34" s="128">
        <v>23220.322633959375</v>
      </c>
      <c r="H34" s="128">
        <v>23206.43285345599</v>
      </c>
      <c r="I34" s="128">
        <v>23268.406424577322</v>
      </c>
      <c r="J34" s="128">
        <v>23283.337862736546</v>
      </c>
      <c r="K34" s="128">
        <v>23333.310607084961</v>
      </c>
      <c r="L34" s="128">
        <v>23372.297295889108</v>
      </c>
      <c r="M34" s="128">
        <v>23407.286553611415</v>
      </c>
      <c r="N34" s="128">
        <v>23396.285845288206</v>
      </c>
      <c r="O34" s="128">
        <v>23411.27608451105</v>
      </c>
      <c r="P34" s="128">
        <v>23415.290489678759</v>
      </c>
      <c r="Q34" s="128">
        <v>23439.319267343089</v>
      </c>
      <c r="R34" s="126">
        <f t="shared" ref="R34:R41" si="11">SUM(F34:Q34)</f>
        <v>279920.70988794451</v>
      </c>
      <c r="T34" s="123"/>
      <c r="U34" s="127"/>
    </row>
    <row r="35" spans="1:21" x14ac:dyDescent="0.45">
      <c r="A35" s="81" t="s">
        <v>45</v>
      </c>
      <c r="B35" s="128">
        <v>9964</v>
      </c>
      <c r="C35" s="128">
        <v>9960</v>
      </c>
      <c r="D35" s="128">
        <v>9965</v>
      </c>
      <c r="E35" s="128">
        <v>9977</v>
      </c>
      <c r="F35" s="128">
        <v>9998</v>
      </c>
      <c r="G35" s="128">
        <v>10019</v>
      </c>
      <c r="H35" s="128">
        <v>10043</v>
      </c>
      <c r="I35" s="128">
        <v>10075</v>
      </c>
      <c r="J35" s="128">
        <v>10101</v>
      </c>
      <c r="K35" s="128">
        <v>10140</v>
      </c>
      <c r="L35" s="128">
        <v>10153</v>
      </c>
      <c r="M35" s="128">
        <v>10172</v>
      </c>
      <c r="N35" s="128">
        <v>10171</v>
      </c>
      <c r="O35" s="128">
        <v>10186</v>
      </c>
      <c r="P35" s="128">
        <v>10195</v>
      </c>
      <c r="Q35" s="128">
        <v>10200</v>
      </c>
      <c r="R35" s="126">
        <f t="shared" si="11"/>
        <v>121453</v>
      </c>
      <c r="T35" s="123"/>
      <c r="U35" s="127"/>
    </row>
    <row r="36" spans="1:21" x14ac:dyDescent="0.45">
      <c r="A36" s="81" t="s">
        <v>46</v>
      </c>
      <c r="B36" s="128">
        <v>1865.8062363684021</v>
      </c>
      <c r="C36" s="128">
        <v>1862.9981560657693</v>
      </c>
      <c r="D36" s="128">
        <v>1862.9952357379163</v>
      </c>
      <c r="E36" s="128">
        <v>1864.5044303827426</v>
      </c>
      <c r="F36" s="128">
        <v>1863.874041247971</v>
      </c>
      <c r="G36" s="128">
        <v>1862.9137446853019</v>
      </c>
      <c r="H36" s="128">
        <v>1861.2168984090779</v>
      </c>
      <c r="I36" s="128">
        <v>1865.2311510542781</v>
      </c>
      <c r="J36" s="128">
        <v>1858.2874729013943</v>
      </c>
      <c r="K36" s="128">
        <v>1863.5322278962631</v>
      </c>
      <c r="L36" s="128">
        <v>1864.2480464117953</v>
      </c>
      <c r="M36" s="128">
        <v>1864.290858791748</v>
      </c>
      <c r="N36" s="128">
        <v>1861.2340666627215</v>
      </c>
      <c r="O36" s="128">
        <v>1860.7237858539154</v>
      </c>
      <c r="P36" s="128">
        <v>1860.5811800029271</v>
      </c>
      <c r="Q36" s="128">
        <v>1861.4148420250112</v>
      </c>
      <c r="R36" s="126">
        <f t="shared" si="11"/>
        <v>22347.548315942404</v>
      </c>
      <c r="T36" s="123"/>
      <c r="U36" s="127"/>
    </row>
    <row r="37" spans="1:21" x14ac:dyDescent="0.45">
      <c r="A37" s="81" t="s">
        <v>47</v>
      </c>
      <c r="B37" s="128">
        <v>47.843221056553993</v>
      </c>
      <c r="C37" s="128">
        <v>47.663489477933489</v>
      </c>
      <c r="D37" s="128">
        <v>47.718780267761282</v>
      </c>
      <c r="E37" s="128">
        <v>47.695345290074734</v>
      </c>
      <c r="F37" s="128">
        <v>47.669957397580959</v>
      </c>
      <c r="G37" s="128">
        <v>47.7257871807127</v>
      </c>
      <c r="H37" s="128">
        <v>47.619602779105428</v>
      </c>
      <c r="I37" s="128">
        <v>47.622625232919766</v>
      </c>
      <c r="J37" s="128">
        <v>47.635737520848267</v>
      </c>
      <c r="K37" s="128">
        <v>47.660600292647352</v>
      </c>
      <c r="L37" s="128">
        <v>47.678247571407063</v>
      </c>
      <c r="M37" s="128">
        <v>47.673415227927769</v>
      </c>
      <c r="N37" s="128">
        <v>47.683900774622735</v>
      </c>
      <c r="O37" s="128">
        <v>47.670624084461792</v>
      </c>
      <c r="P37" s="128">
        <v>47.671218635005822</v>
      </c>
      <c r="Q37" s="128">
        <v>47.667255165609532</v>
      </c>
      <c r="R37" s="126">
        <f t="shared" si="11"/>
        <v>571.97897186284911</v>
      </c>
      <c r="T37" s="123"/>
      <c r="U37" s="127"/>
    </row>
    <row r="38" spans="1:21" x14ac:dyDescent="0.45">
      <c r="A38" s="82" t="s">
        <v>48</v>
      </c>
      <c r="B38" s="128">
        <v>23</v>
      </c>
      <c r="C38" s="128">
        <v>23</v>
      </c>
      <c r="D38" s="128">
        <v>23</v>
      </c>
      <c r="E38" s="128">
        <v>23</v>
      </c>
      <c r="F38" s="128">
        <v>23</v>
      </c>
      <c r="G38" s="128">
        <v>23</v>
      </c>
      <c r="H38" s="128">
        <v>23</v>
      </c>
      <c r="I38" s="128">
        <v>23</v>
      </c>
      <c r="J38" s="128">
        <v>23</v>
      </c>
      <c r="K38" s="128">
        <v>23</v>
      </c>
      <c r="L38" s="128">
        <v>23</v>
      </c>
      <c r="M38" s="128">
        <v>23</v>
      </c>
      <c r="N38" s="128">
        <v>23</v>
      </c>
      <c r="O38" s="128">
        <v>23</v>
      </c>
      <c r="P38" s="128">
        <v>23</v>
      </c>
      <c r="Q38" s="128">
        <v>23</v>
      </c>
      <c r="R38" s="126">
        <f t="shared" si="11"/>
        <v>276</v>
      </c>
      <c r="T38" s="123"/>
      <c r="U38" s="127"/>
    </row>
    <row r="39" spans="1:21" x14ac:dyDescent="0.45">
      <c r="A39" s="81" t="s">
        <v>49</v>
      </c>
      <c r="B39" s="125">
        <v>1249.0481794423995</v>
      </c>
      <c r="C39" s="128">
        <v>1247.5230193959328</v>
      </c>
      <c r="D39" s="125">
        <v>1252.2090043455937</v>
      </c>
      <c r="E39" s="125">
        <v>1245.0238713743931</v>
      </c>
      <c r="F39" s="125">
        <v>1254.7087939889259</v>
      </c>
      <c r="G39" s="125">
        <v>1255.3650268213364</v>
      </c>
      <c r="H39" s="125">
        <v>1250.4760707231144</v>
      </c>
      <c r="I39" s="125">
        <v>1254.1930821722628</v>
      </c>
      <c r="J39" s="125">
        <v>1250.091493649581</v>
      </c>
      <c r="K39" s="125">
        <v>1255.6039509135894</v>
      </c>
      <c r="L39" s="125">
        <v>1249.8379254045881</v>
      </c>
      <c r="M39" s="125">
        <v>1250.3077390405201</v>
      </c>
      <c r="N39" s="125">
        <v>1246.714021439353</v>
      </c>
      <c r="O39" s="125">
        <v>1251.4189332724327</v>
      </c>
      <c r="P39" s="125">
        <v>1258.8158594288075</v>
      </c>
      <c r="Q39" s="125">
        <v>1256.4073640190754</v>
      </c>
      <c r="R39" s="126">
        <f t="shared" si="11"/>
        <v>15033.940260873587</v>
      </c>
      <c r="T39" s="123"/>
      <c r="U39" s="127"/>
    </row>
    <row r="40" spans="1:21" x14ac:dyDescent="0.45">
      <c r="A40" s="81" t="s">
        <v>50</v>
      </c>
      <c r="B40" s="125">
        <v>1227.1269981782889</v>
      </c>
      <c r="C40" s="129">
        <v>1210.723506359813</v>
      </c>
      <c r="D40" s="125">
        <v>1214.4325485564641</v>
      </c>
      <c r="E40" s="125">
        <v>1219.8281859361696</v>
      </c>
      <c r="F40" s="125">
        <v>1216.3098264308503</v>
      </c>
      <c r="G40" s="125">
        <v>1219.2651119667544</v>
      </c>
      <c r="H40" s="125">
        <v>1227.2843962973172</v>
      </c>
      <c r="I40" s="125">
        <v>1226.0956126554272</v>
      </c>
      <c r="J40" s="125">
        <v>1219.1341137100462</v>
      </c>
      <c r="K40" s="125">
        <v>1216.9479794358831</v>
      </c>
      <c r="L40" s="125">
        <v>1214.8085629652624</v>
      </c>
      <c r="M40" s="125">
        <v>1231.7365258367888</v>
      </c>
      <c r="N40" s="125">
        <v>1220.5475390274221</v>
      </c>
      <c r="O40" s="125">
        <v>1215.4846840981832</v>
      </c>
      <c r="P40" s="125">
        <v>1228.459698909714</v>
      </c>
      <c r="Q40" s="125">
        <v>1219.5162031058182</v>
      </c>
      <c r="R40" s="126">
        <f t="shared" si="11"/>
        <v>14655.590254439467</v>
      </c>
      <c r="T40" s="123"/>
      <c r="U40" s="127"/>
    </row>
    <row r="41" spans="1:21" x14ac:dyDescent="0.45">
      <c r="A41" s="83" t="s">
        <v>51</v>
      </c>
      <c r="B41" s="125">
        <v>448.60000000000008</v>
      </c>
      <c r="C41" s="129">
        <v>449.40000000000009</v>
      </c>
      <c r="D41" s="125">
        <v>450.2000000000001</v>
      </c>
      <c r="E41" s="125">
        <v>451.00000000000011</v>
      </c>
      <c r="F41" s="125">
        <v>451.80000000000013</v>
      </c>
      <c r="G41" s="125">
        <v>452.60000000000014</v>
      </c>
      <c r="H41" s="125">
        <v>453.40000000000015</v>
      </c>
      <c r="I41" s="125">
        <v>454.20000000000016</v>
      </c>
      <c r="J41" s="125">
        <v>455.00000000000017</v>
      </c>
      <c r="K41" s="125">
        <v>455.80000000000018</v>
      </c>
      <c r="L41" s="125">
        <v>456.60000000000019</v>
      </c>
      <c r="M41" s="125">
        <v>457.4000000000002</v>
      </c>
      <c r="N41" s="125">
        <v>458.20000000000022</v>
      </c>
      <c r="O41" s="125">
        <v>459.00000000000023</v>
      </c>
      <c r="P41" s="125">
        <v>459.80000000000024</v>
      </c>
      <c r="Q41" s="125">
        <v>460.60000000000025</v>
      </c>
      <c r="R41" s="126">
        <f t="shared" si="11"/>
        <v>5474.4000000000024</v>
      </c>
      <c r="T41" s="123"/>
      <c r="U41" s="127"/>
    </row>
    <row r="42" spans="1:21" x14ac:dyDescent="0.45">
      <c r="A42" s="84" t="s">
        <v>0</v>
      </c>
      <c r="B42" s="87">
        <f>SUM(B33:B41)</f>
        <v>258628.82760965973</v>
      </c>
      <c r="C42" s="87">
        <f t="shared" ref="C42:R42" si="12">SUM(C33:C41)</f>
        <v>258496.41139379801</v>
      </c>
      <c r="D42" s="87">
        <f t="shared" si="12"/>
        <v>258330.50072661453</v>
      </c>
      <c r="E42" s="87">
        <f t="shared" si="12"/>
        <v>257951.49242049907</v>
      </c>
      <c r="F42" s="87">
        <f t="shared" si="12"/>
        <v>258363.50658887398</v>
      </c>
      <c r="G42" s="87">
        <f t="shared" si="12"/>
        <v>258608.19230461348</v>
      </c>
      <c r="H42" s="87">
        <f t="shared" si="12"/>
        <v>259233.42982166461</v>
      </c>
      <c r="I42" s="87">
        <f t="shared" si="12"/>
        <v>260049.74889569217</v>
      </c>
      <c r="J42" s="87">
        <f t="shared" si="12"/>
        <v>260531.48668051843</v>
      </c>
      <c r="K42" s="87">
        <f t="shared" si="12"/>
        <v>261020.85536562331</v>
      </c>
      <c r="L42" s="87">
        <f t="shared" si="12"/>
        <v>261270.47007824216</v>
      </c>
      <c r="M42" s="87">
        <f t="shared" si="12"/>
        <v>261337.69509250839</v>
      </c>
      <c r="N42" s="87">
        <f t="shared" si="12"/>
        <v>261234.66537319231</v>
      </c>
      <c r="O42" s="87">
        <f t="shared" si="12"/>
        <v>261182.57411182002</v>
      </c>
      <c r="P42" s="87">
        <f t="shared" si="12"/>
        <v>260936.61844665522</v>
      </c>
      <c r="Q42" s="87">
        <f t="shared" si="12"/>
        <v>260526.92493165861</v>
      </c>
      <c r="R42" s="87">
        <f t="shared" si="12"/>
        <v>3124296.1676910627</v>
      </c>
    </row>
    <row r="43" spans="1:21" x14ac:dyDescent="0.45">
      <c r="A43" s="85"/>
      <c r="R43" s="86"/>
    </row>
    <row r="44" spans="1:21" x14ac:dyDescent="0.45">
      <c r="A44" s="84" t="s">
        <v>43</v>
      </c>
      <c r="B44" s="86">
        <f>B33</f>
        <v>220667</v>
      </c>
      <c r="C44" s="86">
        <f>C33</f>
        <v>220554</v>
      </c>
      <c r="D44" s="86">
        <f>D33</f>
        <v>220352</v>
      </c>
      <c r="E44" s="86">
        <f>E33</f>
        <v>219946</v>
      </c>
      <c r="F44" s="86">
        <f t="shared" ref="F44:Q44" si="13">F33</f>
        <v>220341</v>
      </c>
      <c r="G44" s="86">
        <f t="shared" si="13"/>
        <v>220508</v>
      </c>
      <c r="H44" s="86">
        <f t="shared" si="13"/>
        <v>221121</v>
      </c>
      <c r="I44" s="86">
        <f t="shared" si="13"/>
        <v>221836</v>
      </c>
      <c r="J44" s="86">
        <f t="shared" si="13"/>
        <v>222294</v>
      </c>
      <c r="K44" s="86">
        <f t="shared" si="13"/>
        <v>222685</v>
      </c>
      <c r="L44" s="86">
        <f t="shared" si="13"/>
        <v>222889</v>
      </c>
      <c r="M44" s="86">
        <f t="shared" si="13"/>
        <v>222884</v>
      </c>
      <c r="N44" s="86">
        <f t="shared" si="13"/>
        <v>222810</v>
      </c>
      <c r="O44" s="86">
        <f t="shared" si="13"/>
        <v>222728</v>
      </c>
      <c r="P44" s="86">
        <f t="shared" si="13"/>
        <v>222448</v>
      </c>
      <c r="Q44" s="86">
        <f t="shared" si="13"/>
        <v>222019</v>
      </c>
      <c r="R44" s="86">
        <f t="shared" ref="R44:R49" si="14">SUM(F44:Q44)</f>
        <v>2664563</v>
      </c>
    </row>
    <row r="45" spans="1:21" x14ac:dyDescent="0.45">
      <c r="A45" s="84" t="s">
        <v>52</v>
      </c>
      <c r="B45" s="86">
        <f>B34+B35</f>
        <v>33100.402974614059</v>
      </c>
      <c r="C45" s="86">
        <f>C34+C35</f>
        <v>33101.103222498568</v>
      </c>
      <c r="D45" s="86">
        <f>D34+D35</f>
        <v>33127.945157706781</v>
      </c>
      <c r="E45" s="86">
        <f>E34+E35</f>
        <v>33154.440587515681</v>
      </c>
      <c r="F45" s="86">
        <f t="shared" ref="F45:Q45" si="15">F34+F35</f>
        <v>33165.143969808654</v>
      </c>
      <c r="G45" s="86">
        <f t="shared" si="15"/>
        <v>33239.322633959375</v>
      </c>
      <c r="H45" s="86">
        <f t="shared" si="15"/>
        <v>33249.43285345599</v>
      </c>
      <c r="I45" s="86">
        <f t="shared" si="15"/>
        <v>33343.406424577319</v>
      </c>
      <c r="J45" s="86">
        <f t="shared" si="15"/>
        <v>33384.337862736546</v>
      </c>
      <c r="K45" s="86">
        <f t="shared" si="15"/>
        <v>33473.310607084961</v>
      </c>
      <c r="L45" s="86">
        <f t="shared" si="15"/>
        <v>33525.297295889104</v>
      </c>
      <c r="M45" s="86">
        <f t="shared" si="15"/>
        <v>33579.286553611411</v>
      </c>
      <c r="N45" s="86">
        <f t="shared" si="15"/>
        <v>33567.285845288206</v>
      </c>
      <c r="O45" s="86">
        <f t="shared" si="15"/>
        <v>33597.276084511046</v>
      </c>
      <c r="P45" s="86">
        <f t="shared" si="15"/>
        <v>33610.290489678759</v>
      </c>
      <c r="Q45" s="86">
        <f t="shared" si="15"/>
        <v>33639.319267343089</v>
      </c>
      <c r="R45" s="86">
        <f t="shared" si="14"/>
        <v>401373.70988794445</v>
      </c>
    </row>
    <row r="46" spans="1:21" x14ac:dyDescent="0.45">
      <c r="A46" s="84" t="s">
        <v>53</v>
      </c>
      <c r="B46" s="86">
        <f>B36+B37</f>
        <v>1913.6494574249562</v>
      </c>
      <c r="C46" s="86">
        <f>C36+C37</f>
        <v>1910.6616455437029</v>
      </c>
      <c r="D46" s="86">
        <f>D36+D37</f>
        <v>1910.7140160056776</v>
      </c>
      <c r="E46" s="86">
        <f>E36+E37</f>
        <v>1912.1997756728174</v>
      </c>
      <c r="F46" s="86">
        <f t="shared" ref="F46:Q46" si="16">F36+F37</f>
        <v>1911.5439986455519</v>
      </c>
      <c r="G46" s="86">
        <f t="shared" si="16"/>
        <v>1910.6395318660147</v>
      </c>
      <c r="H46" s="86">
        <f t="shared" si="16"/>
        <v>1908.8365011881833</v>
      </c>
      <c r="I46" s="86">
        <f t="shared" si="16"/>
        <v>1912.8537762871979</v>
      </c>
      <c r="J46" s="86">
        <f t="shared" si="16"/>
        <v>1905.9232104222426</v>
      </c>
      <c r="K46" s="86">
        <f t="shared" si="16"/>
        <v>1911.1928281889104</v>
      </c>
      <c r="L46" s="86">
        <f t="shared" si="16"/>
        <v>1911.9262939832024</v>
      </c>
      <c r="M46" s="86">
        <f t="shared" si="16"/>
        <v>1911.9642740196757</v>
      </c>
      <c r="N46" s="86">
        <f t="shared" si="16"/>
        <v>1908.9179674373443</v>
      </c>
      <c r="O46" s="86">
        <f t="shared" si="16"/>
        <v>1908.3944099383771</v>
      </c>
      <c r="P46" s="86">
        <f t="shared" si="16"/>
        <v>1908.2523986379329</v>
      </c>
      <c r="Q46" s="86">
        <f t="shared" si="16"/>
        <v>1909.0820971906207</v>
      </c>
      <c r="R46" s="86">
        <f t="shared" si="14"/>
        <v>22919.527287805256</v>
      </c>
    </row>
    <row r="47" spans="1:21" x14ac:dyDescent="0.45">
      <c r="A47" s="84" t="s">
        <v>48</v>
      </c>
      <c r="B47" s="86">
        <f>B38</f>
        <v>23</v>
      </c>
      <c r="C47" s="86">
        <f>C38</f>
        <v>23</v>
      </c>
      <c r="D47" s="86">
        <f>D38</f>
        <v>23</v>
      </c>
      <c r="E47" s="86">
        <f>E38</f>
        <v>23</v>
      </c>
      <c r="F47" s="86">
        <f t="shared" ref="F47:Q47" si="17">F38</f>
        <v>23</v>
      </c>
      <c r="G47" s="86">
        <f t="shared" si="17"/>
        <v>23</v>
      </c>
      <c r="H47" s="86">
        <f t="shared" si="17"/>
        <v>23</v>
      </c>
      <c r="I47" s="86">
        <f t="shared" si="17"/>
        <v>23</v>
      </c>
      <c r="J47" s="86">
        <f t="shared" si="17"/>
        <v>23</v>
      </c>
      <c r="K47" s="86">
        <f t="shared" si="17"/>
        <v>23</v>
      </c>
      <c r="L47" s="86">
        <f t="shared" si="17"/>
        <v>23</v>
      </c>
      <c r="M47" s="86">
        <f t="shared" si="17"/>
        <v>23</v>
      </c>
      <c r="N47" s="86">
        <f t="shared" si="17"/>
        <v>23</v>
      </c>
      <c r="O47" s="86">
        <f t="shared" si="17"/>
        <v>23</v>
      </c>
      <c r="P47" s="86">
        <f t="shared" si="17"/>
        <v>23</v>
      </c>
      <c r="Q47" s="86">
        <f t="shared" si="17"/>
        <v>23</v>
      </c>
      <c r="R47" s="86">
        <f t="shared" si="14"/>
        <v>276</v>
      </c>
    </row>
    <row r="48" spans="1:21" x14ac:dyDescent="0.45">
      <c r="A48" s="84" t="s">
        <v>54</v>
      </c>
      <c r="B48" s="86">
        <f>B39+B40</f>
        <v>2476.1751776206884</v>
      </c>
      <c r="C48" s="86">
        <f>C39+C40</f>
        <v>2458.246525755746</v>
      </c>
      <c r="D48" s="86">
        <f>D39+D40</f>
        <v>2466.6415529020578</v>
      </c>
      <c r="E48" s="86">
        <f>E39+E40</f>
        <v>2464.8520573105625</v>
      </c>
      <c r="F48" s="86">
        <f>F39+F40</f>
        <v>2471.0186204197762</v>
      </c>
      <c r="G48" s="86">
        <f t="shared" ref="G48:Q48" si="18">G39+G40</f>
        <v>2474.6301387880908</v>
      </c>
      <c r="H48" s="86">
        <f t="shared" si="18"/>
        <v>2477.7604670204319</v>
      </c>
      <c r="I48" s="86">
        <f t="shared" si="18"/>
        <v>2480.2886948276901</v>
      </c>
      <c r="J48" s="86">
        <f t="shared" si="18"/>
        <v>2469.2256073596272</v>
      </c>
      <c r="K48" s="86">
        <f t="shared" si="18"/>
        <v>2472.5519303494725</v>
      </c>
      <c r="L48" s="86">
        <f t="shared" si="18"/>
        <v>2464.6464883698504</v>
      </c>
      <c r="M48" s="86">
        <f t="shared" si="18"/>
        <v>2482.0442648773087</v>
      </c>
      <c r="N48" s="86">
        <f t="shared" si="18"/>
        <v>2467.2615604667753</v>
      </c>
      <c r="O48" s="86">
        <f t="shared" si="18"/>
        <v>2466.9036173706158</v>
      </c>
      <c r="P48" s="86">
        <f t="shared" si="18"/>
        <v>2487.2755583385215</v>
      </c>
      <c r="Q48" s="86">
        <f t="shared" si="18"/>
        <v>2475.9235671248935</v>
      </c>
      <c r="R48" s="86">
        <f t="shared" si="14"/>
        <v>29689.530515313054</v>
      </c>
    </row>
    <row r="49" spans="1:18" x14ac:dyDescent="0.45">
      <c r="A49" s="84" t="s">
        <v>51</v>
      </c>
      <c r="B49" s="86">
        <f>B41</f>
        <v>448.60000000000008</v>
      </c>
      <c r="C49" s="86">
        <f>C41</f>
        <v>449.40000000000009</v>
      </c>
      <c r="D49" s="86">
        <f>D41</f>
        <v>450.2000000000001</v>
      </c>
      <c r="E49" s="86">
        <f>E41</f>
        <v>451.00000000000011</v>
      </c>
      <c r="F49" s="86">
        <f>F41</f>
        <v>451.80000000000013</v>
      </c>
      <c r="G49" s="86">
        <f t="shared" ref="G49:Q49" si="19">G41</f>
        <v>452.60000000000014</v>
      </c>
      <c r="H49" s="86">
        <f t="shared" si="19"/>
        <v>453.40000000000015</v>
      </c>
      <c r="I49" s="86">
        <f t="shared" si="19"/>
        <v>454.20000000000016</v>
      </c>
      <c r="J49" s="86">
        <f t="shared" si="19"/>
        <v>455.00000000000017</v>
      </c>
      <c r="K49" s="86">
        <f t="shared" si="19"/>
        <v>455.80000000000018</v>
      </c>
      <c r="L49" s="86">
        <f t="shared" si="19"/>
        <v>456.60000000000019</v>
      </c>
      <c r="M49" s="86">
        <f t="shared" si="19"/>
        <v>457.4000000000002</v>
      </c>
      <c r="N49" s="86">
        <f t="shared" si="19"/>
        <v>458.20000000000022</v>
      </c>
      <c r="O49" s="86">
        <f t="shared" si="19"/>
        <v>459.00000000000023</v>
      </c>
      <c r="P49" s="86">
        <f t="shared" si="19"/>
        <v>459.80000000000024</v>
      </c>
      <c r="Q49" s="86">
        <f t="shared" si="19"/>
        <v>460.60000000000025</v>
      </c>
      <c r="R49" s="86">
        <f t="shared" si="14"/>
        <v>5474.4000000000024</v>
      </c>
    </row>
    <row r="50" spans="1:18" x14ac:dyDescent="0.45">
      <c r="A50" s="84" t="s">
        <v>0</v>
      </c>
      <c r="B50" s="86">
        <f>SUM(B44:B49)</f>
        <v>258628.82760965973</v>
      </c>
      <c r="C50" s="86">
        <f>SUM(C44:C49)</f>
        <v>258496.41139379799</v>
      </c>
      <c r="D50" s="86">
        <f>SUM(D44:D49)</f>
        <v>258330.50072661455</v>
      </c>
      <c r="E50" s="86">
        <f>SUM(E44:E49)</f>
        <v>257951.49242049904</v>
      </c>
      <c r="F50" s="86">
        <f t="shared" ref="F50:R50" si="20">SUM(F44:F49)</f>
        <v>258363.50658887398</v>
      </c>
      <c r="G50" s="86">
        <f t="shared" si="20"/>
        <v>258608.19230461348</v>
      </c>
      <c r="H50" s="86">
        <f t="shared" si="20"/>
        <v>259233.42982166461</v>
      </c>
      <c r="I50" s="86">
        <f t="shared" si="20"/>
        <v>260049.74889569223</v>
      </c>
      <c r="J50" s="86">
        <f t="shared" si="20"/>
        <v>260531.48668051843</v>
      </c>
      <c r="K50" s="86">
        <f t="shared" si="20"/>
        <v>261020.85536562331</v>
      </c>
      <c r="L50" s="86">
        <f t="shared" si="20"/>
        <v>261270.47007824219</v>
      </c>
      <c r="M50" s="86">
        <f t="shared" si="20"/>
        <v>261337.69509250837</v>
      </c>
      <c r="N50" s="86">
        <f t="shared" si="20"/>
        <v>261234.66537319231</v>
      </c>
      <c r="O50" s="86">
        <f t="shared" si="20"/>
        <v>261182.57411182002</v>
      </c>
      <c r="P50" s="86">
        <f t="shared" si="20"/>
        <v>260936.61844665522</v>
      </c>
      <c r="Q50" s="86">
        <f t="shared" si="20"/>
        <v>260526.92493165861</v>
      </c>
      <c r="R50" s="86">
        <f t="shared" si="20"/>
        <v>3124296.1676910631</v>
      </c>
    </row>
    <row r="51" spans="1:18" x14ac:dyDescent="0.45">
      <c r="R51" s="86">
        <f>SUM(F51:Q51)</f>
        <v>0</v>
      </c>
    </row>
    <row r="52" spans="1:18" x14ac:dyDescent="0.45">
      <c r="A52" s="84" t="s">
        <v>118</v>
      </c>
      <c r="B52" s="86">
        <f>SUM(B33:B41)-SUM(B44:B49)</f>
        <v>0</v>
      </c>
      <c r="C52" s="86">
        <f>SUM(C33:C41)-SUM(C44:C49)</f>
        <v>0</v>
      </c>
      <c r="D52" s="86">
        <f>SUM(D33:D41)-SUM(D44:D49)</f>
        <v>0</v>
      </c>
      <c r="E52" s="86">
        <f>SUM(E33:E41)-SUM(E44:E49)</f>
        <v>0</v>
      </c>
      <c r="F52" s="86">
        <f t="shared" ref="F52:Q52" si="21">SUM(F33:F41)-SUM(F44:F49)</f>
        <v>0</v>
      </c>
      <c r="G52" s="86">
        <f t="shared" si="21"/>
        <v>0</v>
      </c>
      <c r="H52" s="86">
        <f t="shared" si="21"/>
        <v>0</v>
      </c>
      <c r="I52" s="86">
        <f t="shared" si="21"/>
        <v>0</v>
      </c>
      <c r="J52" s="86">
        <f t="shared" si="21"/>
        <v>0</v>
      </c>
      <c r="K52" s="86">
        <f t="shared" si="21"/>
        <v>0</v>
      </c>
      <c r="L52" s="86">
        <f t="shared" si="21"/>
        <v>0</v>
      </c>
      <c r="M52" s="86">
        <f t="shared" si="21"/>
        <v>0</v>
      </c>
      <c r="N52" s="86">
        <f t="shared" si="21"/>
        <v>0</v>
      </c>
      <c r="O52" s="86">
        <f t="shared" si="21"/>
        <v>0</v>
      </c>
      <c r="P52" s="86">
        <f t="shared" si="21"/>
        <v>0</v>
      </c>
      <c r="Q52" s="86">
        <f t="shared" si="21"/>
        <v>0</v>
      </c>
      <c r="R52" s="86">
        <f>SUM(F52:Q52)</f>
        <v>0</v>
      </c>
    </row>
  </sheetData>
  <pageMargins left="0.7" right="0.7" top="0.75" bottom="0.75" header="0.3" footer="0.3"/>
  <pageSetup scale="51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49"/>
  <sheetViews>
    <sheetView zoomScaleNormal="100" workbookViewId="0">
      <selection activeCell="E23" sqref="E23:F25"/>
    </sheetView>
  </sheetViews>
  <sheetFormatPr defaultRowHeight="14.25" x14ac:dyDescent="0.45"/>
  <cols>
    <col min="1" max="1" width="30.86328125" style="94" customWidth="1"/>
    <col min="2" max="2" width="9.1328125" style="94" customWidth="1"/>
    <col min="3" max="3" width="9.6640625" style="94" customWidth="1"/>
    <col min="4" max="4" width="15.1328125" style="94" customWidth="1"/>
    <col min="5" max="5" width="12" style="94" customWidth="1"/>
    <col min="6" max="6" width="11.33203125" style="94" customWidth="1"/>
    <col min="7" max="9" width="9.1328125" style="94"/>
    <col min="10" max="10" width="9.46484375" style="94" customWidth="1"/>
    <col min="11" max="256" width="9.1328125" style="94"/>
    <col min="257" max="257" width="30.86328125" style="94" customWidth="1"/>
    <col min="258" max="258" width="9.1328125" style="94" customWidth="1"/>
    <col min="259" max="259" width="9.6640625" style="94" customWidth="1"/>
    <col min="260" max="260" width="15.1328125" style="94" customWidth="1"/>
    <col min="261" max="261" width="12" style="94" customWidth="1"/>
    <col min="262" max="265" width="9.1328125" style="94"/>
    <col min="266" max="266" width="9.46484375" style="94" customWidth="1"/>
    <col min="267" max="512" width="9.1328125" style="94"/>
    <col min="513" max="513" width="30.86328125" style="94" customWidth="1"/>
    <col min="514" max="514" width="9.1328125" style="94" customWidth="1"/>
    <col min="515" max="515" width="9.6640625" style="94" customWidth="1"/>
    <col min="516" max="516" width="15.1328125" style="94" customWidth="1"/>
    <col min="517" max="517" width="12" style="94" customWidth="1"/>
    <col min="518" max="521" width="9.1328125" style="94"/>
    <col min="522" max="522" width="9.46484375" style="94" customWidth="1"/>
    <col min="523" max="768" width="9.1328125" style="94"/>
    <col min="769" max="769" width="30.86328125" style="94" customWidth="1"/>
    <col min="770" max="770" width="9.1328125" style="94" customWidth="1"/>
    <col min="771" max="771" width="9.6640625" style="94" customWidth="1"/>
    <col min="772" max="772" width="15.1328125" style="94" customWidth="1"/>
    <col min="773" max="773" width="12" style="94" customWidth="1"/>
    <col min="774" max="777" width="9.1328125" style="94"/>
    <col min="778" max="778" width="9.46484375" style="94" customWidth="1"/>
    <col min="779" max="1024" width="9.1328125" style="94"/>
    <col min="1025" max="1025" width="30.86328125" style="94" customWidth="1"/>
    <col min="1026" max="1026" width="9.1328125" style="94" customWidth="1"/>
    <col min="1027" max="1027" width="9.6640625" style="94" customWidth="1"/>
    <col min="1028" max="1028" width="15.1328125" style="94" customWidth="1"/>
    <col min="1029" max="1029" width="12" style="94" customWidth="1"/>
    <col min="1030" max="1033" width="9.1328125" style="94"/>
    <col min="1034" max="1034" width="9.46484375" style="94" customWidth="1"/>
    <col min="1035" max="1280" width="9.1328125" style="94"/>
    <col min="1281" max="1281" width="30.86328125" style="94" customWidth="1"/>
    <col min="1282" max="1282" width="9.1328125" style="94" customWidth="1"/>
    <col min="1283" max="1283" width="9.6640625" style="94" customWidth="1"/>
    <col min="1284" max="1284" width="15.1328125" style="94" customWidth="1"/>
    <col min="1285" max="1285" width="12" style="94" customWidth="1"/>
    <col min="1286" max="1289" width="9.1328125" style="94"/>
    <col min="1290" max="1290" width="9.46484375" style="94" customWidth="1"/>
    <col min="1291" max="1536" width="9.1328125" style="94"/>
    <col min="1537" max="1537" width="30.86328125" style="94" customWidth="1"/>
    <col min="1538" max="1538" width="9.1328125" style="94" customWidth="1"/>
    <col min="1539" max="1539" width="9.6640625" style="94" customWidth="1"/>
    <col min="1540" max="1540" width="15.1328125" style="94" customWidth="1"/>
    <col min="1541" max="1541" width="12" style="94" customWidth="1"/>
    <col min="1542" max="1545" width="9.1328125" style="94"/>
    <col min="1546" max="1546" width="9.46484375" style="94" customWidth="1"/>
    <col min="1547" max="1792" width="9.1328125" style="94"/>
    <col min="1793" max="1793" width="30.86328125" style="94" customWidth="1"/>
    <col min="1794" max="1794" width="9.1328125" style="94" customWidth="1"/>
    <col min="1795" max="1795" width="9.6640625" style="94" customWidth="1"/>
    <col min="1796" max="1796" width="15.1328125" style="94" customWidth="1"/>
    <col min="1797" max="1797" width="12" style="94" customWidth="1"/>
    <col min="1798" max="1801" width="9.1328125" style="94"/>
    <col min="1802" max="1802" width="9.46484375" style="94" customWidth="1"/>
    <col min="1803" max="2048" width="9.1328125" style="94"/>
    <col min="2049" max="2049" width="30.86328125" style="94" customWidth="1"/>
    <col min="2050" max="2050" width="9.1328125" style="94" customWidth="1"/>
    <col min="2051" max="2051" width="9.6640625" style="94" customWidth="1"/>
    <col min="2052" max="2052" width="15.1328125" style="94" customWidth="1"/>
    <col min="2053" max="2053" width="12" style="94" customWidth="1"/>
    <col min="2054" max="2057" width="9.1328125" style="94"/>
    <col min="2058" max="2058" width="9.46484375" style="94" customWidth="1"/>
    <col min="2059" max="2304" width="9.1328125" style="94"/>
    <col min="2305" max="2305" width="30.86328125" style="94" customWidth="1"/>
    <col min="2306" max="2306" width="9.1328125" style="94" customWidth="1"/>
    <col min="2307" max="2307" width="9.6640625" style="94" customWidth="1"/>
    <col min="2308" max="2308" width="15.1328125" style="94" customWidth="1"/>
    <col min="2309" max="2309" width="12" style="94" customWidth="1"/>
    <col min="2310" max="2313" width="9.1328125" style="94"/>
    <col min="2314" max="2314" width="9.46484375" style="94" customWidth="1"/>
    <col min="2315" max="2560" width="9.1328125" style="94"/>
    <col min="2561" max="2561" width="30.86328125" style="94" customWidth="1"/>
    <col min="2562" max="2562" width="9.1328125" style="94" customWidth="1"/>
    <col min="2563" max="2563" width="9.6640625" style="94" customWidth="1"/>
    <col min="2564" max="2564" width="15.1328125" style="94" customWidth="1"/>
    <col min="2565" max="2565" width="12" style="94" customWidth="1"/>
    <col min="2566" max="2569" width="9.1328125" style="94"/>
    <col min="2570" max="2570" width="9.46484375" style="94" customWidth="1"/>
    <col min="2571" max="2816" width="9.1328125" style="94"/>
    <col min="2817" max="2817" width="30.86328125" style="94" customWidth="1"/>
    <col min="2818" max="2818" width="9.1328125" style="94" customWidth="1"/>
    <col min="2819" max="2819" width="9.6640625" style="94" customWidth="1"/>
    <col min="2820" max="2820" width="15.1328125" style="94" customWidth="1"/>
    <col min="2821" max="2821" width="12" style="94" customWidth="1"/>
    <col min="2822" max="2825" width="9.1328125" style="94"/>
    <col min="2826" max="2826" width="9.46484375" style="94" customWidth="1"/>
    <col min="2827" max="3072" width="9.1328125" style="94"/>
    <col min="3073" max="3073" width="30.86328125" style="94" customWidth="1"/>
    <col min="3074" max="3074" width="9.1328125" style="94" customWidth="1"/>
    <col min="3075" max="3075" width="9.6640625" style="94" customWidth="1"/>
    <col min="3076" max="3076" width="15.1328125" style="94" customWidth="1"/>
    <col min="3077" max="3077" width="12" style="94" customWidth="1"/>
    <col min="3078" max="3081" width="9.1328125" style="94"/>
    <col min="3082" max="3082" width="9.46484375" style="94" customWidth="1"/>
    <col min="3083" max="3328" width="9.1328125" style="94"/>
    <col min="3329" max="3329" width="30.86328125" style="94" customWidth="1"/>
    <col min="3330" max="3330" width="9.1328125" style="94" customWidth="1"/>
    <col min="3331" max="3331" width="9.6640625" style="94" customWidth="1"/>
    <col min="3332" max="3332" width="15.1328125" style="94" customWidth="1"/>
    <col min="3333" max="3333" width="12" style="94" customWidth="1"/>
    <col min="3334" max="3337" width="9.1328125" style="94"/>
    <col min="3338" max="3338" width="9.46484375" style="94" customWidth="1"/>
    <col min="3339" max="3584" width="9.1328125" style="94"/>
    <col min="3585" max="3585" width="30.86328125" style="94" customWidth="1"/>
    <col min="3586" max="3586" width="9.1328125" style="94" customWidth="1"/>
    <col min="3587" max="3587" width="9.6640625" style="94" customWidth="1"/>
    <col min="3588" max="3588" width="15.1328125" style="94" customWidth="1"/>
    <col min="3589" max="3589" width="12" style="94" customWidth="1"/>
    <col min="3590" max="3593" width="9.1328125" style="94"/>
    <col min="3594" max="3594" width="9.46484375" style="94" customWidth="1"/>
    <col min="3595" max="3840" width="9.1328125" style="94"/>
    <col min="3841" max="3841" width="30.86328125" style="94" customWidth="1"/>
    <col min="3842" max="3842" width="9.1328125" style="94" customWidth="1"/>
    <col min="3843" max="3843" width="9.6640625" style="94" customWidth="1"/>
    <col min="3844" max="3844" width="15.1328125" style="94" customWidth="1"/>
    <col min="3845" max="3845" width="12" style="94" customWidth="1"/>
    <col min="3846" max="3849" width="9.1328125" style="94"/>
    <col min="3850" max="3850" width="9.46484375" style="94" customWidth="1"/>
    <col min="3851" max="4096" width="9.1328125" style="94"/>
    <col min="4097" max="4097" width="30.86328125" style="94" customWidth="1"/>
    <col min="4098" max="4098" width="9.1328125" style="94" customWidth="1"/>
    <col min="4099" max="4099" width="9.6640625" style="94" customWidth="1"/>
    <col min="4100" max="4100" width="15.1328125" style="94" customWidth="1"/>
    <col min="4101" max="4101" width="12" style="94" customWidth="1"/>
    <col min="4102" max="4105" width="9.1328125" style="94"/>
    <col min="4106" max="4106" width="9.46484375" style="94" customWidth="1"/>
    <col min="4107" max="4352" width="9.1328125" style="94"/>
    <col min="4353" max="4353" width="30.86328125" style="94" customWidth="1"/>
    <col min="4354" max="4354" width="9.1328125" style="94" customWidth="1"/>
    <col min="4355" max="4355" width="9.6640625" style="94" customWidth="1"/>
    <col min="4356" max="4356" width="15.1328125" style="94" customWidth="1"/>
    <col min="4357" max="4357" width="12" style="94" customWidth="1"/>
    <col min="4358" max="4361" width="9.1328125" style="94"/>
    <col min="4362" max="4362" width="9.46484375" style="94" customWidth="1"/>
    <col min="4363" max="4608" width="9.1328125" style="94"/>
    <col min="4609" max="4609" width="30.86328125" style="94" customWidth="1"/>
    <col min="4610" max="4610" width="9.1328125" style="94" customWidth="1"/>
    <col min="4611" max="4611" width="9.6640625" style="94" customWidth="1"/>
    <col min="4612" max="4612" width="15.1328125" style="94" customWidth="1"/>
    <col min="4613" max="4613" width="12" style="94" customWidth="1"/>
    <col min="4614" max="4617" width="9.1328125" style="94"/>
    <col min="4618" max="4618" width="9.46484375" style="94" customWidth="1"/>
    <col min="4619" max="4864" width="9.1328125" style="94"/>
    <col min="4865" max="4865" width="30.86328125" style="94" customWidth="1"/>
    <col min="4866" max="4866" width="9.1328125" style="94" customWidth="1"/>
    <col min="4867" max="4867" width="9.6640625" style="94" customWidth="1"/>
    <col min="4868" max="4868" width="15.1328125" style="94" customWidth="1"/>
    <col min="4869" max="4869" width="12" style="94" customWidth="1"/>
    <col min="4870" max="4873" width="9.1328125" style="94"/>
    <col min="4874" max="4874" width="9.46484375" style="94" customWidth="1"/>
    <col min="4875" max="5120" width="9.1328125" style="94"/>
    <col min="5121" max="5121" width="30.86328125" style="94" customWidth="1"/>
    <col min="5122" max="5122" width="9.1328125" style="94" customWidth="1"/>
    <col min="5123" max="5123" width="9.6640625" style="94" customWidth="1"/>
    <col min="5124" max="5124" width="15.1328125" style="94" customWidth="1"/>
    <col min="5125" max="5125" width="12" style="94" customWidth="1"/>
    <col min="5126" max="5129" width="9.1328125" style="94"/>
    <col min="5130" max="5130" width="9.46484375" style="94" customWidth="1"/>
    <col min="5131" max="5376" width="9.1328125" style="94"/>
    <col min="5377" max="5377" width="30.86328125" style="94" customWidth="1"/>
    <col min="5378" max="5378" width="9.1328125" style="94" customWidth="1"/>
    <col min="5379" max="5379" width="9.6640625" style="94" customWidth="1"/>
    <col min="5380" max="5380" width="15.1328125" style="94" customWidth="1"/>
    <col min="5381" max="5381" width="12" style="94" customWidth="1"/>
    <col min="5382" max="5385" width="9.1328125" style="94"/>
    <col min="5386" max="5386" width="9.46484375" style="94" customWidth="1"/>
    <col min="5387" max="5632" width="9.1328125" style="94"/>
    <col min="5633" max="5633" width="30.86328125" style="94" customWidth="1"/>
    <col min="5634" max="5634" width="9.1328125" style="94" customWidth="1"/>
    <col min="5635" max="5635" width="9.6640625" style="94" customWidth="1"/>
    <col min="5636" max="5636" width="15.1328125" style="94" customWidth="1"/>
    <col min="5637" max="5637" width="12" style="94" customWidth="1"/>
    <col min="5638" max="5641" width="9.1328125" style="94"/>
    <col min="5642" max="5642" width="9.46484375" style="94" customWidth="1"/>
    <col min="5643" max="5888" width="9.1328125" style="94"/>
    <col min="5889" max="5889" width="30.86328125" style="94" customWidth="1"/>
    <col min="5890" max="5890" width="9.1328125" style="94" customWidth="1"/>
    <col min="5891" max="5891" width="9.6640625" style="94" customWidth="1"/>
    <col min="5892" max="5892" width="15.1328125" style="94" customWidth="1"/>
    <col min="5893" max="5893" width="12" style="94" customWidth="1"/>
    <col min="5894" max="5897" width="9.1328125" style="94"/>
    <col min="5898" max="5898" width="9.46484375" style="94" customWidth="1"/>
    <col min="5899" max="6144" width="9.1328125" style="94"/>
    <col min="6145" max="6145" width="30.86328125" style="94" customWidth="1"/>
    <col min="6146" max="6146" width="9.1328125" style="94" customWidth="1"/>
    <col min="6147" max="6147" width="9.6640625" style="94" customWidth="1"/>
    <col min="6148" max="6148" width="15.1328125" style="94" customWidth="1"/>
    <col min="6149" max="6149" width="12" style="94" customWidth="1"/>
    <col min="6150" max="6153" width="9.1328125" style="94"/>
    <col min="6154" max="6154" width="9.46484375" style="94" customWidth="1"/>
    <col min="6155" max="6400" width="9.1328125" style="94"/>
    <col min="6401" max="6401" width="30.86328125" style="94" customWidth="1"/>
    <col min="6402" max="6402" width="9.1328125" style="94" customWidth="1"/>
    <col min="6403" max="6403" width="9.6640625" style="94" customWidth="1"/>
    <col min="6404" max="6404" width="15.1328125" style="94" customWidth="1"/>
    <col min="6405" max="6405" width="12" style="94" customWidth="1"/>
    <col min="6406" max="6409" width="9.1328125" style="94"/>
    <col min="6410" max="6410" width="9.46484375" style="94" customWidth="1"/>
    <col min="6411" max="6656" width="9.1328125" style="94"/>
    <col min="6657" max="6657" width="30.86328125" style="94" customWidth="1"/>
    <col min="6658" max="6658" width="9.1328125" style="94" customWidth="1"/>
    <col min="6659" max="6659" width="9.6640625" style="94" customWidth="1"/>
    <col min="6660" max="6660" width="15.1328125" style="94" customWidth="1"/>
    <col min="6661" max="6661" width="12" style="94" customWidth="1"/>
    <col min="6662" max="6665" width="9.1328125" style="94"/>
    <col min="6666" max="6666" width="9.46484375" style="94" customWidth="1"/>
    <col min="6667" max="6912" width="9.1328125" style="94"/>
    <col min="6913" max="6913" width="30.86328125" style="94" customWidth="1"/>
    <col min="6914" max="6914" width="9.1328125" style="94" customWidth="1"/>
    <col min="6915" max="6915" width="9.6640625" style="94" customWidth="1"/>
    <col min="6916" max="6916" width="15.1328125" style="94" customWidth="1"/>
    <col min="6917" max="6917" width="12" style="94" customWidth="1"/>
    <col min="6918" max="6921" width="9.1328125" style="94"/>
    <col min="6922" max="6922" width="9.46484375" style="94" customWidth="1"/>
    <col min="6923" max="7168" width="9.1328125" style="94"/>
    <col min="7169" max="7169" width="30.86328125" style="94" customWidth="1"/>
    <col min="7170" max="7170" width="9.1328125" style="94" customWidth="1"/>
    <col min="7171" max="7171" width="9.6640625" style="94" customWidth="1"/>
    <col min="7172" max="7172" width="15.1328125" style="94" customWidth="1"/>
    <col min="7173" max="7173" width="12" style="94" customWidth="1"/>
    <col min="7174" max="7177" width="9.1328125" style="94"/>
    <col min="7178" max="7178" width="9.46484375" style="94" customWidth="1"/>
    <col min="7179" max="7424" width="9.1328125" style="94"/>
    <col min="7425" max="7425" width="30.86328125" style="94" customWidth="1"/>
    <col min="7426" max="7426" width="9.1328125" style="94" customWidth="1"/>
    <col min="7427" max="7427" width="9.6640625" style="94" customWidth="1"/>
    <col min="7428" max="7428" width="15.1328125" style="94" customWidth="1"/>
    <col min="7429" max="7429" width="12" style="94" customWidth="1"/>
    <col min="7430" max="7433" width="9.1328125" style="94"/>
    <col min="7434" max="7434" width="9.46484375" style="94" customWidth="1"/>
    <col min="7435" max="7680" width="9.1328125" style="94"/>
    <col min="7681" max="7681" width="30.86328125" style="94" customWidth="1"/>
    <col min="7682" max="7682" width="9.1328125" style="94" customWidth="1"/>
    <col min="7683" max="7683" width="9.6640625" style="94" customWidth="1"/>
    <col min="7684" max="7684" width="15.1328125" style="94" customWidth="1"/>
    <col min="7685" max="7685" width="12" style="94" customWidth="1"/>
    <col min="7686" max="7689" width="9.1328125" style="94"/>
    <col min="7690" max="7690" width="9.46484375" style="94" customWidth="1"/>
    <col min="7691" max="7936" width="9.1328125" style="94"/>
    <col min="7937" max="7937" width="30.86328125" style="94" customWidth="1"/>
    <col min="7938" max="7938" width="9.1328125" style="94" customWidth="1"/>
    <col min="7939" max="7939" width="9.6640625" style="94" customWidth="1"/>
    <col min="7940" max="7940" width="15.1328125" style="94" customWidth="1"/>
    <col min="7941" max="7941" width="12" style="94" customWidth="1"/>
    <col min="7942" max="7945" width="9.1328125" style="94"/>
    <col min="7946" max="7946" width="9.46484375" style="94" customWidth="1"/>
    <col min="7947" max="8192" width="9.1328125" style="94"/>
    <col min="8193" max="8193" width="30.86328125" style="94" customWidth="1"/>
    <col min="8194" max="8194" width="9.1328125" style="94" customWidth="1"/>
    <col min="8195" max="8195" width="9.6640625" style="94" customWidth="1"/>
    <col min="8196" max="8196" width="15.1328125" style="94" customWidth="1"/>
    <col min="8197" max="8197" width="12" style="94" customWidth="1"/>
    <col min="8198" max="8201" width="9.1328125" style="94"/>
    <col min="8202" max="8202" width="9.46484375" style="94" customWidth="1"/>
    <col min="8203" max="8448" width="9.1328125" style="94"/>
    <col min="8449" max="8449" width="30.86328125" style="94" customWidth="1"/>
    <col min="8450" max="8450" width="9.1328125" style="94" customWidth="1"/>
    <col min="8451" max="8451" width="9.6640625" style="94" customWidth="1"/>
    <col min="8452" max="8452" width="15.1328125" style="94" customWidth="1"/>
    <col min="8453" max="8453" width="12" style="94" customWidth="1"/>
    <col min="8454" max="8457" width="9.1328125" style="94"/>
    <col min="8458" max="8458" width="9.46484375" style="94" customWidth="1"/>
    <col min="8459" max="8704" width="9.1328125" style="94"/>
    <col min="8705" max="8705" width="30.86328125" style="94" customWidth="1"/>
    <col min="8706" max="8706" width="9.1328125" style="94" customWidth="1"/>
    <col min="8707" max="8707" width="9.6640625" style="94" customWidth="1"/>
    <col min="8708" max="8708" width="15.1328125" style="94" customWidth="1"/>
    <col min="8709" max="8709" width="12" style="94" customWidth="1"/>
    <col min="8710" max="8713" width="9.1328125" style="94"/>
    <col min="8714" max="8714" width="9.46484375" style="94" customWidth="1"/>
    <col min="8715" max="8960" width="9.1328125" style="94"/>
    <col min="8961" max="8961" width="30.86328125" style="94" customWidth="1"/>
    <col min="8962" max="8962" width="9.1328125" style="94" customWidth="1"/>
    <col min="8963" max="8963" width="9.6640625" style="94" customWidth="1"/>
    <col min="8964" max="8964" width="15.1328125" style="94" customWidth="1"/>
    <col min="8965" max="8965" width="12" style="94" customWidth="1"/>
    <col min="8966" max="8969" width="9.1328125" style="94"/>
    <col min="8970" max="8970" width="9.46484375" style="94" customWidth="1"/>
    <col min="8971" max="9216" width="9.1328125" style="94"/>
    <col min="9217" max="9217" width="30.86328125" style="94" customWidth="1"/>
    <col min="9218" max="9218" width="9.1328125" style="94" customWidth="1"/>
    <col min="9219" max="9219" width="9.6640625" style="94" customWidth="1"/>
    <col min="9220" max="9220" width="15.1328125" style="94" customWidth="1"/>
    <col min="9221" max="9221" width="12" style="94" customWidth="1"/>
    <col min="9222" max="9225" width="9.1328125" style="94"/>
    <col min="9226" max="9226" width="9.46484375" style="94" customWidth="1"/>
    <col min="9227" max="9472" width="9.1328125" style="94"/>
    <col min="9473" max="9473" width="30.86328125" style="94" customWidth="1"/>
    <col min="9474" max="9474" width="9.1328125" style="94" customWidth="1"/>
    <col min="9475" max="9475" width="9.6640625" style="94" customWidth="1"/>
    <col min="9476" max="9476" width="15.1328125" style="94" customWidth="1"/>
    <col min="9477" max="9477" width="12" style="94" customWidth="1"/>
    <col min="9478" max="9481" width="9.1328125" style="94"/>
    <col min="9482" max="9482" width="9.46484375" style="94" customWidth="1"/>
    <col min="9483" max="9728" width="9.1328125" style="94"/>
    <col min="9729" max="9729" width="30.86328125" style="94" customWidth="1"/>
    <col min="9730" max="9730" width="9.1328125" style="94" customWidth="1"/>
    <col min="9731" max="9731" width="9.6640625" style="94" customWidth="1"/>
    <col min="9732" max="9732" width="15.1328125" style="94" customWidth="1"/>
    <col min="9733" max="9733" width="12" style="94" customWidth="1"/>
    <col min="9734" max="9737" width="9.1328125" style="94"/>
    <col min="9738" max="9738" width="9.46484375" style="94" customWidth="1"/>
    <col min="9739" max="9984" width="9.1328125" style="94"/>
    <col min="9985" max="9985" width="30.86328125" style="94" customWidth="1"/>
    <col min="9986" max="9986" width="9.1328125" style="94" customWidth="1"/>
    <col min="9987" max="9987" width="9.6640625" style="94" customWidth="1"/>
    <col min="9988" max="9988" width="15.1328125" style="94" customWidth="1"/>
    <col min="9989" max="9989" width="12" style="94" customWidth="1"/>
    <col min="9990" max="9993" width="9.1328125" style="94"/>
    <col min="9994" max="9994" width="9.46484375" style="94" customWidth="1"/>
    <col min="9995" max="10240" width="9.1328125" style="94"/>
    <col min="10241" max="10241" width="30.86328125" style="94" customWidth="1"/>
    <col min="10242" max="10242" width="9.1328125" style="94" customWidth="1"/>
    <col min="10243" max="10243" width="9.6640625" style="94" customWidth="1"/>
    <col min="10244" max="10244" width="15.1328125" style="94" customWidth="1"/>
    <col min="10245" max="10245" width="12" style="94" customWidth="1"/>
    <col min="10246" max="10249" width="9.1328125" style="94"/>
    <col min="10250" max="10250" width="9.46484375" style="94" customWidth="1"/>
    <col min="10251" max="10496" width="9.1328125" style="94"/>
    <col min="10497" max="10497" width="30.86328125" style="94" customWidth="1"/>
    <col min="10498" max="10498" width="9.1328125" style="94" customWidth="1"/>
    <col min="10499" max="10499" width="9.6640625" style="94" customWidth="1"/>
    <col min="10500" max="10500" width="15.1328125" style="94" customWidth="1"/>
    <col min="10501" max="10501" width="12" style="94" customWidth="1"/>
    <col min="10502" max="10505" width="9.1328125" style="94"/>
    <col min="10506" max="10506" width="9.46484375" style="94" customWidth="1"/>
    <col min="10507" max="10752" width="9.1328125" style="94"/>
    <col min="10753" max="10753" width="30.86328125" style="94" customWidth="1"/>
    <col min="10754" max="10754" width="9.1328125" style="94" customWidth="1"/>
    <col min="10755" max="10755" width="9.6640625" style="94" customWidth="1"/>
    <col min="10756" max="10756" width="15.1328125" style="94" customWidth="1"/>
    <col min="10757" max="10757" width="12" style="94" customWidth="1"/>
    <col min="10758" max="10761" width="9.1328125" style="94"/>
    <col min="10762" max="10762" width="9.46484375" style="94" customWidth="1"/>
    <col min="10763" max="11008" width="9.1328125" style="94"/>
    <col min="11009" max="11009" width="30.86328125" style="94" customWidth="1"/>
    <col min="11010" max="11010" width="9.1328125" style="94" customWidth="1"/>
    <col min="11011" max="11011" width="9.6640625" style="94" customWidth="1"/>
    <col min="11012" max="11012" width="15.1328125" style="94" customWidth="1"/>
    <col min="11013" max="11013" width="12" style="94" customWidth="1"/>
    <col min="11014" max="11017" width="9.1328125" style="94"/>
    <col min="11018" max="11018" width="9.46484375" style="94" customWidth="1"/>
    <col min="11019" max="11264" width="9.1328125" style="94"/>
    <col min="11265" max="11265" width="30.86328125" style="94" customWidth="1"/>
    <col min="11266" max="11266" width="9.1328125" style="94" customWidth="1"/>
    <col min="11267" max="11267" width="9.6640625" style="94" customWidth="1"/>
    <col min="11268" max="11268" width="15.1328125" style="94" customWidth="1"/>
    <col min="11269" max="11269" width="12" style="94" customWidth="1"/>
    <col min="11270" max="11273" width="9.1328125" style="94"/>
    <col min="11274" max="11274" width="9.46484375" style="94" customWidth="1"/>
    <col min="11275" max="11520" width="9.1328125" style="94"/>
    <col min="11521" max="11521" width="30.86328125" style="94" customWidth="1"/>
    <col min="11522" max="11522" width="9.1328125" style="94" customWidth="1"/>
    <col min="11523" max="11523" width="9.6640625" style="94" customWidth="1"/>
    <col min="11524" max="11524" width="15.1328125" style="94" customWidth="1"/>
    <col min="11525" max="11525" width="12" style="94" customWidth="1"/>
    <col min="11526" max="11529" width="9.1328125" style="94"/>
    <col min="11530" max="11530" width="9.46484375" style="94" customWidth="1"/>
    <col min="11531" max="11776" width="9.1328125" style="94"/>
    <col min="11777" max="11777" width="30.86328125" style="94" customWidth="1"/>
    <col min="11778" max="11778" width="9.1328125" style="94" customWidth="1"/>
    <col min="11779" max="11779" width="9.6640625" style="94" customWidth="1"/>
    <col min="11780" max="11780" width="15.1328125" style="94" customWidth="1"/>
    <col min="11781" max="11781" width="12" style="94" customWidth="1"/>
    <col min="11782" max="11785" width="9.1328125" style="94"/>
    <col min="11786" max="11786" width="9.46484375" style="94" customWidth="1"/>
    <col min="11787" max="12032" width="9.1328125" style="94"/>
    <col min="12033" max="12033" width="30.86328125" style="94" customWidth="1"/>
    <col min="12034" max="12034" width="9.1328125" style="94" customWidth="1"/>
    <col min="12035" max="12035" width="9.6640625" style="94" customWidth="1"/>
    <col min="12036" max="12036" width="15.1328125" style="94" customWidth="1"/>
    <col min="12037" max="12037" width="12" style="94" customWidth="1"/>
    <col min="12038" max="12041" width="9.1328125" style="94"/>
    <col min="12042" max="12042" width="9.46484375" style="94" customWidth="1"/>
    <col min="12043" max="12288" width="9.1328125" style="94"/>
    <col min="12289" max="12289" width="30.86328125" style="94" customWidth="1"/>
    <col min="12290" max="12290" width="9.1328125" style="94" customWidth="1"/>
    <col min="12291" max="12291" width="9.6640625" style="94" customWidth="1"/>
    <col min="12292" max="12292" width="15.1328125" style="94" customWidth="1"/>
    <col min="12293" max="12293" width="12" style="94" customWidth="1"/>
    <col min="12294" max="12297" width="9.1328125" style="94"/>
    <col min="12298" max="12298" width="9.46484375" style="94" customWidth="1"/>
    <col min="12299" max="12544" width="9.1328125" style="94"/>
    <col min="12545" max="12545" width="30.86328125" style="94" customWidth="1"/>
    <col min="12546" max="12546" width="9.1328125" style="94" customWidth="1"/>
    <col min="12547" max="12547" width="9.6640625" style="94" customWidth="1"/>
    <col min="12548" max="12548" width="15.1328125" style="94" customWidth="1"/>
    <col min="12549" max="12549" width="12" style="94" customWidth="1"/>
    <col min="12550" max="12553" width="9.1328125" style="94"/>
    <col min="12554" max="12554" width="9.46484375" style="94" customWidth="1"/>
    <col min="12555" max="12800" width="9.1328125" style="94"/>
    <col min="12801" max="12801" width="30.86328125" style="94" customWidth="1"/>
    <col min="12802" max="12802" width="9.1328125" style="94" customWidth="1"/>
    <col min="12803" max="12803" width="9.6640625" style="94" customWidth="1"/>
    <col min="12804" max="12804" width="15.1328125" style="94" customWidth="1"/>
    <col min="12805" max="12805" width="12" style="94" customWidth="1"/>
    <col min="12806" max="12809" width="9.1328125" style="94"/>
    <col min="12810" max="12810" width="9.46484375" style="94" customWidth="1"/>
    <col min="12811" max="13056" width="9.1328125" style="94"/>
    <col min="13057" max="13057" width="30.86328125" style="94" customWidth="1"/>
    <col min="13058" max="13058" width="9.1328125" style="94" customWidth="1"/>
    <col min="13059" max="13059" width="9.6640625" style="94" customWidth="1"/>
    <col min="13060" max="13060" width="15.1328125" style="94" customWidth="1"/>
    <col min="13061" max="13061" width="12" style="94" customWidth="1"/>
    <col min="13062" max="13065" width="9.1328125" style="94"/>
    <col min="13066" max="13066" width="9.46484375" style="94" customWidth="1"/>
    <col min="13067" max="13312" width="9.1328125" style="94"/>
    <col min="13313" max="13313" width="30.86328125" style="94" customWidth="1"/>
    <col min="13314" max="13314" width="9.1328125" style="94" customWidth="1"/>
    <col min="13315" max="13315" width="9.6640625" style="94" customWidth="1"/>
    <col min="13316" max="13316" width="15.1328125" style="94" customWidth="1"/>
    <col min="13317" max="13317" width="12" style="94" customWidth="1"/>
    <col min="13318" max="13321" width="9.1328125" style="94"/>
    <col min="13322" max="13322" width="9.46484375" style="94" customWidth="1"/>
    <col min="13323" max="13568" width="9.1328125" style="94"/>
    <col min="13569" max="13569" width="30.86328125" style="94" customWidth="1"/>
    <col min="13570" max="13570" width="9.1328125" style="94" customWidth="1"/>
    <col min="13571" max="13571" width="9.6640625" style="94" customWidth="1"/>
    <col min="13572" max="13572" width="15.1328125" style="94" customWidth="1"/>
    <col min="13573" max="13573" width="12" style="94" customWidth="1"/>
    <col min="13574" max="13577" width="9.1328125" style="94"/>
    <col min="13578" max="13578" width="9.46484375" style="94" customWidth="1"/>
    <col min="13579" max="13824" width="9.1328125" style="94"/>
    <col min="13825" max="13825" width="30.86328125" style="94" customWidth="1"/>
    <col min="13826" max="13826" width="9.1328125" style="94" customWidth="1"/>
    <col min="13827" max="13827" width="9.6640625" style="94" customWidth="1"/>
    <col min="13828" max="13828" width="15.1328125" style="94" customWidth="1"/>
    <col min="13829" max="13829" width="12" style="94" customWidth="1"/>
    <col min="13830" max="13833" width="9.1328125" style="94"/>
    <col min="13834" max="13834" width="9.46484375" style="94" customWidth="1"/>
    <col min="13835" max="14080" width="9.1328125" style="94"/>
    <col min="14081" max="14081" width="30.86328125" style="94" customWidth="1"/>
    <col min="14082" max="14082" width="9.1328125" style="94" customWidth="1"/>
    <col min="14083" max="14083" width="9.6640625" style="94" customWidth="1"/>
    <col min="14084" max="14084" width="15.1328125" style="94" customWidth="1"/>
    <col min="14085" max="14085" width="12" style="94" customWidth="1"/>
    <col min="14086" max="14089" width="9.1328125" style="94"/>
    <col min="14090" max="14090" width="9.46484375" style="94" customWidth="1"/>
    <col min="14091" max="14336" width="9.1328125" style="94"/>
    <col min="14337" max="14337" width="30.86328125" style="94" customWidth="1"/>
    <col min="14338" max="14338" width="9.1328125" style="94" customWidth="1"/>
    <col min="14339" max="14339" width="9.6640625" style="94" customWidth="1"/>
    <col min="14340" max="14340" width="15.1328125" style="94" customWidth="1"/>
    <col min="14341" max="14341" width="12" style="94" customWidth="1"/>
    <col min="14342" max="14345" width="9.1328125" style="94"/>
    <col min="14346" max="14346" width="9.46484375" style="94" customWidth="1"/>
    <col min="14347" max="14592" width="9.1328125" style="94"/>
    <col min="14593" max="14593" width="30.86328125" style="94" customWidth="1"/>
    <col min="14594" max="14594" width="9.1328125" style="94" customWidth="1"/>
    <col min="14595" max="14595" width="9.6640625" style="94" customWidth="1"/>
    <col min="14596" max="14596" width="15.1328125" style="94" customWidth="1"/>
    <col min="14597" max="14597" width="12" style="94" customWidth="1"/>
    <col min="14598" max="14601" width="9.1328125" style="94"/>
    <col min="14602" max="14602" width="9.46484375" style="94" customWidth="1"/>
    <col min="14603" max="14848" width="9.1328125" style="94"/>
    <col min="14849" max="14849" width="30.86328125" style="94" customWidth="1"/>
    <col min="14850" max="14850" width="9.1328125" style="94" customWidth="1"/>
    <col min="14851" max="14851" width="9.6640625" style="94" customWidth="1"/>
    <col min="14852" max="14852" width="15.1328125" style="94" customWidth="1"/>
    <col min="14853" max="14853" width="12" style="94" customWidth="1"/>
    <col min="14854" max="14857" width="9.1328125" style="94"/>
    <col min="14858" max="14858" width="9.46484375" style="94" customWidth="1"/>
    <col min="14859" max="15104" width="9.1328125" style="94"/>
    <col min="15105" max="15105" width="30.86328125" style="94" customWidth="1"/>
    <col min="15106" max="15106" width="9.1328125" style="94" customWidth="1"/>
    <col min="15107" max="15107" width="9.6640625" style="94" customWidth="1"/>
    <col min="15108" max="15108" width="15.1328125" style="94" customWidth="1"/>
    <col min="15109" max="15109" width="12" style="94" customWidth="1"/>
    <col min="15110" max="15113" width="9.1328125" style="94"/>
    <col min="15114" max="15114" width="9.46484375" style="94" customWidth="1"/>
    <col min="15115" max="15360" width="9.1328125" style="94"/>
    <col min="15361" max="15361" width="30.86328125" style="94" customWidth="1"/>
    <col min="15362" max="15362" width="9.1328125" style="94" customWidth="1"/>
    <col min="15363" max="15363" width="9.6640625" style="94" customWidth="1"/>
    <col min="15364" max="15364" width="15.1328125" style="94" customWidth="1"/>
    <col min="15365" max="15365" width="12" style="94" customWidth="1"/>
    <col min="15366" max="15369" width="9.1328125" style="94"/>
    <col min="15370" max="15370" width="9.46484375" style="94" customWidth="1"/>
    <col min="15371" max="15616" width="9.1328125" style="94"/>
    <col min="15617" max="15617" width="30.86328125" style="94" customWidth="1"/>
    <col min="15618" max="15618" width="9.1328125" style="94" customWidth="1"/>
    <col min="15619" max="15619" width="9.6640625" style="94" customWidth="1"/>
    <col min="15620" max="15620" width="15.1328125" style="94" customWidth="1"/>
    <col min="15621" max="15621" width="12" style="94" customWidth="1"/>
    <col min="15622" max="15625" width="9.1328125" style="94"/>
    <col min="15626" max="15626" width="9.46484375" style="94" customWidth="1"/>
    <col min="15627" max="15872" width="9.1328125" style="94"/>
    <col min="15873" max="15873" width="30.86328125" style="94" customWidth="1"/>
    <col min="15874" max="15874" width="9.1328125" style="94" customWidth="1"/>
    <col min="15875" max="15875" width="9.6640625" style="94" customWidth="1"/>
    <col min="15876" max="15876" width="15.1328125" style="94" customWidth="1"/>
    <col min="15877" max="15877" width="12" style="94" customWidth="1"/>
    <col min="15878" max="15881" width="9.1328125" style="94"/>
    <col min="15882" max="15882" width="9.46484375" style="94" customWidth="1"/>
    <col min="15883" max="16128" width="9.1328125" style="94"/>
    <col min="16129" max="16129" width="30.86328125" style="94" customWidth="1"/>
    <col min="16130" max="16130" width="9.1328125" style="94" customWidth="1"/>
    <col min="16131" max="16131" width="9.6640625" style="94" customWidth="1"/>
    <col min="16132" max="16132" width="15.1328125" style="94" customWidth="1"/>
    <col min="16133" max="16133" width="12" style="94" customWidth="1"/>
    <col min="16134" max="16137" width="9.1328125" style="94"/>
    <col min="16138" max="16138" width="9.46484375" style="94" customWidth="1"/>
    <col min="16139" max="16384" width="9.1328125" style="94"/>
  </cols>
  <sheetData>
    <row r="1" spans="1:6" s="91" customFormat="1" x14ac:dyDescent="0.45">
      <c r="A1" s="89" t="str">
        <f>[2]SharedInputs!B4</f>
        <v>AVISTA UTILITIES</v>
      </c>
      <c r="B1" s="89"/>
      <c r="C1" s="89"/>
      <c r="D1" s="89"/>
      <c r="E1" s="90"/>
      <c r="F1" s="89"/>
    </row>
    <row r="2" spans="1:6" s="91" customFormat="1" x14ac:dyDescent="0.45">
      <c r="A2" s="89" t="s">
        <v>112</v>
      </c>
      <c r="B2" s="89"/>
      <c r="C2" s="89"/>
      <c r="D2" s="89"/>
    </row>
    <row r="3" spans="1:6" s="91" customFormat="1" x14ac:dyDescent="0.45">
      <c r="A3" s="89" t="s">
        <v>166</v>
      </c>
      <c r="B3" s="89"/>
      <c r="C3" s="89"/>
      <c r="D3" s="89"/>
      <c r="E3" s="92"/>
      <c r="F3" s="90"/>
    </row>
    <row r="4" spans="1:6" s="91" customFormat="1" x14ac:dyDescent="0.45">
      <c r="A4" s="89"/>
      <c r="B4" s="89"/>
      <c r="C4" s="89"/>
      <c r="D4" s="89"/>
      <c r="E4" s="92"/>
      <c r="F4" s="90"/>
    </row>
    <row r="5" spans="1:6" s="91" customFormat="1" x14ac:dyDescent="0.45">
      <c r="A5" s="89"/>
      <c r="B5" s="89"/>
      <c r="C5" s="89"/>
      <c r="D5" s="89"/>
      <c r="E5" s="89" t="s">
        <v>161</v>
      </c>
      <c r="F5" s="89" t="s">
        <v>161</v>
      </c>
    </row>
    <row r="6" spans="1:6" x14ac:dyDescent="0.45">
      <c r="A6" s="171"/>
      <c r="B6" s="93"/>
      <c r="C6" s="93"/>
      <c r="E6" s="89" t="s">
        <v>150</v>
      </c>
      <c r="F6" s="89" t="s">
        <v>160</v>
      </c>
    </row>
    <row r="7" spans="1:6" x14ac:dyDescent="0.45">
      <c r="A7" s="93"/>
      <c r="B7" s="93"/>
      <c r="C7" s="93"/>
      <c r="E7" s="93"/>
      <c r="F7" s="93"/>
    </row>
    <row r="8" spans="1:6" x14ac:dyDescent="0.45">
      <c r="A8" s="93" t="s">
        <v>113</v>
      </c>
      <c r="B8" s="93"/>
      <c r="C8" s="93"/>
      <c r="E8" s="93">
        <v>1</v>
      </c>
      <c r="F8" s="93">
        <v>1</v>
      </c>
    </row>
    <row r="9" spans="1:6" x14ac:dyDescent="0.45">
      <c r="A9" s="93"/>
      <c r="B9" s="93"/>
      <c r="C9" s="93"/>
      <c r="E9" s="93"/>
      <c r="F9" s="93"/>
    </row>
    <row r="10" spans="1:6" x14ac:dyDescent="0.45">
      <c r="A10" s="93" t="s">
        <v>58</v>
      </c>
      <c r="B10" s="93"/>
      <c r="C10" s="93"/>
      <c r="E10" s="93"/>
      <c r="F10" s="93"/>
    </row>
    <row r="11" spans="1:6" x14ac:dyDescent="0.45">
      <c r="A11" s="93"/>
      <c r="B11" s="93"/>
      <c r="C11" s="93"/>
      <c r="E11" s="93"/>
      <c r="F11" s="93"/>
    </row>
    <row r="12" spans="1:6" x14ac:dyDescent="0.45">
      <c r="A12" s="93" t="s">
        <v>114</v>
      </c>
      <c r="B12" s="93"/>
      <c r="C12" s="93"/>
      <c r="E12" s="93">
        <v>6.1824999999999996E-3</v>
      </c>
      <c r="F12" s="93">
        <v>3.7820000000000002E-3</v>
      </c>
    </row>
    <row r="13" spans="1:6" x14ac:dyDescent="0.45">
      <c r="A13" s="93"/>
      <c r="B13" s="93"/>
      <c r="C13" s="93"/>
      <c r="E13" s="93"/>
      <c r="F13" s="93"/>
    </row>
    <row r="14" spans="1:6" x14ac:dyDescent="0.45">
      <c r="A14" s="93" t="s">
        <v>115</v>
      </c>
      <c r="B14" s="93"/>
      <c r="C14" s="93"/>
      <c r="E14" s="93">
        <v>2E-3</v>
      </c>
      <c r="F14" s="93">
        <v>2E-3</v>
      </c>
    </row>
    <row r="15" spans="1:6" x14ac:dyDescent="0.45">
      <c r="A15" s="93"/>
      <c r="B15" s="93"/>
      <c r="C15" s="93"/>
      <c r="E15" s="93"/>
      <c r="F15" s="93"/>
    </row>
    <row r="16" spans="1:6" x14ac:dyDescent="0.45">
      <c r="A16" s="93" t="s">
        <v>116</v>
      </c>
      <c r="B16" s="93"/>
      <c r="C16" s="93"/>
      <c r="E16" s="93">
        <v>3.8494500000000001E-2</v>
      </c>
      <c r="F16" s="93">
        <v>3.8587000000000003E-2</v>
      </c>
    </row>
    <row r="17" spans="1:11" x14ac:dyDescent="0.45">
      <c r="A17" s="93"/>
      <c r="B17" s="93"/>
      <c r="C17" s="93"/>
      <c r="E17" s="93"/>
      <c r="F17" s="93"/>
    </row>
    <row r="18" spans="1:11" x14ac:dyDescent="0.45">
      <c r="A18" s="93"/>
      <c r="B18" s="93"/>
      <c r="C18" s="93"/>
      <c r="E18" s="93"/>
    </row>
    <row r="19" spans="1:11" x14ac:dyDescent="0.45">
      <c r="A19" s="93" t="s">
        <v>59</v>
      </c>
      <c r="B19" s="93"/>
      <c r="C19" s="93"/>
      <c r="E19" s="95">
        <f>SUM(E11:E17)</f>
        <v>4.6676999999999996E-2</v>
      </c>
      <c r="F19" s="95">
        <f>SUM(F11:F17)</f>
        <v>4.4369000000000006E-2</v>
      </c>
      <c r="K19" s="96"/>
    </row>
    <row r="20" spans="1:11" ht="14.65" thickBot="1" x14ac:dyDescent="0.5">
      <c r="A20" s="93"/>
      <c r="B20" s="93"/>
      <c r="C20" s="93"/>
      <c r="E20" s="93"/>
    </row>
    <row r="21" spans="1:11" ht="15" thickTop="1" thickBot="1" x14ac:dyDescent="0.5">
      <c r="A21" s="93" t="s">
        <v>60</v>
      </c>
      <c r="B21" s="93"/>
      <c r="C21" s="93"/>
      <c r="E21" s="170">
        <f>E8-E19</f>
        <v>0.95332300000000003</v>
      </c>
      <c r="F21" s="170">
        <f>F8-F19</f>
        <v>0.95563100000000001</v>
      </c>
    </row>
    <row r="22" spans="1:11" ht="14.65" thickTop="1" x14ac:dyDescent="0.45">
      <c r="A22" s="93"/>
      <c r="B22" s="93"/>
      <c r="C22" s="93"/>
      <c r="E22" s="93"/>
      <c r="F22" s="93"/>
    </row>
    <row r="23" spans="1:11" x14ac:dyDescent="0.45">
      <c r="A23" s="93" t="s">
        <v>117</v>
      </c>
      <c r="B23" s="145">
        <v>0.21</v>
      </c>
      <c r="C23" s="97"/>
      <c r="E23" s="93">
        <f>E21*$B$23</f>
        <v>0.20019782999999999</v>
      </c>
      <c r="F23" s="93">
        <f>F21*$B$23</f>
        <v>0.20068250999999998</v>
      </c>
    </row>
    <row r="24" spans="1:11" x14ac:dyDescent="0.45">
      <c r="A24" s="93"/>
      <c r="B24" s="93"/>
      <c r="C24" s="93"/>
      <c r="E24" s="93"/>
      <c r="F24" s="93"/>
    </row>
    <row r="25" spans="1:11" x14ac:dyDescent="0.45">
      <c r="A25" s="93" t="s">
        <v>57</v>
      </c>
      <c r="B25" s="93"/>
      <c r="C25" s="93"/>
      <c r="E25" s="95">
        <f>E21-E23</f>
        <v>0.75312517000000001</v>
      </c>
      <c r="F25" s="95">
        <f>F21-F23</f>
        <v>0.75494849000000008</v>
      </c>
    </row>
    <row r="26" spans="1:11" x14ac:dyDescent="0.45">
      <c r="A26" s="93"/>
      <c r="B26" s="93"/>
      <c r="C26" s="93"/>
      <c r="E26" s="93"/>
      <c r="F26" s="93"/>
    </row>
    <row r="27" spans="1:11" x14ac:dyDescent="0.45">
      <c r="A27" s="93"/>
      <c r="B27" s="93"/>
      <c r="C27" s="93"/>
      <c r="E27" s="93"/>
      <c r="F27" s="93"/>
    </row>
    <row r="28" spans="1:11" x14ac:dyDescent="0.45">
      <c r="A28" s="93"/>
      <c r="B28" s="93"/>
      <c r="C28" s="93"/>
      <c r="D28" s="93"/>
      <c r="E28" s="93"/>
      <c r="F28" s="93"/>
    </row>
    <row r="33" spans="2:7" x14ac:dyDescent="0.45">
      <c r="G33" s="105"/>
    </row>
    <row r="41" spans="2:7" x14ac:dyDescent="0.45">
      <c r="B41" s="103"/>
    </row>
    <row r="42" spans="2:7" x14ac:dyDescent="0.45">
      <c r="C42" s="99"/>
    </row>
    <row r="43" spans="2:7" x14ac:dyDescent="0.45">
      <c r="C43" s="101"/>
    </row>
    <row r="44" spans="2:7" x14ac:dyDescent="0.45">
      <c r="C44" s="101"/>
    </row>
    <row r="49" spans="2:2" x14ac:dyDescent="0.45">
      <c r="B49" s="94" t="s">
        <v>119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2:I19"/>
  <sheetViews>
    <sheetView workbookViewId="0">
      <selection activeCell="A12" sqref="A12:D16"/>
    </sheetView>
  </sheetViews>
  <sheetFormatPr defaultColWidth="9.1328125" defaultRowHeight="13.15" x14ac:dyDescent="0.4"/>
  <cols>
    <col min="1" max="1" width="19.86328125" style="153" customWidth="1"/>
    <col min="2" max="2" width="9.796875" style="153" bestFit="1" customWidth="1"/>
    <col min="3" max="3" width="10.46484375" style="153" bestFit="1" customWidth="1"/>
    <col min="4" max="4" width="10.46484375" style="153" customWidth="1"/>
    <col min="5" max="5" width="9.1328125" style="153"/>
    <col min="6" max="6" width="11" style="153" customWidth="1"/>
    <col min="7" max="7" width="31.1328125" style="153" customWidth="1"/>
    <col min="8" max="9" width="12.46484375" style="153" customWidth="1"/>
    <col min="10" max="16384" width="9.1328125" style="153"/>
  </cols>
  <sheetData>
    <row r="12" spans="1:9" ht="26.25" x14ac:dyDescent="0.4">
      <c r="A12" s="166" t="s">
        <v>126</v>
      </c>
      <c r="B12" s="164" t="s">
        <v>127</v>
      </c>
      <c r="C12" s="164" t="s">
        <v>176</v>
      </c>
      <c r="D12" s="165" t="s">
        <v>129</v>
      </c>
      <c r="F12" s="173" t="s">
        <v>133</v>
      </c>
      <c r="G12" s="174" t="s">
        <v>139</v>
      </c>
      <c r="H12" s="175" t="s">
        <v>177</v>
      </c>
      <c r="I12" s="154"/>
    </row>
    <row r="13" spans="1:9" x14ac:dyDescent="0.4">
      <c r="A13" s="155" t="s">
        <v>105</v>
      </c>
      <c r="B13" s="156">
        <f>'Rate Design'!C39</f>
        <v>9</v>
      </c>
      <c r="C13" s="157"/>
      <c r="D13" s="158">
        <f>B13</f>
        <v>9</v>
      </c>
      <c r="F13" s="176" t="s">
        <v>134</v>
      </c>
      <c r="G13" s="177" t="s">
        <v>140</v>
      </c>
      <c r="H13" s="178">
        <f>'Rate Design'!D23</f>
        <v>-7.9524020797861372E-4</v>
      </c>
    </row>
    <row r="14" spans="1:9" x14ac:dyDescent="0.4">
      <c r="A14" s="155" t="s">
        <v>130</v>
      </c>
      <c r="B14" s="159">
        <f>'Rate Design'!C40</f>
        <v>7.8170000000000003E-2</v>
      </c>
      <c r="C14" s="159">
        <f>'Rate Design'!D18</f>
        <v>-7.3890183778235698E-5</v>
      </c>
      <c r="D14" s="160">
        <f>B14+C14</f>
        <v>7.8096109816221768E-2</v>
      </c>
      <c r="F14" s="176" t="s">
        <v>135</v>
      </c>
      <c r="G14" s="177" t="s">
        <v>141</v>
      </c>
      <c r="H14" s="178">
        <f>'Rate Design'!E23</f>
        <v>-5.4874500708995428E-4</v>
      </c>
    </row>
    <row r="15" spans="1:9" x14ac:dyDescent="0.4">
      <c r="A15" s="155" t="s">
        <v>131</v>
      </c>
      <c r="B15" s="159">
        <f>'Rate Design'!C41</f>
        <v>9.0490000000000001E-2</v>
      </c>
      <c r="C15" s="159">
        <f>C14</f>
        <v>-7.3890183778235698E-5</v>
      </c>
      <c r="D15" s="160">
        <f t="shared" ref="D15:D16" si="0">B15+C15</f>
        <v>9.0416109816221765E-2</v>
      </c>
      <c r="F15" s="176" t="s">
        <v>136</v>
      </c>
      <c r="G15" s="177" t="s">
        <v>142</v>
      </c>
      <c r="H15" s="178">
        <f>'Rate Design'!F23</f>
        <v>-6.2032022809969619E-4</v>
      </c>
    </row>
    <row r="16" spans="1:9" x14ac:dyDescent="0.4">
      <c r="A16" s="161" t="s">
        <v>154</v>
      </c>
      <c r="B16" s="162">
        <v>0.1056</v>
      </c>
      <c r="C16" s="162">
        <f>C15</f>
        <v>-7.3890183778235698E-5</v>
      </c>
      <c r="D16" s="163">
        <f t="shared" si="0"/>
        <v>0.10552610981622176</v>
      </c>
      <c r="F16" s="176" t="s">
        <v>137</v>
      </c>
      <c r="G16" s="177" t="s">
        <v>144</v>
      </c>
      <c r="H16" s="178">
        <f>'Rate Design'!G23</f>
        <v>-1.2250666601445913E-3</v>
      </c>
    </row>
    <row r="17" spans="6:8" x14ac:dyDescent="0.4">
      <c r="F17" s="176" t="s">
        <v>138</v>
      </c>
      <c r="G17" s="177" t="s">
        <v>143</v>
      </c>
      <c r="H17" s="178">
        <f>'Rate Design'!H23</f>
        <v>-1.0190424055222015E-3</v>
      </c>
    </row>
    <row r="18" spans="6:8" x14ac:dyDescent="0.4">
      <c r="F18" s="179" t="s">
        <v>145</v>
      </c>
      <c r="G18" s="177" t="s">
        <v>87</v>
      </c>
      <c r="H18" s="178">
        <f>'Rate Design'!I23</f>
        <v>2.6610142736121996E-4</v>
      </c>
    </row>
    <row r="19" spans="6:8" x14ac:dyDescent="0.4">
      <c r="F19" s="180"/>
      <c r="G19" s="181" t="s">
        <v>148</v>
      </c>
      <c r="H19" s="205">
        <f>'Rate Design'!C23</f>
        <v>-7.6083728277434484E-4</v>
      </c>
    </row>
  </sheetData>
  <pageMargins left="0.7" right="0.7" top="0.75" bottom="0.75" header="0.3" footer="0.3"/>
  <pageSetup orientation="portrait" r:id="rId1"/>
  <ignoredErrors>
    <ignoredError sqref="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8EC9340FE5F5D4B82B570D562501D53" ma:contentTypeVersion="52" ma:contentTypeDescription="" ma:contentTypeScope="" ma:versionID="fe3fd061cbc2bc278be44aec501625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2020-03-26T07:00:00+00:00</OpenedDate>
    <SignificantOrder xmlns="dc463f71-b30c-4ab2-9473-d307f9d35888">false</SignificantOrder>
    <Date1 xmlns="dc463f71-b30c-4ab2-9473-d307f9d35888">2020-03-26T07:00:00+00:00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200274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08EA292B-E513-453D-AE03-1D7DEF0D67BB}"/>
</file>

<file path=customXml/itemProps3.xml><?xml version="1.0" encoding="utf-8"?>
<ds:datastoreItem xmlns:ds="http://schemas.openxmlformats.org/officeDocument/2006/customXml" ds:itemID="{1685F602-8432-4B3F-AC6A-5583788662E6}"/>
</file>

<file path=customXml/itemProps4.xml><?xml version="1.0" encoding="utf-8"?>
<ds:datastoreItem xmlns:ds="http://schemas.openxmlformats.org/officeDocument/2006/customXml" ds:itemID="{B629617E-9FA8-4198-902A-E537051E4F0A}"/>
</file>

<file path=customXml/itemProps5.xml><?xml version="1.0" encoding="utf-8"?>
<ds:datastoreItem xmlns:ds="http://schemas.openxmlformats.org/officeDocument/2006/customXml" ds:itemID="{3C812A2F-F617-41BD-941D-E6063862CB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Rate Design</vt:lpstr>
      <vt:lpstr>3-2020 thru 6-2020 RECs</vt:lpstr>
      <vt:lpstr>7-2020 thru 6-2021 RECs</vt:lpstr>
      <vt:lpstr>Forecast Balance</vt:lpstr>
      <vt:lpstr>Forecasted Revenue</vt:lpstr>
      <vt:lpstr>kWh Forecast</vt:lpstr>
      <vt:lpstr>CF WA Elec</vt:lpstr>
      <vt:lpstr>Tables for Cust Notice</vt:lpstr>
      <vt:lpstr>'Forecast Balance'!Print_Area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Brandon, Annette</cp:lastModifiedBy>
  <cp:lastPrinted>2018-03-09T19:06:55Z</cp:lastPrinted>
  <dcterms:created xsi:type="dcterms:W3CDTF">2016-02-09T19:01:57Z</dcterms:created>
  <dcterms:modified xsi:type="dcterms:W3CDTF">2020-03-23T21:26:42Z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0x0101006E56B4D1795A2E4DB2F0B01679ED314A0068EC9340FE5F5D4B82B570D562501D53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