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7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ustomProperty4.bin" ContentType="application/vnd.openxmlformats-officedocument.spreadsheetml.customProperty"/>
  <Override PartName="/xl/customProperty6.bin" ContentType="application/vnd.openxmlformats-officedocument.spreadsheetml.customProperty"/>
  <Override PartName="/xl/comments2.xml" ContentType="application/vnd.openxmlformats-officedocument.spreadsheetml.comments+xml"/>
  <Override PartName="/xl/customProperty5.bin" ContentType="application/vnd.openxmlformats-officedocument.spreadsheetml.customProperty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0-10 Natural Gas Schedule 140 - Property Tax Tracker (UG-200270) (Eff. 05-1-20)\Workpapers\"/>
    </mc:Choice>
  </mc:AlternateContent>
  <bookViews>
    <workbookView xWindow="-15" yWindow="105" windowWidth="14520" windowHeight="12690" tabRatio="960"/>
  </bookViews>
  <sheets>
    <sheet name="2020 FINAL Rev Req" sheetId="46" r:id="rId1"/>
    <sheet name="2020 Final Payment" sheetId="47" r:id="rId2"/>
    <sheet name="Support===&gt;" sheetId="48" r:id="rId3"/>
    <sheet name="2019 FINAL Rev Req " sheetId="39" r:id="rId4"/>
    <sheet name="Electric summary" sheetId="42" r:id="rId5"/>
    <sheet name="Gas summary" sheetId="43" r:id="rId6"/>
    <sheet name="Elec Load Variance 2019" sheetId="38" r:id="rId7"/>
    <sheet name="Gas Load Variance 2019" sheetId="44" r:id="rId8"/>
    <sheet name="E Conv Fctr" sheetId="11" r:id="rId9"/>
    <sheet name="G Conv Fctr" sheetId="12" r:id="rId10"/>
  </sheets>
  <calcPr calcId="162913"/>
</workbook>
</file>

<file path=xl/calcChain.xml><?xml version="1.0" encoding="utf-8"?>
<calcChain xmlns="http://schemas.openxmlformats.org/spreadsheetml/2006/main">
  <c r="I27" i="47" l="1"/>
  <c r="L35" i="47" l="1"/>
  <c r="E19" i="12" l="1"/>
  <c r="O13" i="47" l="1"/>
  <c r="P13" i="47"/>
  <c r="O14" i="47"/>
  <c r="P14" i="47"/>
  <c r="O15" i="47"/>
  <c r="P15" i="47"/>
  <c r="O16" i="47"/>
  <c r="P16" i="47"/>
  <c r="G17" i="47"/>
  <c r="G21" i="47" s="1"/>
  <c r="G27" i="47" s="1"/>
  <c r="G37" i="47" s="1"/>
  <c r="I17" i="47"/>
  <c r="I21" i="47" s="1"/>
  <c r="I37" i="47" s="1"/>
  <c r="K17" i="47"/>
  <c r="K21" i="47" s="1"/>
  <c r="K27" i="47" s="1"/>
  <c r="K37" i="47" s="1"/>
  <c r="O17" i="47"/>
  <c r="P17" i="47"/>
  <c r="O18" i="47"/>
  <c r="P18" i="47"/>
  <c r="O19" i="47"/>
  <c r="P19" i="47"/>
  <c r="T19" i="47"/>
  <c r="U19" i="47"/>
  <c r="O20" i="47"/>
  <c r="P20" i="47"/>
  <c r="T20" i="47"/>
  <c r="U20" i="47"/>
  <c r="O22" i="47"/>
  <c r="P22" i="47"/>
  <c r="O23" i="47"/>
  <c r="P23" i="47"/>
  <c r="O24" i="47"/>
  <c r="P24" i="47"/>
  <c r="O25" i="47"/>
  <c r="P25" i="47"/>
  <c r="T25" i="47"/>
  <c r="T26" i="47" s="1"/>
  <c r="U25" i="47"/>
  <c r="U26" i="47" s="1"/>
  <c r="C27" i="47"/>
  <c r="E27" i="47"/>
  <c r="L29" i="47"/>
  <c r="L30" i="47"/>
  <c r="L31" i="47"/>
  <c r="C32" i="47"/>
  <c r="E32" i="47"/>
  <c r="G32" i="47"/>
  <c r="L33" i="47"/>
  <c r="L34" i="47"/>
  <c r="L36" i="47"/>
  <c r="A25" i="46"/>
  <c r="A26" i="46" s="1"/>
  <c r="A27" i="46" s="1"/>
  <c r="A30" i="46" s="1"/>
  <c r="A31" i="46" s="1"/>
  <c r="A32" i="46" s="1"/>
  <c r="A33" i="46" s="1"/>
  <c r="E6" i="46"/>
  <c r="I6" i="46" s="1"/>
  <c r="D6" i="46"/>
  <c r="I5" i="46"/>
  <c r="E11" i="46" s="1"/>
  <c r="H5" i="46"/>
  <c r="D11" i="46" s="1"/>
  <c r="O27" i="47" l="1"/>
  <c r="L32" i="47"/>
  <c r="E37" i="47"/>
  <c r="C40" i="47" s="1"/>
  <c r="E9" i="46" s="1"/>
  <c r="E25" i="46" s="1"/>
  <c r="C37" i="47"/>
  <c r="C39" i="47" s="1"/>
  <c r="D9" i="46" s="1"/>
  <c r="D13" i="46" s="1"/>
  <c r="P27" i="47"/>
  <c r="L27" i="47"/>
  <c r="L37" i="47" s="1"/>
  <c r="H11" i="46"/>
  <c r="D26" i="46"/>
  <c r="F11" i="46"/>
  <c r="E26" i="46"/>
  <c r="I26" i="46" s="1"/>
  <c r="I11" i="46"/>
  <c r="I12" i="46" s="1"/>
  <c r="F6" i="46"/>
  <c r="H6" i="46"/>
  <c r="D10" i="46"/>
  <c r="E10" i="46"/>
  <c r="I10" i="46" s="1"/>
  <c r="I9" i="46" l="1"/>
  <c r="I25" i="46"/>
  <c r="I27" i="46" s="1"/>
  <c r="E27" i="46"/>
  <c r="C41" i="47"/>
  <c r="C42" i="47" s="1"/>
  <c r="I13" i="46"/>
  <c r="I15" i="46" s="1"/>
  <c r="D25" i="46"/>
  <c r="F9" i="46"/>
  <c r="H9" i="46"/>
  <c r="H13" i="46" s="1"/>
  <c r="H10" i="46"/>
  <c r="J10" i="46" s="1"/>
  <c r="F10" i="46"/>
  <c r="H12" i="46"/>
  <c r="J11" i="46"/>
  <c r="J6" i="46"/>
  <c r="I30" i="46"/>
  <c r="I31" i="46" s="1"/>
  <c r="I28" i="46"/>
  <c r="E13" i="46"/>
  <c r="E15" i="46" s="1"/>
  <c r="H26" i="46"/>
  <c r="J26" i="46" s="1"/>
  <c r="F26" i="46"/>
  <c r="D15" i="46"/>
  <c r="E28" i="46" l="1"/>
  <c r="J13" i="46"/>
  <c r="J9" i="46"/>
  <c r="H25" i="46"/>
  <c r="J25" i="46" s="1"/>
  <c r="F25" i="46"/>
  <c r="D27" i="46"/>
  <c r="F15" i="46"/>
  <c r="H15" i="46"/>
  <c r="F13" i="46"/>
  <c r="H27" i="46" l="1"/>
  <c r="D28" i="46"/>
  <c r="F27" i="46"/>
  <c r="F28" i="46" s="1"/>
  <c r="J15" i="46"/>
  <c r="H30" i="46"/>
  <c r="H31" i="46" s="1"/>
  <c r="H28" i="46"/>
  <c r="J27" i="46"/>
  <c r="J28" i="46" s="1"/>
  <c r="H19" i="39" l="1"/>
  <c r="H9" i="39"/>
  <c r="H6" i="39"/>
  <c r="I5" i="39"/>
  <c r="I19" i="39" s="1"/>
  <c r="H5" i="39"/>
  <c r="H26" i="39"/>
  <c r="E27" i="39"/>
  <c r="D27" i="39"/>
  <c r="F18" i="39"/>
  <c r="H11" i="39"/>
  <c r="I10" i="39"/>
  <c r="F10" i="39"/>
  <c r="F9" i="39"/>
  <c r="F11" i="39"/>
  <c r="F19" i="39"/>
  <c r="F21" i="39"/>
  <c r="A25" i="39"/>
  <c r="A26" i="39" s="1"/>
  <c r="A27" i="39" s="1"/>
  <c r="A30" i="39" s="1"/>
  <c r="A31" i="39" s="1"/>
  <c r="A32" i="39" s="1"/>
  <c r="A33" i="39" s="1"/>
  <c r="F25" i="39"/>
  <c r="F26" i="39"/>
  <c r="I9" i="39" l="1"/>
  <c r="I11" i="39"/>
  <c r="J26" i="39"/>
  <c r="J19" i="39"/>
  <c r="I26" i="39"/>
  <c r="I6" i="39"/>
  <c r="J11" i="39"/>
  <c r="D28" i="39"/>
  <c r="F27" i="39"/>
  <c r="I25" i="39"/>
  <c r="I27" i="39" s="1"/>
  <c r="H13" i="39"/>
  <c r="D13" i="39"/>
  <c r="D15" i="39" s="1"/>
  <c r="H10" i="39"/>
  <c r="J10" i="39" s="1"/>
  <c r="E13" i="39"/>
  <c r="E15" i="39" s="1"/>
  <c r="I13" i="39"/>
  <c r="I15" i="39" s="1"/>
  <c r="I18" i="39" s="1"/>
  <c r="I21" i="39" s="1"/>
  <c r="H25" i="39"/>
  <c r="J9" i="39"/>
  <c r="J6" i="39"/>
  <c r="E28" i="39"/>
  <c r="F13" i="39"/>
  <c r="F28" i="39" s="1"/>
  <c r="F6" i="39"/>
  <c r="J13" i="39" l="1"/>
  <c r="I28" i="39"/>
  <c r="J25" i="39"/>
  <c r="I30" i="39"/>
  <c r="I31" i="39" s="1"/>
  <c r="H27" i="39"/>
  <c r="H15" i="39"/>
  <c r="F15" i="39"/>
  <c r="H28" i="39"/>
  <c r="J27" i="39"/>
  <c r="J28" i="39" s="1"/>
  <c r="H30" i="39"/>
  <c r="H31" i="39" s="1"/>
  <c r="H18" i="39" l="1"/>
  <c r="J15" i="39"/>
  <c r="H21" i="39" l="1"/>
  <c r="J21" i="39" s="1"/>
  <c r="J18" i="39"/>
  <c r="K23" i="44" l="1"/>
  <c r="M23" i="44" s="1"/>
  <c r="E23" i="44"/>
  <c r="G23" i="44" s="1"/>
  <c r="M22" i="44"/>
  <c r="L22" i="44"/>
  <c r="G22" i="44"/>
  <c r="F22" i="44"/>
  <c r="K19" i="44"/>
  <c r="M19" i="44" s="1"/>
  <c r="E19" i="44"/>
  <c r="G19" i="44" s="1"/>
  <c r="K18" i="44"/>
  <c r="M18" i="44" s="1"/>
  <c r="E18" i="44"/>
  <c r="G18" i="44" s="1"/>
  <c r="K17" i="44"/>
  <c r="M17" i="44" s="1"/>
  <c r="E17" i="44"/>
  <c r="G17" i="44" s="1"/>
  <c r="K16" i="44"/>
  <c r="M16" i="44" s="1"/>
  <c r="E16" i="44"/>
  <c r="G16" i="44" s="1"/>
  <c r="O16" i="44" s="1"/>
  <c r="K15" i="44"/>
  <c r="M15" i="44" s="1"/>
  <c r="E15" i="44"/>
  <c r="G15" i="44" s="1"/>
  <c r="O15" i="44" s="1"/>
  <c r="K14" i="44"/>
  <c r="M14" i="44" s="1"/>
  <c r="E14" i="44"/>
  <c r="G14" i="44" s="1"/>
  <c r="O14" i="44" s="1"/>
  <c r="K13" i="44"/>
  <c r="M13" i="44" s="1"/>
  <c r="E13" i="44"/>
  <c r="G13" i="44" s="1"/>
  <c r="O13" i="44" s="1"/>
  <c r="K12" i="44"/>
  <c r="M12" i="44" s="1"/>
  <c r="E12" i="44"/>
  <c r="G12" i="44" s="1"/>
  <c r="K11" i="44"/>
  <c r="M11" i="44" s="1"/>
  <c r="E11" i="44"/>
  <c r="G11" i="44" s="1"/>
  <c r="K10" i="44"/>
  <c r="M10" i="44" s="1"/>
  <c r="E10" i="44"/>
  <c r="G10" i="44" s="1"/>
  <c r="I20" i="44"/>
  <c r="E9" i="44"/>
  <c r="G9" i="44" s="1"/>
  <c r="K8" i="44"/>
  <c r="M8" i="44" s="1"/>
  <c r="E8" i="44"/>
  <c r="G8" i="44" s="1"/>
  <c r="O8" i="44" s="1"/>
  <c r="K7" i="44"/>
  <c r="J20" i="44"/>
  <c r="D20" i="44"/>
  <c r="E7" i="44"/>
  <c r="G7" i="44" l="1"/>
  <c r="E20" i="44"/>
  <c r="K20" i="44"/>
  <c r="O10" i="44"/>
  <c r="O12" i="44"/>
  <c r="O18" i="44"/>
  <c r="O23" i="44"/>
  <c r="O9" i="44"/>
  <c r="O11" i="44"/>
  <c r="O17" i="44"/>
  <c r="O19" i="44"/>
  <c r="C20" i="44"/>
  <c r="M7" i="44"/>
  <c r="K9" i="44"/>
  <c r="M9" i="44" s="1"/>
  <c r="B46" i="42"/>
  <c r="B47" i="42" l="1"/>
  <c r="M20" i="44"/>
  <c r="G20" i="44"/>
  <c r="O7" i="44"/>
  <c r="O20" i="44" s="1"/>
  <c r="O26" i="44" s="1"/>
  <c r="K29" i="38"/>
  <c r="L24" i="38"/>
  <c r="N24" i="38" s="1"/>
  <c r="K22" i="38"/>
  <c r="L15" i="38"/>
  <c r="N15" i="38" s="1"/>
  <c r="L13" i="38"/>
  <c r="N13" i="38" s="1"/>
  <c r="J9" i="38"/>
  <c r="H33" i="38"/>
  <c r="H24" i="38"/>
  <c r="H15" i="38"/>
  <c r="H14" i="38"/>
  <c r="F33" i="38"/>
  <c r="F31" i="38"/>
  <c r="H31" i="38" s="1"/>
  <c r="F28" i="38"/>
  <c r="H28" i="38" s="1"/>
  <c r="F27" i="38"/>
  <c r="F21" i="38"/>
  <c r="H21" i="38" s="1"/>
  <c r="D22" i="38"/>
  <c r="F19" i="38"/>
  <c r="F15" i="38"/>
  <c r="F13" i="38"/>
  <c r="H13" i="38" s="1"/>
  <c r="E16" i="38"/>
  <c r="E9" i="38"/>
  <c r="L8" i="38"/>
  <c r="L9" i="38" s="1"/>
  <c r="A9" i="38"/>
  <c r="K9" i="38"/>
  <c r="A10" i="38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F14" i="38"/>
  <c r="K16" i="38"/>
  <c r="L20" i="38"/>
  <c r="N20" i="38"/>
  <c r="J22" i="38"/>
  <c r="F24" i="38"/>
  <c r="L28" i="38"/>
  <c r="N28" i="38" s="1"/>
  <c r="E29" i="38"/>
  <c r="L33" i="38"/>
  <c r="N33" i="38" s="1"/>
  <c r="H19" i="38" l="1"/>
  <c r="E22" i="38"/>
  <c r="E35" i="38" s="1"/>
  <c r="L19" i="38"/>
  <c r="L22" i="38" s="1"/>
  <c r="H27" i="38"/>
  <c r="F12" i="38"/>
  <c r="H12" i="38" s="1"/>
  <c r="L12" i="38"/>
  <c r="N12" i="38" s="1"/>
  <c r="N16" i="38" s="1"/>
  <c r="L14" i="38"/>
  <c r="N14" i="38" s="1"/>
  <c r="P14" i="38" s="1"/>
  <c r="L21" i="38"/>
  <c r="N21" i="38" s="1"/>
  <c r="L27" i="38"/>
  <c r="L31" i="38"/>
  <c r="N31" i="38" s="1"/>
  <c r="N19" i="38"/>
  <c r="P19" i="38" s="1"/>
  <c r="N27" i="38"/>
  <c r="P13" i="38"/>
  <c r="J29" i="38"/>
  <c r="P24" i="38"/>
  <c r="J16" i="38"/>
  <c r="P15" i="38"/>
  <c r="K35" i="38"/>
  <c r="N29" i="38"/>
  <c r="N8" i="38"/>
  <c r="N9" i="38" s="1"/>
  <c r="P31" i="38"/>
  <c r="P21" i="38"/>
  <c r="D29" i="38"/>
  <c r="F20" i="38"/>
  <c r="F16" i="38"/>
  <c r="D16" i="38"/>
  <c r="F8" i="38"/>
  <c r="H8" i="38" s="1"/>
  <c r="H9" i="38" s="1"/>
  <c r="D9" i="38"/>
  <c r="D35" i="38" s="1"/>
  <c r="P33" i="38"/>
  <c r="P28" i="38"/>
  <c r="H29" i="38"/>
  <c r="P27" i="38"/>
  <c r="L29" i="38"/>
  <c r="F29" i="38"/>
  <c r="P12" i="38" l="1"/>
  <c r="P16" i="38" s="1"/>
  <c r="H16" i="38"/>
  <c r="F9" i="38"/>
  <c r="H20" i="38"/>
  <c r="H22" i="38" s="1"/>
  <c r="N22" i="38"/>
  <c r="N35" i="38" s="1"/>
  <c r="L16" i="38"/>
  <c r="L35" i="38" s="1"/>
  <c r="J35" i="38"/>
  <c r="P8" i="38"/>
  <c r="P9" i="38" s="1"/>
  <c r="P29" i="38"/>
  <c r="F22" i="38"/>
  <c r="H35" i="38"/>
  <c r="F35" i="38" l="1"/>
  <c r="P20" i="38"/>
  <c r="P22" i="38" s="1"/>
  <c r="P35" i="38" s="1"/>
  <c r="B40" i="43" l="1"/>
  <c r="B39" i="43"/>
  <c r="B38" i="43"/>
  <c r="B37" i="43"/>
  <c r="B36" i="43"/>
  <c r="B35" i="43"/>
  <c r="B34" i="43"/>
  <c r="B33" i="43"/>
  <c r="F33" i="43"/>
  <c r="B32" i="43"/>
  <c r="B31" i="43"/>
  <c r="B30" i="43"/>
  <c r="E29" i="43"/>
  <c r="B29" i="43"/>
  <c r="C29" i="43" s="1"/>
  <c r="F29" i="43"/>
  <c r="D29" i="43"/>
  <c r="D30" i="43" s="1"/>
  <c r="I22" i="43"/>
  <c r="F34" i="43"/>
  <c r="J13" i="43"/>
  <c r="K13" i="43" s="1"/>
  <c r="K9" i="43"/>
  <c r="F33" i="42"/>
  <c r="F29" i="42"/>
  <c r="C29" i="42"/>
  <c r="I22" i="42"/>
  <c r="J13" i="42"/>
  <c r="F32" i="42"/>
  <c r="F31" i="42"/>
  <c r="F30" i="42"/>
  <c r="D9" i="42"/>
  <c r="K9" i="42"/>
  <c r="L9" i="42" s="1"/>
  <c r="K12" i="42" l="1"/>
  <c r="K10" i="42"/>
  <c r="K10" i="43"/>
  <c r="J22" i="43"/>
  <c r="D10" i="42"/>
  <c r="D11" i="42" s="1"/>
  <c r="D12" i="42" s="1"/>
  <c r="C30" i="43"/>
  <c r="C31" i="43" s="1"/>
  <c r="C32" i="43" s="1"/>
  <c r="K11" i="43"/>
  <c r="F31" i="43"/>
  <c r="E30" i="43"/>
  <c r="E31" i="43" s="1"/>
  <c r="G29" i="43"/>
  <c r="C9" i="43" s="1"/>
  <c r="F9" i="43" s="1"/>
  <c r="G9" i="43" s="1"/>
  <c r="D31" i="43"/>
  <c r="D32" i="43" s="1"/>
  <c r="L9" i="43"/>
  <c r="E13" i="43"/>
  <c r="K14" i="43"/>
  <c r="F30" i="43"/>
  <c r="G29" i="42"/>
  <c r="C30" i="42"/>
  <c r="K11" i="42"/>
  <c r="L10" i="42"/>
  <c r="L11" i="42" s="1"/>
  <c r="L12" i="42" s="1"/>
  <c r="J22" i="42"/>
  <c r="K13" i="42"/>
  <c r="E13" i="42"/>
  <c r="F34" i="42"/>
  <c r="K14" i="42"/>
  <c r="D13" i="42" l="1"/>
  <c r="L10" i="43"/>
  <c r="L11" i="43" s="1"/>
  <c r="D14" i="42"/>
  <c r="D15" i="42" s="1"/>
  <c r="G30" i="43"/>
  <c r="C10" i="43" s="1"/>
  <c r="F10" i="43" s="1"/>
  <c r="G10" i="43" s="1"/>
  <c r="D33" i="43"/>
  <c r="K17" i="43"/>
  <c r="F37" i="43"/>
  <c r="C33" i="43"/>
  <c r="E32" i="43"/>
  <c r="F32" i="43"/>
  <c r="K12" i="43"/>
  <c r="L12" i="43"/>
  <c r="L13" i="43" s="1"/>
  <c r="L14" i="43" s="1"/>
  <c r="F35" i="43"/>
  <c r="K15" i="43"/>
  <c r="G31" i="43"/>
  <c r="C11" i="43" s="1"/>
  <c r="F11" i="43" s="1"/>
  <c r="G30" i="42"/>
  <c r="C10" i="42" s="1"/>
  <c r="F10" i="42" s="1"/>
  <c r="F35" i="42"/>
  <c r="K15" i="42"/>
  <c r="L13" i="42"/>
  <c r="L14" i="42" s="1"/>
  <c r="C9" i="42"/>
  <c r="F9" i="42" s="1"/>
  <c r="G9" i="42" s="1"/>
  <c r="C31" i="42"/>
  <c r="L15" i="42" l="1"/>
  <c r="G11" i="43"/>
  <c r="D16" i="42"/>
  <c r="D17" i="42" s="1"/>
  <c r="D34" i="43"/>
  <c r="F36" i="43"/>
  <c r="K16" i="43"/>
  <c r="L15" i="43"/>
  <c r="L16" i="43" s="1"/>
  <c r="L17" i="43" s="1"/>
  <c r="G32" i="43"/>
  <c r="C12" i="43" s="1"/>
  <c r="F12" i="43" s="1"/>
  <c r="E33" i="43"/>
  <c r="F38" i="43"/>
  <c r="K18" i="43"/>
  <c r="C34" i="43"/>
  <c r="G31" i="42"/>
  <c r="C11" i="42" s="1"/>
  <c r="F11" i="42" s="1"/>
  <c r="C32" i="42"/>
  <c r="G32" i="42" s="1"/>
  <c r="C12" i="42" s="1"/>
  <c r="F12" i="42" s="1"/>
  <c r="G10" i="42"/>
  <c r="K16" i="42"/>
  <c r="F36" i="42"/>
  <c r="L18" i="43" l="1"/>
  <c r="L16" i="42"/>
  <c r="D18" i="42"/>
  <c r="D19" i="42" s="1"/>
  <c r="D20" i="42" s="1"/>
  <c r="G12" i="43"/>
  <c r="D35" i="43"/>
  <c r="D36" i="43" s="1"/>
  <c r="D37" i="43" s="1"/>
  <c r="C35" i="43"/>
  <c r="E34" i="43"/>
  <c r="G33" i="43"/>
  <c r="C13" i="43" s="1"/>
  <c r="F13" i="43" s="1"/>
  <c r="G13" i="43" s="1"/>
  <c r="F39" i="43"/>
  <c r="K19" i="43"/>
  <c r="L19" i="43" s="1"/>
  <c r="K17" i="42"/>
  <c r="L17" i="42" s="1"/>
  <c r="F37" i="42"/>
  <c r="C33" i="42"/>
  <c r="C34" i="42" s="1"/>
  <c r="G11" i="42"/>
  <c r="G12" i="42" s="1"/>
  <c r="D38" i="43" l="1"/>
  <c r="D39" i="43" s="1"/>
  <c r="D40" i="43" s="1"/>
  <c r="F40" i="43"/>
  <c r="K20" i="43"/>
  <c r="K22" i="43" s="1"/>
  <c r="H22" i="43"/>
  <c r="C36" i="43"/>
  <c r="G34" i="43"/>
  <c r="C14" i="43" s="1"/>
  <c r="F14" i="43" s="1"/>
  <c r="G14" i="43" s="1"/>
  <c r="E35" i="43"/>
  <c r="G35" i="43" s="1"/>
  <c r="C15" i="43" s="1"/>
  <c r="F15" i="43" s="1"/>
  <c r="D42" i="42"/>
  <c r="G34" i="42"/>
  <c r="C14" i="42" s="1"/>
  <c r="F14" i="42" s="1"/>
  <c r="F38" i="42"/>
  <c r="K18" i="42"/>
  <c r="L18" i="42" s="1"/>
  <c r="G33" i="42"/>
  <c r="C35" i="42"/>
  <c r="G15" i="43" l="1"/>
  <c r="L20" i="43"/>
  <c r="E36" i="43"/>
  <c r="E37" i="43" s="1"/>
  <c r="E38" i="43" s="1"/>
  <c r="E39" i="43" s="1"/>
  <c r="E40" i="43" s="1"/>
  <c r="C37" i="43"/>
  <c r="E42" i="42"/>
  <c r="G35" i="42"/>
  <c r="C15" i="42" s="1"/>
  <c r="F15" i="42" s="1"/>
  <c r="C36" i="42"/>
  <c r="F39" i="42"/>
  <c r="K19" i="42"/>
  <c r="L19" i="42" s="1"/>
  <c r="H22" i="42"/>
  <c r="C13" i="42"/>
  <c r="F13" i="42" s="1"/>
  <c r="G13" i="42" s="1"/>
  <c r="G14" i="42" s="1"/>
  <c r="G36" i="43" l="1"/>
  <c r="C16" i="43" s="1"/>
  <c r="F16" i="43" s="1"/>
  <c r="G16" i="43" s="1"/>
  <c r="G37" i="43"/>
  <c r="C17" i="43" s="1"/>
  <c r="F17" i="43" s="1"/>
  <c r="C38" i="43"/>
  <c r="G36" i="42"/>
  <c r="C37" i="42"/>
  <c r="K20" i="42"/>
  <c r="K22" i="42" s="1"/>
  <c r="F40" i="42"/>
  <c r="F42" i="42" s="1"/>
  <c r="G15" i="42"/>
  <c r="G17" i="43" l="1"/>
  <c r="G38" i="43"/>
  <c r="C18" i="43" s="1"/>
  <c r="F18" i="43" s="1"/>
  <c r="C39" i="43"/>
  <c r="G37" i="42"/>
  <c r="C17" i="42" s="1"/>
  <c r="F17" i="42" s="1"/>
  <c r="C38" i="42"/>
  <c r="C16" i="42"/>
  <c r="F16" i="42" s="1"/>
  <c r="G16" i="42" s="1"/>
  <c r="L20" i="42"/>
  <c r="G18" i="43" l="1"/>
  <c r="G39" i="43"/>
  <c r="C19" i="43" s="1"/>
  <c r="F19" i="43" s="1"/>
  <c r="C40" i="43"/>
  <c r="G40" i="43" s="1"/>
  <c r="C20" i="43" s="1"/>
  <c r="F20" i="43" s="1"/>
  <c r="G38" i="42"/>
  <c r="C18" i="42" s="1"/>
  <c r="F18" i="42" s="1"/>
  <c r="C39" i="42"/>
  <c r="G17" i="42"/>
  <c r="G19" i="43" l="1"/>
  <c r="G20" i="43" s="1"/>
  <c r="G39" i="42"/>
  <c r="C19" i="42" s="1"/>
  <c r="F19" i="42" s="1"/>
  <c r="C40" i="42"/>
  <c r="G18" i="42"/>
  <c r="E19" i="46" l="1"/>
  <c r="G40" i="42"/>
  <c r="C42" i="42"/>
  <c r="G19" i="42"/>
  <c r="I19" i="46" l="1"/>
  <c r="I18" i="46" s="1"/>
  <c r="I21" i="46" s="1"/>
  <c r="E18" i="46"/>
  <c r="E21" i="46" s="1"/>
  <c r="C20" i="42"/>
  <c r="F20" i="42" s="1"/>
  <c r="G20" i="42" s="1"/>
  <c r="G42" i="42"/>
  <c r="D19" i="46" l="1"/>
  <c r="H19" i="46" l="1"/>
  <c r="F19" i="46"/>
  <c r="D18" i="46"/>
  <c r="F18" i="46" l="1"/>
  <c r="D21" i="46"/>
  <c r="F21" i="46" s="1"/>
  <c r="J19" i="46"/>
  <c r="H18" i="46"/>
  <c r="H21" i="46" l="1"/>
  <c r="J21" i="46" s="1"/>
  <c r="J18" i="46"/>
  <c r="B13" i="12" l="1"/>
  <c r="B15" i="11"/>
</calcChain>
</file>

<file path=xl/comments1.xml><?xml version="1.0" encoding="utf-8"?>
<comments xmlns="http://schemas.openxmlformats.org/spreadsheetml/2006/main">
  <authors>
    <author>Puget Sound Energy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Update in Nov for new rates and amount</t>
        </r>
      </text>
    </comment>
  </commentList>
</comments>
</file>

<file path=xl/comments2.xml><?xml version="1.0" encoding="utf-8"?>
<comments xmlns="http://schemas.openxmlformats.org/spreadsheetml/2006/main">
  <authors>
    <author>Paul Schmidt</author>
  </authors>
  <commentList>
    <comment ref="C23" authorId="0" shapeId="0">
      <text>
        <r>
          <rPr>
            <b/>
            <sz val="9"/>
            <color indexed="81"/>
            <rFont val="Tahoma"/>
            <family val="2"/>
          </rPr>
          <t>Paul Schmidt:</t>
        </r>
        <r>
          <rPr>
            <sz val="9"/>
            <color indexed="81"/>
            <rFont val="Tahoma"/>
            <family val="2"/>
          </rPr>
          <t xml:space="preserve">
Rentals forecast from 2018 Property Tax Filing prorated for 4 months.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Paul Schmidt:</t>
        </r>
        <r>
          <rPr>
            <sz val="9"/>
            <color indexed="81"/>
            <rFont val="Tahoma"/>
            <family val="2"/>
          </rPr>
          <t xml:space="preserve">
Rentals forecast from 2019 Property Tax Filing prorated for 8 months.</t>
        </r>
      </text>
    </comment>
  </commentList>
</comments>
</file>

<file path=xl/sharedStrings.xml><?xml version="1.0" encoding="utf-8"?>
<sst xmlns="http://schemas.openxmlformats.org/spreadsheetml/2006/main" count="463" uniqueCount="269">
  <si>
    <t>Electric</t>
  </si>
  <si>
    <t>Gas</t>
  </si>
  <si>
    <t>Total</t>
  </si>
  <si>
    <t>Rate Increase</t>
  </si>
  <si>
    <t>Base Property Tax Revenue Requirement (140A)</t>
  </si>
  <si>
    <t>Deferral Revenue Requirement (140B)</t>
  </si>
  <si>
    <t>Components of Revenue Requirement Increase:</t>
  </si>
  <si>
    <t>Add Increment to New Cash Payment</t>
  </si>
  <si>
    <t>Change in Revenue Requirement</t>
  </si>
  <si>
    <t>Net Change in Load True-Up</t>
  </si>
  <si>
    <t>Description</t>
  </si>
  <si>
    <t>Montana</t>
  </si>
  <si>
    <t>Oregon</t>
  </si>
  <si>
    <t>Balance</t>
  </si>
  <si>
    <t>PUGET SOUND ENERGY-ELECTRIC</t>
  </si>
  <si>
    <t>CONVERSION FACTOR</t>
  </si>
  <si>
    <t>LINE</t>
  </si>
  <si>
    <t>NO.</t>
  </si>
  <si>
    <t>DESCRIPTION</t>
  </si>
  <si>
    <t>RATE</t>
  </si>
  <si>
    <t>BAD DEBTS</t>
  </si>
  <si>
    <t>ANNUAL FILING FEE</t>
  </si>
  <si>
    <t>SUM OF TAXES OTHER</t>
  </si>
  <si>
    <t xml:space="preserve">New Revenue Requirement </t>
  </si>
  <si>
    <t>Pre-Revenue Sensitive Items (RSI)</t>
  </si>
  <si>
    <t>Grossed Up for RSI</t>
  </si>
  <si>
    <t>= 1</t>
  </si>
  <si>
    <t>= 1 + 6</t>
  </si>
  <si>
    <t>= 3 - 4 + 5</t>
  </si>
  <si>
    <t>= 7</t>
  </si>
  <si>
    <t>= 10 - 9</t>
  </si>
  <si>
    <t xml:space="preserve">Per section "e" of the tariff, where the increase or decrease results in an amount that is less than 1% of the prior year Revenue Requirement, </t>
  </si>
  <si>
    <t>the existing tariff rates will not be changed and the filing will consist of a letter explaining that no tariff change is required.</t>
  </si>
  <si>
    <t>(e) = (c * d)</t>
  </si>
  <si>
    <t>(d)</t>
  </si>
  <si>
    <t>(c) = (b - a)</t>
  </si>
  <si>
    <t>(b)</t>
  </si>
  <si>
    <t>(a)</t>
  </si>
  <si>
    <t>(c) = (a - b)</t>
  </si>
  <si>
    <t>Total Variance</t>
  </si>
  <si>
    <t>Variance</t>
  </si>
  <si>
    <t>Jan-Apr  Variance</t>
  </si>
  <si>
    <t>Schedule</t>
  </si>
  <si>
    <t>Line No.</t>
  </si>
  <si>
    <t>Puget Sound Energy</t>
  </si>
  <si>
    <t>Rate Schedule</t>
  </si>
  <si>
    <t>Load Variance (Therms)</t>
  </si>
  <si>
    <t>Contracts</t>
  </si>
  <si>
    <t xml:space="preserve">Total </t>
  </si>
  <si>
    <t>Residential</t>
  </si>
  <si>
    <t>Interruptible</t>
  </si>
  <si>
    <t>Total Residential</t>
  </si>
  <si>
    <t>Secondary Voltage</t>
  </si>
  <si>
    <t>Demand &lt;= 50 kW</t>
  </si>
  <si>
    <t>8 / 24</t>
  </si>
  <si>
    <t>Demand &gt; 50 kW but &lt;= 350 kW</t>
  </si>
  <si>
    <t>7A / 11 / 25</t>
  </si>
  <si>
    <t>Demand &gt; 350 kW</t>
  </si>
  <si>
    <t>12 / 26 / 26P</t>
  </si>
  <si>
    <t>Seasonal Irrigation &amp; Drainage Pumping</t>
  </si>
  <si>
    <t>Total Secondary Voltage</t>
  </si>
  <si>
    <t>Primary Voltage</t>
  </si>
  <si>
    <t>General Service</t>
  </si>
  <si>
    <t>10 / 31</t>
  </si>
  <si>
    <t>Interruptible Total Electric Schools</t>
  </si>
  <si>
    <t>Total Primary Voltage</t>
  </si>
  <si>
    <t>Campus Rate</t>
  </si>
  <si>
    <t>High Voltage</t>
  </si>
  <si>
    <t>Total High Voltage</t>
  </si>
  <si>
    <t>Lighting</t>
  </si>
  <si>
    <t>50-59</t>
  </si>
  <si>
    <t>Total Choice /Retail Wheeling</t>
  </si>
  <si>
    <t>Total Jurisdictional Retail Sales</t>
  </si>
  <si>
    <t>Change</t>
  </si>
  <si>
    <t>July</t>
  </si>
  <si>
    <t>Rental Schedules</t>
  </si>
  <si>
    <t>Increase as a percent of prior year's revenue</t>
  </si>
  <si>
    <t>requirement Filing Required?</t>
  </si>
  <si>
    <t>18238041 Current Period Deferral</t>
  </si>
  <si>
    <t>18238031 Prior Period Deferral</t>
  </si>
  <si>
    <t>Estimated</t>
  </si>
  <si>
    <t>Booked</t>
  </si>
  <si>
    <t>Received</t>
  </si>
  <si>
    <t>Year End</t>
  </si>
  <si>
    <t>To</t>
  </si>
  <si>
    <t>in</t>
  </si>
  <si>
    <t>to</t>
  </si>
  <si>
    <t>Deferral</t>
  </si>
  <si>
    <t>Net</t>
  </si>
  <si>
    <t>Month</t>
  </si>
  <si>
    <t>Accrual</t>
  </si>
  <si>
    <t>Payable</t>
  </si>
  <si>
    <t>Revenue</t>
  </si>
  <si>
    <t>Transfer</t>
  </si>
  <si>
    <t>Amortization</t>
  </si>
  <si>
    <t>True-Up</t>
  </si>
  <si>
    <t>(includes amort &amp; amort rev)</t>
  </si>
  <si>
    <t>Beginning</t>
  </si>
  <si>
    <t>January</t>
  </si>
  <si>
    <t>February</t>
  </si>
  <si>
    <t>March</t>
  </si>
  <si>
    <t>April</t>
  </si>
  <si>
    <t>May</t>
  </si>
  <si>
    <t>June</t>
  </si>
  <si>
    <t>August</t>
  </si>
  <si>
    <t>September</t>
  </si>
  <si>
    <t>October</t>
  </si>
  <si>
    <t>November</t>
  </si>
  <si>
    <t>December</t>
  </si>
  <si>
    <t>(Counties)</t>
  </si>
  <si>
    <t>(Cities)</t>
  </si>
  <si>
    <t>Prior Year</t>
  </si>
  <si>
    <t>Property Taxes</t>
  </si>
  <si>
    <t>Suface Water</t>
  </si>
  <si>
    <t>Tax Bill</t>
  </si>
  <si>
    <t>(Annual)</t>
  </si>
  <si>
    <t>(Monthly)</t>
  </si>
  <si>
    <t>Mgmt Fees</t>
  </si>
  <si>
    <t>Corrections</t>
  </si>
  <si>
    <t>Activity</t>
  </si>
  <si>
    <t>18238042 Current Period Deferral</t>
  </si>
  <si>
    <t>18238032 Prior Period Deferral</t>
  </si>
  <si>
    <t>May-Dec Variance</t>
  </si>
  <si>
    <t>&lt;==Check Load</t>
  </si>
  <si>
    <t>Revenue Requirement Increase / (Decrease)</t>
  </si>
  <si>
    <t>FOR THE TWELVE MONTHS ENDED SEPTEMBER 30, 2016</t>
  </si>
  <si>
    <t>CONVERSION FACTOR EXCLUDING FEDERAL INCOME TAX ( 1 - LINE 5)</t>
  </si>
  <si>
    <t>FEDERAL INCOME TAX ( LINE 7 * 35%)</t>
  </si>
  <si>
    <t xml:space="preserve">CONVERSION FACTOR INCL FEDERAL INCOME TAX ( LINE 5 + LINE 8 ) </t>
  </si>
  <si>
    <t>GENERAL RATE CASE</t>
  </si>
  <si>
    <t>Total Variance ($)</t>
  </si>
  <si>
    <t>Residential Propane</t>
  </si>
  <si>
    <t>Commercial &amp; Industrial - Sales</t>
  </si>
  <si>
    <t>31T</t>
  </si>
  <si>
    <t>Commercial &amp; Industrial - Transportation</t>
  </si>
  <si>
    <t>Large Vol. High Load Factor - Sales</t>
  </si>
  <si>
    <t>41T</t>
  </si>
  <si>
    <t>Large Vol. High Load Factor - Transportation</t>
  </si>
  <si>
    <t>Interruptible - Sales</t>
  </si>
  <si>
    <t>85T</t>
  </si>
  <si>
    <t>Interruptible - Transportation</t>
  </si>
  <si>
    <t>Limited Interruptible - Sales</t>
  </si>
  <si>
    <t>86T</t>
  </si>
  <si>
    <t>Limited Interruptible - Transportation</t>
  </si>
  <si>
    <t>Non-exclusive Interruptible - Sales</t>
  </si>
  <si>
    <t>87T</t>
  </si>
  <si>
    <t>Non-exclusive Interruptible - Transportation</t>
  </si>
  <si>
    <t>Variance (Rentals)</t>
  </si>
  <si>
    <t>71,72 &amp; 74</t>
  </si>
  <si>
    <t>Property Tax Variance Calculation</t>
  </si>
  <si>
    <t>Revenue Requirement from 2018 Filing</t>
  </si>
  <si>
    <t>Cash Payment expected to be made 2019</t>
  </si>
  <si>
    <t>True-up for 2018 Load Variance</t>
  </si>
  <si>
    <t>= 7 - 9</t>
  </si>
  <si>
    <t>Step 1:</t>
  </si>
  <si>
    <t>Updated by Property Tax</t>
  </si>
  <si>
    <t>YTD</t>
  </si>
  <si>
    <t>relink cells</t>
  </si>
  <si>
    <t>Gas Schedule 140 Property Tax Tracker</t>
  </si>
  <si>
    <t>Revenue Variance</t>
  </si>
  <si>
    <t>Schedule 140 Rates Effective May 1, 2018</t>
  </si>
  <si>
    <t>16 &amp; 23</t>
  </si>
  <si>
    <r>
      <t>Deferral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</si>
  <si>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Represents 1) the difference between the base property taxes set in rates and the amount that is being accrued toward for the next year's payment and 2) load variances.</t>
    </r>
  </si>
  <si>
    <t>January 2019 - December 2019</t>
  </si>
  <si>
    <t>Jan - Apr 2019 (Actual Therms)</t>
  </si>
  <si>
    <t>Jan - Apr 2019 Variance ($)</t>
  </si>
  <si>
    <t>May - Dec 2019 (Actual Therms)</t>
  </si>
  <si>
    <t>Schedule 140 Rates Effective May 1, 2019</t>
  </si>
  <si>
    <t>May - Dec 2019 Variance ($)</t>
  </si>
  <si>
    <t>Jan - Apr 2019 (Forecasted Rentals)</t>
  </si>
  <si>
    <t>Jan - Apr 2019 (Actual Rentals)</t>
  </si>
  <si>
    <t>May - Dec 2019 (Forecasted Rentals)</t>
  </si>
  <si>
    <t>May - Dec 2019 (Actual Rentals)</t>
  </si>
  <si>
    <t>Actual Delivered January 2019 to April 2019</t>
  </si>
  <si>
    <t>Actual 8 Months ended December 2019</t>
  </si>
  <si>
    <t>F2018 Projected January 2019 to April 2019</t>
  </si>
  <si>
    <t>F2018 Projected 8 Months ended December 2019</t>
  </si>
  <si>
    <t>year 2019</t>
  </si>
  <si>
    <t>Property Tax Revenue Requirement - Final April, 2019</t>
  </si>
  <si>
    <t>Property Tracker Charge Effective 
5-1-18</t>
  </si>
  <si>
    <t>Property Tracker Charge Effective 5-1-19</t>
  </si>
  <si>
    <t>agrees to ending bal :</t>
  </si>
  <si>
    <t>Non-oper</t>
  </si>
  <si>
    <t>MT</t>
  </si>
  <si>
    <t>OR</t>
  </si>
  <si>
    <t>agrees to ending bal</t>
  </si>
  <si>
    <t>agrees to ending bal in 23600232</t>
  </si>
  <si>
    <t>Jan - Apr 2019 (F2017 Forecasted Therms)</t>
  </si>
  <si>
    <t>May - Dec 2019 (F2018 Forecasted Therms)</t>
  </si>
  <si>
    <t>check</t>
  </si>
  <si>
    <t>Revenue Requirement from 2019 Filing</t>
  </si>
  <si>
    <t>True-up for 2019 Load Variance</t>
  </si>
  <si>
    <r>
      <t xml:space="preserve">TOTAL EST'D </t>
    </r>
    <r>
      <rPr>
        <sz val="10"/>
        <color indexed="10"/>
        <rFont val="Arial"/>
        <family val="2"/>
      </rPr>
      <t>19-20</t>
    </r>
    <r>
      <rPr>
        <sz val="10"/>
        <rFont val="Arial"/>
        <family val="2"/>
      </rPr>
      <t xml:space="preserve"> PROPERTY TAX</t>
    </r>
  </si>
  <si>
    <t>PLNG</t>
  </si>
  <si>
    <r>
      <t xml:space="preserve">Property Tax Revenue Requirement - </t>
    </r>
    <r>
      <rPr>
        <b/>
        <sz val="14"/>
        <color rgb="FFFF0000"/>
        <rFont val="Calibri"/>
        <family val="2"/>
      </rPr>
      <t>FINAL</t>
    </r>
    <r>
      <rPr>
        <b/>
        <sz val="14"/>
        <color theme="1"/>
        <rFont val="Calibri"/>
        <family val="2"/>
        <scheme val="minor"/>
      </rPr>
      <t xml:space="preserve"> Filing - April, 2020</t>
    </r>
  </si>
  <si>
    <t>Total Actual Taxes 19-20</t>
  </si>
  <si>
    <t>19A</t>
  </si>
  <si>
    <t>Surface  water management/ MISC bills</t>
  </si>
  <si>
    <t>add 2nd half to OR Col</t>
  </si>
  <si>
    <t>(A)</t>
  </si>
  <si>
    <t>Non-OPER-40820001</t>
  </si>
  <si>
    <t>Refund:Prior year tax bill corrections</t>
  </si>
  <si>
    <t>Prior year tax bill corrections/refunds</t>
  </si>
  <si>
    <t>18-19 true-up ( 2nd True-up) not included in prior filing</t>
  </si>
  <si>
    <t>Load</t>
  </si>
  <si>
    <t>MT 1st half bill due</t>
  </si>
  <si>
    <t>Surface  water management</t>
  </si>
  <si>
    <t>Apr</t>
  </si>
  <si>
    <t>Mar</t>
  </si>
  <si>
    <t>Updated WA value</t>
  </si>
  <si>
    <t>ADD LOCALLY ASSESSED TAXES</t>
  </si>
  <si>
    <t>Feb</t>
  </si>
  <si>
    <t>ADD OPER Centrally ASSESSED TAXES</t>
  </si>
  <si>
    <t>Elec</t>
  </si>
  <si>
    <t>Jan</t>
  </si>
  <si>
    <t>Tax Value:</t>
  </si>
  <si>
    <t>2020:</t>
  </si>
  <si>
    <t>MT update ratio</t>
  </si>
  <si>
    <t>ESTIMATED OPER CENTRALLY ASSESSED TAXES</t>
  </si>
  <si>
    <t>Dec</t>
  </si>
  <si>
    <t>Nov</t>
  </si>
  <si>
    <t>Actual</t>
  </si>
  <si>
    <r>
      <rPr>
        <sz val="10"/>
        <color indexed="10"/>
        <rFont val="Arial"/>
        <family val="2"/>
      </rPr>
      <t>1-1-19</t>
    </r>
    <r>
      <rPr>
        <sz val="10"/>
        <rFont val="Arial"/>
        <family val="2"/>
      </rPr>
      <t xml:space="preserve"> Average  LEVY RATE(19-20 rates)</t>
    </r>
  </si>
  <si>
    <t>Oct</t>
  </si>
  <si>
    <t>WA est value in</t>
  </si>
  <si>
    <t>Sep</t>
  </si>
  <si>
    <t>MT final Value</t>
  </si>
  <si>
    <r>
      <t xml:space="preserve"> </t>
    </r>
    <r>
      <rPr>
        <sz val="10"/>
        <color indexed="10"/>
        <rFont val="Arial"/>
        <family val="2"/>
      </rPr>
      <t xml:space="preserve">1-1-19 </t>
    </r>
    <r>
      <rPr>
        <sz val="10"/>
        <rFont val="Arial"/>
        <family val="2"/>
      </rPr>
      <t>ASSESSED VALUE</t>
    </r>
  </si>
  <si>
    <t>Aug</t>
  </si>
  <si>
    <t>Value Indicators:</t>
  </si>
  <si>
    <t>Jul</t>
  </si>
  <si>
    <r>
      <t xml:space="preserve">1-1-18 </t>
    </r>
    <r>
      <rPr>
        <sz val="8"/>
        <rFont val="Arial"/>
        <family val="2"/>
      </rPr>
      <t>AVERAGE SYSTEM RATIO (19-20 rates)</t>
    </r>
  </si>
  <si>
    <t>Jun</t>
  </si>
  <si>
    <t>18-19 Levy rate are in</t>
  </si>
  <si>
    <t>Mar-2019</t>
  </si>
  <si>
    <r>
      <t xml:space="preserve"> </t>
    </r>
    <r>
      <rPr>
        <sz val="10"/>
        <color indexed="10"/>
        <rFont val="Arial"/>
        <family val="2"/>
      </rPr>
      <t>1-1-19</t>
    </r>
    <r>
      <rPr>
        <sz val="10"/>
        <rFont val="Arial"/>
        <family val="2"/>
      </rPr>
      <t xml:space="preserve"> DOR Value</t>
    </r>
  </si>
  <si>
    <t>2019:       LOAD</t>
  </si>
  <si>
    <t>Jul-Dec-2019</t>
  </si>
  <si>
    <t>Jan-Jun 2019</t>
  </si>
  <si>
    <t>JE 634</t>
  </si>
  <si>
    <t>Comments:</t>
  </si>
  <si>
    <t>Taxes</t>
  </si>
  <si>
    <t>JE 252</t>
  </si>
  <si>
    <t>JE 171</t>
  </si>
  <si>
    <t>JE 172</t>
  </si>
  <si>
    <t>JE 170</t>
  </si>
  <si>
    <t>load</t>
  </si>
  <si>
    <t>Order #</t>
  </si>
  <si>
    <t>tracker</t>
  </si>
  <si>
    <t>Tracker SAP #</t>
  </si>
  <si>
    <t>actual</t>
  </si>
  <si>
    <t>SAP #</t>
  </si>
  <si>
    <t>GAS</t>
  </si>
  <si>
    <t>ELECTRIC</t>
  </si>
  <si>
    <t>Total Est</t>
  </si>
  <si>
    <t>LOAD</t>
  </si>
  <si>
    <t>19-20</t>
  </si>
  <si>
    <t>Schedule 140 tracker</t>
  </si>
  <si>
    <r>
      <t xml:space="preserve">ESTIMATED PROPERTY TAXES FOR </t>
    </r>
    <r>
      <rPr>
        <b/>
        <sz val="10"/>
        <color indexed="10"/>
        <rFont val="Arial"/>
        <family val="2"/>
      </rPr>
      <t>2019</t>
    </r>
    <r>
      <rPr>
        <b/>
        <sz val="10"/>
        <rFont val="Arial"/>
        <family val="2"/>
      </rPr>
      <t xml:space="preserve"> Payable in </t>
    </r>
    <r>
      <rPr>
        <b/>
        <sz val="10"/>
        <color indexed="10"/>
        <rFont val="Arial"/>
        <family val="2"/>
      </rPr>
      <t>2020</t>
    </r>
  </si>
  <si>
    <t>Property tax Dept</t>
  </si>
  <si>
    <t>PROPERTY TAX DEPT</t>
  </si>
  <si>
    <t>PUGET SOUND ENERGY</t>
  </si>
  <si>
    <t>Cash Payment to be made 2020</t>
  </si>
  <si>
    <t>&lt;= check</t>
  </si>
  <si>
    <t>As Used in UE-180282 and UG-180283</t>
  </si>
  <si>
    <t>PUGET SOUND ENERGY-GAS (PER SETTLEMENT)</t>
  </si>
  <si>
    <t>ADJUSTED FOR FEDERAL TAX RATE CHANGE FROM 35% to 21%</t>
  </si>
  <si>
    <t>Schedule 54  (CNG()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</si>
</sst>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0.0000%"/>
    <numFmt numFmtId="168" formatCode="0.00000%"/>
    <numFmt numFmtId="169" formatCode="0.0%"/>
    <numFmt numFmtId="170" formatCode="0.000%"/>
    <numFmt numFmtId="171" formatCode="_(&quot;$&quot;* #,##0.000000_);_(&quot;$&quot;* \(#,##0.000000\);_(&quot;$&quot;* &quot;-&quot;??_);_(@_)"/>
    <numFmt numFmtId="172" formatCode="_(&quot;$&quot;* #,##0.00000_);_(&quot;$&quot;* \(#,##0.00000\);_(&quot;$&quot;* &quot;-&quot;??_);_(@_)"/>
    <numFmt numFmtId="173" formatCode="&quot;Adj.&quot;\ 0.00"/>
    <numFmt numFmtId="174" formatCode="_-* #,##0.00\ _€_-;\-* #,##0.00\ _€_-;_-* &quot;-&quot;??\ _€_-;_-@_-"/>
    <numFmt numFmtId="175" formatCode="_-* #,##0.00\ &quot;€&quot;_-;\-* #,##0.00\ &quot;€&quot;_-;_-* &quot;-&quot;??\ &quot;€&quot;_-;_-@_-"/>
    <numFmt numFmtId="176" formatCode="General_)"/>
    <numFmt numFmtId="177" formatCode="[$-409]mmmm\-yy;@"/>
    <numFmt numFmtId="178" formatCode="0_);[Red]\(0\)"/>
    <numFmt numFmtId="179" formatCode="#,##0.000_);\(#,##0.000\)"/>
    <numFmt numFmtId="180" formatCode="[$-409]d\-mmm;@"/>
    <numFmt numFmtId="181" formatCode="#,##0.000000_);\(#,##0.000000\)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Helv"/>
    </font>
    <font>
      <sz val="10"/>
      <color indexed="10"/>
      <name val="Arial"/>
      <family val="2"/>
    </font>
    <font>
      <sz val="11"/>
      <color rgb="FFFF000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56"/>
      <name val="Times New Roman"/>
      <family val="1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FF0000"/>
      <name val="Calibri"/>
      <family val="2"/>
    </font>
    <font>
      <b/>
      <sz val="8"/>
      <name val="Helv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8"/>
      <color theme="4" tint="-0.249977111117893"/>
      <name val="Helv"/>
    </font>
    <font>
      <sz val="11"/>
      <color rgb="FF7500EA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10"/>
      <name val="Arial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vertAlign val="superscript"/>
      <sz val="11"/>
      <name val="Calibri"/>
      <family val="2"/>
    </font>
    <font>
      <sz val="8"/>
      <color theme="1"/>
      <name val="Calibri"/>
      <family val="2"/>
      <scheme val="minor"/>
    </font>
    <font>
      <sz val="11"/>
      <color rgb="FF008080"/>
      <name val="Calibri"/>
      <family val="2"/>
    </font>
    <font>
      <sz val="9"/>
      <color rgb="FFFF0000"/>
      <name val="Calibri"/>
      <family val="2"/>
    </font>
    <font>
      <sz val="11"/>
      <color rgb="FF0000FF"/>
      <name val="Calibri"/>
      <family val="2"/>
    </font>
    <font>
      <sz val="8"/>
      <name val="Arial"/>
      <family val="2"/>
    </font>
    <font>
      <b/>
      <sz val="14"/>
      <name val="Calibri"/>
      <family val="2"/>
      <scheme val="minor"/>
    </font>
    <font>
      <b/>
      <sz val="14"/>
      <name val="Arial"/>
      <family val="2"/>
    </font>
    <font>
      <sz val="10"/>
      <color indexed="12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b/>
      <sz val="10"/>
      <color rgb="FFFF0000"/>
      <name val="Times New Roman"/>
      <family val="1"/>
    </font>
    <font>
      <b/>
      <sz val="10"/>
      <color rgb="FF0000FF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11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20" borderId="0" applyNumberFormat="0" applyBorder="0" applyAlignment="0" applyProtection="0"/>
    <xf numFmtId="0" fontId="26" fillId="4" borderId="0" applyNumberFormat="0" applyBorder="0" applyAlignment="0" applyProtection="0"/>
    <xf numFmtId="0" fontId="27" fillId="21" borderId="34" applyNumberFormat="0" applyAlignment="0" applyProtection="0"/>
    <xf numFmtId="0" fontId="28" fillId="22" borderId="35" applyNumberFormat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32" fillId="0" borderId="36" applyNumberFormat="0" applyFill="0" applyAlignment="0" applyProtection="0"/>
    <xf numFmtId="0" fontId="33" fillId="0" borderId="37" applyNumberFormat="0" applyFill="0" applyAlignment="0" applyProtection="0"/>
    <xf numFmtId="0" fontId="34" fillId="0" borderId="38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34" applyNumberFormat="0" applyAlignment="0" applyProtection="0"/>
    <xf numFmtId="0" fontId="36" fillId="0" borderId="39" applyNumberFormat="0" applyFill="0" applyAlignment="0" applyProtection="0"/>
    <xf numFmtId="0" fontId="37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176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24" borderId="40" applyNumberFormat="0" applyFont="0" applyAlignment="0" applyProtection="0"/>
    <xf numFmtId="0" fontId="24" fillId="24" borderId="40" applyNumberFormat="0" applyFont="0" applyAlignment="0" applyProtection="0"/>
    <xf numFmtId="0" fontId="38" fillId="21" borderId="41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42" applyNumberFormat="0" applyFill="0" applyAlignment="0" applyProtection="0"/>
    <xf numFmtId="0" fontId="41" fillId="0" borderId="0" applyNumberForma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3" fillId="0" borderId="0"/>
    <xf numFmtId="0" fontId="3" fillId="0" borderId="0"/>
    <xf numFmtId="176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6" fontId="4" fillId="0" borderId="0">
      <alignment horizontal="left" wrapText="1"/>
    </xf>
    <xf numFmtId="9" fontId="4" fillId="0" borderId="0" applyFont="0" applyFill="0" applyBorder="0" applyAlignment="0" applyProtection="0"/>
  </cellStyleXfs>
  <cellXfs count="412">
    <xf numFmtId="0" fontId="0" fillId="0" borderId="0" xfId="0"/>
    <xf numFmtId="164" fontId="0" fillId="0" borderId="0" xfId="1" applyNumberFormat="1" applyFont="1" applyFill="1"/>
    <xf numFmtId="42" fontId="0" fillId="0" borderId="0" xfId="0" applyNumberFormat="1"/>
    <xf numFmtId="41" fontId="0" fillId="0" borderId="0" xfId="0" applyNumberFormat="1"/>
    <xf numFmtId="0" fontId="0" fillId="0" borderId="0" xfId="0" applyAlignment="1">
      <alignment horizontal="left" indent="1"/>
    </xf>
    <xf numFmtId="0" fontId="0" fillId="0" borderId="4" xfId="0" applyBorder="1" applyAlignment="1">
      <alignment horizontal="center"/>
    </xf>
    <xf numFmtId="42" fontId="0" fillId="0" borderId="2" xfId="0" applyNumberFormat="1" applyBorder="1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Fill="1"/>
    <xf numFmtId="41" fontId="0" fillId="0" borderId="0" xfId="0" applyNumberFormat="1" applyFill="1"/>
    <xf numFmtId="0" fontId="7" fillId="0" borderId="0" xfId="0" applyNumberFormat="1" applyFont="1" applyFill="1" applyAlignment="1"/>
    <xf numFmtId="0" fontId="7" fillId="0" borderId="0" xfId="0" applyNumberFormat="1" applyFont="1" applyFill="1" applyAlignment="1" applyProtection="1">
      <alignment horizontal="centerContinuous"/>
      <protection locked="0"/>
    </xf>
    <xf numFmtId="0" fontId="7" fillId="0" borderId="0" xfId="0" applyNumberFormat="1" applyFont="1" applyFill="1" applyAlignment="1">
      <alignment horizontal="centerContinuous"/>
    </xf>
    <xf numFmtId="0" fontId="7" fillId="0" borderId="0" xfId="0" applyNumberFormat="1" applyFont="1" applyFill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 applyProtection="1">
      <protection locked="0"/>
    </xf>
    <xf numFmtId="0" fontId="7" fillId="0" borderId="4" xfId="0" applyNumberFormat="1" applyFont="1" applyFill="1" applyBorder="1" applyAlignment="1"/>
    <xf numFmtId="0" fontId="7" fillId="0" borderId="4" xfId="0" applyNumberFormat="1" applyFont="1" applyFill="1" applyBorder="1" applyAlignment="1">
      <alignment horizontal="right"/>
    </xf>
    <xf numFmtId="0" fontId="8" fillId="0" borderId="0" xfId="0" applyNumberFormat="1" applyFont="1" applyFill="1" applyAlignment="1"/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9" fontId="8" fillId="0" borderId="0" xfId="0" applyNumberFormat="1" applyFont="1" applyFill="1" applyAlignment="1"/>
    <xf numFmtId="166" fontId="7" fillId="0" borderId="3" xfId="0" applyNumberFormat="1" applyFont="1" applyFill="1" applyBorder="1" applyAlignment="1" applyProtection="1">
      <protection locked="0"/>
    </xf>
    <xf numFmtId="166" fontId="8" fillId="0" borderId="0" xfId="0" applyNumberFormat="1" applyFont="1" applyFill="1" applyAlignment="1">
      <alignment horizontal="left"/>
    </xf>
    <xf numFmtId="170" fontId="8" fillId="0" borderId="4" xfId="0" applyNumberFormat="1" applyFont="1" applyFill="1" applyBorder="1" applyAlignment="1"/>
    <xf numFmtId="168" fontId="8" fillId="0" borderId="0" xfId="0" applyNumberFormat="1" applyFont="1" applyFill="1"/>
    <xf numFmtId="168" fontId="8" fillId="0" borderId="0" xfId="0" applyNumberFormat="1" applyFont="1" applyFill="1" applyAlignment="1"/>
    <xf numFmtId="168" fontId="9" fillId="0" borderId="0" xfId="0" applyNumberFormat="1" applyFont="1" applyFill="1"/>
    <xf numFmtId="167" fontId="8" fillId="0" borderId="0" xfId="0" applyNumberFormat="1" applyFont="1" applyFill="1"/>
    <xf numFmtId="9" fontId="9" fillId="0" borderId="0" xfId="0" applyNumberFormat="1" applyFont="1" applyFill="1"/>
    <xf numFmtId="0" fontId="10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2" fillId="0" borderId="0" xfId="0" applyFont="1"/>
    <xf numFmtId="0" fontId="12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0" fontId="13" fillId="0" borderId="0" xfId="0" applyFont="1"/>
    <xf numFmtId="41" fontId="13" fillId="0" borderId="0" xfId="0" applyNumberFormat="1" applyFont="1"/>
    <xf numFmtId="164" fontId="13" fillId="0" borderId="0" xfId="0" applyNumberFormat="1" applyFont="1"/>
    <xf numFmtId="10" fontId="0" fillId="0" borderId="0" xfId="0" applyNumberFormat="1" applyFont="1" applyAlignment="1">
      <alignment horizontal="center"/>
    </xf>
    <xf numFmtId="0" fontId="14" fillId="0" borderId="0" xfId="0" applyFont="1"/>
    <xf numFmtId="0" fontId="10" fillId="0" borderId="0" xfId="0" applyFont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 indent="1"/>
    </xf>
    <xf numFmtId="0" fontId="8" fillId="0" borderId="0" xfId="0" quotePrefix="1" applyFont="1" applyFill="1" applyAlignment="1">
      <alignment horizontal="left"/>
    </xf>
    <xf numFmtId="0" fontId="8" fillId="0" borderId="0" xfId="0" quotePrefix="1" applyFont="1" applyFill="1" applyAlignment="1">
      <alignment horizontal="left" inden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wrapText="1"/>
    </xf>
    <xf numFmtId="17" fontId="0" fillId="0" borderId="4" xfId="0" quotePrefix="1" applyNumberFormat="1" applyFill="1" applyBorder="1" applyAlignment="1">
      <alignment horizontal="center" wrapText="1"/>
    </xf>
    <xf numFmtId="42" fontId="0" fillId="0" borderId="0" xfId="0" applyNumberFormat="1" applyFill="1"/>
    <xf numFmtId="0" fontId="0" fillId="0" borderId="1" xfId="0" applyFill="1" applyBorder="1"/>
    <xf numFmtId="42" fontId="0" fillId="0" borderId="3" xfId="0" applyNumberFormat="1" applyFill="1" applyBorder="1"/>
    <xf numFmtId="42" fontId="0" fillId="2" borderId="3" xfId="0" applyNumberFormat="1" applyFill="1" applyBorder="1"/>
    <xf numFmtId="41" fontId="13" fillId="0" borderId="0" xfId="0" applyNumberFormat="1" applyFont="1" applyFill="1"/>
    <xf numFmtId="0" fontId="3" fillId="0" borderId="0" xfId="0" applyFont="1"/>
    <xf numFmtId="167" fontId="8" fillId="0" borderId="0" xfId="0" applyNumberFormat="1" applyFont="1" applyFill="1" applyAlignment="1"/>
    <xf numFmtId="166" fontId="8" fillId="0" borderId="0" xfId="0" applyNumberFormat="1" applyFont="1" applyFill="1" applyAlignment="1"/>
    <xf numFmtId="166" fontId="8" fillId="0" borderId="4" xfId="0" applyNumberFormat="1" applyFont="1" applyFill="1" applyBorder="1" applyAlignment="1"/>
    <xf numFmtId="166" fontId="8" fillId="0" borderId="0" xfId="0" applyNumberFormat="1" applyFont="1" applyFill="1" applyBorder="1" applyAlignment="1"/>
    <xf numFmtId="166" fontId="7" fillId="0" borderId="2" xfId="0" applyNumberFormat="1" applyFont="1" applyFill="1" applyBorder="1" applyAlignment="1" applyProtection="1">
      <protection locked="0"/>
    </xf>
    <xf numFmtId="0" fontId="0" fillId="0" borderId="0" xfId="0" applyFill="1" applyAlignment="1">
      <alignment horizontal="center"/>
    </xf>
    <xf numFmtId="0" fontId="0" fillId="0" borderId="0" xfId="0" applyFill="1" applyBorder="1"/>
    <xf numFmtId="164" fontId="8" fillId="0" borderId="0" xfId="0" quotePrefix="1" applyNumberFormat="1" applyFont="1" applyFill="1" applyAlignment="1">
      <alignment horizontal="left"/>
    </xf>
    <xf numFmtId="171" fontId="0" fillId="0" borderId="0" xfId="0" applyNumberFormat="1" applyFont="1" applyFill="1" applyAlignment="1">
      <alignment horizontal="right"/>
    </xf>
    <xf numFmtId="165" fontId="8" fillId="0" borderId="0" xfId="0" quotePrefix="1" applyNumberFormat="1" applyFont="1" applyFill="1" applyAlignment="1">
      <alignment horizontal="left"/>
    </xf>
    <xf numFmtId="164" fontId="8" fillId="0" borderId="5" xfId="0" applyNumberFormat="1" applyFont="1" applyFill="1" applyBorder="1"/>
    <xf numFmtId="165" fontId="8" fillId="0" borderId="5" xfId="0" applyNumberFormat="1" applyFont="1" applyFill="1" applyBorder="1"/>
    <xf numFmtId="165" fontId="8" fillId="0" borderId="0" xfId="0" applyNumberFormat="1" applyFont="1" applyFill="1" applyBorder="1"/>
    <xf numFmtId="164" fontId="8" fillId="0" borderId="0" xfId="0" applyNumberFormat="1" applyFont="1" applyFill="1" applyBorder="1"/>
    <xf numFmtId="164" fontId="8" fillId="0" borderId="0" xfId="0" applyNumberFormat="1" applyFont="1" applyFill="1"/>
    <xf numFmtId="165" fontId="8" fillId="0" borderId="0" xfId="0" applyNumberFormat="1" applyFont="1" applyFill="1"/>
    <xf numFmtId="164" fontId="8" fillId="0" borderId="2" xfId="0" applyNumberFormat="1" applyFont="1" applyFill="1" applyBorder="1"/>
    <xf numFmtId="165" fontId="8" fillId="0" borderId="2" xfId="0" applyNumberFormat="1" applyFont="1" applyFill="1" applyBorder="1"/>
    <xf numFmtId="173" fontId="7" fillId="0" borderId="0" xfId="0" quotePrefix="1" applyNumberFormat="1" applyFont="1" applyFill="1" applyBorder="1" applyAlignment="1">
      <alignment horizontal="right"/>
    </xf>
    <xf numFmtId="0" fontId="15" fillId="0" borderId="0" xfId="0" applyFont="1" applyFill="1"/>
    <xf numFmtId="166" fontId="22" fillId="0" borderId="0" xfId="0" applyNumberFormat="1" applyFont="1" applyFill="1" applyAlignment="1">
      <alignment horizontal="left" wrapText="1"/>
    </xf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21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0" fillId="0" borderId="4" xfId="0" applyFill="1" applyBorder="1" applyAlignment="1">
      <alignment horizontal="center"/>
    </xf>
    <xf numFmtId="0" fontId="0" fillId="0" borderId="0" xfId="0" applyFill="1" applyAlignment="1">
      <alignment horizontal="left" indent="1"/>
    </xf>
    <xf numFmtId="0" fontId="0" fillId="0" borderId="0" xfId="0" quotePrefix="1" applyFill="1" applyAlignment="1">
      <alignment horizontal="left"/>
    </xf>
    <xf numFmtId="169" fontId="0" fillId="0" borderId="0" xfId="0" applyNumberFormat="1" applyFont="1" applyFill="1"/>
    <xf numFmtId="41" fontId="13" fillId="0" borderId="1" xfId="0" applyNumberFormat="1" applyFont="1" applyFill="1" applyBorder="1"/>
    <xf numFmtId="0" fontId="13" fillId="0" borderId="1" xfId="0" applyFont="1" applyFill="1" applyBorder="1"/>
    <xf numFmtId="41" fontId="20" fillId="0" borderId="0" xfId="0" applyNumberFormat="1" applyFont="1" applyFill="1"/>
    <xf numFmtId="0" fontId="20" fillId="0" borderId="0" xfId="0" applyFont="1" applyFill="1"/>
    <xf numFmtId="42" fontId="0" fillId="0" borderId="2" xfId="0" applyNumberFormat="1" applyFill="1" applyBorder="1"/>
    <xf numFmtId="0" fontId="13" fillId="0" borderId="0" xfId="0" applyFont="1" applyFill="1"/>
    <xf numFmtId="0" fontId="2" fillId="0" borderId="0" xfId="0" applyFont="1" applyFill="1"/>
    <xf numFmtId="0" fontId="14" fillId="0" borderId="0" xfId="0" applyFont="1" applyFill="1"/>
    <xf numFmtId="0" fontId="10" fillId="0" borderId="0" xfId="0" applyFont="1" applyFill="1"/>
    <xf numFmtId="0" fontId="23" fillId="0" borderId="0" xfId="0" applyFont="1" applyAlignment="1">
      <alignment horizontal="left"/>
    </xf>
    <xf numFmtId="0" fontId="6" fillId="0" borderId="0" xfId="0" applyFont="1" applyFill="1"/>
    <xf numFmtId="0" fontId="23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quotePrefix="1" applyFill="1" applyAlignment="1">
      <alignment horizontal="center"/>
    </xf>
    <xf numFmtId="0" fontId="6" fillId="0" borderId="0" xfId="0" applyFont="1"/>
    <xf numFmtId="166" fontId="4" fillId="0" borderId="0" xfId="0" applyNumberFormat="1" applyFont="1" applyFill="1" applyAlignment="1">
      <alignment horizontal="left" wrapText="1"/>
    </xf>
    <xf numFmtId="166" fontId="19" fillId="0" borderId="0" xfId="0" applyNumberFormat="1" applyFont="1" applyFill="1" applyAlignment="1">
      <alignment horizontal="left" wrapText="1"/>
    </xf>
    <xf numFmtId="0" fontId="0" fillId="0" borderId="0" xfId="0" applyFill="1" applyAlignment="1">
      <alignment horizontal="centerContinuous"/>
    </xf>
    <xf numFmtId="0" fontId="0" fillId="0" borderId="0" xfId="0" quotePrefix="1" applyFill="1" applyAlignment="1">
      <alignment horizontal="centerContinuous"/>
    </xf>
    <xf numFmtId="17" fontId="0" fillId="0" borderId="4" xfId="0" applyNumberForma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4" xfId="0" quotePrefix="1" applyFill="1" applyBorder="1" applyAlignment="1">
      <alignment horizontal="center" wrapText="1"/>
    </xf>
    <xf numFmtId="171" fontId="0" fillId="0" borderId="0" xfId="0" applyNumberFormat="1" applyFont="1" applyFill="1" applyAlignment="1">
      <alignment horizontal="center"/>
    </xf>
    <xf numFmtId="165" fontId="0" fillId="0" borderId="0" xfId="0" applyNumberFormat="1" applyFill="1"/>
    <xf numFmtId="164" fontId="0" fillId="0" borderId="0" xfId="0" applyNumberFormat="1" applyFill="1"/>
    <xf numFmtId="0" fontId="44" fillId="0" borderId="0" xfId="72" applyFont="1" applyFill="1" applyAlignment="1"/>
    <xf numFmtId="0" fontId="44" fillId="0" borderId="0" xfId="72" applyFont="1" applyFill="1"/>
    <xf numFmtId="0" fontId="45" fillId="0" borderId="0" xfId="72" applyFont="1" applyFill="1"/>
    <xf numFmtId="0" fontId="45" fillId="0" borderId="26" xfId="72" applyFont="1" applyFill="1" applyBorder="1"/>
    <xf numFmtId="0" fontId="44" fillId="0" borderId="27" xfId="72" applyFont="1" applyFill="1" applyBorder="1"/>
    <xf numFmtId="0" fontId="44" fillId="0" borderId="28" xfId="72" applyFont="1" applyFill="1" applyBorder="1"/>
    <xf numFmtId="0" fontId="45" fillId="0" borderId="19" xfId="72" applyFont="1" applyFill="1" applyBorder="1"/>
    <xf numFmtId="0" fontId="44" fillId="0" borderId="9" xfId="72" applyFont="1" applyFill="1" applyBorder="1" applyAlignment="1">
      <alignment horizontal="centerContinuous"/>
    </xf>
    <xf numFmtId="0" fontId="45" fillId="0" borderId="5" xfId="72" applyFont="1" applyFill="1" applyBorder="1" applyAlignment="1">
      <alignment horizontal="centerContinuous"/>
    </xf>
    <xf numFmtId="0" fontId="45" fillId="0" borderId="29" xfId="72" applyFont="1" applyFill="1" applyBorder="1" applyAlignment="1">
      <alignment horizontal="centerContinuous"/>
    </xf>
    <xf numFmtId="0" fontId="44" fillId="0" borderId="5" xfId="72" applyFont="1" applyFill="1" applyBorder="1" applyAlignment="1">
      <alignment horizontal="centerContinuous"/>
    </xf>
    <xf numFmtId="0" fontId="45" fillId="0" borderId="10" xfId="72" applyFont="1" applyFill="1" applyBorder="1" applyAlignment="1">
      <alignment horizontal="centerContinuous"/>
    </xf>
    <xf numFmtId="0" fontId="45" fillId="0" borderId="20" xfId="72" applyFont="1" applyFill="1" applyBorder="1"/>
    <xf numFmtId="0" fontId="45" fillId="0" borderId="0" xfId="72" applyFont="1" applyFill="1" applyBorder="1"/>
    <xf numFmtId="0" fontId="45" fillId="0" borderId="0" xfId="72" applyFont="1" applyFill="1" applyBorder="1" applyAlignment="1">
      <alignment horizontal="center"/>
    </xf>
    <xf numFmtId="0" fontId="45" fillId="0" borderId="11" xfId="72" applyFont="1" applyFill="1" applyBorder="1" applyAlignment="1">
      <alignment horizontal="center"/>
    </xf>
    <xf numFmtId="0" fontId="45" fillId="0" borderId="1" xfId="72" applyFont="1" applyFill="1" applyBorder="1" applyAlignment="1">
      <alignment horizontal="center"/>
    </xf>
    <xf numFmtId="0" fontId="45" fillId="0" borderId="30" xfId="72" applyFont="1" applyFill="1" applyBorder="1"/>
    <xf numFmtId="0" fontId="45" fillId="0" borderId="1" xfId="72" applyFont="1" applyFill="1" applyBorder="1"/>
    <xf numFmtId="0" fontId="45" fillId="0" borderId="12" xfId="72" applyFont="1" applyFill="1" applyBorder="1"/>
    <xf numFmtId="0" fontId="45" fillId="0" borderId="20" xfId="72" applyFont="1" applyFill="1" applyBorder="1" applyAlignment="1">
      <alignment horizontal="center"/>
    </xf>
    <xf numFmtId="0" fontId="45" fillId="0" borderId="13" xfId="72" applyFont="1" applyFill="1" applyBorder="1" applyAlignment="1">
      <alignment horizontal="center"/>
    </xf>
    <xf numFmtId="0" fontId="45" fillId="0" borderId="31" xfId="72" applyFont="1" applyFill="1" applyBorder="1" applyAlignment="1">
      <alignment horizontal="center"/>
    </xf>
    <xf numFmtId="0" fontId="45" fillId="0" borderId="8" xfId="72" applyFont="1" applyFill="1" applyBorder="1" applyAlignment="1">
      <alignment horizontal="center"/>
    </xf>
    <xf numFmtId="0" fontId="45" fillId="0" borderId="4" xfId="72" applyFont="1" applyFill="1" applyBorder="1" applyAlignment="1">
      <alignment horizontal="center"/>
    </xf>
    <xf numFmtId="0" fontId="45" fillId="0" borderId="14" xfId="72" applyFont="1" applyFill="1" applyBorder="1" applyAlignment="1">
      <alignment horizontal="center"/>
    </xf>
    <xf numFmtId="0" fontId="45" fillId="0" borderId="32" xfId="72" applyFont="1" applyFill="1" applyBorder="1" applyAlignment="1">
      <alignment horizontal="center"/>
    </xf>
    <xf numFmtId="0" fontId="45" fillId="0" borderId="7" xfId="72" applyFont="1" applyFill="1" applyBorder="1" applyAlignment="1">
      <alignment horizontal="center"/>
    </xf>
    <xf numFmtId="0" fontId="46" fillId="0" borderId="0" xfId="72" quotePrefix="1" applyFont="1" applyFill="1" applyAlignment="1">
      <alignment horizontal="center"/>
    </xf>
    <xf numFmtId="0" fontId="47" fillId="0" borderId="13" xfId="72" applyFont="1" applyFill="1" applyBorder="1" applyAlignment="1">
      <alignment horizontal="centerContinuous"/>
    </xf>
    <xf numFmtId="0" fontId="47" fillId="0" borderId="0" xfId="72" applyFont="1" applyFill="1" applyBorder="1" applyAlignment="1">
      <alignment horizontal="centerContinuous"/>
    </xf>
    <xf numFmtId="0" fontId="45" fillId="0" borderId="31" xfId="72" applyFont="1" applyFill="1" applyBorder="1"/>
    <xf numFmtId="0" fontId="45" fillId="0" borderId="8" xfId="72" applyFont="1" applyFill="1" applyBorder="1"/>
    <xf numFmtId="0" fontId="45" fillId="0" borderId="13" xfId="72" applyFont="1" applyFill="1" applyBorder="1"/>
    <xf numFmtId="42" fontId="45" fillId="0" borderId="31" xfId="72" applyNumberFormat="1" applyFont="1" applyFill="1" applyBorder="1"/>
    <xf numFmtId="41" fontId="45" fillId="0" borderId="8" xfId="3" applyNumberFormat="1" applyFont="1" applyFill="1" applyBorder="1"/>
    <xf numFmtId="42" fontId="45" fillId="0" borderId="0" xfId="72" applyNumberFormat="1" applyFont="1" applyFill="1"/>
    <xf numFmtId="42" fontId="45" fillId="0" borderId="13" xfId="72" applyNumberFormat="1" applyFont="1" applyFill="1" applyBorder="1"/>
    <xf numFmtId="42" fontId="45" fillId="0" borderId="0" xfId="72" applyNumberFormat="1" applyFont="1" applyFill="1" applyBorder="1"/>
    <xf numFmtId="41" fontId="45" fillId="0" borderId="31" xfId="72" applyNumberFormat="1" applyFont="1" applyFill="1" applyBorder="1"/>
    <xf numFmtId="42" fontId="45" fillId="0" borderId="20" xfId="72" applyNumberFormat="1" applyFont="1" applyFill="1" applyBorder="1"/>
    <xf numFmtId="41" fontId="45" fillId="0" borderId="0" xfId="72" applyNumberFormat="1" applyFont="1" applyFill="1"/>
    <xf numFmtId="41" fontId="45" fillId="0" borderId="13" xfId="72" applyNumberFormat="1" applyFont="1" applyFill="1" applyBorder="1"/>
    <xf numFmtId="41" fontId="45" fillId="0" borderId="0" xfId="72" applyNumberFormat="1" applyFont="1" applyFill="1" applyBorder="1"/>
    <xf numFmtId="41" fontId="45" fillId="0" borderId="20" xfId="72" applyNumberFormat="1" applyFont="1" applyFill="1" applyBorder="1"/>
    <xf numFmtId="41" fontId="45" fillId="0" borderId="24" xfId="72" applyNumberFormat="1" applyFont="1" applyFill="1" applyBorder="1"/>
    <xf numFmtId="41" fontId="45" fillId="0" borderId="15" xfId="72" applyNumberFormat="1" applyFont="1" applyFill="1" applyBorder="1"/>
    <xf numFmtId="41" fontId="45" fillId="0" borderId="25" xfId="3" applyNumberFormat="1" applyFont="1" applyFill="1" applyBorder="1"/>
    <xf numFmtId="164" fontId="45" fillId="0" borderId="0" xfId="1" applyNumberFormat="1" applyFont="1" applyFill="1" applyAlignment="1">
      <alignment horizontal="right"/>
    </xf>
    <xf numFmtId="42" fontId="45" fillId="0" borderId="3" xfId="72" applyNumberFormat="1" applyFont="1" applyFill="1" applyBorder="1"/>
    <xf numFmtId="0" fontId="45" fillId="0" borderId="0" xfId="72" applyFont="1" applyFill="1" applyAlignment="1">
      <alignment horizontal="centerContinuous"/>
    </xf>
    <xf numFmtId="0" fontId="45" fillId="0" borderId="0" xfId="72" applyFont="1" applyFill="1" applyAlignment="1">
      <alignment horizontal="center"/>
    </xf>
    <xf numFmtId="0" fontId="45" fillId="0" borderId="19" xfId="72" applyFont="1" applyFill="1" applyBorder="1" applyAlignment="1">
      <alignment horizontal="center"/>
    </xf>
    <xf numFmtId="0" fontId="48" fillId="0" borderId="0" xfId="72" applyFont="1" applyFill="1" applyAlignment="1">
      <alignment horizontal="center"/>
    </xf>
    <xf numFmtId="0" fontId="48" fillId="0" borderId="0" xfId="72" applyFont="1" applyFill="1" applyBorder="1" applyAlignment="1">
      <alignment horizontal="center"/>
    </xf>
    <xf numFmtId="0" fontId="48" fillId="0" borderId="19" xfId="72" applyFont="1" applyFill="1" applyBorder="1" applyAlignment="1">
      <alignment horizontal="center"/>
    </xf>
    <xf numFmtId="164" fontId="45" fillId="0" borderId="0" xfId="3" applyNumberFormat="1" applyFont="1" applyFill="1"/>
    <xf numFmtId="41" fontId="45" fillId="0" borderId="19" xfId="72" applyNumberFormat="1" applyFont="1" applyFill="1" applyBorder="1"/>
    <xf numFmtId="4" fontId="45" fillId="0" borderId="0" xfId="72" applyNumberFormat="1" applyFont="1" applyFill="1"/>
    <xf numFmtId="41" fontId="45" fillId="0" borderId="43" xfId="72" applyNumberFormat="1" applyFont="1" applyFill="1" applyBorder="1"/>
    <xf numFmtId="41" fontId="45" fillId="0" borderId="6" xfId="72" applyNumberFormat="1" applyFont="1" applyFill="1" applyBorder="1"/>
    <xf numFmtId="41" fontId="45" fillId="0" borderId="16" xfId="72" applyNumberFormat="1" applyFont="1" applyFill="1" applyBorder="1"/>
    <xf numFmtId="164" fontId="45" fillId="0" borderId="0" xfId="1" applyNumberFormat="1" applyFont="1" applyFill="1"/>
    <xf numFmtId="0" fontId="44" fillId="0" borderId="0" xfId="2" applyFont="1" applyFill="1" applyAlignment="1"/>
    <xf numFmtId="0" fontId="44" fillId="0" borderId="0" xfId="2" applyFont="1" applyFill="1"/>
    <xf numFmtId="0" fontId="45" fillId="0" borderId="0" xfId="2" applyFont="1" applyFill="1"/>
    <xf numFmtId="0" fontId="45" fillId="0" borderId="26" xfId="2" applyFont="1" applyFill="1" applyBorder="1"/>
    <xf numFmtId="0" fontId="44" fillId="0" borderId="27" xfId="2" applyFont="1" applyFill="1" applyBorder="1"/>
    <xf numFmtId="0" fontId="44" fillId="0" borderId="28" xfId="2" applyFont="1" applyFill="1" applyBorder="1"/>
    <xf numFmtId="0" fontId="45" fillId="0" borderId="19" xfId="2" applyFont="1" applyFill="1" applyBorder="1"/>
    <xf numFmtId="0" fontId="44" fillId="0" borderId="9" xfId="2" applyFont="1" applyFill="1" applyBorder="1" applyAlignment="1">
      <alignment horizontal="centerContinuous"/>
    </xf>
    <xf numFmtId="0" fontId="45" fillId="0" borderId="5" xfId="2" applyFont="1" applyFill="1" applyBorder="1" applyAlignment="1">
      <alignment horizontal="centerContinuous"/>
    </xf>
    <xf numFmtId="0" fontId="45" fillId="0" borderId="29" xfId="2" applyFont="1" applyFill="1" applyBorder="1" applyAlignment="1">
      <alignment horizontal="centerContinuous"/>
    </xf>
    <xf numFmtId="0" fontId="44" fillId="0" borderId="5" xfId="2" applyFont="1" applyFill="1" applyBorder="1" applyAlignment="1">
      <alignment horizontal="centerContinuous"/>
    </xf>
    <xf numFmtId="0" fontId="45" fillId="0" borderId="10" xfId="2" applyFont="1" applyFill="1" applyBorder="1" applyAlignment="1">
      <alignment horizontal="centerContinuous"/>
    </xf>
    <xf numFmtId="0" fontId="45" fillId="0" borderId="22" xfId="2" applyFont="1" applyFill="1" applyBorder="1"/>
    <xf numFmtId="0" fontId="45" fillId="0" borderId="4" xfId="2" applyFont="1" applyFill="1" applyBorder="1"/>
    <xf numFmtId="0" fontId="45" fillId="0" borderId="21" xfId="2" applyFont="1" applyFill="1" applyBorder="1"/>
    <xf numFmtId="0" fontId="45" fillId="0" borderId="0" xfId="2" applyFont="1" applyFill="1" applyBorder="1" applyAlignment="1">
      <alignment horizontal="center"/>
    </xf>
    <xf numFmtId="0" fontId="45" fillId="0" borderId="11" xfId="2" applyFont="1" applyFill="1" applyBorder="1" applyAlignment="1">
      <alignment horizontal="center"/>
    </xf>
    <xf numFmtId="0" fontId="45" fillId="0" borderId="1" xfId="2" applyFont="1" applyFill="1" applyBorder="1" applyAlignment="1">
      <alignment horizontal="center"/>
    </xf>
    <xf numFmtId="0" fontId="45" fillId="0" borderId="30" xfId="2" applyFont="1" applyFill="1" applyBorder="1"/>
    <xf numFmtId="0" fontId="45" fillId="0" borderId="1" xfId="2" applyFont="1" applyFill="1" applyBorder="1"/>
    <xf numFmtId="0" fontId="45" fillId="0" borderId="12" xfId="2" applyFont="1" applyFill="1" applyBorder="1"/>
    <xf numFmtId="0" fontId="45" fillId="0" borderId="20" xfId="2" applyFont="1" applyFill="1" applyBorder="1" applyAlignment="1">
      <alignment horizontal="center"/>
    </xf>
    <xf numFmtId="0" fontId="45" fillId="0" borderId="0" xfId="2" applyFont="1" applyFill="1" applyBorder="1"/>
    <xf numFmtId="0" fontId="45" fillId="0" borderId="13" xfId="2" applyFont="1" applyFill="1" applyBorder="1" applyAlignment="1">
      <alignment horizontal="center"/>
    </xf>
    <xf numFmtId="0" fontId="45" fillId="0" borderId="31" xfId="2" applyFont="1" applyFill="1" applyBorder="1" applyAlignment="1">
      <alignment horizontal="center"/>
    </xf>
    <xf numFmtId="0" fontId="45" fillId="0" borderId="8" xfId="2" applyFont="1" applyFill="1" applyBorder="1" applyAlignment="1">
      <alignment horizontal="center"/>
    </xf>
    <xf numFmtId="0" fontId="45" fillId="0" borderId="4" xfId="2" applyFont="1" applyFill="1" applyBorder="1" applyAlignment="1">
      <alignment horizontal="center"/>
    </xf>
    <xf numFmtId="0" fontId="45" fillId="0" borderId="14" xfId="2" applyFont="1" applyFill="1" applyBorder="1" applyAlignment="1">
      <alignment horizontal="center"/>
    </xf>
    <xf numFmtId="0" fontId="45" fillId="0" borderId="32" xfId="2" applyFont="1" applyFill="1" applyBorder="1" applyAlignment="1">
      <alignment horizontal="center"/>
    </xf>
    <xf numFmtId="0" fontId="45" fillId="0" borderId="7" xfId="2" applyFont="1" applyFill="1" applyBorder="1" applyAlignment="1">
      <alignment horizontal="center"/>
    </xf>
    <xf numFmtId="0" fontId="45" fillId="0" borderId="22" xfId="2" applyFont="1" applyFill="1" applyBorder="1" applyAlignment="1">
      <alignment horizontal="center"/>
    </xf>
    <xf numFmtId="0" fontId="46" fillId="0" borderId="0" xfId="2" quotePrefix="1" applyFont="1" applyFill="1" applyAlignment="1">
      <alignment horizontal="center"/>
    </xf>
    <xf numFmtId="0" fontId="47" fillId="0" borderId="13" xfId="2" applyFont="1" applyFill="1" applyBorder="1" applyAlignment="1">
      <alignment horizontal="centerContinuous"/>
    </xf>
    <xf numFmtId="0" fontId="47" fillId="0" borderId="0" xfId="2" applyFont="1" applyFill="1" applyBorder="1" applyAlignment="1">
      <alignment horizontal="centerContinuous"/>
    </xf>
    <xf numFmtId="0" fontId="45" fillId="0" borderId="31" xfId="2" applyFont="1" applyFill="1" applyBorder="1"/>
    <xf numFmtId="0" fontId="45" fillId="0" borderId="8" xfId="2" applyFont="1" applyFill="1" applyBorder="1"/>
    <xf numFmtId="0" fontId="45" fillId="0" borderId="20" xfId="2" applyFont="1" applyFill="1" applyBorder="1"/>
    <xf numFmtId="0" fontId="45" fillId="0" borderId="13" xfId="2" applyFont="1" applyFill="1" applyBorder="1"/>
    <xf numFmtId="42" fontId="45" fillId="0" borderId="31" xfId="2" applyNumberFormat="1" applyFont="1" applyFill="1" applyBorder="1"/>
    <xf numFmtId="3" fontId="45" fillId="0" borderId="8" xfId="2" applyNumberFormat="1" applyFont="1" applyFill="1" applyBorder="1"/>
    <xf numFmtId="42" fontId="45" fillId="0" borderId="0" xfId="2" applyNumberFormat="1" applyFont="1" applyFill="1"/>
    <xf numFmtId="42" fontId="45" fillId="0" borderId="13" xfId="2" applyNumberFormat="1" applyFont="1" applyFill="1" applyBorder="1"/>
    <xf numFmtId="42" fontId="45" fillId="0" borderId="0" xfId="2" applyNumberFormat="1" applyFont="1" applyFill="1" applyBorder="1"/>
    <xf numFmtId="41" fontId="45" fillId="0" borderId="31" xfId="2" applyNumberFormat="1" applyFont="1" applyFill="1" applyBorder="1"/>
    <xf numFmtId="42" fontId="45" fillId="0" borderId="20" xfId="2" applyNumberFormat="1" applyFont="1" applyFill="1" applyBorder="1"/>
    <xf numFmtId="41" fontId="45" fillId="0" borderId="0" xfId="2" applyNumberFormat="1" applyFont="1" applyFill="1"/>
    <xf numFmtId="41" fontId="45" fillId="0" borderId="13" xfId="2" applyNumberFormat="1" applyFont="1" applyFill="1" applyBorder="1"/>
    <xf numFmtId="41" fontId="45" fillId="0" borderId="0" xfId="2" applyNumberFormat="1" applyFont="1" applyFill="1" applyBorder="1"/>
    <xf numFmtId="41" fontId="45" fillId="0" borderId="20" xfId="2" applyNumberFormat="1" applyFont="1" applyFill="1" applyBorder="1"/>
    <xf numFmtId="41" fontId="45" fillId="0" borderId="24" xfId="2" applyNumberFormat="1" applyFont="1" applyFill="1" applyBorder="1"/>
    <xf numFmtId="41" fontId="45" fillId="0" borderId="15" xfId="2" applyNumberFormat="1" applyFont="1" applyFill="1" applyBorder="1"/>
    <xf numFmtId="3" fontId="45" fillId="0" borderId="25" xfId="2" applyNumberFormat="1" applyFont="1" applyFill="1" applyBorder="1"/>
    <xf numFmtId="41" fontId="45" fillId="0" borderId="0" xfId="2" applyNumberFormat="1" applyFont="1" applyFill="1" applyAlignment="1">
      <alignment horizontal="right"/>
    </xf>
    <xf numFmtId="42" fontId="45" fillId="0" borderId="3" xfId="2" applyNumberFormat="1" applyFont="1" applyFill="1" applyBorder="1"/>
    <xf numFmtId="0" fontId="45" fillId="0" borderId="0" xfId="2" quotePrefix="1" applyFont="1" applyFill="1"/>
    <xf numFmtId="0" fontId="45" fillId="0" borderId="0" xfId="2" applyFont="1" applyFill="1" applyAlignment="1">
      <alignment horizontal="centerContinuous"/>
    </xf>
    <xf numFmtId="0" fontId="45" fillId="0" borderId="0" xfId="2" applyFont="1" applyFill="1" applyAlignment="1">
      <alignment horizontal="center"/>
    </xf>
    <xf numFmtId="0" fontId="45" fillId="0" borderId="19" xfId="2" applyFont="1" applyFill="1" applyBorder="1" applyAlignment="1">
      <alignment horizontal="center"/>
    </xf>
    <xf numFmtId="0" fontId="48" fillId="0" borderId="0" xfId="2" applyFont="1" applyFill="1" applyAlignment="1">
      <alignment horizontal="center"/>
    </xf>
    <xf numFmtId="0" fontId="48" fillId="0" borderId="0" xfId="2" applyFont="1" applyFill="1" applyBorder="1" applyAlignment="1">
      <alignment horizontal="center"/>
    </xf>
    <xf numFmtId="0" fontId="48" fillId="0" borderId="19" xfId="2" applyFont="1" applyFill="1" applyBorder="1" applyAlignment="1">
      <alignment horizontal="center"/>
    </xf>
    <xf numFmtId="42" fontId="45" fillId="0" borderId="19" xfId="2" applyNumberFormat="1" applyFont="1" applyFill="1" applyBorder="1"/>
    <xf numFmtId="41" fontId="45" fillId="0" borderId="19" xfId="2" applyNumberFormat="1" applyFont="1" applyFill="1" applyBorder="1"/>
    <xf numFmtId="4" fontId="45" fillId="0" borderId="0" xfId="2" applyNumberFormat="1" applyFont="1" applyFill="1"/>
    <xf numFmtId="41" fontId="45" fillId="0" borderId="22" xfId="2" applyNumberFormat="1" applyFont="1" applyFill="1" applyBorder="1"/>
    <xf numFmtId="41" fontId="45" fillId="0" borderId="4" xfId="2" applyNumberFormat="1" applyFont="1" applyFill="1" applyBorder="1"/>
    <xf numFmtId="38" fontId="45" fillId="0" borderId="0" xfId="2" applyNumberFormat="1" applyFont="1" applyFill="1"/>
    <xf numFmtId="38" fontId="1" fillId="0" borderId="0" xfId="72" applyNumberFormat="1"/>
    <xf numFmtId="38" fontId="1" fillId="0" borderId="2" xfId="72" applyNumberFormat="1" applyBorder="1"/>
    <xf numFmtId="38" fontId="45" fillId="0" borderId="0" xfId="2" applyNumberFormat="1" applyFont="1" applyFill="1" applyAlignment="1">
      <alignment horizontal="right"/>
    </xf>
    <xf numFmtId="0" fontId="50" fillId="0" borderId="31" xfId="72" applyFont="1" applyBorder="1"/>
    <xf numFmtId="0" fontId="1" fillId="0" borderId="0" xfId="72" applyBorder="1"/>
    <xf numFmtId="0" fontId="15" fillId="0" borderId="0" xfId="0" applyFont="1" applyFill="1" applyAlignment="1">
      <alignment horizontal="centerContinuous"/>
    </xf>
    <xf numFmtId="0" fontId="15" fillId="0" borderId="4" xfId="0" applyFont="1" applyFill="1" applyBorder="1" applyAlignment="1">
      <alignment wrapText="1"/>
    </xf>
    <xf numFmtId="0" fontId="15" fillId="0" borderId="4" xfId="0" applyFont="1" applyFill="1" applyBorder="1"/>
    <xf numFmtId="0" fontId="15" fillId="0" borderId="4" xfId="0" applyFont="1" applyFill="1" applyBorder="1" applyAlignment="1">
      <alignment horizontal="center" wrapText="1"/>
    </xf>
    <xf numFmtId="2" fontId="15" fillId="0" borderId="4" xfId="0" applyNumberFormat="1" applyFont="1" applyFill="1" applyBorder="1" applyAlignment="1">
      <alignment horizontal="center" wrapText="1"/>
    </xf>
    <xf numFmtId="0" fontId="15" fillId="0" borderId="0" xfId="0" applyFont="1" applyFill="1" applyAlignment="1">
      <alignment horizontal="left"/>
    </xf>
    <xf numFmtId="164" fontId="51" fillId="0" borderId="0" xfId="0" applyNumberFormat="1" applyFont="1" applyFill="1" applyBorder="1"/>
    <xf numFmtId="164" fontId="15" fillId="0" borderId="0" xfId="0" applyNumberFormat="1" applyFont="1" applyFill="1" applyBorder="1"/>
    <xf numFmtId="172" fontId="51" fillId="0" borderId="0" xfId="0" applyNumberFormat="1" applyFont="1" applyFill="1"/>
    <xf numFmtId="165" fontId="15" fillId="0" borderId="0" xfId="0" applyNumberFormat="1" applyFont="1" applyFill="1"/>
    <xf numFmtId="0" fontId="15" fillId="0" borderId="4" xfId="0" applyFont="1" applyFill="1" applyBorder="1" applyAlignment="1">
      <alignment horizontal="left"/>
    </xf>
    <xf numFmtId="172" fontId="51" fillId="0" borderId="4" xfId="0" applyNumberFormat="1" applyFont="1" applyFill="1" applyBorder="1"/>
    <xf numFmtId="165" fontId="15" fillId="0" borderId="4" xfId="0" applyNumberFormat="1" applyFont="1" applyFill="1" applyBorder="1"/>
    <xf numFmtId="164" fontId="15" fillId="0" borderId="1" xfId="0" applyNumberFormat="1" applyFont="1" applyFill="1" applyBorder="1"/>
    <xf numFmtId="165" fontId="15" fillId="0" borderId="1" xfId="0" applyNumberFormat="1" applyFont="1" applyFill="1" applyBorder="1"/>
    <xf numFmtId="0" fontId="52" fillId="0" borderId="0" xfId="0" applyFont="1" applyFill="1" applyAlignment="1">
      <alignment horizontal="right"/>
    </xf>
    <xf numFmtId="164" fontId="52" fillId="0" borderId="0" xfId="0" applyNumberFormat="1" applyFont="1" applyFill="1" applyBorder="1"/>
    <xf numFmtId="164" fontId="52" fillId="0" borderId="0" xfId="0" applyNumberFormat="1" applyFont="1" applyFill="1"/>
    <xf numFmtId="44" fontId="51" fillId="0" borderId="0" xfId="0" applyNumberFormat="1" applyFont="1" applyFill="1"/>
    <xf numFmtId="164" fontId="53" fillId="0" borderId="0" xfId="0" applyNumberFormat="1" applyFont="1" applyFill="1" applyBorder="1"/>
    <xf numFmtId="44" fontId="53" fillId="0" borderId="0" xfId="0" applyNumberFormat="1" applyFont="1" applyFill="1"/>
    <xf numFmtId="37" fontId="0" fillId="0" borderId="18" xfId="0" applyNumberFormat="1" applyBorder="1"/>
    <xf numFmtId="164" fontId="0" fillId="0" borderId="0" xfId="1" applyNumberFormat="1" applyFont="1"/>
    <xf numFmtId="0" fontId="54" fillId="0" borderId="0" xfId="0" applyFont="1"/>
    <xf numFmtId="38" fontId="0" fillId="0" borderId="0" xfId="0" applyNumberFormat="1"/>
    <xf numFmtId="38" fontId="55" fillId="0" borderId="2" xfId="0" applyNumberFormat="1" applyFont="1" applyBorder="1"/>
    <xf numFmtId="0" fontId="55" fillId="0" borderId="0" xfId="0" applyFont="1"/>
    <xf numFmtId="0" fontId="56" fillId="0" borderId="0" xfId="109" applyFont="1" applyFill="1" applyBorder="1" applyAlignment="1">
      <alignment horizontal="right"/>
    </xf>
    <xf numFmtId="0" fontId="3" fillId="0" borderId="0" xfId="110" applyFont="1" applyAlignment="1">
      <alignment horizontal="left"/>
    </xf>
    <xf numFmtId="38" fontId="0" fillId="0" borderId="0" xfId="0" applyNumberFormat="1" applyFill="1"/>
    <xf numFmtId="0" fontId="3" fillId="0" borderId="0" xfId="110" applyFont="1" applyAlignment="1">
      <alignment horizontal="center"/>
    </xf>
    <xf numFmtId="0" fontId="3" fillId="0" borderId="0" xfId="109" applyFont="1" applyBorder="1"/>
    <xf numFmtId="0" fontId="43" fillId="0" borderId="0" xfId="0" applyFont="1" applyAlignment="1">
      <alignment horizontal="center"/>
    </xf>
    <xf numFmtId="0" fontId="3" fillId="0" borderId="0" xfId="110" applyBorder="1"/>
    <xf numFmtId="0" fontId="3" fillId="0" borderId="0" xfId="110" applyFont="1" applyBorder="1"/>
    <xf numFmtId="40" fontId="0" fillId="0" borderId="0" xfId="0" applyNumberFormat="1"/>
    <xf numFmtId="0" fontId="0" fillId="0" borderId="0" xfId="0" quotePrefix="1"/>
    <xf numFmtId="0" fontId="0" fillId="0" borderId="0" xfId="0" quotePrefix="1" applyAlignment="1">
      <alignment horizontal="right"/>
    </xf>
    <xf numFmtId="37" fontId="57" fillId="0" borderId="18" xfId="0" applyNumberFormat="1" applyFont="1" applyFill="1" applyBorder="1" applyAlignment="1">
      <alignment horizontal="center"/>
    </xf>
    <xf numFmtId="37" fontId="0" fillId="0" borderId="0" xfId="0" applyNumberFormat="1"/>
    <xf numFmtId="37" fontId="3" fillId="0" borderId="17" xfId="0" applyNumberFormat="1" applyFont="1" applyFill="1" applyBorder="1"/>
    <xf numFmtId="37" fontId="3" fillId="0" borderId="44" xfId="0" applyNumberFormat="1" applyFont="1" applyFill="1" applyBorder="1"/>
    <xf numFmtId="17" fontId="54" fillId="0" borderId="0" xfId="0" applyNumberFormat="1" applyFont="1" applyFill="1" applyAlignment="1">
      <alignment horizontal="left"/>
    </xf>
    <xf numFmtId="38" fontId="3" fillId="0" borderId="45" xfId="0" applyNumberFormat="1" applyFont="1" applyFill="1" applyBorder="1"/>
    <xf numFmtId="37" fontId="3" fillId="0" borderId="46" xfId="0" applyNumberFormat="1" applyFont="1" applyFill="1" applyBorder="1"/>
    <xf numFmtId="38" fontId="58" fillId="0" borderId="46" xfId="0" applyNumberFormat="1" applyFont="1" applyFill="1" applyBorder="1"/>
    <xf numFmtId="38" fontId="58" fillId="0" borderId="46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170" fontId="59" fillId="0" borderId="0" xfId="0" applyNumberFormat="1" applyFont="1"/>
    <xf numFmtId="0" fontId="59" fillId="0" borderId="0" xfId="0" applyFont="1"/>
    <xf numFmtId="37" fontId="3" fillId="0" borderId="18" xfId="0" applyNumberFormat="1" applyFont="1" applyBorder="1"/>
    <xf numFmtId="37" fontId="3" fillId="0" borderId="47" xfId="0" applyNumberFormat="1" applyFont="1" applyFill="1" applyBorder="1"/>
    <xf numFmtId="177" fontId="60" fillId="0" borderId="0" xfId="0" applyNumberFormat="1" applyFont="1" applyFill="1" applyAlignment="1">
      <alignment horizontal="left"/>
    </xf>
    <xf numFmtId="38" fontId="57" fillId="0" borderId="18" xfId="0" applyNumberFormat="1" applyFont="1" applyFill="1" applyBorder="1"/>
    <xf numFmtId="38" fontId="0" fillId="0" borderId="18" xfId="0" applyNumberFormat="1" applyFill="1" applyBorder="1"/>
    <xf numFmtId="37" fontId="57" fillId="0" borderId="18" xfId="0" applyNumberFormat="1" applyFont="1" applyFill="1" applyBorder="1"/>
    <xf numFmtId="38" fontId="58" fillId="0" borderId="18" xfId="0" applyNumberFormat="1" applyFont="1" applyBorder="1"/>
    <xf numFmtId="38" fontId="58" fillId="0" borderId="18" xfId="0" applyNumberFormat="1" applyFont="1" applyBorder="1" applyAlignment="1">
      <alignment horizontal="center"/>
    </xf>
    <xf numFmtId="0" fontId="6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59" fillId="0" borderId="2" xfId="0" applyNumberFormat="1" applyFont="1" applyBorder="1"/>
    <xf numFmtId="38" fontId="54" fillId="0" borderId="0" xfId="68" applyNumberFormat="1" applyFont="1" applyFill="1"/>
    <xf numFmtId="38" fontId="54" fillId="0" borderId="0" xfId="68" applyNumberFormat="1" applyFont="1" applyFill="1" applyBorder="1"/>
    <xf numFmtId="38" fontId="1" fillId="0" borderId="18" xfId="1" applyNumberFormat="1" applyBorder="1"/>
    <xf numFmtId="37" fontId="3" fillId="0" borderId="47" xfId="0" applyNumberFormat="1" applyFont="1" applyFill="1" applyBorder="1" applyAlignment="1">
      <alignment horizontal="center"/>
    </xf>
    <xf numFmtId="0" fontId="59" fillId="0" borderId="0" xfId="0" applyFont="1" applyFill="1"/>
    <xf numFmtId="38" fontId="57" fillId="0" borderId="18" xfId="0" applyNumberFormat="1" applyFont="1" applyBorder="1"/>
    <xf numFmtId="38" fontId="58" fillId="0" borderId="18" xfId="0" applyNumberFormat="1" applyFont="1" applyFill="1" applyBorder="1" applyAlignment="1">
      <alignment horizontal="center"/>
    </xf>
    <xf numFmtId="164" fontId="59" fillId="0" borderId="0" xfId="1" applyNumberFormat="1" applyFont="1"/>
    <xf numFmtId="16" fontId="54" fillId="0" borderId="0" xfId="0" applyNumberFormat="1" applyFont="1" applyAlignment="1">
      <alignment horizontal="left"/>
    </xf>
    <xf numFmtId="38" fontId="58" fillId="0" borderId="18" xfId="0" applyNumberFormat="1" applyFont="1" applyFill="1" applyBorder="1"/>
    <xf numFmtId="177" fontId="60" fillId="0" borderId="0" xfId="0" applyNumberFormat="1" applyFont="1" applyAlignment="1">
      <alignment horizontal="left"/>
    </xf>
    <xf numFmtId="37" fontId="58" fillId="0" borderId="18" xfId="0" applyNumberFormat="1" applyFont="1" applyFill="1" applyBorder="1" applyAlignment="1">
      <alignment horizont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59" fillId="0" borderId="0" xfId="0" applyFont="1" applyAlignment="1">
      <alignment horizontal="center"/>
    </xf>
    <xf numFmtId="37" fontId="0" fillId="0" borderId="18" xfId="0" applyNumberFormat="1" applyFill="1" applyBorder="1"/>
    <xf numFmtId="3" fontId="58" fillId="0" borderId="18" xfId="0" applyNumberFormat="1" applyFont="1" applyFill="1" applyBorder="1" applyAlignment="1">
      <alignment horizontal="center"/>
    </xf>
    <xf numFmtId="0" fontId="60" fillId="0" borderId="0" xfId="0" applyFont="1"/>
    <xf numFmtId="38" fontId="0" fillId="0" borderId="18" xfId="0" applyNumberFormat="1" applyBorder="1"/>
    <xf numFmtId="178" fontId="58" fillId="0" borderId="47" xfId="0" quotePrefix="1" applyNumberFormat="1" applyFont="1" applyFill="1" applyBorder="1" applyAlignment="1">
      <alignment horizontal="left"/>
    </xf>
    <xf numFmtId="38" fontId="61" fillId="0" borderId="18" xfId="0" applyNumberFormat="1" applyFont="1" applyFill="1" applyBorder="1" applyAlignment="1">
      <alignment horizontal="left"/>
    </xf>
    <xf numFmtId="38" fontId="54" fillId="0" borderId="0" xfId="101" applyNumberFormat="1" applyFont="1" applyFill="1" applyBorder="1"/>
    <xf numFmtId="38" fontId="54" fillId="0" borderId="0" xfId="101" applyNumberFormat="1" applyFont="1" applyBorder="1"/>
    <xf numFmtId="38" fontId="0" fillId="0" borderId="18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/>
    <xf numFmtId="0" fontId="0" fillId="0" borderId="18" xfId="0" applyBorder="1"/>
    <xf numFmtId="179" fontId="57" fillId="0" borderId="18" xfId="0" applyNumberFormat="1" applyFont="1" applyFill="1" applyBorder="1"/>
    <xf numFmtId="179" fontId="43" fillId="0" borderId="18" xfId="0" applyNumberFormat="1" applyFont="1" applyFill="1" applyBorder="1"/>
    <xf numFmtId="38" fontId="3" fillId="0" borderId="18" xfId="0" applyNumberFormat="1" applyFont="1" applyFill="1" applyBorder="1"/>
    <xf numFmtId="3" fontId="58" fillId="0" borderId="18" xfId="0" applyNumberFormat="1" applyFont="1" applyBorder="1" applyAlignment="1">
      <alignment horizontal="center"/>
    </xf>
    <xf numFmtId="17" fontId="60" fillId="0" borderId="0" xfId="0" applyNumberFormat="1" applyFont="1" applyAlignment="1">
      <alignment horizontal="left"/>
    </xf>
    <xf numFmtId="0" fontId="63" fillId="0" borderId="0" xfId="0" applyFont="1"/>
    <xf numFmtId="10" fontId="0" fillId="0" borderId="18" xfId="0" applyNumberFormat="1" applyFill="1" applyBorder="1"/>
    <xf numFmtId="0" fontId="58" fillId="0" borderId="0" xfId="0" applyFont="1" applyFill="1" applyAlignment="1">
      <alignment horizontal="center"/>
    </xf>
    <xf numFmtId="0" fontId="42" fillId="0" borderId="0" xfId="0" applyFont="1"/>
    <xf numFmtId="38" fontId="0" fillId="0" borderId="23" xfId="0" applyNumberFormat="1" applyFill="1" applyBorder="1"/>
    <xf numFmtId="38" fontId="58" fillId="0" borderId="23" xfId="0" applyNumberFormat="1" applyFont="1" applyFill="1" applyBorder="1" applyAlignment="1">
      <alignment horizontal="center"/>
    </xf>
    <xf numFmtId="3" fontId="58" fillId="0" borderId="23" xfId="0" applyNumberFormat="1" applyFont="1" applyFill="1" applyBorder="1" applyAlignment="1">
      <alignment horizontal="center"/>
    </xf>
    <xf numFmtId="10" fontId="0" fillId="0" borderId="23" xfId="0" applyNumberFormat="1" applyFill="1" applyBorder="1"/>
    <xf numFmtId="38" fontId="58" fillId="0" borderId="23" xfId="0" applyNumberFormat="1" applyFont="1" applyBorder="1"/>
    <xf numFmtId="10" fontId="0" fillId="0" borderId="23" xfId="0" applyNumberFormat="1" applyBorder="1"/>
    <xf numFmtId="38" fontId="58" fillId="0" borderId="23" xfId="0" applyNumberFormat="1" applyFont="1" applyBorder="1" applyAlignment="1">
      <alignment horizontal="center"/>
    </xf>
    <xf numFmtId="180" fontId="60" fillId="0" borderId="0" xfId="0" quotePrefix="1" applyNumberFormat="1" applyFont="1"/>
    <xf numFmtId="164" fontId="1" fillId="0" borderId="18" xfId="1" applyNumberFormat="1" applyFill="1" applyBorder="1"/>
    <xf numFmtId="38" fontId="58" fillId="0" borderId="18" xfId="1" applyNumberFormat="1" applyFont="1" applyFill="1" applyBorder="1" applyAlignment="1">
      <alignment horizontal="center"/>
    </xf>
    <xf numFmtId="3" fontId="58" fillId="0" borderId="18" xfId="1" applyNumberFormat="1" applyFont="1" applyFill="1" applyBorder="1" applyAlignment="1">
      <alignment horizontal="center"/>
    </xf>
    <xf numFmtId="164" fontId="3" fillId="0" borderId="18" xfId="1" applyNumberFormat="1" applyFont="1" applyFill="1" applyBorder="1"/>
    <xf numFmtId="38" fontId="58" fillId="0" borderId="18" xfId="1" applyNumberFormat="1" applyFont="1" applyFill="1" applyBorder="1"/>
    <xf numFmtId="181" fontId="57" fillId="0" borderId="18" xfId="0" applyNumberFormat="1" applyFont="1" applyBorder="1" applyAlignment="1">
      <alignment horizontal="center"/>
    </xf>
    <xf numFmtId="178" fontId="58" fillId="0" borderId="47" xfId="0" applyNumberFormat="1" applyFont="1" applyBorder="1" applyAlignment="1">
      <alignment horizontal="left"/>
    </xf>
    <xf numFmtId="37" fontId="64" fillId="0" borderId="18" xfId="0" applyNumberFormat="1" applyFont="1" applyBorder="1" applyAlignment="1">
      <alignment horizontal="center"/>
    </xf>
    <xf numFmtId="37" fontId="57" fillId="0" borderId="18" xfId="0" applyNumberFormat="1" applyFont="1" applyBorder="1" applyAlignment="1">
      <alignment horizontal="center"/>
    </xf>
    <xf numFmtId="38" fontId="57" fillId="0" borderId="18" xfId="0" applyNumberFormat="1" applyFont="1" applyBorder="1" applyAlignment="1">
      <alignment horizontal="center"/>
    </xf>
    <xf numFmtId="0" fontId="3" fillId="0" borderId="0" xfId="0" quotePrefix="1" applyFont="1"/>
    <xf numFmtId="0" fontId="60" fillId="0" borderId="45" xfId="0" applyFont="1" applyBorder="1" applyAlignment="1">
      <alignment horizontal="center"/>
    </xf>
    <xf numFmtId="0" fontId="60" fillId="0" borderId="47" xfId="0" applyFont="1" applyFill="1" applyBorder="1" applyAlignment="1">
      <alignment horizontal="center"/>
    </xf>
    <xf numFmtId="0" fontId="60" fillId="0" borderId="19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60" fillId="0" borderId="48" xfId="0" applyFont="1" applyBorder="1" applyAlignment="1">
      <alignment horizontal="center"/>
    </xf>
    <xf numFmtId="38" fontId="60" fillId="0" borderId="45" xfId="0" applyNumberFormat="1" applyFont="1" applyBorder="1" applyAlignment="1">
      <alignment horizontal="center"/>
    </xf>
    <xf numFmtId="0" fontId="0" fillId="0" borderId="3" xfId="0" applyBorder="1"/>
    <xf numFmtId="0" fontId="0" fillId="0" borderId="47" xfId="0" applyFill="1" applyBorder="1" applyAlignment="1">
      <alignment horizontal="center"/>
    </xf>
    <xf numFmtId="0" fontId="0" fillId="0" borderId="18" xfId="0" applyBorder="1" applyAlignment="1">
      <alignment horizontal="center"/>
    </xf>
    <xf numFmtId="17" fontId="0" fillId="0" borderId="0" xfId="0" applyNumberFormat="1"/>
    <xf numFmtId="0" fontId="0" fillId="25" borderId="18" xfId="0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54" fillId="0" borderId="0" xfId="0" applyFont="1" applyAlignment="1">
      <alignment horizontal="left"/>
    </xf>
    <xf numFmtId="0" fontId="0" fillId="0" borderId="49" xfId="0" applyFill="1" applyBorder="1" applyAlignment="1">
      <alignment horizontal="center"/>
    </xf>
    <xf numFmtId="0" fontId="0" fillId="0" borderId="49" xfId="0" applyBorder="1" applyAlignment="1">
      <alignment horizontal="center"/>
    </xf>
    <xf numFmtId="38" fontId="0" fillId="0" borderId="49" xfId="0" applyNumberFormat="1" applyFill="1" applyBorder="1" applyAlignment="1">
      <alignment horizontal="center"/>
    </xf>
    <xf numFmtId="0" fontId="0" fillId="0" borderId="3" xfId="0" applyBorder="1" applyAlignment="1">
      <alignment horizontal="centerContinuous"/>
    </xf>
    <xf numFmtId="0" fontId="58" fillId="0" borderId="3" xfId="0" applyFont="1" applyBorder="1" applyAlignment="1">
      <alignment horizontal="centerContinuous"/>
    </xf>
    <xf numFmtId="0" fontId="0" fillId="0" borderId="3" xfId="0" applyFill="1" applyBorder="1"/>
    <xf numFmtId="0" fontId="0" fillId="0" borderId="0" xfId="0" applyBorder="1"/>
    <xf numFmtId="38" fontId="0" fillId="0" borderId="3" xfId="0" applyNumberFormat="1" applyBorder="1" applyAlignment="1">
      <alignment horizontal="centerContinuous"/>
    </xf>
    <xf numFmtId="16" fontId="62" fillId="0" borderId="3" xfId="0" applyNumberFormat="1" applyFont="1" applyBorder="1" applyAlignment="1">
      <alignment horizontal="centerContinuous"/>
    </xf>
    <xf numFmtId="0" fontId="60" fillId="0" borderId="0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38" fontId="0" fillId="0" borderId="0" xfId="0" applyNumberFormat="1" applyAlignment="1">
      <alignment horizontal="centerContinuous"/>
    </xf>
    <xf numFmtId="0" fontId="60" fillId="0" borderId="0" xfId="0" applyFont="1" applyAlignment="1">
      <alignment horizontal="centerContinuous"/>
    </xf>
    <xf numFmtId="177" fontId="62" fillId="0" borderId="0" xfId="0" applyNumberFormat="1" applyFont="1" applyAlignment="1">
      <alignment horizontal="centerContinuous"/>
    </xf>
    <xf numFmtId="14" fontId="61" fillId="0" borderId="0" xfId="0" applyNumberFormat="1" applyFont="1" applyAlignment="1">
      <alignment horizontal="left"/>
    </xf>
    <xf numFmtId="38" fontId="60" fillId="0" borderId="2" xfId="0" applyNumberFormat="1" applyFont="1" applyBorder="1"/>
    <xf numFmtId="38" fontId="6" fillId="0" borderId="0" xfId="0" applyNumberFormat="1" applyFont="1"/>
    <xf numFmtId="165" fontId="8" fillId="25" borderId="2" xfId="0" applyNumberFormat="1" applyFont="1" applyFill="1" applyBorder="1"/>
    <xf numFmtId="165" fontId="15" fillId="25" borderId="2" xfId="0" applyNumberFormat="1" applyFont="1" applyFill="1" applyBorder="1"/>
    <xf numFmtId="41" fontId="45" fillId="25" borderId="33" xfId="2" applyNumberFormat="1" applyFont="1" applyFill="1" applyBorder="1"/>
    <xf numFmtId="41" fontId="45" fillId="25" borderId="33" xfId="72" applyNumberFormat="1" applyFont="1" applyFill="1" applyBorder="1"/>
    <xf numFmtId="0" fontId="65" fillId="0" borderId="0" xfId="0" quotePrefix="1" applyNumberFormat="1" applyFont="1" applyFill="1" applyBorder="1" applyAlignment="1">
      <alignment horizontal="right"/>
    </xf>
    <xf numFmtId="0" fontId="1" fillId="0" borderId="0" xfId="72"/>
    <xf numFmtId="0" fontId="7" fillId="0" borderId="0" xfId="72" applyNumberFormat="1" applyFont="1" applyFill="1" applyAlignment="1">
      <alignment horizontal="centerContinuous"/>
    </xf>
    <xf numFmtId="0" fontId="7" fillId="0" borderId="0" xfId="72" applyNumberFormat="1" applyFont="1" applyFill="1" applyAlignment="1" applyProtection="1">
      <alignment horizontal="centerContinuous"/>
      <protection locked="0"/>
    </xf>
    <xf numFmtId="0" fontId="66" fillId="0" borderId="0" xfId="72" applyNumberFormat="1" applyFont="1" applyFill="1" applyAlignment="1">
      <alignment horizontal="centerContinuous"/>
    </xf>
    <xf numFmtId="0" fontId="8" fillId="0" borderId="0" xfId="0" applyNumberFormat="1" applyFont="1" applyFill="1" applyAlignment="1">
      <alignment horizontal="centerContinuous"/>
    </xf>
    <xf numFmtId="0" fontId="65" fillId="0" borderId="0" xfId="0" applyNumberFormat="1" applyFont="1" applyFill="1" applyAlignment="1">
      <alignment horizontal="centerContinuous"/>
    </xf>
    <xf numFmtId="0" fontId="8" fillId="0" borderId="0" xfId="0" applyNumberFormat="1" applyFont="1" applyFill="1" applyBorder="1" applyAlignment="1">
      <alignment horizontal="centerContinuous"/>
    </xf>
    <xf numFmtId="0" fontId="0" fillId="0" borderId="0" xfId="0" applyFill="1" applyAlignment="1">
      <alignment horizontal="centerContinuous" wrapText="1"/>
    </xf>
    <xf numFmtId="0" fontId="15" fillId="0" borderId="0" xfId="0" applyFont="1" applyFill="1" applyAlignment="1">
      <alignment horizontal="center"/>
    </xf>
  </cellXfs>
  <cellStyles count="113">
    <cellStyle name="20% - Accent1 2" xfId="4"/>
    <cellStyle name="20% - Accent1 2 2" xfId="5"/>
    <cellStyle name="20% - Accent2 2" xfId="6"/>
    <cellStyle name="20% - Accent2 2 2" xfId="7"/>
    <cellStyle name="20% - Accent3 2" xfId="8"/>
    <cellStyle name="20% - Accent3 2 2" xfId="9"/>
    <cellStyle name="20% - Accent4 2" xfId="10"/>
    <cellStyle name="20% - Accent4 2 2" xfId="11"/>
    <cellStyle name="20% - Accent5 2" xfId="12"/>
    <cellStyle name="20% - Accent5 2 2" xfId="13"/>
    <cellStyle name="20% - Accent6 2" xfId="14"/>
    <cellStyle name="20% - Accent6 2 2" xfId="15"/>
    <cellStyle name="40% - Accent1 2" xfId="16"/>
    <cellStyle name="40% - Accent1 2 2" xfId="17"/>
    <cellStyle name="40% - Accent2 2" xfId="18"/>
    <cellStyle name="40% - Accent2 2 2" xfId="19"/>
    <cellStyle name="40% - Accent3 2" xfId="20"/>
    <cellStyle name="40% - Accent3 2 2" xfId="21"/>
    <cellStyle name="40% - Accent4 2" xfId="22"/>
    <cellStyle name="40% - Accent4 2 2" xfId="23"/>
    <cellStyle name="40% - Accent5 2" xfId="24"/>
    <cellStyle name="40% - Accent5 2 2" xfId="25"/>
    <cellStyle name="40% - Accent6 2" xfId="26"/>
    <cellStyle name="40% - Accent6 2 2" xfId="27"/>
    <cellStyle name="60% - Accent1 2" xfId="28"/>
    <cellStyle name="60% - Accent2 2" xfId="29"/>
    <cellStyle name="60% - Accent3 2" xfId="30"/>
    <cellStyle name="60% - Accent4 2" xfId="31"/>
    <cellStyle name="60% - Accent5 2" xfId="32"/>
    <cellStyle name="60% - Accent6 2" xfId="33"/>
    <cellStyle name="Accent1 2" xfId="34"/>
    <cellStyle name="Accent2 2" xfId="35"/>
    <cellStyle name="Accent3 2" xfId="36"/>
    <cellStyle name="Accent4 2" xfId="37"/>
    <cellStyle name="Accent5 2" xfId="38"/>
    <cellStyle name="Accent6 2" xfId="39"/>
    <cellStyle name="Bad 2" xfId="40"/>
    <cellStyle name="Calculation 2" xfId="41"/>
    <cellStyle name="Check Cell 2" xfId="42"/>
    <cellStyle name="Comma" xfId="1" builtinId="3"/>
    <cellStyle name="Comma 2" xfId="3"/>
    <cellStyle name="Comma 2 2" xfId="43"/>
    <cellStyle name="Comma 2 2 2" xfId="100"/>
    <cellStyle name="Comma 2 3" xfId="101"/>
    <cellStyle name="Comma 3" xfId="44"/>
    <cellStyle name="Comma 3 2" xfId="102"/>
    <cellStyle name="Comma 4" xfId="45"/>
    <cellStyle name="Comma 4 2" xfId="46"/>
    <cellStyle name="Comma 4 3" xfId="47"/>
    <cellStyle name="Comma 4 4" xfId="48"/>
    <cellStyle name="Comma 4 5" xfId="49"/>
    <cellStyle name="Comma 5" xfId="50"/>
    <cellStyle name="Comma 6" xfId="51"/>
    <cellStyle name="Comma 6 2" xfId="52"/>
    <cellStyle name="Comma 6 3" xfId="53"/>
    <cellStyle name="Comma 6 4" xfId="54"/>
    <cellStyle name="Comma 6 5" xfId="55"/>
    <cellStyle name="Comma 7" xfId="56"/>
    <cellStyle name="Currency 2" xfId="57"/>
    <cellStyle name="Currency 2 2" xfId="103"/>
    <cellStyle name="Currency 3" xfId="58"/>
    <cellStyle name="Explanatory Text 2" xfId="59"/>
    <cellStyle name="Good 2" xfId="60"/>
    <cellStyle name="Heading 1 2" xfId="61"/>
    <cellStyle name="Heading 2 2" xfId="62"/>
    <cellStyle name="Heading 3 2" xfId="63"/>
    <cellStyle name="Heading 4 2" xfId="64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104"/>
    <cellStyle name="Normal 2 3" xfId="70"/>
    <cellStyle name="Normal 2 3 2" xfId="105"/>
    <cellStyle name="Normal 2 4" xfId="71"/>
    <cellStyle name="Normal 2 4 2" xfId="106"/>
    <cellStyle name="Normal 2 5" xfId="72"/>
    <cellStyle name="Normal 2 5 2" xfId="73"/>
    <cellStyle name="Normal 2 5 3" xfId="2"/>
    <cellStyle name="Normal 2 5 4" xfId="110"/>
    <cellStyle name="Normal 3" xfId="74"/>
    <cellStyle name="Normal 3 2" xfId="75"/>
    <cellStyle name="Normal 3 2 2" xfId="76"/>
    <cellStyle name="Normal 3 2 3" xfId="77"/>
    <cellStyle name="Normal 3 2 4" xfId="78"/>
    <cellStyle name="Normal 3 2 5" xfId="79"/>
    <cellStyle name="Normal 3 3" xfId="107"/>
    <cellStyle name="Normal 4" xfId="80"/>
    <cellStyle name="Normal 5" xfId="81"/>
    <cellStyle name="Normal 5 2" xfId="82"/>
    <cellStyle name="Normal 5 3" xfId="83"/>
    <cellStyle name="Normal 5 4" xfId="84"/>
    <cellStyle name="Normal 5 5" xfId="85"/>
    <cellStyle name="Normal 6" xfId="86"/>
    <cellStyle name="Normal 7" xfId="87"/>
    <cellStyle name="Normal 7 2" xfId="88"/>
    <cellStyle name="Normal 7 3" xfId="89"/>
    <cellStyle name="Normal 7 4" xfId="90"/>
    <cellStyle name="Normal 7 5" xfId="91"/>
    <cellStyle name="Normal 8" xfId="109"/>
    <cellStyle name="Normal 9" xfId="111"/>
    <cellStyle name="Note 2" xfId="92"/>
    <cellStyle name="Note 2 2" xfId="93"/>
    <cellStyle name="Output 2" xfId="94"/>
    <cellStyle name="Percent 2" xfId="95"/>
    <cellStyle name="Percent 2 2" xfId="108"/>
    <cellStyle name="Percent 3" xfId="96"/>
    <cellStyle name="Percent 4" xfId="112"/>
    <cellStyle name="Title 2" xfId="97"/>
    <cellStyle name="Total 2" xfId="98"/>
    <cellStyle name="Warning Text 2" xfId="99"/>
  </cellStyles>
  <dxfs count="0"/>
  <tableStyles count="0" defaultTableStyle="TableStyleMedium2" defaultPivotStyle="PivotStyleLight16"/>
  <colors>
    <mruColors>
      <color rgb="FF00FF00"/>
      <color rgb="FFD6009E"/>
      <color rgb="FF66FF66"/>
      <color rgb="FFCCFF33"/>
      <color rgb="FFFFCCFF"/>
      <color rgb="FF7500EA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K36"/>
  <sheetViews>
    <sheetView tabSelected="1" zoomScale="90" zoomScaleNormal="90" workbookViewId="0">
      <pane xSplit="2" ySplit="4" topLeftCell="C5" activePane="bottomRight" state="frozen"/>
      <selection pane="topRight"/>
      <selection pane="bottomLeft"/>
      <selection pane="bottomRight" activeCell="N34" sqref="N34"/>
    </sheetView>
  </sheetViews>
  <sheetFormatPr defaultRowHeight="15" x14ac:dyDescent="0.25"/>
  <cols>
    <col min="1" max="1" width="5.140625" style="103" customWidth="1"/>
    <col min="2" max="2" width="46.28515625" bestFit="1" customWidth="1"/>
    <col min="3" max="3" width="8.85546875" style="8" bestFit="1" customWidth="1"/>
    <col min="4" max="6" width="13.28515625" bestFit="1" customWidth="1"/>
    <col min="7" max="7" width="3.7109375" customWidth="1"/>
    <col min="8" max="8" width="13.7109375" bestFit="1" customWidth="1"/>
    <col min="9" max="9" width="13.42578125" bestFit="1" customWidth="1"/>
    <col min="10" max="10" width="13.140625" bestFit="1" customWidth="1"/>
    <col min="12" max="12" width="4.5703125" customWidth="1"/>
    <col min="13" max="15" width="12.5703125" bestFit="1" customWidth="1"/>
    <col min="16" max="16" width="4.7109375" customWidth="1"/>
    <col min="17" max="19" width="12.28515625" bestFit="1" customWidth="1"/>
    <col min="20" max="20" width="5.28515625" customWidth="1"/>
    <col min="21" max="23" width="12.28515625" bestFit="1" customWidth="1"/>
  </cols>
  <sheetData>
    <row r="1" spans="1:11" ht="18.75" x14ac:dyDescent="0.3">
      <c r="A1" s="34" t="s">
        <v>195</v>
      </c>
      <c r="C1" s="35"/>
    </row>
    <row r="2" spans="1:11" ht="18.75" x14ac:dyDescent="0.3">
      <c r="B2" s="34"/>
      <c r="C2" s="35"/>
    </row>
    <row r="3" spans="1:11" x14ac:dyDescent="0.25">
      <c r="D3" s="33" t="s">
        <v>24</v>
      </c>
      <c r="E3" s="31"/>
      <c r="F3" s="32"/>
      <c r="H3" s="33" t="s">
        <v>25</v>
      </c>
      <c r="I3" s="32"/>
      <c r="J3" s="32"/>
    </row>
    <row r="4" spans="1:11" x14ac:dyDescent="0.25">
      <c r="D4" s="5" t="s">
        <v>0</v>
      </c>
      <c r="E4" s="5" t="s">
        <v>1</v>
      </c>
      <c r="F4" s="5" t="s">
        <v>2</v>
      </c>
      <c r="H4" s="5" t="s">
        <v>0</v>
      </c>
      <c r="I4" s="5" t="s">
        <v>1</v>
      </c>
      <c r="J4" s="5" t="s">
        <v>2</v>
      </c>
    </row>
    <row r="5" spans="1:11" x14ac:dyDescent="0.25">
      <c r="H5" s="9">
        <f>'E Conv Fctr'!E19</f>
        <v>0.95238599999999995</v>
      </c>
      <c r="I5" s="9">
        <f>'G Conv Fctr'!E17</f>
        <v>0.954538</v>
      </c>
      <c r="J5" s="9"/>
      <c r="K5" s="101"/>
    </row>
    <row r="6" spans="1:11" x14ac:dyDescent="0.25">
      <c r="A6" s="103">
        <v>1</v>
      </c>
      <c r="B6" t="s">
        <v>191</v>
      </c>
      <c r="C6" s="36"/>
      <c r="D6" s="52">
        <f>'2019 FINAL Rev Req '!D21</f>
        <v>57126055.389853239</v>
      </c>
      <c r="E6" s="52">
        <f>'2019 FINAL Rev Req '!E21</f>
        <v>21309018.70527197</v>
      </c>
      <c r="F6" s="52">
        <f>SUM(D6:E6)</f>
        <v>78435074.095125213</v>
      </c>
      <c r="G6" s="9"/>
      <c r="H6" s="52">
        <f>D6/$H$5</f>
        <v>59982040.254532553</v>
      </c>
      <c r="I6" s="52">
        <f>E6/$I$5</f>
        <v>22323908.220806263</v>
      </c>
      <c r="J6" s="52">
        <f>SUM(H6:I6)</f>
        <v>82305948.475338817</v>
      </c>
    </row>
    <row r="7" spans="1:11" x14ac:dyDescent="0.25">
      <c r="D7" s="9"/>
      <c r="E7" s="9"/>
      <c r="F7" s="9"/>
      <c r="G7" s="9"/>
      <c r="H7" s="9"/>
      <c r="I7" s="9"/>
      <c r="J7" s="9"/>
    </row>
    <row r="8" spans="1:11" x14ac:dyDescent="0.25">
      <c r="A8" s="103">
        <v>2</v>
      </c>
      <c r="B8" t="s">
        <v>3</v>
      </c>
      <c r="D8" s="9"/>
      <c r="E8" s="102"/>
      <c r="F8" s="9"/>
      <c r="G8" s="9"/>
      <c r="H8" s="9"/>
      <c r="I8" s="9"/>
      <c r="J8" s="9"/>
    </row>
    <row r="9" spans="1:11" x14ac:dyDescent="0.25">
      <c r="A9" s="103">
        <v>3</v>
      </c>
      <c r="B9" s="4" t="s">
        <v>263</v>
      </c>
      <c r="C9" s="100"/>
      <c r="D9" s="10">
        <f>+'2020 Final Payment'!C39</f>
        <v>54001769</v>
      </c>
      <c r="E9" s="10">
        <f>+'2020 Final Payment'!C40</f>
        <v>17602077</v>
      </c>
      <c r="F9" s="10">
        <f>SUM(D9:E9)</f>
        <v>71603846</v>
      </c>
      <c r="G9" s="9"/>
      <c r="H9" s="10">
        <f>D9/$H$5</f>
        <v>56701556.931748264</v>
      </c>
      <c r="I9" s="10">
        <f>E9/$I$5</f>
        <v>18440415.153718345</v>
      </c>
      <c r="J9" s="10">
        <f>SUM(H9:I9)</f>
        <v>75141972.085466608</v>
      </c>
    </row>
    <row r="10" spans="1:11" x14ac:dyDescent="0.25">
      <c r="A10" s="103">
        <v>4</v>
      </c>
      <c r="B10" s="4" t="s">
        <v>191</v>
      </c>
      <c r="C10" s="36" t="s">
        <v>26</v>
      </c>
      <c r="D10" s="10">
        <f>D6</f>
        <v>57126055.389853239</v>
      </c>
      <c r="E10" s="10">
        <f>E6</f>
        <v>21309018.70527197</v>
      </c>
      <c r="F10" s="10">
        <f>SUM(D10:E10)</f>
        <v>78435074.095125213</v>
      </c>
      <c r="G10" s="9"/>
      <c r="H10" s="10">
        <f>D10/$H$5</f>
        <v>59982040.254532553</v>
      </c>
      <c r="I10" s="10">
        <f>E10/$I$5</f>
        <v>22323908.220806263</v>
      </c>
      <c r="J10" s="10">
        <f>SUM(H10:I10)</f>
        <v>82305948.475338817</v>
      </c>
    </row>
    <row r="11" spans="1:11" x14ac:dyDescent="0.25">
      <c r="A11" s="103">
        <v>5</v>
      </c>
      <c r="B11" t="s">
        <v>192</v>
      </c>
      <c r="D11" s="10">
        <f>'Elec Load Variance 2019'!P35*'2020 FINAL Rev Req'!H5</f>
        <v>2519105.4467049497</v>
      </c>
      <c r="E11" s="10">
        <f>'Gas Load Variance 2019'!O26*'2020 FINAL Rev Req'!I5</f>
        <v>434141.46669341688</v>
      </c>
      <c r="F11" s="10">
        <f>SUM(D11:E11)</f>
        <v>2953246.9133983664</v>
      </c>
      <c r="G11" s="9"/>
      <c r="H11" s="10">
        <f>D11/$H$5</f>
        <v>2645046.700292686</v>
      </c>
      <c r="I11" s="10">
        <f>E11/$I$5</f>
        <v>454818.42178458779</v>
      </c>
      <c r="J11" s="10">
        <f>SUM(H11:I11)</f>
        <v>3099865.1220772737</v>
      </c>
    </row>
    <row r="12" spans="1:11" x14ac:dyDescent="0.25">
      <c r="D12" s="53"/>
      <c r="E12" s="53"/>
      <c r="F12" s="53"/>
      <c r="G12" s="9"/>
      <c r="H12" s="91">
        <f>'Elec Load Variance 2019'!P35-'2020 FINAL Rev Req'!H11</f>
        <v>0</v>
      </c>
      <c r="I12" s="91">
        <f>'Gas Load Variance 2019'!O26-'2020 FINAL Rev Req'!I11</f>
        <v>0</v>
      </c>
      <c r="J12" s="92" t="s">
        <v>123</v>
      </c>
    </row>
    <row r="13" spans="1:11" x14ac:dyDescent="0.25">
      <c r="A13" s="103">
        <v>6</v>
      </c>
      <c r="B13" t="s">
        <v>124</v>
      </c>
      <c r="C13" s="36" t="s">
        <v>28</v>
      </c>
      <c r="D13" s="10">
        <f>D9-D10+D11</f>
        <v>-605180.94314828934</v>
      </c>
      <c r="E13" s="10">
        <f>E9-E10+E11</f>
        <v>-3272800.2385785538</v>
      </c>
      <c r="F13" s="10">
        <f>SUM(D13:E13)</f>
        <v>-3877981.1817268431</v>
      </c>
      <c r="G13" s="9"/>
      <c r="H13" s="10">
        <f>H9-H10+H11</f>
        <v>-635436.62249160372</v>
      </c>
      <c r="I13" s="10">
        <f>I9-I10+I11</f>
        <v>-3428674.6453033308</v>
      </c>
      <c r="J13" s="10">
        <f>SUM(H13:I13)</f>
        <v>-4064111.2677949346</v>
      </c>
    </row>
    <row r="14" spans="1:11" x14ac:dyDescent="0.25">
      <c r="D14" s="53"/>
      <c r="E14" s="53"/>
      <c r="F14" s="53"/>
      <c r="G14" s="9"/>
      <c r="H14" s="53"/>
      <c r="I14" s="53"/>
      <c r="J14" s="53"/>
    </row>
    <row r="15" spans="1:11" ht="15.75" thickBot="1" x14ac:dyDescent="0.3">
      <c r="A15" s="103">
        <v>7</v>
      </c>
      <c r="B15" t="s">
        <v>23</v>
      </c>
      <c r="C15" s="36" t="s">
        <v>27</v>
      </c>
      <c r="D15" s="54">
        <f>D6+D13</f>
        <v>56520874.446704946</v>
      </c>
      <c r="E15" s="54">
        <f>E6+E13</f>
        <v>18036218.466693416</v>
      </c>
      <c r="F15" s="54">
        <f>SUM(D15:E15)</f>
        <v>74557092.913398355</v>
      </c>
      <c r="G15" s="9"/>
      <c r="H15" s="54">
        <f>H6+H13</f>
        <v>59346603.632040948</v>
      </c>
      <c r="I15" s="54">
        <f>I6+I13</f>
        <v>18895233.575502932</v>
      </c>
      <c r="J15" s="54">
        <f>SUM(H15:I15)</f>
        <v>78241837.20754388</v>
      </c>
    </row>
    <row r="16" spans="1:11" ht="15.75" thickTop="1" x14ac:dyDescent="0.25">
      <c r="D16" s="9"/>
      <c r="E16" s="9"/>
      <c r="F16" s="9"/>
      <c r="G16" s="9"/>
      <c r="H16" s="9"/>
      <c r="I16" s="9"/>
      <c r="J16" s="9"/>
    </row>
    <row r="17" spans="1:11" x14ac:dyDescent="0.25">
      <c r="D17" s="9"/>
      <c r="E17" s="9"/>
      <c r="F17" s="9"/>
      <c r="G17" s="9"/>
      <c r="H17" s="9"/>
      <c r="I17" s="9"/>
      <c r="J17" s="9"/>
    </row>
    <row r="18" spans="1:11" x14ac:dyDescent="0.25">
      <c r="A18" s="103">
        <v>8</v>
      </c>
      <c r="B18" t="s">
        <v>4</v>
      </c>
      <c r="C18" s="36" t="s">
        <v>153</v>
      </c>
      <c r="D18" s="52">
        <f>D15-D19</f>
        <v>42849664.672506221</v>
      </c>
      <c r="E18" s="52">
        <f>E15-E19</f>
        <v>17343945.531315416</v>
      </c>
      <c r="F18" s="52">
        <f>SUM(D18:E18)</f>
        <v>60193610.203821637</v>
      </c>
      <c r="G18" s="9"/>
      <c r="H18" s="52">
        <f>H15-H19</f>
        <v>44991909.449011452</v>
      </c>
      <c r="I18" s="52">
        <f>I15-I19</f>
        <v>18169989.598439682</v>
      </c>
      <c r="J18" s="52">
        <f>SUM(H18:I18)</f>
        <v>63161899.047451138</v>
      </c>
    </row>
    <row r="19" spans="1:11" x14ac:dyDescent="0.25">
      <c r="A19" s="103">
        <v>9</v>
      </c>
      <c r="B19" t="s">
        <v>5</v>
      </c>
      <c r="C19" s="100"/>
      <c r="D19" s="10">
        <f>'Electric summary'!G20</f>
        <v>13671209.774198726</v>
      </c>
      <c r="E19" s="10">
        <f>'Gas summary'!G20</f>
        <v>692272.93537800107</v>
      </c>
      <c r="F19" s="10">
        <f>SUM(D19:E19)</f>
        <v>14363482.709576726</v>
      </c>
      <c r="G19" s="9"/>
      <c r="H19" s="1">
        <f>D19/$H$5</f>
        <v>14354694.183029493</v>
      </c>
      <c r="I19" s="1">
        <f>E19/$I$5</f>
        <v>725243.97706325061</v>
      </c>
      <c r="J19" s="10">
        <f>SUM(H19:I19)</f>
        <v>15079938.160092743</v>
      </c>
    </row>
    <row r="20" spans="1:11" x14ac:dyDescent="0.25">
      <c r="D20" s="53"/>
      <c r="E20" s="53"/>
      <c r="F20" s="53"/>
      <c r="G20" s="9"/>
      <c r="H20" s="53"/>
      <c r="I20" s="53"/>
      <c r="J20" s="53"/>
    </row>
    <row r="21" spans="1:11" ht="15.75" thickBot="1" x14ac:dyDescent="0.3">
      <c r="A21" s="103">
        <v>10</v>
      </c>
      <c r="B21" t="s">
        <v>23</v>
      </c>
      <c r="C21" s="36" t="s">
        <v>29</v>
      </c>
      <c r="D21" s="55">
        <f>SUM(D18:D20)</f>
        <v>56520874.446704946</v>
      </c>
      <c r="E21" s="55">
        <f>SUM(E18:E20)</f>
        <v>18036218.466693416</v>
      </c>
      <c r="F21" s="55">
        <f>SUM(D21:E21)</f>
        <v>74557092.913398355</v>
      </c>
      <c r="H21" s="55">
        <f>SUM(H18:H19)</f>
        <v>59346603.632040948</v>
      </c>
      <c r="I21" s="55">
        <f>SUM(I18:I19)</f>
        <v>18895233.575502932</v>
      </c>
      <c r="J21" s="55">
        <f>SUM(H21:I21)</f>
        <v>78241837.20754388</v>
      </c>
    </row>
    <row r="22" spans="1:11" ht="15.75" thickTop="1" x14ac:dyDescent="0.25">
      <c r="D22" s="9"/>
      <c r="E22" s="9"/>
      <c r="F22" s="9"/>
    </row>
    <row r="23" spans="1:11" x14ac:dyDescent="0.25">
      <c r="D23" s="52"/>
      <c r="E23" s="52"/>
      <c r="F23" s="52"/>
    </row>
    <row r="24" spans="1:11" x14ac:dyDescent="0.25">
      <c r="A24" s="103">
        <v>11</v>
      </c>
      <c r="B24" t="s">
        <v>6</v>
      </c>
    </row>
    <row r="25" spans="1:11" x14ac:dyDescent="0.25">
      <c r="A25" s="103">
        <f>+A24+1</f>
        <v>12</v>
      </c>
      <c r="B25" s="4" t="s">
        <v>7</v>
      </c>
      <c r="D25" s="3">
        <f>-'2019 FINAL Rev Req '!D9+'2020 FINAL Rev Req'!D9</f>
        <v>-1731890</v>
      </c>
      <c r="E25" s="3">
        <f>-'2019 FINAL Rev Req '!E9+'2020 FINAL Rev Req'!E9</f>
        <v>-2537186</v>
      </c>
      <c r="F25" s="3">
        <f>SUM(D25:E25)</f>
        <v>-4269076</v>
      </c>
      <c r="H25" s="1">
        <f>D25/$H$5</f>
        <v>-1818474.8620832311</v>
      </c>
      <c r="I25" s="1">
        <f>E25/$I$5</f>
        <v>-2658025.1388629894</v>
      </c>
      <c r="J25" s="3">
        <f>SUM(H25:I25)</f>
        <v>-4476500.00094622</v>
      </c>
    </row>
    <row r="26" spans="1:11" x14ac:dyDescent="0.25">
      <c r="A26" s="103">
        <f t="shared" ref="A26:A27" si="0">+A25+1</f>
        <v>13</v>
      </c>
      <c r="B26" s="4" t="s">
        <v>9</v>
      </c>
      <c r="D26" s="3">
        <f>-'2019 FINAL Rev Req '!D11+'2020 FINAL Rev Req'!D11</f>
        <v>1126709.0568517144</v>
      </c>
      <c r="E26" s="3">
        <f>-'2019 FINAL Rev Req '!E11+'2020 FINAL Rev Req'!E11</f>
        <v>-735614.23857855517</v>
      </c>
      <c r="F26" s="3">
        <f>SUM(D26:E26)</f>
        <v>391094.81827315921</v>
      </c>
      <c r="H26" s="1">
        <f>D26/$H$5</f>
        <v>1183038.2395916304</v>
      </c>
      <c r="I26" s="1">
        <f>E26/$I$5</f>
        <v>-770649.50644034625</v>
      </c>
      <c r="J26" s="3">
        <f>SUM(H26:I26)</f>
        <v>412388.73315128416</v>
      </c>
    </row>
    <row r="27" spans="1:11" ht="15.75" thickBot="1" x14ac:dyDescent="0.3">
      <c r="A27" s="103">
        <f t="shared" si="0"/>
        <v>14</v>
      </c>
      <c r="B27" t="s">
        <v>8</v>
      </c>
      <c r="D27" s="6">
        <f>SUM(D25:D26)</f>
        <v>-605180.94314828562</v>
      </c>
      <c r="E27" s="6">
        <f>SUM(E25:E26)</f>
        <v>-3272800.2385785552</v>
      </c>
      <c r="F27" s="6">
        <f>SUM(D27:E27)</f>
        <v>-3877981.1817268408</v>
      </c>
      <c r="H27" s="6">
        <f>SUM(H25:H26)</f>
        <v>-635436.62249160069</v>
      </c>
      <c r="I27" s="6">
        <f>SUM(I25:I26)</f>
        <v>-3428674.6453033355</v>
      </c>
      <c r="J27" s="6">
        <f>SUM(H27:I27)</f>
        <v>-4064111.267794936</v>
      </c>
    </row>
    <row r="28" spans="1:11" ht="15.75" thickTop="1" x14ac:dyDescent="0.25">
      <c r="D28" s="38">
        <f>D27-D13</f>
        <v>3.7252902984619141E-9</v>
      </c>
      <c r="E28" s="38">
        <f>E27-E13</f>
        <v>0</v>
      </c>
      <c r="F28" s="38">
        <f>F27-F13</f>
        <v>0</v>
      </c>
      <c r="G28" s="37"/>
      <c r="H28" s="39">
        <f>H27-H13</f>
        <v>3.0267983675003052E-9</v>
      </c>
      <c r="I28" s="38">
        <f>I27-I13</f>
        <v>-4.6566128730773926E-9</v>
      </c>
      <c r="J28" s="38">
        <f>J27-J13</f>
        <v>0</v>
      </c>
      <c r="K28" s="37"/>
    </row>
    <row r="29" spans="1:11" x14ac:dyDescent="0.25">
      <c r="D29" s="273"/>
      <c r="E29" s="273"/>
      <c r="H29" s="2"/>
      <c r="I29" s="2"/>
      <c r="J29" s="2"/>
    </row>
    <row r="30" spans="1:11" x14ac:dyDescent="0.25">
      <c r="A30" s="103">
        <f>+A27+1</f>
        <v>15</v>
      </c>
      <c r="B30" s="7" t="s">
        <v>76</v>
      </c>
      <c r="C30" s="36"/>
      <c r="H30" s="40">
        <f>H27/H6</f>
        <v>-1.0593781401818585E-2</v>
      </c>
      <c r="I30" s="40">
        <f>I27/I6</f>
        <v>-0.15358756232959928</v>
      </c>
    </row>
    <row r="31" spans="1:11" x14ac:dyDescent="0.25">
      <c r="A31" s="103">
        <f>+A30+1</f>
        <v>16</v>
      </c>
      <c r="B31" s="7" t="s">
        <v>77</v>
      </c>
      <c r="H31" s="103" t="str">
        <f>IF(ABS(H30)&gt;1%,"yes","no")</f>
        <v>yes</v>
      </c>
      <c r="I31" s="103" t="str">
        <f>IF(ABS(I30)&gt;1%,"yes","no")</f>
        <v>yes</v>
      </c>
    </row>
    <row r="32" spans="1:11" x14ac:dyDescent="0.25">
      <c r="A32" s="103">
        <f t="shared" ref="A32:A33" si="1">+A31+1</f>
        <v>17</v>
      </c>
      <c r="B32" s="41" t="s">
        <v>31</v>
      </c>
    </row>
    <row r="33" spans="1:2" x14ac:dyDescent="0.25">
      <c r="A33" s="103">
        <f t="shared" si="1"/>
        <v>18</v>
      </c>
      <c r="B33" s="41" t="s">
        <v>32</v>
      </c>
    </row>
    <row r="35" spans="1:2" x14ac:dyDescent="0.25">
      <c r="B35" s="42"/>
    </row>
    <row r="36" spans="1:2" x14ac:dyDescent="0.25">
      <c r="B36" s="42"/>
    </row>
  </sheetData>
  <pageMargins left="0.7" right="0.7" top="0.75" bottom="0.75" header="0.3" footer="0.3"/>
  <pageSetup scale="8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selection activeCell="B30" sqref="B30"/>
    </sheetView>
  </sheetViews>
  <sheetFormatPr defaultColWidth="9.140625" defaultRowHeight="10.5" x14ac:dyDescent="0.15"/>
  <cols>
    <col min="1" max="1" width="5" style="106" bestFit="1" customWidth="1"/>
    <col min="2" max="2" width="43.85546875" style="106" bestFit="1" customWidth="1"/>
    <col min="3" max="4" width="9.140625" style="106"/>
    <col min="5" max="5" width="10.140625" style="106" customWidth="1"/>
    <col min="6" max="16384" width="9.140625" style="106"/>
  </cols>
  <sheetData>
    <row r="1" spans="1:5" ht="12.75" x14ac:dyDescent="0.2">
      <c r="A1" s="19"/>
      <c r="B1" s="19"/>
      <c r="C1" s="19"/>
      <c r="D1" s="19"/>
      <c r="E1" s="402" t="s">
        <v>265</v>
      </c>
    </row>
    <row r="2" spans="1:5" ht="12.75" x14ac:dyDescent="0.2">
      <c r="A2" s="405" t="s">
        <v>266</v>
      </c>
      <c r="B2" s="404"/>
      <c r="C2" s="13"/>
      <c r="D2" s="13"/>
      <c r="E2" s="76"/>
    </row>
    <row r="3" spans="1:5" ht="12.75" x14ac:dyDescent="0.2">
      <c r="A3" s="406" t="s">
        <v>15</v>
      </c>
      <c r="B3" s="406"/>
      <c r="C3" s="13"/>
      <c r="D3" s="13"/>
      <c r="E3" s="13"/>
    </row>
    <row r="4" spans="1:5" ht="12.75" x14ac:dyDescent="0.2">
      <c r="A4" s="408" t="s">
        <v>267</v>
      </c>
      <c r="B4" s="407"/>
      <c r="C4" s="13"/>
      <c r="D4" s="13"/>
      <c r="E4" s="13"/>
    </row>
    <row r="5" spans="1:5" ht="12.75" x14ac:dyDescent="0.2">
      <c r="A5" s="404" t="s">
        <v>125</v>
      </c>
      <c r="B5" s="404"/>
      <c r="C5" s="13"/>
      <c r="D5" s="13"/>
      <c r="E5" s="13"/>
    </row>
    <row r="6" spans="1:5" ht="12.75" x14ac:dyDescent="0.2">
      <c r="A6" s="405" t="s">
        <v>129</v>
      </c>
      <c r="B6" s="404"/>
      <c r="C6" s="13"/>
      <c r="D6" s="13"/>
      <c r="E6" s="13"/>
    </row>
    <row r="7" spans="1:5" ht="12.75" x14ac:dyDescent="0.2">
      <c r="A7" s="11"/>
      <c r="B7" s="11"/>
      <c r="C7" s="11"/>
      <c r="D7" s="11"/>
      <c r="E7" s="11"/>
    </row>
    <row r="8" spans="1:5" ht="12.75" x14ac:dyDescent="0.2">
      <c r="A8" s="14" t="s">
        <v>16</v>
      </c>
      <c r="B8" s="11"/>
      <c r="C8" s="11"/>
      <c r="D8" s="11"/>
      <c r="E8" s="11"/>
    </row>
    <row r="9" spans="1:5" ht="12.75" x14ac:dyDescent="0.2">
      <c r="A9" s="15" t="s">
        <v>17</v>
      </c>
      <c r="B9" s="16" t="s">
        <v>18</v>
      </c>
      <c r="C9" s="15"/>
      <c r="D9" s="15"/>
      <c r="E9" s="15" t="s">
        <v>19</v>
      </c>
    </row>
    <row r="10" spans="1:5" ht="12.75" x14ac:dyDescent="0.2">
      <c r="A10" s="19"/>
      <c r="B10" s="19"/>
      <c r="C10" s="19"/>
      <c r="D10" s="19"/>
      <c r="E10" s="19"/>
    </row>
    <row r="11" spans="1:5" ht="12.75" x14ac:dyDescent="0.2">
      <c r="A11" s="20">
        <v>1</v>
      </c>
      <c r="B11" s="24" t="s">
        <v>20</v>
      </c>
      <c r="C11" s="19"/>
      <c r="D11" s="19"/>
      <c r="E11" s="59">
        <v>5.1399999999999996E-3</v>
      </c>
    </row>
    <row r="12" spans="1:5" ht="12.75" x14ac:dyDescent="0.2">
      <c r="A12" s="20">
        <v>2</v>
      </c>
      <c r="B12" s="24" t="s">
        <v>21</v>
      </c>
      <c r="C12" s="19"/>
      <c r="D12" s="19"/>
      <c r="E12" s="59">
        <v>2E-3</v>
      </c>
    </row>
    <row r="13" spans="1:5" ht="12.75" x14ac:dyDescent="0.2">
      <c r="A13" s="20">
        <v>3</v>
      </c>
      <c r="B13" s="24" t="str">
        <f>"STATE UTILITY TAX - NET OF BAD DEBTS ( "&amp;D13*100&amp;"% - ( LINE 1 * "&amp;D13*100&amp;"%) )"</f>
        <v>STATE UTILITY TAX - NET OF BAD DEBTS ( 3.852% - ( LINE 1 * 3.852%) )</v>
      </c>
      <c r="C13" s="19"/>
      <c r="D13" s="25">
        <v>3.8519999999999999E-2</v>
      </c>
      <c r="E13" s="60">
        <v>3.8322000000000002E-2</v>
      </c>
    </row>
    <row r="14" spans="1:5" ht="12.75" x14ac:dyDescent="0.2">
      <c r="A14" s="20">
        <v>4</v>
      </c>
      <c r="B14" s="24"/>
      <c r="C14" s="19"/>
      <c r="D14" s="58"/>
      <c r="E14" s="61"/>
    </row>
    <row r="15" spans="1:5" ht="12.75" x14ac:dyDescent="0.2">
      <c r="A15" s="20">
        <v>5</v>
      </c>
      <c r="B15" s="24" t="s">
        <v>22</v>
      </c>
      <c r="C15" s="19"/>
      <c r="D15" s="58"/>
      <c r="E15" s="59">
        <v>4.5462000000000002E-2</v>
      </c>
    </row>
    <row r="16" spans="1:5" ht="12.75" x14ac:dyDescent="0.2">
      <c r="A16" s="20">
        <v>6</v>
      </c>
      <c r="B16" s="24"/>
      <c r="C16" s="26"/>
      <c r="D16" s="58"/>
      <c r="E16" s="59"/>
    </row>
    <row r="17" spans="1:9" ht="12.75" x14ac:dyDescent="0.2">
      <c r="A17" s="20">
        <v>7</v>
      </c>
      <c r="B17" s="24" t="s">
        <v>126</v>
      </c>
      <c r="C17" s="26"/>
      <c r="D17" s="22"/>
      <c r="E17" s="59">
        <v>0.954538</v>
      </c>
    </row>
    <row r="18" spans="1:9" ht="12.75" x14ac:dyDescent="0.2">
      <c r="A18" s="20">
        <v>8</v>
      </c>
      <c r="B18" s="24" t="s">
        <v>127</v>
      </c>
      <c r="C18" s="27"/>
      <c r="D18" s="58">
        <v>0.21</v>
      </c>
      <c r="E18" s="59">
        <v>0.20045299999999999</v>
      </c>
      <c r="I18" s="107"/>
    </row>
    <row r="19" spans="1:9" ht="13.5" thickBot="1" x14ac:dyDescent="0.25">
      <c r="A19" s="20">
        <v>9</v>
      </c>
      <c r="B19" s="19" t="s">
        <v>128</v>
      </c>
      <c r="C19" s="27"/>
      <c r="D19" s="28"/>
      <c r="E19" s="62">
        <f>+E17-E18</f>
        <v>0.75408500000000001</v>
      </c>
    </row>
    <row r="20" spans="1:9" ht="13.5" thickTop="1" x14ac:dyDescent="0.2">
      <c r="A20" s="20"/>
      <c r="B20" s="19"/>
      <c r="C20" s="27"/>
      <c r="D20" s="27"/>
      <c r="E20" s="28"/>
    </row>
    <row r="21" spans="1:9" ht="12.75" x14ac:dyDescent="0.2">
      <c r="A21" s="20"/>
      <c r="B21" s="19"/>
      <c r="C21" s="27"/>
      <c r="D21" s="27"/>
      <c r="E21" s="29"/>
    </row>
    <row r="22" spans="1:9" ht="12.75" x14ac:dyDescent="0.2">
      <c r="A22" s="20"/>
      <c r="B22" s="19"/>
      <c r="C22" s="27"/>
      <c r="D22" s="30"/>
      <c r="E22" s="29"/>
    </row>
  </sheetData>
  <printOptions horizontalCentered="1"/>
  <pageMargins left="0" right="0" top="0.4" bottom="0.5" header="0.5" footer="0.3"/>
  <pageSetup pageOrder="overThenDown" orientation="landscape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</sheetPr>
  <dimension ref="A1:AA42"/>
  <sheetViews>
    <sheetView workbookViewId="0">
      <pane ySplit="11" topLeftCell="A22" activePane="bottomLeft" state="frozen"/>
      <selection pane="bottomLeft" activeCell="G29" sqref="G29"/>
    </sheetView>
  </sheetViews>
  <sheetFormatPr defaultRowHeight="15" x14ac:dyDescent="0.25"/>
  <cols>
    <col min="1" max="1" width="37.28515625" customWidth="1"/>
    <col min="2" max="2" width="10.5703125" customWidth="1"/>
    <col min="3" max="3" width="15.5703125" bestFit="1" customWidth="1"/>
    <col min="4" max="4" width="3.7109375" style="275" bestFit="1" customWidth="1"/>
    <col min="5" max="5" width="14.7109375" customWidth="1"/>
    <col min="6" max="6" width="3.7109375" bestFit="1" customWidth="1"/>
    <col min="7" max="7" width="15.140625" bestFit="1" customWidth="1"/>
    <col min="8" max="8" width="3.7109375" bestFit="1" customWidth="1"/>
    <col min="9" max="9" width="12.42578125" customWidth="1"/>
    <col min="10" max="10" width="7.28515625" bestFit="1" customWidth="1"/>
    <col min="11" max="11" width="13.140625" customWidth="1"/>
    <col min="12" max="12" width="15.140625" bestFit="1" customWidth="1"/>
    <col min="13" max="13" width="16.42578125" hidden="1" customWidth="1"/>
    <col min="14" max="14" width="27.7109375" style="64" hidden="1" customWidth="1"/>
    <col min="15" max="15" width="14.7109375" style="64" hidden="1" customWidth="1"/>
    <col min="16" max="16" width="11.85546875" hidden="1" customWidth="1"/>
    <col min="17" max="17" width="9.140625" style="274" hidden="1" customWidth="1"/>
    <col min="18" max="18" width="11.42578125" style="274" hidden="1" customWidth="1"/>
    <col min="19" max="20" width="13.42578125" hidden="1" customWidth="1"/>
    <col min="21" max="21" width="18" hidden="1" customWidth="1"/>
    <col min="22" max="22" width="14.7109375" hidden="1" customWidth="1"/>
    <col min="23" max="23" width="8.85546875" hidden="1" customWidth="1"/>
    <col min="24" max="24" width="15" hidden="1" customWidth="1"/>
    <col min="25" max="26" width="13.28515625" hidden="1" customWidth="1"/>
    <col min="27" max="27" width="9.140625" hidden="1" customWidth="1"/>
    <col min="28" max="28" width="0" hidden="1" customWidth="1"/>
  </cols>
  <sheetData>
    <row r="1" spans="1:22" x14ac:dyDescent="0.25">
      <c r="A1" s="395">
        <v>43929</v>
      </c>
    </row>
    <row r="2" spans="1:22" x14ac:dyDescent="0.25">
      <c r="A2" s="394">
        <v>43827</v>
      </c>
      <c r="B2" s="324"/>
      <c r="C2" s="324"/>
      <c r="D2" s="392"/>
      <c r="E2" s="324"/>
      <c r="F2" s="324"/>
      <c r="G2" s="324"/>
      <c r="H2" s="324"/>
      <c r="I2" s="324"/>
      <c r="J2" s="324"/>
      <c r="K2" s="324"/>
      <c r="L2" s="324"/>
      <c r="N2" s="391"/>
      <c r="O2" s="391"/>
    </row>
    <row r="3" spans="1:22" x14ac:dyDescent="0.25">
      <c r="A3" s="393" t="s">
        <v>262</v>
      </c>
      <c r="B3" s="324"/>
      <c r="C3" s="324"/>
      <c r="D3" s="392"/>
      <c r="E3" s="324"/>
      <c r="F3" s="324"/>
      <c r="G3" s="324"/>
      <c r="H3" s="324"/>
      <c r="I3" s="324"/>
      <c r="J3" s="324"/>
      <c r="K3" s="324"/>
      <c r="L3" s="324"/>
      <c r="N3" s="391"/>
      <c r="O3" s="390" t="s">
        <v>44</v>
      </c>
      <c r="P3" s="393"/>
    </row>
    <row r="4" spans="1:22" x14ac:dyDescent="0.25">
      <c r="A4" s="393" t="s">
        <v>261</v>
      </c>
      <c r="B4" s="324"/>
      <c r="C4" s="324"/>
      <c r="D4" s="392"/>
      <c r="E4" s="324"/>
      <c r="F4" s="324"/>
      <c r="G4" s="324"/>
      <c r="H4" s="324"/>
      <c r="I4" s="324"/>
      <c r="J4" s="324"/>
      <c r="K4" s="324"/>
      <c r="L4" s="324"/>
      <c r="N4" s="391"/>
      <c r="O4" s="390" t="s">
        <v>260</v>
      </c>
      <c r="P4" s="393"/>
    </row>
    <row r="5" spans="1:22" x14ac:dyDescent="0.25">
      <c r="A5" s="393" t="s">
        <v>259</v>
      </c>
      <c r="B5" s="324"/>
      <c r="C5" s="324"/>
      <c r="D5" s="392"/>
      <c r="E5" s="324"/>
      <c r="F5" s="324"/>
      <c r="G5" s="324"/>
      <c r="H5" s="324"/>
      <c r="I5" s="324"/>
      <c r="J5" s="324"/>
      <c r="K5" s="324"/>
      <c r="L5" s="324"/>
      <c r="N5" s="391"/>
      <c r="O5" s="390" t="s">
        <v>258</v>
      </c>
      <c r="P5" s="324"/>
    </row>
    <row r="6" spans="1:22" ht="15.75" thickBot="1" x14ac:dyDescent="0.3">
      <c r="A6" s="389" t="s">
        <v>257</v>
      </c>
      <c r="B6" s="384"/>
      <c r="C6" s="384"/>
      <c r="D6" s="388"/>
      <c r="E6" s="384"/>
      <c r="F6" s="384"/>
      <c r="G6" s="384"/>
      <c r="H6" s="384"/>
      <c r="I6" s="384"/>
      <c r="J6" s="384"/>
      <c r="K6" s="384"/>
      <c r="L6" s="384"/>
      <c r="M6" s="387"/>
      <c r="N6" s="386"/>
      <c r="O6" s="385" t="s">
        <v>256</v>
      </c>
      <c r="P6" s="384"/>
    </row>
    <row r="7" spans="1:22" ht="15.75" thickTop="1" x14ac:dyDescent="0.25">
      <c r="C7" s="381" t="s">
        <v>254</v>
      </c>
      <c r="D7" s="383"/>
      <c r="E7" s="381" t="s">
        <v>253</v>
      </c>
      <c r="F7" s="381"/>
      <c r="G7" s="381" t="s">
        <v>11</v>
      </c>
      <c r="H7" s="381"/>
      <c r="I7" s="382" t="s">
        <v>12</v>
      </c>
      <c r="J7" s="382"/>
      <c r="K7" s="382" t="s">
        <v>12</v>
      </c>
      <c r="L7" s="382" t="s">
        <v>255</v>
      </c>
      <c r="N7" s="374"/>
      <c r="O7" s="381" t="s">
        <v>254</v>
      </c>
      <c r="P7" s="381" t="s">
        <v>253</v>
      </c>
      <c r="Q7" s="380"/>
    </row>
    <row r="8" spans="1:22" x14ac:dyDescent="0.25">
      <c r="A8" s="379" t="s">
        <v>252</v>
      </c>
      <c r="B8" t="s">
        <v>251</v>
      </c>
      <c r="C8" s="336">
        <v>23600201</v>
      </c>
      <c r="D8" s="335"/>
      <c r="E8" s="336">
        <v>23600232</v>
      </c>
      <c r="F8" s="336"/>
      <c r="G8" s="336">
        <v>23600211</v>
      </c>
      <c r="H8" s="336"/>
      <c r="I8" s="375">
        <v>23600221</v>
      </c>
      <c r="J8" s="375"/>
      <c r="K8" s="375">
        <v>23600221</v>
      </c>
      <c r="L8" s="375"/>
      <c r="N8" s="378"/>
      <c r="O8" s="336">
        <v>63400400</v>
      </c>
      <c r="P8" s="336">
        <v>63400400</v>
      </c>
    </row>
    <row r="9" spans="1:22" x14ac:dyDescent="0.25">
      <c r="A9" s="57" t="s">
        <v>250</v>
      </c>
      <c r="B9" t="s">
        <v>249</v>
      </c>
      <c r="C9" s="336">
        <v>18238041</v>
      </c>
      <c r="D9" s="335"/>
      <c r="E9" s="336">
        <v>18238042</v>
      </c>
      <c r="F9" s="336"/>
      <c r="G9" s="336">
        <v>18238041</v>
      </c>
      <c r="H9" s="336"/>
      <c r="I9" s="336">
        <v>18238041</v>
      </c>
      <c r="J9" s="336"/>
      <c r="K9" s="336">
        <v>18238041</v>
      </c>
      <c r="L9" s="375"/>
      <c r="N9" s="378"/>
      <c r="O9" s="377">
        <v>18238031</v>
      </c>
      <c r="P9" s="377">
        <v>18238032</v>
      </c>
      <c r="U9" s="376">
        <v>43617</v>
      </c>
    </row>
    <row r="10" spans="1:22" x14ac:dyDescent="0.25">
      <c r="A10" t="s">
        <v>248</v>
      </c>
      <c r="B10" t="s">
        <v>247</v>
      </c>
      <c r="C10" s="336">
        <v>40810006</v>
      </c>
      <c r="D10" s="335"/>
      <c r="E10" s="336">
        <v>40810304</v>
      </c>
      <c r="F10" s="336"/>
      <c r="G10" s="336">
        <v>40810013</v>
      </c>
      <c r="H10" s="336"/>
      <c r="I10" s="375">
        <v>40810012</v>
      </c>
      <c r="J10" s="375"/>
      <c r="K10" s="375">
        <v>40810012</v>
      </c>
      <c r="L10" s="375"/>
      <c r="N10" s="374"/>
      <c r="O10" s="336">
        <v>40810009</v>
      </c>
      <c r="P10" s="336">
        <v>40810307</v>
      </c>
    </row>
    <row r="11" spans="1:22" ht="15.75" thickBot="1" x14ac:dyDescent="0.3">
      <c r="A11" s="373"/>
      <c r="B11" s="373"/>
      <c r="C11" s="367" t="s">
        <v>246</v>
      </c>
      <c r="D11" s="372"/>
      <c r="E11" s="367" t="s">
        <v>245</v>
      </c>
      <c r="F11" s="367"/>
      <c r="G11" s="367" t="s">
        <v>244</v>
      </c>
      <c r="H11" s="371"/>
      <c r="I11" s="371" t="s">
        <v>243</v>
      </c>
      <c r="J11" s="371"/>
      <c r="K11" s="371" t="s">
        <v>243</v>
      </c>
      <c r="L11" s="370" t="s">
        <v>242</v>
      </c>
      <c r="M11" s="369" t="s">
        <v>241</v>
      </c>
      <c r="N11" s="368"/>
      <c r="O11" s="367" t="s">
        <v>240</v>
      </c>
      <c r="P11" s="367" t="s">
        <v>240</v>
      </c>
      <c r="S11" s="309" t="s">
        <v>214</v>
      </c>
      <c r="T11" s="309" t="s">
        <v>1</v>
      </c>
      <c r="U11" s="309" t="s">
        <v>184</v>
      </c>
    </row>
    <row r="12" spans="1:22" ht="15.75" thickTop="1" x14ac:dyDescent="0.25">
      <c r="A12" s="366"/>
      <c r="B12" s="287"/>
      <c r="C12" s="364"/>
      <c r="D12" s="365"/>
      <c r="E12" s="364"/>
      <c r="F12" s="364"/>
      <c r="G12" s="364"/>
      <c r="H12" s="364"/>
      <c r="I12" s="363" t="s">
        <v>239</v>
      </c>
      <c r="J12" s="363"/>
      <c r="K12" s="363" t="s">
        <v>238</v>
      </c>
      <c r="L12" s="338"/>
      <c r="M12" s="275"/>
      <c r="N12" s="362" t="s">
        <v>237</v>
      </c>
      <c r="O12" s="361">
        <v>0.95238599999999995</v>
      </c>
      <c r="P12" s="361">
        <v>0.954538</v>
      </c>
    </row>
    <row r="13" spans="1:22" x14ac:dyDescent="0.25">
      <c r="A13" s="57" t="s">
        <v>236</v>
      </c>
      <c r="B13" s="346" t="s">
        <v>222</v>
      </c>
      <c r="C13" s="359">
        <v>4137998000</v>
      </c>
      <c r="D13" s="357">
        <v>1</v>
      </c>
      <c r="E13" s="359">
        <v>1761973998</v>
      </c>
      <c r="F13" s="360">
        <v>13</v>
      </c>
      <c r="G13" s="359">
        <v>504242175</v>
      </c>
      <c r="H13" s="358">
        <v>22</v>
      </c>
      <c r="I13" s="356">
        <v>44900000</v>
      </c>
      <c r="J13" s="357">
        <v>27</v>
      </c>
      <c r="K13" s="356">
        <v>44900000</v>
      </c>
      <c r="L13" s="305"/>
      <c r="M13" s="355" t="s">
        <v>235</v>
      </c>
      <c r="N13" s="315" t="s">
        <v>102</v>
      </c>
      <c r="O13" s="314">
        <f t="shared" ref="O13:O20" si="0">+$O$12*Q13</f>
        <v>1926308.3046179998</v>
      </c>
      <c r="P13" s="314">
        <f t="shared" ref="P13:P20" si="1">+$P$12*R13</f>
        <v>419206.36253599997</v>
      </c>
      <c r="Q13" s="334">
        <v>2022613</v>
      </c>
      <c r="R13" s="333">
        <v>439172</v>
      </c>
    </row>
    <row r="14" spans="1:22" x14ac:dyDescent="0.25">
      <c r="A14" s="310"/>
      <c r="C14" s="353"/>
      <c r="D14" s="354"/>
      <c r="E14" s="353"/>
      <c r="F14" s="352"/>
      <c r="G14" s="351"/>
      <c r="H14" s="350"/>
      <c r="I14" s="348"/>
      <c r="J14" s="349"/>
      <c r="K14" s="348"/>
      <c r="L14" s="305"/>
      <c r="M14" s="274" t="s">
        <v>234</v>
      </c>
      <c r="N14" s="315" t="s">
        <v>233</v>
      </c>
      <c r="O14" s="314">
        <f t="shared" si="0"/>
        <v>1993403.8983179999</v>
      </c>
      <c r="P14" s="314">
        <f t="shared" si="1"/>
        <v>296563.50214400003</v>
      </c>
      <c r="Q14" s="334">
        <v>2093063</v>
      </c>
      <c r="R14" s="333">
        <v>310688</v>
      </c>
    </row>
    <row r="15" spans="1:22" x14ac:dyDescent="0.25">
      <c r="A15" s="347" t="s">
        <v>232</v>
      </c>
      <c r="B15" s="346" t="s">
        <v>222</v>
      </c>
      <c r="C15" s="345">
        <v>0.94574000000000003</v>
      </c>
      <c r="D15" s="318">
        <v>2</v>
      </c>
      <c r="E15" s="345">
        <v>0.95455000000000001</v>
      </c>
      <c r="F15" s="321">
        <v>14</v>
      </c>
      <c r="G15" s="345">
        <v>6.0905399999999998E-2</v>
      </c>
      <c r="H15" s="328">
        <v>23</v>
      </c>
      <c r="I15" s="345"/>
      <c r="J15" s="318"/>
      <c r="K15" s="345"/>
      <c r="L15" s="305"/>
      <c r="N15" s="315" t="s">
        <v>231</v>
      </c>
      <c r="O15" s="314">
        <f t="shared" si="0"/>
        <v>2015501.1582899999</v>
      </c>
      <c r="P15" s="314">
        <f t="shared" si="1"/>
        <v>262855.90175000002</v>
      </c>
      <c r="Q15" s="334">
        <v>2116265</v>
      </c>
      <c r="R15" s="333">
        <v>275375</v>
      </c>
      <c r="S15" s="344" t="s">
        <v>230</v>
      </c>
      <c r="T15" s="274"/>
      <c r="U15" s="274"/>
      <c r="V15" s="274"/>
    </row>
    <row r="16" spans="1:22" x14ac:dyDescent="0.25">
      <c r="A16" s="57"/>
      <c r="C16" s="338"/>
      <c r="D16" s="308"/>
      <c r="E16" s="338"/>
      <c r="F16" s="307"/>
      <c r="G16" s="337"/>
      <c r="H16" s="328"/>
      <c r="I16" s="337"/>
      <c r="J16" s="318"/>
      <c r="K16" s="305"/>
      <c r="L16" s="305"/>
      <c r="M16" s="343">
        <v>43635</v>
      </c>
      <c r="N16" s="315" t="s">
        <v>229</v>
      </c>
      <c r="O16" s="314">
        <f t="shared" si="0"/>
        <v>2209802.1880799998</v>
      </c>
      <c r="P16" s="314">
        <f t="shared" si="1"/>
        <v>247362.795472</v>
      </c>
      <c r="Q16" s="334">
        <v>2320280</v>
      </c>
      <c r="R16" s="333">
        <v>259144</v>
      </c>
      <c r="S16" s="300"/>
      <c r="T16" s="326" t="s">
        <v>214</v>
      </c>
      <c r="U16" s="326" t="s">
        <v>1</v>
      </c>
      <c r="V16" s="274"/>
    </row>
    <row r="17" spans="1:26" x14ac:dyDescent="0.25">
      <c r="A17" s="57" t="s">
        <v>228</v>
      </c>
      <c r="B17" s="346" t="s">
        <v>222</v>
      </c>
      <c r="C17" s="272">
        <v>3913484181</v>
      </c>
      <c r="D17" s="308">
        <v>3</v>
      </c>
      <c r="E17" s="272">
        <v>1681890155</v>
      </c>
      <c r="F17" s="307">
        <v>15</v>
      </c>
      <c r="G17" s="272">
        <f>ROUND(G13*G15,0)</f>
        <v>30711071</v>
      </c>
      <c r="H17" s="342">
        <v>24</v>
      </c>
      <c r="I17" s="327">
        <f>+I13</f>
        <v>44900000</v>
      </c>
      <c r="J17" s="318">
        <v>27</v>
      </c>
      <c r="K17" s="327">
        <f>+K13</f>
        <v>44900000</v>
      </c>
      <c r="L17" s="305"/>
      <c r="M17" s="57" t="s">
        <v>227</v>
      </c>
      <c r="N17" s="315" t="s">
        <v>226</v>
      </c>
      <c r="O17" s="314">
        <f t="shared" si="0"/>
        <v>2001195.368184</v>
      </c>
      <c r="P17" s="314">
        <f t="shared" si="1"/>
        <v>415119.03081999999</v>
      </c>
      <c r="Q17" s="334">
        <v>2101244</v>
      </c>
      <c r="R17" s="333">
        <v>434890</v>
      </c>
      <c r="S17" s="300">
        <v>2019</v>
      </c>
      <c r="T17" s="319">
        <v>4800000000</v>
      </c>
      <c r="U17" s="319">
        <v>1800000000</v>
      </c>
      <c r="V17" s="274"/>
    </row>
    <row r="18" spans="1:26" x14ac:dyDescent="0.25">
      <c r="A18" s="57"/>
      <c r="C18" s="338"/>
      <c r="D18" s="308"/>
      <c r="E18" s="338"/>
      <c r="F18" s="307"/>
      <c r="G18" s="337"/>
      <c r="H18" s="328"/>
      <c r="I18" s="337"/>
      <c r="J18" s="318"/>
      <c r="K18" s="305"/>
      <c r="L18" s="341"/>
      <c r="M18" s="57" t="s">
        <v>225</v>
      </c>
      <c r="N18" s="315" t="s">
        <v>224</v>
      </c>
      <c r="O18" s="314">
        <f t="shared" si="0"/>
        <v>2303704.5905220001</v>
      </c>
      <c r="P18" s="314">
        <f t="shared" si="1"/>
        <v>730492.65879200003</v>
      </c>
      <c r="Q18" s="334">
        <v>2418877</v>
      </c>
      <c r="R18" s="333">
        <v>765284</v>
      </c>
      <c r="S18" s="300">
        <v>2018</v>
      </c>
      <c r="T18" s="319">
        <v>5100000000</v>
      </c>
      <c r="U18" s="319">
        <v>2100000000</v>
      </c>
    </row>
    <row r="19" spans="1:26" ht="15.75" thickBot="1" x14ac:dyDescent="0.3">
      <c r="A19" s="57" t="s">
        <v>223</v>
      </c>
      <c r="B19" s="346" t="s">
        <v>222</v>
      </c>
      <c r="C19" s="340">
        <v>10.77</v>
      </c>
      <c r="D19" s="318">
        <v>4</v>
      </c>
      <c r="E19" s="339">
        <v>11.06</v>
      </c>
      <c r="F19" s="321">
        <v>16</v>
      </c>
      <c r="G19" s="339">
        <v>353.23860000000002</v>
      </c>
      <c r="H19" s="328">
        <v>25</v>
      </c>
      <c r="I19" s="339">
        <v>11.17</v>
      </c>
      <c r="J19" s="318">
        <v>28</v>
      </c>
      <c r="K19" s="339">
        <v>11.3415</v>
      </c>
      <c r="L19" s="332">
        <v>28</v>
      </c>
      <c r="N19" s="315" t="s">
        <v>221</v>
      </c>
      <c r="O19" s="314">
        <f t="shared" si="0"/>
        <v>2590144.2038819999</v>
      </c>
      <c r="P19" s="314">
        <f t="shared" si="1"/>
        <v>897586.44476800004</v>
      </c>
      <c r="Q19" s="334">
        <v>2719637</v>
      </c>
      <c r="R19" s="333">
        <v>940336</v>
      </c>
      <c r="S19" s="300"/>
      <c r="T19" s="311">
        <f>+T17-T18</f>
        <v>-300000000</v>
      </c>
      <c r="U19" s="311">
        <f>+U17-U18</f>
        <v>-300000000</v>
      </c>
    </row>
    <row r="20" spans="1:26" ht="15.75" thickTop="1" x14ac:dyDescent="0.25">
      <c r="A20" s="57"/>
      <c r="C20" s="338"/>
      <c r="D20" s="308"/>
      <c r="E20" s="338"/>
      <c r="F20" s="307"/>
      <c r="G20" s="337"/>
      <c r="H20" s="328"/>
      <c r="I20" s="336"/>
      <c r="J20" s="318"/>
      <c r="K20" s="335"/>
      <c r="L20" s="332"/>
      <c r="M20" s="322">
        <v>43665</v>
      </c>
      <c r="N20" s="315" t="s">
        <v>220</v>
      </c>
      <c r="O20" s="314">
        <f t="shared" si="0"/>
        <v>0</v>
      </c>
      <c r="P20" s="314">
        <f t="shared" si="1"/>
        <v>0</v>
      </c>
      <c r="Q20" s="334"/>
      <c r="R20" s="333"/>
      <c r="S20" s="300"/>
      <c r="T20" s="299">
        <f>+T19/T18</f>
        <v>-5.8823529411764705E-2</v>
      </c>
      <c r="U20" s="299">
        <f>+U19/U18</f>
        <v>-0.14285714285714285</v>
      </c>
    </row>
    <row r="21" spans="1:26" x14ac:dyDescent="0.25">
      <c r="A21" s="57" t="s">
        <v>219</v>
      </c>
      <c r="C21" s="272">
        <v>42160396</v>
      </c>
      <c r="D21" s="308">
        <v>5</v>
      </c>
      <c r="E21" s="272">
        <v>18607000</v>
      </c>
      <c r="F21" s="307">
        <v>17</v>
      </c>
      <c r="G21" s="327">
        <f>ROUND(G17*G19/1000,0)-9</f>
        <v>10848327</v>
      </c>
      <c r="H21" s="328">
        <v>26</v>
      </c>
      <c r="I21" s="327">
        <f>ROUND(I17*I19/1000,0)/2</f>
        <v>250766.5</v>
      </c>
      <c r="J21" s="318">
        <v>29</v>
      </c>
      <c r="K21" s="327">
        <f>ROUND(K17*K19/1000,0)/2</f>
        <v>254616.5</v>
      </c>
      <c r="L21" s="332">
        <v>29</v>
      </c>
      <c r="M21" s="57" t="s">
        <v>218</v>
      </c>
      <c r="N21" s="331" t="s">
        <v>217</v>
      </c>
      <c r="O21" s="330"/>
      <c r="P21" s="330"/>
      <c r="S21" s="329" t="s">
        <v>216</v>
      </c>
    </row>
    <row r="22" spans="1:26" x14ac:dyDescent="0.25">
      <c r="A22" s="57"/>
      <c r="C22" s="272"/>
      <c r="D22" s="308"/>
      <c r="E22" s="272"/>
      <c r="F22" s="307"/>
      <c r="G22" s="327"/>
      <c r="H22" s="328"/>
      <c r="I22" s="327"/>
      <c r="J22" s="318"/>
      <c r="K22" s="327"/>
      <c r="L22" s="305"/>
      <c r="N22" s="315" t="s">
        <v>215</v>
      </c>
      <c r="O22" s="314">
        <f>+$O$12*Q22</f>
        <v>0</v>
      </c>
      <c r="P22" s="314">
        <f>+$P$12*R22</f>
        <v>0</v>
      </c>
      <c r="Q22" s="313"/>
      <c r="R22" s="312"/>
      <c r="S22" s="300"/>
      <c r="T22" s="326" t="s">
        <v>214</v>
      </c>
      <c r="U22" s="326" t="s">
        <v>1</v>
      </c>
      <c r="X22" s="325"/>
      <c r="Y22" s="324"/>
      <c r="Z22" s="324"/>
    </row>
    <row r="23" spans="1:26" x14ac:dyDescent="0.25">
      <c r="A23" s="57" t="s">
        <v>213</v>
      </c>
      <c r="C23" s="306">
        <v>450853</v>
      </c>
      <c r="D23" s="318">
        <v>6</v>
      </c>
      <c r="E23" s="306">
        <v>89482</v>
      </c>
      <c r="F23" s="321">
        <v>18</v>
      </c>
      <c r="G23" s="306">
        <v>0</v>
      </c>
      <c r="H23" s="323"/>
      <c r="I23" s="306">
        <v>0</v>
      </c>
      <c r="J23" s="318"/>
      <c r="K23" s="305">
        <v>0</v>
      </c>
      <c r="L23" s="305"/>
      <c r="M23" s="322">
        <v>43696</v>
      </c>
      <c r="N23" s="315" t="s">
        <v>212</v>
      </c>
      <c r="O23" s="314">
        <f>+$O$12*Q23</f>
        <v>0</v>
      </c>
      <c r="P23" s="314">
        <f>+$P$12*R23</f>
        <v>0</v>
      </c>
      <c r="Q23" s="313"/>
      <c r="R23" s="312"/>
      <c r="S23" s="300">
        <v>2019</v>
      </c>
      <c r="T23" s="319">
        <v>4137998000</v>
      </c>
      <c r="U23" s="319">
        <v>1761974000</v>
      </c>
      <c r="X23" s="310"/>
      <c r="Y23" s="310"/>
      <c r="Z23" s="310"/>
    </row>
    <row r="24" spans="1:26" x14ac:dyDescent="0.25">
      <c r="A24" s="57" t="s">
        <v>211</v>
      </c>
      <c r="B24" s="283" t="s">
        <v>200</v>
      </c>
      <c r="C24" s="306">
        <v>243854</v>
      </c>
      <c r="D24" s="318">
        <v>7</v>
      </c>
      <c r="E24" s="306">
        <v>5979</v>
      </c>
      <c r="F24" s="321">
        <v>19</v>
      </c>
      <c r="G24" s="306"/>
      <c r="H24" s="306"/>
      <c r="I24" s="306">
        <v>-10</v>
      </c>
      <c r="J24" s="306"/>
      <c r="K24" s="305">
        <v>0</v>
      </c>
      <c r="L24" s="305"/>
      <c r="M24" s="320" t="s">
        <v>210</v>
      </c>
      <c r="N24" s="315" t="s">
        <v>209</v>
      </c>
      <c r="O24" s="314">
        <f>+$O$12*Q24</f>
        <v>0</v>
      </c>
      <c r="P24" s="314">
        <f>+$P$12*R24</f>
        <v>0</v>
      </c>
      <c r="Q24" s="313"/>
      <c r="R24" s="312"/>
      <c r="S24" s="300">
        <v>2018</v>
      </c>
      <c r="T24" s="319">
        <v>4438347000</v>
      </c>
      <c r="U24" s="319">
        <v>2091314000</v>
      </c>
    </row>
    <row r="25" spans="1:26" ht="15.75" thickBot="1" x14ac:dyDescent="0.3">
      <c r="A25" s="298" t="s">
        <v>194</v>
      </c>
      <c r="C25" s="304">
        <v>0</v>
      </c>
      <c r="D25" s="318"/>
      <c r="E25" s="317"/>
      <c r="F25" s="307"/>
      <c r="G25" s="306">
        <v>0</v>
      </c>
      <c r="H25" s="306"/>
      <c r="I25" s="306">
        <v>0</v>
      </c>
      <c r="J25" s="306"/>
      <c r="K25" s="305">
        <v>0</v>
      </c>
      <c r="L25" s="305"/>
      <c r="M25" s="316"/>
      <c r="N25" s="315" t="s">
        <v>208</v>
      </c>
      <c r="O25" s="314">
        <f>+$O$12*Q25</f>
        <v>0</v>
      </c>
      <c r="P25" s="314">
        <f>+$P$12*R25</f>
        <v>0</v>
      </c>
      <c r="Q25" s="313"/>
      <c r="R25" s="312"/>
      <c r="S25" s="300"/>
      <c r="T25" s="311">
        <f>+T23-T24</f>
        <v>-300349000</v>
      </c>
      <c r="U25" s="311">
        <f>+U23-U24</f>
        <v>-329340000</v>
      </c>
      <c r="X25" s="275"/>
      <c r="Y25" s="275"/>
      <c r="Z25" s="275"/>
    </row>
    <row r="26" spans="1:26" ht="15.75" thickTop="1" x14ac:dyDescent="0.25">
      <c r="A26" s="310" t="s">
        <v>207</v>
      </c>
      <c r="B26" s="309"/>
      <c r="C26" s="301">
        <v>0</v>
      </c>
      <c r="D26" s="308"/>
      <c r="E26" s="301">
        <v>0</v>
      </c>
      <c r="F26" s="307"/>
      <c r="G26" s="306">
        <v>0</v>
      </c>
      <c r="H26" s="306"/>
      <c r="I26" s="306"/>
      <c r="J26" s="306"/>
      <c r="K26" s="305">
        <v>0</v>
      </c>
      <c r="L26" s="304"/>
      <c r="M26" s="303">
        <v>43788</v>
      </c>
      <c r="N26" s="302"/>
      <c r="O26" s="301"/>
      <c r="P26" s="301"/>
      <c r="S26" s="300"/>
      <c r="T26" s="299">
        <f>+T25/T24</f>
        <v>-6.7671365037479045E-2</v>
      </c>
      <c r="U26" s="299">
        <f>+U25/U24</f>
        <v>-0.15747993845018013</v>
      </c>
      <c r="X26" s="275"/>
      <c r="Y26" s="275"/>
      <c r="Z26" s="275"/>
    </row>
    <row r="27" spans="1:26" ht="15.75" thickBot="1" x14ac:dyDescent="0.3">
      <c r="A27" s="298" t="s">
        <v>193</v>
      </c>
      <c r="C27" s="295">
        <f>SUM(C21:C26)</f>
        <v>42855103</v>
      </c>
      <c r="D27" s="297">
        <v>8</v>
      </c>
      <c r="E27" s="295">
        <f>SUM(E21:E26)</f>
        <v>18702461</v>
      </c>
      <c r="F27" s="296">
        <v>20</v>
      </c>
      <c r="G27" s="295">
        <f>SUM(G21:G26)</f>
        <v>10848327</v>
      </c>
      <c r="H27" s="295">
        <v>26</v>
      </c>
      <c r="I27" s="295">
        <f>SUM(I21:I26)</f>
        <v>250756.5</v>
      </c>
      <c r="J27" s="295"/>
      <c r="K27" s="295">
        <f>SUM(K21:K26)</f>
        <v>254616.5</v>
      </c>
      <c r="L27" s="294">
        <f>+C27+E27+G27+I27+K27</f>
        <v>72911264</v>
      </c>
      <c r="M27" s="293" t="s">
        <v>206</v>
      </c>
      <c r="N27" s="292" t="s">
        <v>205</v>
      </c>
      <c r="O27" s="291">
        <f>SUM(O13:O25)</f>
        <v>15040059.711894</v>
      </c>
      <c r="P27" s="291">
        <f>SUM(P13:P25)</f>
        <v>3269186.6962819998</v>
      </c>
      <c r="T27" s="275"/>
      <c r="U27" s="275"/>
      <c r="V27" s="275"/>
      <c r="X27" s="275"/>
      <c r="Y27" s="275"/>
      <c r="Z27" s="275"/>
    </row>
    <row r="28" spans="1:26" ht="15.75" thickTop="1" x14ac:dyDescent="0.25">
      <c r="B28" s="286"/>
      <c r="C28" s="290"/>
      <c r="E28" s="290"/>
      <c r="F28" s="290"/>
      <c r="I28" s="289"/>
      <c r="J28" s="288"/>
      <c r="K28" s="287"/>
    </row>
    <row r="29" spans="1:26" x14ac:dyDescent="0.25">
      <c r="A29" s="282" t="s">
        <v>204</v>
      </c>
      <c r="B29" s="286"/>
      <c r="C29" s="275">
        <v>-3385</v>
      </c>
      <c r="D29" s="275">
        <v>9</v>
      </c>
      <c r="E29" s="275"/>
      <c r="F29" s="275"/>
      <c r="G29" s="275"/>
      <c r="H29" s="275"/>
      <c r="I29" s="275"/>
      <c r="J29" s="275"/>
      <c r="K29" s="275"/>
      <c r="L29" s="275">
        <f t="shared" ref="L29:L36" si="2">+C29+E29+G29+I29+K29</f>
        <v>-3385</v>
      </c>
    </row>
    <row r="30" spans="1:26" x14ac:dyDescent="0.25">
      <c r="A30" s="285" t="s">
        <v>203</v>
      </c>
      <c r="C30" s="275">
        <v>-985</v>
      </c>
      <c r="D30" s="275">
        <v>10</v>
      </c>
      <c r="E30" s="275"/>
      <c r="F30" s="275"/>
      <c r="G30" s="275"/>
      <c r="H30" s="275"/>
      <c r="I30" s="275"/>
      <c r="J30" s="275"/>
      <c r="K30" s="275"/>
      <c r="L30" s="275">
        <f t="shared" si="2"/>
        <v>-985</v>
      </c>
    </row>
    <row r="31" spans="1:26" x14ac:dyDescent="0.25">
      <c r="A31" s="284" t="s">
        <v>202</v>
      </c>
      <c r="C31" s="275"/>
      <c r="E31" s="275"/>
      <c r="F31" s="275"/>
      <c r="G31" s="275"/>
      <c r="H31" s="275"/>
      <c r="I31" s="275"/>
      <c r="J31" s="275"/>
      <c r="K31" s="275"/>
      <c r="L31" s="275">
        <f t="shared" si="2"/>
        <v>0</v>
      </c>
    </row>
    <row r="32" spans="1:26" x14ac:dyDescent="0.25">
      <c r="A32" s="282" t="s">
        <v>201</v>
      </c>
      <c r="B32" s="283" t="s">
        <v>200</v>
      </c>
      <c r="C32" s="280">
        <f>-C24</f>
        <v>-243854</v>
      </c>
      <c r="D32" s="275">
        <v>7</v>
      </c>
      <c r="E32" s="275">
        <f>-E24</f>
        <v>-5979</v>
      </c>
      <c r="F32" s="275">
        <v>19</v>
      </c>
      <c r="G32" s="275">
        <f>-G24</f>
        <v>0</v>
      </c>
      <c r="H32" s="275"/>
      <c r="I32" s="275"/>
      <c r="J32" s="275"/>
      <c r="K32" s="275"/>
      <c r="L32" s="275">
        <f t="shared" si="2"/>
        <v>-249833</v>
      </c>
    </row>
    <row r="33" spans="1:12" x14ac:dyDescent="0.25">
      <c r="A33" s="282" t="s">
        <v>199</v>
      </c>
      <c r="C33" s="275"/>
      <c r="E33" s="275"/>
      <c r="F33" s="275"/>
      <c r="G33" s="275"/>
      <c r="H33" s="275"/>
      <c r="I33" s="275">
        <v>254617</v>
      </c>
      <c r="J33" s="275"/>
      <c r="K33" s="275">
        <v>-254617</v>
      </c>
      <c r="L33" s="275">
        <f t="shared" si="2"/>
        <v>0</v>
      </c>
    </row>
    <row r="34" spans="1:12" x14ac:dyDescent="0.25">
      <c r="A34" s="281" t="s">
        <v>198</v>
      </c>
      <c r="C34" s="280">
        <v>41190</v>
      </c>
      <c r="D34" s="275">
        <v>12</v>
      </c>
      <c r="E34" s="275">
        <v>2757</v>
      </c>
      <c r="F34" s="275" t="s">
        <v>197</v>
      </c>
      <c r="G34" s="275"/>
      <c r="H34" s="275"/>
      <c r="I34" s="275"/>
      <c r="J34" s="275"/>
      <c r="K34" s="275"/>
      <c r="L34" s="275">
        <f t="shared" si="2"/>
        <v>43947</v>
      </c>
    </row>
    <row r="35" spans="1:12" x14ac:dyDescent="0.25">
      <c r="A35" s="282" t="s">
        <v>268</v>
      </c>
      <c r="C35" s="280"/>
      <c r="E35" s="275">
        <v>-6541</v>
      </c>
      <c r="F35" s="275">
        <v>30</v>
      </c>
      <c r="G35" s="275"/>
      <c r="H35" s="275"/>
      <c r="I35" s="275"/>
      <c r="J35" s="275"/>
      <c r="K35" s="275"/>
      <c r="L35" s="275">
        <f>+C35+E35+G35+I35+K35</f>
        <v>-6541</v>
      </c>
    </row>
    <row r="36" spans="1:12" x14ac:dyDescent="0.25">
      <c r="A36" s="279" t="s">
        <v>194</v>
      </c>
      <c r="C36" s="275"/>
      <c r="E36" s="275">
        <v>-1090621</v>
      </c>
      <c r="F36" s="275">
        <v>21</v>
      </c>
      <c r="G36" s="275"/>
      <c r="H36" s="275"/>
      <c r="I36" s="275"/>
      <c r="J36" s="275"/>
      <c r="K36" s="275"/>
      <c r="L36" s="275">
        <f t="shared" si="2"/>
        <v>-1090621</v>
      </c>
    </row>
    <row r="37" spans="1:12" ht="19.5" thickBot="1" x14ac:dyDescent="0.35">
      <c r="A37" s="278" t="s">
        <v>196</v>
      </c>
      <c r="B37" s="277"/>
      <c r="C37" s="276">
        <f>SUM(C27:C36)</f>
        <v>42648069</v>
      </c>
      <c r="D37" s="276"/>
      <c r="E37" s="276">
        <f>SUM(E27:E36)</f>
        <v>17602077</v>
      </c>
      <c r="F37" s="276"/>
      <c r="G37" s="276">
        <f>SUM(G27:G36)</f>
        <v>10848327</v>
      </c>
      <c r="H37" s="276"/>
      <c r="I37" s="276">
        <f>SUM(I27:I36)</f>
        <v>505373.5</v>
      </c>
      <c r="J37" s="276"/>
      <c r="K37" s="276">
        <f>SUM(K27:K36)</f>
        <v>-0.5</v>
      </c>
      <c r="L37" s="276">
        <f>SUM(L27:L36)</f>
        <v>71603846</v>
      </c>
    </row>
    <row r="38" spans="1:12" ht="15.75" thickTop="1" x14ac:dyDescent="0.25">
      <c r="C38" s="275"/>
      <c r="E38" s="275"/>
      <c r="F38" s="275"/>
      <c r="G38" s="275"/>
      <c r="H38" s="275"/>
      <c r="I38" s="275"/>
      <c r="J38" s="275"/>
      <c r="K38" s="275"/>
      <c r="L38" s="275"/>
    </row>
    <row r="39" spans="1:12" x14ac:dyDescent="0.25">
      <c r="B39" t="s">
        <v>0</v>
      </c>
      <c r="C39" s="275">
        <f>C37+G37+I37+K37</f>
        <v>54001769</v>
      </c>
      <c r="D39"/>
    </row>
    <row r="40" spans="1:12" x14ac:dyDescent="0.25">
      <c r="B40" t="s">
        <v>1</v>
      </c>
      <c r="C40" s="275">
        <f>E37</f>
        <v>17602077</v>
      </c>
      <c r="D40"/>
    </row>
    <row r="41" spans="1:12" ht="15.75" thickBot="1" x14ac:dyDescent="0.3">
      <c r="C41" s="396">
        <f>SUM(C39:C40)</f>
        <v>71603846</v>
      </c>
      <c r="D41"/>
    </row>
    <row r="42" spans="1:12" ht="15.75" thickTop="1" x14ac:dyDescent="0.25">
      <c r="C42" s="397">
        <f>L37-C41</f>
        <v>0</v>
      </c>
      <c r="D42" s="105" t="s">
        <v>264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5" sqref="O3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="90" zoomScaleNormal="90" workbookViewId="0">
      <pane xSplit="2" ySplit="4" topLeftCell="C5" activePane="bottomRight" state="frozen"/>
      <selection activeCell="M34" sqref="M34"/>
      <selection pane="topRight" activeCell="M34" sqref="M34"/>
      <selection pane="bottomLeft" activeCell="M34" sqref="M34"/>
      <selection pane="bottomRight" activeCell="H37" sqref="H37"/>
    </sheetView>
  </sheetViews>
  <sheetFormatPr defaultColWidth="8.85546875" defaultRowHeight="15" x14ac:dyDescent="0.25"/>
  <cols>
    <col min="1" max="1" width="5.140625" style="63" customWidth="1"/>
    <col min="2" max="2" width="40" style="9" customWidth="1"/>
    <col min="3" max="3" width="8.85546875" style="83" bestFit="1" customWidth="1"/>
    <col min="4" max="10" width="14.5703125" style="9" customWidth="1"/>
    <col min="11" max="11" width="8.85546875" style="9"/>
    <col min="12" max="14" width="12.5703125" style="9" bestFit="1" customWidth="1"/>
    <col min="15" max="15" width="4.5703125" style="9" customWidth="1"/>
    <col min="16" max="18" width="12.5703125" style="9" bestFit="1" customWidth="1"/>
    <col min="19" max="19" width="4.7109375" style="9" customWidth="1"/>
    <col min="20" max="22" width="12.28515625" style="9" bestFit="1" customWidth="1"/>
    <col min="23" max="23" width="5.28515625" style="9" customWidth="1"/>
    <col min="24" max="26" width="12.28515625" style="9" bestFit="1" customWidth="1"/>
    <col min="27" max="16384" width="8.85546875" style="9"/>
  </cols>
  <sheetData>
    <row r="1" spans="1:14" ht="18.75" x14ac:dyDescent="0.3">
      <c r="A1" s="79" t="s">
        <v>179</v>
      </c>
      <c r="C1" s="80"/>
      <c r="E1" s="81"/>
      <c r="F1" s="82"/>
      <c r="G1" s="82"/>
      <c r="H1" s="82"/>
      <c r="I1" s="82"/>
      <c r="J1" s="82"/>
      <c r="K1" s="82"/>
      <c r="L1" s="82"/>
      <c r="M1" s="82"/>
    </row>
    <row r="2" spans="1:14" ht="18.75" x14ac:dyDescent="0.3">
      <c r="B2" s="79"/>
      <c r="C2" s="80"/>
    </row>
    <row r="3" spans="1:14" x14ac:dyDescent="0.25">
      <c r="D3" s="84" t="s">
        <v>24</v>
      </c>
      <c r="E3" s="85"/>
      <c r="F3" s="86"/>
      <c r="H3" s="84" t="s">
        <v>25</v>
      </c>
      <c r="I3" s="86"/>
      <c r="J3" s="86"/>
    </row>
    <row r="4" spans="1:14" x14ac:dyDescent="0.25">
      <c r="D4" s="87" t="s">
        <v>0</v>
      </c>
      <c r="E4" s="87" t="s">
        <v>1</v>
      </c>
      <c r="F4" s="87" t="s">
        <v>2</v>
      </c>
      <c r="H4" s="87" t="s">
        <v>0</v>
      </c>
      <c r="I4" s="87" t="s">
        <v>1</v>
      </c>
      <c r="J4" s="87" t="s">
        <v>2</v>
      </c>
    </row>
    <row r="5" spans="1:14" x14ac:dyDescent="0.25">
      <c r="H5" s="9">
        <f>+'E Conv Fctr'!E19</f>
        <v>0.95238599999999995</v>
      </c>
      <c r="I5" s="9">
        <f>+'G Conv Fctr'!E17</f>
        <v>0.954538</v>
      </c>
    </row>
    <row r="6" spans="1:14" x14ac:dyDescent="0.25">
      <c r="A6" s="63">
        <v>1</v>
      </c>
      <c r="B6" s="9" t="s">
        <v>150</v>
      </c>
      <c r="D6" s="52">
        <v>60313314.240019262</v>
      </c>
      <c r="E6" s="52">
        <v>22019078.859071229</v>
      </c>
      <c r="F6" s="52">
        <f>SUM(D6:E6)</f>
        <v>82332393.099090487</v>
      </c>
      <c r="H6" s="52">
        <f>D6/$H$5</f>
        <v>63328644.310205385</v>
      </c>
      <c r="I6" s="52">
        <f>E6/$I$5</f>
        <v>23067786.572217375</v>
      </c>
      <c r="J6" s="52">
        <f>SUM(H6:I6)</f>
        <v>86396430.88242276</v>
      </c>
    </row>
    <row r="8" spans="1:14" x14ac:dyDescent="0.25">
      <c r="A8" s="63">
        <v>2</v>
      </c>
      <c r="B8" s="9" t="s">
        <v>3</v>
      </c>
    </row>
    <row r="9" spans="1:14" x14ac:dyDescent="0.25">
      <c r="A9" s="63">
        <v>3</v>
      </c>
      <c r="B9" s="88" t="s">
        <v>151</v>
      </c>
      <c r="D9" s="10">
        <v>55733659</v>
      </c>
      <c r="E9" s="10">
        <v>20139263</v>
      </c>
      <c r="F9" s="10">
        <f>SUM(D9:E9)</f>
        <v>75872922</v>
      </c>
      <c r="H9" s="52">
        <f>D9/$H$5</f>
        <v>58520031.793831497</v>
      </c>
      <c r="I9" s="52">
        <f>E9/$I$5</f>
        <v>21098440.292581331</v>
      </c>
      <c r="J9" s="10">
        <f>SUM(H9:I9)</f>
        <v>79618472.086412832</v>
      </c>
      <c r="L9" s="10"/>
      <c r="M9" s="10"/>
      <c r="N9" s="10"/>
    </row>
    <row r="10" spans="1:14" x14ac:dyDescent="0.25">
      <c r="A10" s="63">
        <v>4</v>
      </c>
      <c r="B10" s="88" t="s">
        <v>150</v>
      </c>
      <c r="C10" s="89" t="s">
        <v>26</v>
      </c>
      <c r="D10" s="10">
        <v>60313314.240019262</v>
      </c>
      <c r="E10" s="10">
        <v>22019078.859071229</v>
      </c>
      <c r="F10" s="10">
        <f>SUM(D10:E10)</f>
        <v>82332393.099090487</v>
      </c>
      <c r="H10" s="52">
        <f>D10/$H$5</f>
        <v>63328644.310205385</v>
      </c>
      <c r="I10" s="52">
        <f>E10/$I$5</f>
        <v>23067786.572217375</v>
      </c>
      <c r="J10" s="10">
        <f>SUM(H10:I10)</f>
        <v>86396430.88242276</v>
      </c>
      <c r="L10" s="10"/>
      <c r="M10" s="10"/>
      <c r="N10" s="10"/>
    </row>
    <row r="11" spans="1:14" x14ac:dyDescent="0.25">
      <c r="A11" s="63">
        <v>5</v>
      </c>
      <c r="B11" s="9" t="s">
        <v>152</v>
      </c>
      <c r="D11" s="10">
        <v>1392396.3898532353</v>
      </c>
      <c r="E11" s="10">
        <v>1169755.7052719721</v>
      </c>
      <c r="F11" s="10">
        <f>SUM(D11:E11)</f>
        <v>2562152.0951252077</v>
      </c>
      <c r="H11" s="52">
        <f>D11/$H$5</f>
        <v>1462008.4607010554</v>
      </c>
      <c r="I11" s="52">
        <f>E11/$I$5</f>
        <v>1225467.928224934</v>
      </c>
      <c r="J11" s="10">
        <f>SUM(H11:I11)</f>
        <v>2687476.3889259892</v>
      </c>
      <c r="L11" s="90"/>
      <c r="M11" s="90"/>
      <c r="N11" s="10"/>
    </row>
    <row r="12" spans="1:14" x14ac:dyDescent="0.25">
      <c r="D12" s="53"/>
      <c r="E12" s="53"/>
      <c r="F12" s="53"/>
      <c r="H12" s="91">
        <v>0</v>
      </c>
      <c r="I12" s="91">
        <v>0</v>
      </c>
      <c r="J12" s="92" t="s">
        <v>123</v>
      </c>
      <c r="L12" s="10"/>
      <c r="M12" s="10"/>
    </row>
    <row r="13" spans="1:14" x14ac:dyDescent="0.25">
      <c r="A13" s="63">
        <v>6</v>
      </c>
      <c r="B13" s="9" t="s">
        <v>124</v>
      </c>
      <c r="C13" s="89" t="s">
        <v>28</v>
      </c>
      <c r="D13" s="10">
        <f>D9-D10+D11</f>
        <v>-3187258.8501660265</v>
      </c>
      <c r="E13" s="10">
        <f>E9-E10+E11</f>
        <v>-710060.15379925654</v>
      </c>
      <c r="F13" s="10">
        <f>SUM(D13:E13)</f>
        <v>-3897319.0039652828</v>
      </c>
      <c r="H13" s="10">
        <f>H9-H10+H11</f>
        <v>-3346604.0556728323</v>
      </c>
      <c r="I13" s="10">
        <f>I9-I10+I11</f>
        <v>-743878.35141111002</v>
      </c>
      <c r="J13" s="10">
        <f>SUM(H13:I13)</f>
        <v>-4090482.4070839426</v>
      </c>
      <c r="K13" s="93"/>
      <c r="L13" s="93"/>
      <c r="M13" s="93"/>
    </row>
    <row r="14" spans="1:14" x14ac:dyDescent="0.25">
      <c r="D14" s="53"/>
      <c r="E14" s="53"/>
      <c r="F14" s="53"/>
      <c r="H14" s="53"/>
      <c r="I14" s="53"/>
      <c r="J14" s="53"/>
      <c r="K14" s="94"/>
      <c r="L14" s="94"/>
      <c r="M14" s="94"/>
    </row>
    <row r="15" spans="1:14" ht="15.75" thickBot="1" x14ac:dyDescent="0.3">
      <c r="A15" s="63">
        <v>7</v>
      </c>
      <c r="B15" s="9" t="s">
        <v>23</v>
      </c>
      <c r="C15" s="89" t="s">
        <v>27</v>
      </c>
      <c r="D15" s="54">
        <f>D6+D13</f>
        <v>57126055.389853239</v>
      </c>
      <c r="E15" s="54">
        <f>E6+E13</f>
        <v>21309018.70527197</v>
      </c>
      <c r="F15" s="54">
        <f>SUM(D15:E15)</f>
        <v>78435074.095125213</v>
      </c>
      <c r="H15" s="54">
        <f>H6+H13</f>
        <v>59982040.254532553</v>
      </c>
      <c r="I15" s="54">
        <f>I6+I13</f>
        <v>22323908.220806263</v>
      </c>
      <c r="J15" s="54">
        <f>SUM(H15:I15)</f>
        <v>82305948.475338817</v>
      </c>
    </row>
    <row r="16" spans="1:14" ht="15.75" thickTop="1" x14ac:dyDescent="0.25"/>
    <row r="18" spans="1:11" x14ac:dyDescent="0.25">
      <c r="A18" s="63">
        <v>8</v>
      </c>
      <c r="B18" s="9" t="s">
        <v>4</v>
      </c>
      <c r="C18" s="89" t="s">
        <v>30</v>
      </c>
      <c r="D18" s="52">
        <v>29926824.772686236</v>
      </c>
      <c r="E18" s="52">
        <v>12414096.93711197</v>
      </c>
      <c r="F18" s="52">
        <f>SUM(D18:E18)</f>
        <v>42340921.709798202</v>
      </c>
      <c r="H18" s="52">
        <f>H15-H19</f>
        <v>31422999.469423361</v>
      </c>
      <c r="I18" s="52">
        <f>I15-I19</f>
        <v>13005345.975866826</v>
      </c>
      <c r="J18" s="52">
        <f>SUM(H18:I18)</f>
        <v>44428345.445290186</v>
      </c>
    </row>
    <row r="19" spans="1:11" x14ac:dyDescent="0.25">
      <c r="A19" s="63">
        <v>9</v>
      </c>
      <c r="B19" s="9" t="s">
        <v>5</v>
      </c>
      <c r="D19" s="10">
        <v>27199230.617167003</v>
      </c>
      <c r="E19" s="10">
        <v>8894921.7681600004</v>
      </c>
      <c r="F19" s="10">
        <f>SUM(D19:E19)</f>
        <v>36094152.385327004</v>
      </c>
      <c r="H19" s="1">
        <f>D19/$H$5</f>
        <v>28559040.785109192</v>
      </c>
      <c r="I19" s="1">
        <f>E19/$I$5</f>
        <v>9318562.2449394371</v>
      </c>
      <c r="J19" s="10">
        <f>SUM(H19:I19)</f>
        <v>37877603.030048631</v>
      </c>
    </row>
    <row r="20" spans="1:11" x14ac:dyDescent="0.25">
      <c r="D20" s="53"/>
      <c r="E20" s="53"/>
      <c r="F20" s="53"/>
      <c r="H20" s="53"/>
      <c r="I20" s="53"/>
      <c r="J20" s="53"/>
    </row>
    <row r="21" spans="1:11" ht="15.75" thickBot="1" x14ac:dyDescent="0.3">
      <c r="A21" s="63">
        <v>10</v>
      </c>
      <c r="B21" s="9" t="s">
        <v>23</v>
      </c>
      <c r="C21" s="89" t="s">
        <v>29</v>
      </c>
      <c r="D21" s="54">
        <v>57126055.389853239</v>
      </c>
      <c r="E21" s="54">
        <v>21309018.70527197</v>
      </c>
      <c r="F21" s="54">
        <f>SUM(D21:E21)</f>
        <v>78435074.095125213</v>
      </c>
      <c r="H21" s="55">
        <f>SUM(H18:H19)</f>
        <v>59982040.254532553</v>
      </c>
      <c r="I21" s="55">
        <f>SUM(I18:I19)</f>
        <v>22323908.220806263</v>
      </c>
      <c r="J21" s="54">
        <f>SUM(H21:I21)</f>
        <v>82305948.475338817</v>
      </c>
    </row>
    <row r="22" spans="1:11" ht="15.75" thickTop="1" x14ac:dyDescent="0.25">
      <c r="H22"/>
      <c r="I22"/>
    </row>
    <row r="23" spans="1:11" x14ac:dyDescent="0.25">
      <c r="D23" s="52"/>
      <c r="E23" s="52"/>
      <c r="F23" s="52"/>
      <c r="H23"/>
      <c r="I23"/>
    </row>
    <row r="24" spans="1:11" x14ac:dyDescent="0.25">
      <c r="A24" s="63">
        <v>11</v>
      </c>
      <c r="B24" s="9" t="s">
        <v>6</v>
      </c>
      <c r="H24"/>
      <c r="I24"/>
    </row>
    <row r="25" spans="1:11" x14ac:dyDescent="0.25">
      <c r="A25" s="63">
        <f>+A24+1</f>
        <v>12</v>
      </c>
      <c r="B25" s="88" t="s">
        <v>7</v>
      </c>
      <c r="D25" s="10">
        <v>-5476715</v>
      </c>
      <c r="E25" s="10">
        <v>-2140814</v>
      </c>
      <c r="F25" s="10">
        <f>SUM(D25:E25)</f>
        <v>-7617529</v>
      </c>
      <c r="H25" s="1">
        <f>D25/$H$5</f>
        <v>-5750520.2722425573</v>
      </c>
      <c r="I25" s="1">
        <f>E25/$I$5</f>
        <v>-2242775.0388145889</v>
      </c>
      <c r="J25" s="10">
        <f>SUM(H25:I25)</f>
        <v>-7993295.3110571466</v>
      </c>
    </row>
    <row r="26" spans="1:11" x14ac:dyDescent="0.25">
      <c r="A26" s="63">
        <f t="shared" ref="A26:A27" si="0">+A25+1</f>
        <v>13</v>
      </c>
      <c r="B26" s="88" t="s">
        <v>9</v>
      </c>
      <c r="D26" s="10">
        <v>2289456.1498339772</v>
      </c>
      <c r="E26" s="10">
        <v>1430753.8462007449</v>
      </c>
      <c r="F26" s="10">
        <f>SUM(D26:E26)</f>
        <v>3720209.9960347218</v>
      </c>
      <c r="H26" s="1">
        <f>D26/$H$5</f>
        <v>2403916.2165697282</v>
      </c>
      <c r="I26" s="1">
        <f>E26/$I$5</f>
        <v>1498896.6874034819</v>
      </c>
      <c r="J26" s="10">
        <f>SUM(H26:I26)</f>
        <v>3902812.9039732101</v>
      </c>
    </row>
    <row r="27" spans="1:11" ht="15.75" thickBot="1" x14ac:dyDescent="0.3">
      <c r="A27" s="63">
        <f t="shared" si="0"/>
        <v>14</v>
      </c>
      <c r="B27" s="9" t="s">
        <v>8</v>
      </c>
      <c r="D27" s="95">
        <f>SUM(D25:D26)</f>
        <v>-3187258.8501660228</v>
      </c>
      <c r="E27" s="95">
        <f>SUM(E25:E26)</f>
        <v>-710060.15379925515</v>
      </c>
      <c r="F27" s="95">
        <f>SUM(D27:E27)</f>
        <v>-3897319.0039652782</v>
      </c>
      <c r="H27" s="6">
        <f>SUM(H25:H26)</f>
        <v>-3346604.055672829</v>
      </c>
      <c r="I27" s="6">
        <f>SUM(I25:I26)</f>
        <v>-743878.351411107</v>
      </c>
      <c r="J27" s="95">
        <f>SUM(H27:I27)</f>
        <v>-4090482.407083936</v>
      </c>
    </row>
    <row r="28" spans="1:11" ht="15.75" thickTop="1" x14ac:dyDescent="0.25">
      <c r="D28" s="56">
        <f>D27-D13</f>
        <v>3.7252902984619141E-9</v>
      </c>
      <c r="E28" s="56">
        <f>E27-E13</f>
        <v>1.3969838619232178E-9</v>
      </c>
      <c r="F28" s="56">
        <f>F27-F13</f>
        <v>4.6566128730773926E-9</v>
      </c>
      <c r="G28" s="96"/>
      <c r="H28" s="39">
        <f>H27-H13</f>
        <v>0</v>
      </c>
      <c r="I28" s="38">
        <f>I27-I13</f>
        <v>3.0267983675003052E-9</v>
      </c>
      <c r="J28" s="56">
        <f>J27-J13</f>
        <v>6.5192580223083496E-9</v>
      </c>
      <c r="K28" s="96"/>
    </row>
    <row r="29" spans="1:11" x14ac:dyDescent="0.25">
      <c r="H29" s="2"/>
      <c r="I29" s="2"/>
      <c r="J29" s="52"/>
    </row>
    <row r="30" spans="1:11" x14ac:dyDescent="0.25">
      <c r="A30" s="63">
        <f>+A27+1</f>
        <v>15</v>
      </c>
      <c r="B30" s="97" t="s">
        <v>76</v>
      </c>
      <c r="C30" s="89"/>
      <c r="H30" s="40">
        <f>H27/H6</f>
        <v>-5.2845029166896679E-2</v>
      </c>
      <c r="I30" s="40">
        <f>I27/I6</f>
        <v>-3.2247495835037207E-2</v>
      </c>
    </row>
    <row r="31" spans="1:11" x14ac:dyDescent="0.25">
      <c r="A31" s="63">
        <f>+A30+1</f>
        <v>16</v>
      </c>
      <c r="B31" s="97" t="s">
        <v>77</v>
      </c>
      <c r="H31" s="103" t="str">
        <f>IF(ABS(H30)&gt;1%,"yes","no")</f>
        <v>yes</v>
      </c>
      <c r="I31" s="103" t="str">
        <f>IF(ABS(I30)&gt;1%,"yes","no")</f>
        <v>yes</v>
      </c>
    </row>
    <row r="32" spans="1:11" x14ac:dyDescent="0.25">
      <c r="A32" s="63">
        <f t="shared" ref="A32:A33" si="1">+A31+1</f>
        <v>17</v>
      </c>
      <c r="B32" s="98" t="s">
        <v>31</v>
      </c>
    </row>
    <row r="33" spans="1:2" x14ac:dyDescent="0.25">
      <c r="A33" s="63">
        <f t="shared" si="1"/>
        <v>18</v>
      </c>
      <c r="B33" s="98" t="s">
        <v>32</v>
      </c>
    </row>
    <row r="35" spans="1:2" x14ac:dyDescent="0.25">
      <c r="B35" s="99"/>
    </row>
    <row r="36" spans="1:2" x14ac:dyDescent="0.25">
      <c r="B36" s="99"/>
    </row>
  </sheetData>
  <pageMargins left="0.7" right="0.7" top="0.75" bottom="0.75" header="0.3" footer="0.3"/>
  <pageSetup scale="86" orientation="landscape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="80" zoomScaleNormal="80" workbookViewId="0">
      <selection activeCell="R11" sqref="R11"/>
    </sheetView>
  </sheetViews>
  <sheetFormatPr defaultColWidth="9.140625" defaultRowHeight="15" x14ac:dyDescent="0.25"/>
  <cols>
    <col min="1" max="1" width="10.85546875" style="181" bestFit="1" customWidth="1"/>
    <col min="2" max="2" width="14.28515625" style="181" bestFit="1" customWidth="1"/>
    <col min="3" max="3" width="13.7109375" style="181" bestFit="1" customWidth="1"/>
    <col min="4" max="5" width="13.42578125" style="181" bestFit="1" customWidth="1"/>
    <col min="6" max="6" width="13.7109375" style="181" bestFit="1" customWidth="1"/>
    <col min="7" max="7" width="14.85546875" style="181" bestFit="1" customWidth="1"/>
    <col min="8" max="8" width="14.28515625" style="181" bestFit="1" customWidth="1"/>
    <col min="9" max="9" width="13" style="181" bestFit="1" customWidth="1"/>
    <col min="10" max="10" width="14.28515625" style="181" bestFit="1" customWidth="1"/>
    <col min="11" max="11" width="13.140625" style="181" bestFit="1" customWidth="1"/>
    <col min="12" max="12" width="14.28515625" style="181" bestFit="1" customWidth="1"/>
    <col min="13" max="13" width="9.140625" style="181"/>
    <col min="14" max="14" width="14.7109375" style="181" customWidth="1"/>
    <col min="15" max="15" width="12.7109375" style="181" bestFit="1" customWidth="1"/>
    <col min="16" max="16" width="11.5703125" style="181" bestFit="1" customWidth="1"/>
    <col min="17" max="16384" width="9.140625" style="181"/>
  </cols>
  <sheetData>
    <row r="1" spans="1:16" ht="15.75" thickBot="1" x14ac:dyDescent="0.3">
      <c r="A1" s="179" t="s">
        <v>0</v>
      </c>
      <c r="B1" s="180" t="s">
        <v>178</v>
      </c>
      <c r="N1" s="180" t="s">
        <v>154</v>
      </c>
      <c r="P1" s="182"/>
    </row>
    <row r="2" spans="1:16" x14ac:dyDescent="0.25">
      <c r="N2" s="183" t="s">
        <v>155</v>
      </c>
      <c r="O2" s="184"/>
      <c r="P2" s="185"/>
    </row>
    <row r="3" spans="1:16" x14ac:dyDescent="0.25">
      <c r="C3" s="186" t="s">
        <v>78</v>
      </c>
      <c r="D3" s="187"/>
      <c r="E3" s="187"/>
      <c r="F3" s="187"/>
      <c r="G3" s="188"/>
      <c r="H3" s="189" t="s">
        <v>79</v>
      </c>
      <c r="I3" s="187"/>
      <c r="J3" s="187"/>
      <c r="K3" s="187"/>
      <c r="L3" s="190"/>
      <c r="N3" s="191"/>
      <c r="O3" s="192"/>
      <c r="P3" s="193"/>
    </row>
    <row r="4" spans="1:16" x14ac:dyDescent="0.25">
      <c r="B4" s="194" t="s">
        <v>80</v>
      </c>
      <c r="C4" s="195" t="s">
        <v>81</v>
      </c>
      <c r="D4" s="196" t="s">
        <v>82</v>
      </c>
      <c r="E4" s="196"/>
      <c r="F4" s="196" t="s">
        <v>81</v>
      </c>
      <c r="G4" s="197"/>
      <c r="H4" s="198"/>
      <c r="I4" s="198"/>
      <c r="J4" s="198"/>
      <c r="K4" s="198"/>
      <c r="L4" s="199"/>
      <c r="N4" s="200" t="s">
        <v>156</v>
      </c>
      <c r="O4" s="201"/>
      <c r="P4" s="185"/>
    </row>
    <row r="5" spans="1:16" x14ac:dyDescent="0.25">
      <c r="B5" s="194" t="s">
        <v>83</v>
      </c>
      <c r="C5" s="202" t="s">
        <v>84</v>
      </c>
      <c r="D5" s="194" t="s">
        <v>85</v>
      </c>
      <c r="E5" s="194"/>
      <c r="F5" s="194" t="s">
        <v>86</v>
      </c>
      <c r="G5" s="203" t="s">
        <v>87</v>
      </c>
      <c r="H5" s="201"/>
      <c r="I5" s="201"/>
      <c r="J5" s="201"/>
      <c r="K5" s="194" t="s">
        <v>88</v>
      </c>
      <c r="L5" s="204" t="s">
        <v>87</v>
      </c>
      <c r="N5" s="200" t="s">
        <v>92</v>
      </c>
      <c r="O5" s="201"/>
      <c r="P5" s="185"/>
    </row>
    <row r="6" spans="1:16" ht="17.25" x14ac:dyDescent="0.25">
      <c r="A6" s="205" t="s">
        <v>89</v>
      </c>
      <c r="B6" s="205" t="s">
        <v>90</v>
      </c>
      <c r="C6" s="206" t="s">
        <v>91</v>
      </c>
      <c r="D6" s="205" t="s">
        <v>92</v>
      </c>
      <c r="E6" s="205" t="s">
        <v>93</v>
      </c>
      <c r="F6" s="205" t="s">
        <v>162</v>
      </c>
      <c r="G6" s="207" t="s">
        <v>13</v>
      </c>
      <c r="H6" s="205" t="s">
        <v>94</v>
      </c>
      <c r="I6" s="205" t="s">
        <v>95</v>
      </c>
      <c r="J6" s="205" t="s">
        <v>93</v>
      </c>
      <c r="K6" s="205" t="s">
        <v>73</v>
      </c>
      <c r="L6" s="208" t="s">
        <v>13</v>
      </c>
      <c r="N6" s="209" t="s">
        <v>82</v>
      </c>
      <c r="O6" s="192"/>
      <c r="P6" s="193"/>
    </row>
    <row r="7" spans="1:16" x14ac:dyDescent="0.25">
      <c r="A7" s="210" t="s">
        <v>157</v>
      </c>
      <c r="C7" s="211" t="s">
        <v>96</v>
      </c>
      <c r="D7" s="212"/>
      <c r="E7" s="201"/>
      <c r="F7" s="201"/>
      <c r="G7" s="213"/>
      <c r="H7" s="201"/>
      <c r="I7" s="201"/>
      <c r="J7" s="201"/>
      <c r="K7" s="201"/>
      <c r="L7" s="214"/>
      <c r="N7" s="215"/>
      <c r="O7" s="201"/>
      <c r="P7" s="185"/>
    </row>
    <row r="8" spans="1:16" x14ac:dyDescent="0.25">
      <c r="A8" s="181" t="s">
        <v>97</v>
      </c>
      <c r="C8" s="216"/>
      <c r="D8" s="201"/>
      <c r="E8" s="201"/>
      <c r="F8" s="201"/>
      <c r="G8" s="217">
        <v>27199229</v>
      </c>
      <c r="H8" s="201"/>
      <c r="I8" s="201"/>
      <c r="J8" s="201"/>
      <c r="K8" s="201"/>
      <c r="L8" s="218">
        <v>7652894</v>
      </c>
      <c r="N8" s="215"/>
      <c r="O8" s="201"/>
      <c r="P8" s="185"/>
    </row>
    <row r="9" spans="1:16" x14ac:dyDescent="0.25">
      <c r="A9" s="181" t="s">
        <v>98</v>
      </c>
      <c r="B9" s="219"/>
      <c r="C9" s="220">
        <f t="shared" ref="C9:C20" si="0">G29</f>
        <v>7437327</v>
      </c>
      <c r="D9" s="221">
        <f>+N9</f>
        <v>-5954855.3700899994</v>
      </c>
      <c r="E9" s="221"/>
      <c r="F9" s="221">
        <f t="shared" ref="F9:F20" si="1">SUM(C9:E9)</f>
        <v>1482471.6299100006</v>
      </c>
      <c r="G9" s="222">
        <f>F9+G8</f>
        <v>28681700.62991</v>
      </c>
      <c r="H9" s="221">
        <v>-1913223</v>
      </c>
      <c r="I9" s="221"/>
      <c r="J9" s="221"/>
      <c r="K9" s="221">
        <f>SUM(H9:J9)</f>
        <v>-1913223</v>
      </c>
      <c r="L9" s="218">
        <f>L8+K9</f>
        <v>5739671</v>
      </c>
      <c r="N9" s="223">
        <v>-5954855.3700899994</v>
      </c>
      <c r="O9" s="201"/>
      <c r="P9" s="185"/>
    </row>
    <row r="10" spans="1:16" x14ac:dyDescent="0.25">
      <c r="A10" s="181" t="s">
        <v>99</v>
      </c>
      <c r="B10" s="224"/>
      <c r="C10" s="225">
        <f t="shared" si="0"/>
        <v>7453032</v>
      </c>
      <c r="D10" s="226">
        <f>N10-SUM($D$9:D9)</f>
        <v>-6120014.3406660007</v>
      </c>
      <c r="E10" s="226"/>
      <c r="F10" s="226">
        <f>SUM(C10:E10)+1</f>
        <v>1333018.6593339993</v>
      </c>
      <c r="G10" s="222">
        <f>F10+G9</f>
        <v>30014719.289244</v>
      </c>
      <c r="H10" s="221">
        <v>-1913223</v>
      </c>
      <c r="I10" s="226"/>
      <c r="J10" s="226"/>
      <c r="K10" s="226">
        <f t="shared" ref="K10:K20" si="2">SUM(H10:J10)</f>
        <v>-1913223</v>
      </c>
      <c r="L10" s="218">
        <f t="shared" ref="L10:L20" si="3">L9+K10</f>
        <v>3826448</v>
      </c>
      <c r="N10" s="227">
        <v>-12074869.710756</v>
      </c>
      <c r="O10" s="201"/>
      <c r="P10" s="185"/>
    </row>
    <row r="11" spans="1:16" x14ac:dyDescent="0.25">
      <c r="A11" s="181" t="s">
        <v>100</v>
      </c>
      <c r="B11" s="224"/>
      <c r="C11" s="225">
        <f t="shared" si="0"/>
        <v>5381625</v>
      </c>
      <c r="D11" s="226">
        <f>N11-SUM($D$9:D10)</f>
        <v>-5488491.9459959976</v>
      </c>
      <c r="E11" s="226"/>
      <c r="F11" s="226">
        <f>SUM(C11:E11)-1</f>
        <v>-106867.94599599764</v>
      </c>
      <c r="G11" s="222">
        <f t="shared" ref="G11:G20" si="4">F11+G10</f>
        <v>29907851.343248002</v>
      </c>
      <c r="H11" s="221">
        <v>-1913223</v>
      </c>
      <c r="I11" s="226">
        <v>-7778986</v>
      </c>
      <c r="J11" s="226"/>
      <c r="K11" s="226">
        <f t="shared" si="2"/>
        <v>-9692209</v>
      </c>
      <c r="L11" s="218">
        <f t="shared" si="3"/>
        <v>-5865761</v>
      </c>
      <c r="N11" s="227">
        <v>-17563361.656751998</v>
      </c>
      <c r="O11" s="201"/>
      <c r="P11" s="185"/>
    </row>
    <row r="12" spans="1:16" x14ac:dyDescent="0.25">
      <c r="A12" s="181" t="s">
        <v>101</v>
      </c>
      <c r="B12" s="224"/>
      <c r="C12" s="225">
        <f t="shared" si="0"/>
        <v>6750153</v>
      </c>
      <c r="D12" s="226">
        <f>N12-SUM($D$9:D11)</f>
        <v>-4654466.5733040012</v>
      </c>
      <c r="E12" s="226"/>
      <c r="F12" s="226">
        <f t="shared" si="1"/>
        <v>2095686.4266959988</v>
      </c>
      <c r="G12" s="222">
        <f>F12+G11</f>
        <v>32003537.769944001</v>
      </c>
      <c r="H12" s="221">
        <v>-1913223</v>
      </c>
      <c r="I12" s="226"/>
      <c r="J12" s="226"/>
      <c r="K12" s="226">
        <f t="shared" si="2"/>
        <v>-1913223</v>
      </c>
      <c r="L12" s="218">
        <f t="shared" si="3"/>
        <v>-7778984</v>
      </c>
      <c r="N12" s="227">
        <v>-22217828.230055999</v>
      </c>
      <c r="O12" s="201"/>
      <c r="P12" s="185"/>
    </row>
    <row r="13" spans="1:16" x14ac:dyDescent="0.25">
      <c r="A13" s="181" t="s">
        <v>102</v>
      </c>
      <c r="B13" s="224"/>
      <c r="C13" s="225">
        <f t="shared" si="0"/>
        <v>6455966</v>
      </c>
      <c r="D13" s="226">
        <f>N13-SUM($D$9:D12)</f>
        <v>-3807575.8752832785</v>
      </c>
      <c r="E13" s="226">
        <f>-J13</f>
        <v>-27199229</v>
      </c>
      <c r="F13" s="226">
        <f t="shared" si="1"/>
        <v>-24550838.875283279</v>
      </c>
      <c r="G13" s="222">
        <f>F13+G12</f>
        <v>7452698.8946607225</v>
      </c>
      <c r="H13" s="221">
        <v>-1618354</v>
      </c>
      <c r="I13" s="226"/>
      <c r="J13" s="226">
        <f>+G8</f>
        <v>27199229</v>
      </c>
      <c r="K13" s="226">
        <f t="shared" si="2"/>
        <v>25580875</v>
      </c>
      <c r="L13" s="218">
        <f t="shared" si="3"/>
        <v>17801891</v>
      </c>
      <c r="N13" s="227">
        <v>-26025404.105339278</v>
      </c>
      <c r="O13" s="201"/>
      <c r="P13" s="185"/>
    </row>
    <row r="14" spans="1:16" x14ac:dyDescent="0.25">
      <c r="A14" s="181" t="s">
        <v>103</v>
      </c>
      <c r="B14" s="224"/>
      <c r="C14" s="225">
        <f t="shared" si="0"/>
        <v>4108906</v>
      </c>
      <c r="D14" s="226">
        <f>N14-SUM($D$9:D13)</f>
        <v>-4014986.9936040007</v>
      </c>
      <c r="E14" s="226"/>
      <c r="F14" s="226">
        <f>SUM(C14:E14)</f>
        <v>93919.006395999342</v>
      </c>
      <c r="G14" s="222">
        <f t="shared" si="4"/>
        <v>7546617.9010567218</v>
      </c>
      <c r="H14" s="226">
        <v>-1618354</v>
      </c>
      <c r="I14" s="226"/>
      <c r="J14" s="226"/>
      <c r="K14" s="226">
        <f t="shared" si="2"/>
        <v>-1618354</v>
      </c>
      <c r="L14" s="218">
        <f t="shared" si="3"/>
        <v>16183537</v>
      </c>
      <c r="N14" s="227">
        <v>-30040391.098943278</v>
      </c>
      <c r="O14" s="201"/>
      <c r="P14" s="185"/>
    </row>
    <row r="15" spans="1:16" x14ac:dyDescent="0.25">
      <c r="A15" s="181" t="s">
        <v>74</v>
      </c>
      <c r="B15" s="224"/>
      <c r="C15" s="225">
        <f t="shared" si="0"/>
        <v>6229559</v>
      </c>
      <c r="D15" s="226">
        <f>N15-SUM($D$9:D14)</f>
        <v>-4023018.1885500625</v>
      </c>
      <c r="E15" s="226"/>
      <c r="F15" s="226">
        <f t="shared" si="1"/>
        <v>2206540.8114499375</v>
      </c>
      <c r="G15" s="222">
        <f t="shared" si="4"/>
        <v>9753158.7125066593</v>
      </c>
      <c r="H15" s="226">
        <v>-1618354</v>
      </c>
      <c r="I15" s="226"/>
      <c r="J15" s="226"/>
      <c r="K15" s="226">
        <f t="shared" si="2"/>
        <v>-1618354</v>
      </c>
      <c r="L15" s="218">
        <f t="shared" si="3"/>
        <v>14565183</v>
      </c>
      <c r="N15" s="227">
        <v>-34063409.287493341</v>
      </c>
      <c r="O15" s="201"/>
      <c r="P15" s="185"/>
    </row>
    <row r="16" spans="1:16" x14ac:dyDescent="0.25">
      <c r="A16" s="181" t="s">
        <v>104</v>
      </c>
      <c r="B16" s="224"/>
      <c r="C16" s="225">
        <f t="shared" si="0"/>
        <v>4848679</v>
      </c>
      <c r="D16" s="226">
        <f>N16-SUM($D$9:D15)</f>
        <v>-4403075.9933219329</v>
      </c>
      <c r="E16" s="226"/>
      <c r="F16" s="226">
        <f t="shared" si="1"/>
        <v>445603.00667806715</v>
      </c>
      <c r="G16" s="222">
        <f t="shared" si="4"/>
        <v>10198761.719184726</v>
      </c>
      <c r="H16" s="226">
        <v>-1618354</v>
      </c>
      <c r="I16" s="226"/>
      <c r="J16" s="226"/>
      <c r="K16" s="226">
        <f t="shared" si="2"/>
        <v>-1618354</v>
      </c>
      <c r="L16" s="218">
        <f t="shared" si="3"/>
        <v>12946829</v>
      </c>
      <c r="N16" s="227">
        <v>-38466485.280815274</v>
      </c>
      <c r="O16" s="201"/>
      <c r="P16" s="185"/>
    </row>
    <row r="17" spans="1:16" x14ac:dyDescent="0.25">
      <c r="A17" s="181" t="s">
        <v>105</v>
      </c>
      <c r="B17" s="224"/>
      <c r="C17" s="225">
        <f t="shared" si="0"/>
        <v>5930692</v>
      </c>
      <c r="D17" s="226">
        <f>N17-SUM($D$9:D16)</f>
        <v>-3959886.7015740052</v>
      </c>
      <c r="E17" s="226"/>
      <c r="F17" s="226">
        <f t="shared" si="1"/>
        <v>1970805.2984259948</v>
      </c>
      <c r="G17" s="222">
        <f t="shared" si="4"/>
        <v>12169567.017610721</v>
      </c>
      <c r="H17" s="226">
        <v>-1618354</v>
      </c>
      <c r="I17" s="226"/>
      <c r="J17" s="226"/>
      <c r="K17" s="226">
        <f t="shared" si="2"/>
        <v>-1618354</v>
      </c>
      <c r="L17" s="218">
        <f t="shared" si="3"/>
        <v>11328475</v>
      </c>
      <c r="N17" s="227">
        <v>-42426371.982389279</v>
      </c>
      <c r="O17" s="201"/>
      <c r="P17" s="185"/>
    </row>
    <row r="18" spans="1:16" x14ac:dyDescent="0.25">
      <c r="A18" s="181" t="s">
        <v>106</v>
      </c>
      <c r="B18" s="224"/>
      <c r="C18" s="225">
        <f t="shared" si="0"/>
        <v>5934601</v>
      </c>
      <c r="D18" s="226">
        <f>N18-SUM($D$9:D17)</f>
        <v>-4839314.2196579948</v>
      </c>
      <c r="E18" s="226"/>
      <c r="F18" s="226">
        <f t="shared" si="1"/>
        <v>1095286.7803420052</v>
      </c>
      <c r="G18" s="222">
        <f t="shared" si="4"/>
        <v>13264853.797952726</v>
      </c>
      <c r="H18" s="226">
        <v>-1618354</v>
      </c>
      <c r="I18" s="226"/>
      <c r="J18" s="226"/>
      <c r="K18" s="226">
        <f t="shared" si="2"/>
        <v>-1618354</v>
      </c>
      <c r="L18" s="218">
        <f t="shared" si="3"/>
        <v>9710121</v>
      </c>
      <c r="N18" s="227">
        <v>-47265686.202047274</v>
      </c>
      <c r="O18" s="201"/>
      <c r="P18" s="185"/>
    </row>
    <row r="19" spans="1:16" x14ac:dyDescent="0.25">
      <c r="A19" s="181" t="s">
        <v>107</v>
      </c>
      <c r="B19" s="224"/>
      <c r="C19" s="225">
        <f t="shared" si="0"/>
        <v>5993443</v>
      </c>
      <c r="D19" s="226">
        <f>N19-SUM($D$9:D18)</f>
        <v>-5439058.3506660014</v>
      </c>
      <c r="E19" s="226"/>
      <c r="F19" s="226">
        <f>SUM(C19:E19)</f>
        <v>554384.64933399856</v>
      </c>
      <c r="G19" s="222">
        <f t="shared" si="4"/>
        <v>13819238.447286725</v>
      </c>
      <c r="H19" s="226">
        <v>-1618353</v>
      </c>
      <c r="I19" s="226"/>
      <c r="J19" s="226"/>
      <c r="K19" s="226">
        <f t="shared" si="2"/>
        <v>-1618353</v>
      </c>
      <c r="L19" s="218">
        <f t="shared" si="3"/>
        <v>8091768</v>
      </c>
      <c r="N19" s="227">
        <v>-52704744.552713275</v>
      </c>
      <c r="O19" s="201"/>
      <c r="P19" s="185"/>
    </row>
    <row r="20" spans="1:16" x14ac:dyDescent="0.25">
      <c r="A20" s="181" t="s">
        <v>108</v>
      </c>
      <c r="B20" s="224"/>
      <c r="C20" s="228">
        <f t="shared" si="0"/>
        <v>5603438</v>
      </c>
      <c r="D20" s="226">
        <f>N20-SUM($D$9:D19)</f>
        <v>-5751466.6730879992</v>
      </c>
      <c r="E20" s="229"/>
      <c r="F20" s="229">
        <f t="shared" si="1"/>
        <v>-148028.67308799922</v>
      </c>
      <c r="G20" s="400">
        <f t="shared" si="4"/>
        <v>13671209.774198726</v>
      </c>
      <c r="H20" s="229">
        <v>-1618353</v>
      </c>
      <c r="I20" s="229">
        <v>-3386</v>
      </c>
      <c r="J20" s="229"/>
      <c r="K20" s="229">
        <f t="shared" si="2"/>
        <v>-1621739</v>
      </c>
      <c r="L20" s="230">
        <f t="shared" si="3"/>
        <v>6470029</v>
      </c>
      <c r="N20" s="227">
        <v>-58456211.225801274</v>
      </c>
      <c r="O20" s="201"/>
      <c r="P20" s="185"/>
    </row>
    <row r="21" spans="1:16" x14ac:dyDescent="0.25">
      <c r="C21" s="224"/>
      <c r="D21" s="224"/>
      <c r="E21" s="224"/>
      <c r="F21" s="231"/>
      <c r="G21" s="249" t="s">
        <v>186</v>
      </c>
      <c r="H21" s="250"/>
      <c r="I21" s="250"/>
      <c r="J21" s="250"/>
      <c r="K21" s="250"/>
      <c r="L21" s="249" t="s">
        <v>186</v>
      </c>
      <c r="N21" s="215"/>
      <c r="O21" s="201"/>
      <c r="P21" s="185"/>
    </row>
    <row r="22" spans="1:16" ht="15.75" thickBot="1" x14ac:dyDescent="0.3">
      <c r="C22" s="224"/>
      <c r="D22" s="224"/>
      <c r="E22" s="224"/>
      <c r="F22" s="224"/>
      <c r="G22" s="213"/>
      <c r="H22" s="232">
        <f>SUM(H9:H21)</f>
        <v>-20599722</v>
      </c>
      <c r="I22" s="232">
        <f>SUM(I9:I21)</f>
        <v>-7782372</v>
      </c>
      <c r="J22" s="232">
        <f>SUM(J9:J21)</f>
        <v>27199229</v>
      </c>
      <c r="K22" s="232">
        <f>SUM(K9:K21)</f>
        <v>-1182865</v>
      </c>
      <c r="N22" s="215"/>
      <c r="O22" s="201"/>
      <c r="P22" s="185"/>
    </row>
    <row r="23" spans="1:16" ht="15.75" thickTop="1" x14ac:dyDescent="0.25">
      <c r="C23" s="224"/>
      <c r="D23" s="224"/>
      <c r="E23" s="224"/>
      <c r="F23" s="224"/>
      <c r="G23" s="231"/>
      <c r="H23" s="219"/>
      <c r="I23" s="219"/>
      <c r="J23" s="219"/>
      <c r="K23" s="219"/>
      <c r="N23" s="215"/>
      <c r="O23" s="201"/>
      <c r="P23" s="185"/>
    </row>
    <row r="24" spans="1:16" ht="17.25" x14ac:dyDescent="0.25">
      <c r="A24" s="233" t="s">
        <v>163</v>
      </c>
      <c r="C24" s="224"/>
      <c r="D24" s="224"/>
      <c r="E24" s="224"/>
      <c r="F24" s="224"/>
      <c r="N24" s="215"/>
      <c r="O24" s="201"/>
      <c r="P24" s="185"/>
    </row>
    <row r="25" spans="1:16" x14ac:dyDescent="0.25">
      <c r="B25" s="234" t="s">
        <v>109</v>
      </c>
      <c r="C25" s="234"/>
      <c r="D25" s="235" t="s">
        <v>110</v>
      </c>
      <c r="E25" s="235" t="s">
        <v>111</v>
      </c>
      <c r="N25" s="215"/>
      <c r="O25" s="194" t="s">
        <v>156</v>
      </c>
      <c r="P25" s="236" t="s">
        <v>156</v>
      </c>
    </row>
    <row r="26" spans="1:16" x14ac:dyDescent="0.25">
      <c r="B26" s="234" t="s">
        <v>112</v>
      </c>
      <c r="C26" s="234"/>
      <c r="D26" s="235" t="s">
        <v>113</v>
      </c>
      <c r="E26" s="235" t="s">
        <v>114</v>
      </c>
      <c r="N26" s="215"/>
      <c r="O26" s="194" t="s">
        <v>110</v>
      </c>
      <c r="P26" s="236" t="s">
        <v>111</v>
      </c>
    </row>
    <row r="27" spans="1:16" x14ac:dyDescent="0.25">
      <c r="A27" s="210"/>
      <c r="B27" s="237" t="s">
        <v>115</v>
      </c>
      <c r="C27" s="237" t="s">
        <v>116</v>
      </c>
      <c r="D27" s="237" t="s">
        <v>117</v>
      </c>
      <c r="E27" s="237" t="s">
        <v>118</v>
      </c>
      <c r="F27" s="237" t="s">
        <v>94</v>
      </c>
      <c r="G27" s="237" t="s">
        <v>119</v>
      </c>
      <c r="N27" s="200" t="s">
        <v>156</v>
      </c>
      <c r="O27" s="194" t="s">
        <v>113</v>
      </c>
      <c r="P27" s="236" t="s">
        <v>114</v>
      </c>
    </row>
    <row r="28" spans="1:16" x14ac:dyDescent="0.25">
      <c r="A28" s="210" t="s">
        <v>157</v>
      </c>
      <c r="N28" s="200">
        <v>236</v>
      </c>
      <c r="O28" s="238" t="s">
        <v>117</v>
      </c>
      <c r="P28" s="239" t="s">
        <v>118</v>
      </c>
    </row>
    <row r="29" spans="1:16" x14ac:dyDescent="0.25">
      <c r="A29" s="181" t="s">
        <v>98</v>
      </c>
      <c r="B29" s="172">
        <v>66256428</v>
      </c>
      <c r="C29" s="219">
        <f>B29/12</f>
        <v>5521369</v>
      </c>
      <c r="D29" s="219">
        <v>1585</v>
      </c>
      <c r="E29" s="219">
        <v>1150</v>
      </c>
      <c r="F29" s="224">
        <f t="shared" ref="F29:F40" si="5">-H9</f>
        <v>1913223</v>
      </c>
      <c r="G29" s="219">
        <f t="shared" ref="G29:G40" si="6">SUM(C29:F29)</f>
        <v>7437327</v>
      </c>
      <c r="N29" s="223">
        <v>5521369</v>
      </c>
      <c r="O29" s="221">
        <v>1585</v>
      </c>
      <c r="P29" s="240">
        <v>1150</v>
      </c>
    </row>
    <row r="30" spans="1:16" x14ac:dyDescent="0.25">
      <c r="A30" s="181" t="s">
        <v>99</v>
      </c>
      <c r="B30" s="172">
        <v>66256440</v>
      </c>
      <c r="C30" s="224">
        <f>B30/12*2-C29</f>
        <v>5521371</v>
      </c>
      <c r="D30" s="224">
        <v>19368</v>
      </c>
      <c r="E30" s="224">
        <v>-930</v>
      </c>
      <c r="F30" s="224">
        <f t="shared" si="5"/>
        <v>1913223</v>
      </c>
      <c r="G30" s="224">
        <f t="shared" si="6"/>
        <v>7453032</v>
      </c>
      <c r="N30" s="227">
        <v>11042740</v>
      </c>
      <c r="O30" s="226">
        <v>20953</v>
      </c>
      <c r="P30" s="240">
        <v>220</v>
      </c>
    </row>
    <row r="31" spans="1:16" x14ac:dyDescent="0.25">
      <c r="A31" s="181" t="s">
        <v>100</v>
      </c>
      <c r="B31" s="172">
        <v>58022052</v>
      </c>
      <c r="C31" s="224">
        <f>B31/12*3-SUM($C$29:C30)</f>
        <v>3462773</v>
      </c>
      <c r="D31" s="224">
        <v>5629</v>
      </c>
      <c r="E31" s="224">
        <v>0</v>
      </c>
      <c r="F31" s="224">
        <f t="shared" si="5"/>
        <v>1913223</v>
      </c>
      <c r="G31" s="224">
        <f t="shared" si="6"/>
        <v>5381625</v>
      </c>
      <c r="N31" s="227">
        <v>14505513</v>
      </c>
      <c r="O31" s="226">
        <v>26582</v>
      </c>
      <c r="P31" s="240">
        <v>220</v>
      </c>
    </row>
    <row r="32" spans="1:16" x14ac:dyDescent="0.25">
      <c r="A32" s="181" t="s">
        <v>101</v>
      </c>
      <c r="B32" s="172">
        <v>58022052</v>
      </c>
      <c r="C32" s="224">
        <f>B32/12*4-SUM($C$29:C31)</f>
        <v>4835171</v>
      </c>
      <c r="D32" s="224">
        <v>1664</v>
      </c>
      <c r="E32" s="224">
        <v>95</v>
      </c>
      <c r="F32" s="224">
        <f t="shared" si="5"/>
        <v>1913223</v>
      </c>
      <c r="G32" s="224">
        <f t="shared" si="6"/>
        <v>6750153</v>
      </c>
      <c r="N32" s="227">
        <v>19340684</v>
      </c>
      <c r="O32" s="226">
        <v>28246</v>
      </c>
      <c r="P32" s="240">
        <v>315</v>
      </c>
    </row>
    <row r="33" spans="1:16" x14ac:dyDescent="0.25">
      <c r="A33" s="181" t="s">
        <v>102</v>
      </c>
      <c r="B33" s="172">
        <v>58022052</v>
      </c>
      <c r="C33" s="224">
        <f>B33/12*5-SUM($C$29:C32)</f>
        <v>4835171</v>
      </c>
      <c r="D33" s="224">
        <v>2441</v>
      </c>
      <c r="E33" s="224">
        <v>0</v>
      </c>
      <c r="F33" s="224">
        <f t="shared" si="5"/>
        <v>1618354</v>
      </c>
      <c r="G33" s="224">
        <f t="shared" si="6"/>
        <v>6455966</v>
      </c>
      <c r="N33" s="227">
        <v>24175855</v>
      </c>
      <c r="O33" s="226">
        <v>30687</v>
      </c>
      <c r="P33" s="240">
        <v>315</v>
      </c>
    </row>
    <row r="34" spans="1:16" x14ac:dyDescent="0.25">
      <c r="A34" s="181" t="s">
        <v>103</v>
      </c>
      <c r="B34" s="172">
        <v>53328070</v>
      </c>
      <c r="C34" s="224">
        <f>B34/12*6-SUM($C$29:C33)</f>
        <v>2488180</v>
      </c>
      <c r="D34" s="224">
        <v>2427</v>
      </c>
      <c r="E34" s="224">
        <v>-55</v>
      </c>
      <c r="F34" s="224">
        <f t="shared" si="5"/>
        <v>1618354</v>
      </c>
      <c r="G34" s="224">
        <f t="shared" si="6"/>
        <v>4108906</v>
      </c>
      <c r="N34" s="227">
        <v>26664035</v>
      </c>
      <c r="O34" s="226">
        <v>33114</v>
      </c>
      <c r="P34" s="240">
        <v>260</v>
      </c>
    </row>
    <row r="35" spans="1:16" x14ac:dyDescent="0.25">
      <c r="A35" s="181" t="s">
        <v>74</v>
      </c>
      <c r="B35" s="172">
        <v>53611908</v>
      </c>
      <c r="C35" s="224">
        <f>B35/12*7-SUM($C$29:C34)</f>
        <v>4609578</v>
      </c>
      <c r="D35" s="224">
        <v>1627</v>
      </c>
      <c r="E35" s="224">
        <v>0</v>
      </c>
      <c r="F35" s="224">
        <f t="shared" si="5"/>
        <v>1618354</v>
      </c>
      <c r="G35" s="224">
        <f t="shared" si="6"/>
        <v>6229559</v>
      </c>
      <c r="N35" s="227">
        <v>31273613</v>
      </c>
      <c r="O35" s="226">
        <v>34741</v>
      </c>
      <c r="P35" s="241">
        <v>260</v>
      </c>
    </row>
    <row r="36" spans="1:16" x14ac:dyDescent="0.25">
      <c r="A36" s="181" t="s">
        <v>104</v>
      </c>
      <c r="B36" s="172">
        <v>51752152.5</v>
      </c>
      <c r="C36" s="224">
        <f>B36/12*8-SUM($C$29:C35)</f>
        <v>3227822</v>
      </c>
      <c r="D36" s="224">
        <v>2503</v>
      </c>
      <c r="E36" s="224">
        <v>0</v>
      </c>
      <c r="F36" s="224">
        <f t="shared" si="5"/>
        <v>1618354</v>
      </c>
      <c r="G36" s="224">
        <f t="shared" si="6"/>
        <v>4848679</v>
      </c>
      <c r="N36" s="227">
        <v>34501435</v>
      </c>
      <c r="O36" s="226">
        <v>37244</v>
      </c>
      <c r="P36" s="241">
        <v>260</v>
      </c>
    </row>
    <row r="37" spans="1:16" x14ac:dyDescent="0.25">
      <c r="A37" s="181" t="s">
        <v>105</v>
      </c>
      <c r="B37" s="172">
        <v>51752874.666666672</v>
      </c>
      <c r="C37" s="224">
        <f>B37/12*9-SUM($C$29:C36)</f>
        <v>4313221</v>
      </c>
      <c r="D37" s="224">
        <v>2597</v>
      </c>
      <c r="E37" s="224">
        <v>-3480</v>
      </c>
      <c r="F37" s="224">
        <f t="shared" si="5"/>
        <v>1618354</v>
      </c>
      <c r="G37" s="224">
        <f t="shared" si="6"/>
        <v>5930692</v>
      </c>
      <c r="N37" s="227">
        <v>38814656</v>
      </c>
      <c r="O37" s="226">
        <v>39841</v>
      </c>
      <c r="P37" s="241">
        <v>-3220</v>
      </c>
    </row>
    <row r="38" spans="1:16" x14ac:dyDescent="0.25">
      <c r="A38" s="181" t="s">
        <v>106</v>
      </c>
      <c r="B38" s="172">
        <v>51753453.599999994</v>
      </c>
      <c r="C38" s="224">
        <f>B38/12*10-SUM($C$29:C37)</f>
        <v>4313222</v>
      </c>
      <c r="D38" s="224">
        <v>3025</v>
      </c>
      <c r="E38" s="224">
        <v>0</v>
      </c>
      <c r="F38" s="224">
        <f t="shared" si="5"/>
        <v>1618354</v>
      </c>
      <c r="G38" s="224">
        <f t="shared" si="6"/>
        <v>5934601</v>
      </c>
      <c r="N38" s="227">
        <v>43127878</v>
      </c>
      <c r="O38" s="226">
        <v>42866</v>
      </c>
      <c r="P38" s="241">
        <v>-3220</v>
      </c>
    </row>
    <row r="39" spans="1:16" x14ac:dyDescent="0.25">
      <c r="A39" s="181" t="s">
        <v>107</v>
      </c>
      <c r="B39" s="172">
        <v>51818728.36363636</v>
      </c>
      <c r="C39" s="224">
        <f>B39/12*11-SUM($C$29:C38)</f>
        <v>4372623</v>
      </c>
      <c r="D39" s="224">
        <v>2467</v>
      </c>
      <c r="E39" s="224">
        <v>0</v>
      </c>
      <c r="F39" s="224">
        <f t="shared" si="5"/>
        <v>1618353</v>
      </c>
      <c r="G39" s="224">
        <f>SUM(C39:F39)</f>
        <v>5993443</v>
      </c>
      <c r="I39" s="242"/>
      <c r="K39" s="242"/>
      <c r="N39" s="227">
        <v>47500501</v>
      </c>
      <c r="O39" s="226">
        <v>45333</v>
      </c>
      <c r="P39" s="241">
        <v>-3220</v>
      </c>
    </row>
    <row r="40" spans="1:16" x14ac:dyDescent="0.25">
      <c r="A40" s="181" t="s">
        <v>108</v>
      </c>
      <c r="B40" s="172">
        <v>51481427</v>
      </c>
      <c r="C40" s="224">
        <f>B40/12*12-SUM($C$29:C39)</f>
        <v>3980926</v>
      </c>
      <c r="D40" s="224">
        <v>774</v>
      </c>
      <c r="E40" s="224">
        <v>3385</v>
      </c>
      <c r="F40" s="224">
        <f t="shared" si="5"/>
        <v>1618353</v>
      </c>
      <c r="G40" s="224">
        <f t="shared" si="6"/>
        <v>5603438</v>
      </c>
      <c r="I40" s="242"/>
      <c r="K40" s="242"/>
      <c r="N40" s="243">
        <v>51481427</v>
      </c>
      <c r="O40" s="244">
        <v>46107</v>
      </c>
      <c r="P40" s="241">
        <v>165</v>
      </c>
    </row>
    <row r="41" spans="1:16" x14ac:dyDescent="0.25">
      <c r="A41" s="181" t="s">
        <v>182</v>
      </c>
      <c r="C41" s="224"/>
      <c r="D41" s="224"/>
      <c r="E41" s="224"/>
      <c r="F41" s="224"/>
      <c r="I41" s="242"/>
      <c r="K41" s="242"/>
    </row>
    <row r="42" spans="1:16" x14ac:dyDescent="0.25">
      <c r="A42" s="181">
        <v>23600201</v>
      </c>
      <c r="B42" s="245">
        <v>40477730</v>
      </c>
      <c r="C42" s="219">
        <f>SUM(C29:C41)</f>
        <v>51481427</v>
      </c>
      <c r="D42" s="219">
        <f>SUM(D29:D41)</f>
        <v>46107</v>
      </c>
      <c r="E42" s="219">
        <f>SUM(E29:E41)</f>
        <v>165</v>
      </c>
      <c r="F42" s="219">
        <f>SUM(F29:F41)</f>
        <v>20599722</v>
      </c>
      <c r="G42" s="219">
        <f>SUM(G29:G41)</f>
        <v>72127421</v>
      </c>
      <c r="I42" s="242"/>
      <c r="K42" s="242"/>
    </row>
    <row r="43" spans="1:16" x14ac:dyDescent="0.25">
      <c r="A43" s="181" t="s">
        <v>183</v>
      </c>
      <c r="B43" s="248">
        <v>-350005</v>
      </c>
      <c r="C43" s="219"/>
      <c r="D43" s="219"/>
      <c r="E43" s="219"/>
      <c r="F43" s="219"/>
      <c r="G43" s="219"/>
      <c r="I43" s="242"/>
      <c r="J43" s="242"/>
      <c r="K43" s="242"/>
    </row>
    <row r="44" spans="1:16" x14ac:dyDescent="0.25">
      <c r="A44" s="181" t="s">
        <v>184</v>
      </c>
      <c r="B44" s="245">
        <v>10848328</v>
      </c>
      <c r="I44" s="242"/>
      <c r="K44" s="242"/>
    </row>
    <row r="45" spans="1:16" x14ac:dyDescent="0.25">
      <c r="A45" s="181" t="s">
        <v>185</v>
      </c>
      <c r="B45" s="245">
        <v>505374</v>
      </c>
      <c r="I45" s="242"/>
      <c r="K45" s="242"/>
    </row>
    <row r="46" spans="1:16" ht="15.75" thickBot="1" x14ac:dyDescent="0.3">
      <c r="B46" s="247">
        <f>SUM(B42:B45)</f>
        <v>51481427</v>
      </c>
      <c r="I46" s="242"/>
      <c r="K46" s="242"/>
    </row>
    <row r="47" spans="1:16" ht="15.75" thickTop="1" x14ac:dyDescent="0.25">
      <c r="B47" s="246">
        <f>+B40-B46</f>
        <v>0</v>
      </c>
      <c r="I47" s="242"/>
      <c r="K47" s="242"/>
    </row>
    <row r="48" spans="1:16" x14ac:dyDescent="0.25">
      <c r="B48" s="245"/>
      <c r="I48" s="242"/>
      <c r="K48" s="242"/>
    </row>
    <row r="49" spans="2:12" x14ac:dyDescent="0.25">
      <c r="B49" s="245"/>
      <c r="I49" s="242"/>
      <c r="K49" s="242"/>
    </row>
    <row r="50" spans="2:12" x14ac:dyDescent="0.25">
      <c r="B50" s="245"/>
      <c r="I50" s="242"/>
      <c r="K50" s="242"/>
    </row>
    <row r="51" spans="2:12" x14ac:dyDescent="0.25">
      <c r="I51" s="242"/>
      <c r="K51" s="242"/>
    </row>
    <row r="52" spans="2:12" x14ac:dyDescent="0.25">
      <c r="I52" s="242"/>
      <c r="K52" s="242"/>
    </row>
    <row r="53" spans="2:12" x14ac:dyDescent="0.25">
      <c r="I53" s="242"/>
      <c r="K53" s="242"/>
    </row>
    <row r="54" spans="2:12" x14ac:dyDescent="0.25">
      <c r="L54" s="242"/>
    </row>
    <row r="55" spans="2:12" x14ac:dyDescent="0.25">
      <c r="L55" s="242"/>
    </row>
    <row r="56" spans="2:12" x14ac:dyDescent="0.25">
      <c r="L56" s="242"/>
    </row>
    <row r="57" spans="2:12" x14ac:dyDescent="0.25">
      <c r="L57" s="242"/>
    </row>
    <row r="58" spans="2:12" x14ac:dyDescent="0.25">
      <c r="I58" s="242"/>
      <c r="J58" s="242"/>
      <c r="K58" s="242"/>
      <c r="L58" s="242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zoomScale="90" zoomScaleNormal="90" workbookViewId="0">
      <selection activeCell="N9" sqref="N9"/>
    </sheetView>
  </sheetViews>
  <sheetFormatPr defaultColWidth="9.140625" defaultRowHeight="15" x14ac:dyDescent="0.25"/>
  <cols>
    <col min="1" max="1" width="10.85546875" style="118" bestFit="1" customWidth="1"/>
    <col min="2" max="2" width="14.28515625" style="118" bestFit="1" customWidth="1"/>
    <col min="3" max="3" width="13.7109375" style="118" bestFit="1" customWidth="1"/>
    <col min="4" max="4" width="14.28515625" style="118" bestFit="1" customWidth="1"/>
    <col min="5" max="5" width="13.42578125" style="118" bestFit="1" customWidth="1"/>
    <col min="6" max="6" width="13.7109375" style="118" bestFit="1" customWidth="1"/>
    <col min="7" max="7" width="13.5703125" style="118" bestFit="1" customWidth="1"/>
    <col min="8" max="8" width="13.42578125" style="118" bestFit="1" customWidth="1"/>
    <col min="9" max="11" width="12.5703125" style="118" customWidth="1"/>
    <col min="12" max="12" width="13.28515625" style="118" bestFit="1" customWidth="1"/>
    <col min="13" max="13" width="9.140625" style="118"/>
    <col min="14" max="14" width="23.140625" style="118" bestFit="1" customWidth="1"/>
    <col min="15" max="16" width="12.28515625" style="118" bestFit="1" customWidth="1"/>
    <col min="17" max="16384" width="9.140625" style="118"/>
  </cols>
  <sheetData>
    <row r="1" spans="1:16" ht="15.75" thickBot="1" x14ac:dyDescent="0.3">
      <c r="A1" s="116" t="s">
        <v>1</v>
      </c>
      <c r="B1" s="117" t="s">
        <v>178</v>
      </c>
      <c r="N1" s="117" t="s">
        <v>154</v>
      </c>
      <c r="P1" s="119"/>
    </row>
    <row r="2" spans="1:16" x14ac:dyDescent="0.25">
      <c r="N2" s="120" t="s">
        <v>155</v>
      </c>
      <c r="O2" s="121"/>
      <c r="P2" s="122"/>
    </row>
    <row r="3" spans="1:16" x14ac:dyDescent="0.25">
      <c r="C3" s="123" t="s">
        <v>120</v>
      </c>
      <c r="D3" s="124"/>
      <c r="E3" s="124"/>
      <c r="F3" s="124"/>
      <c r="G3" s="125"/>
      <c r="H3" s="126" t="s">
        <v>121</v>
      </c>
      <c r="I3" s="124"/>
      <c r="J3" s="124"/>
      <c r="K3" s="124"/>
      <c r="L3" s="127"/>
      <c r="N3" s="128"/>
      <c r="O3" s="129"/>
      <c r="P3" s="122"/>
    </row>
    <row r="4" spans="1:16" x14ac:dyDescent="0.25">
      <c r="B4" s="130" t="s">
        <v>80</v>
      </c>
      <c r="C4" s="131" t="s">
        <v>81</v>
      </c>
      <c r="D4" s="132" t="s">
        <v>82</v>
      </c>
      <c r="E4" s="132"/>
      <c r="F4" s="132" t="s">
        <v>81</v>
      </c>
      <c r="G4" s="133"/>
      <c r="H4" s="134"/>
      <c r="I4" s="134"/>
      <c r="J4" s="134"/>
      <c r="K4" s="134"/>
      <c r="L4" s="135"/>
      <c r="N4" s="136" t="s">
        <v>156</v>
      </c>
      <c r="O4" s="129"/>
      <c r="P4" s="122"/>
    </row>
    <row r="5" spans="1:16" x14ac:dyDescent="0.25">
      <c r="B5" s="130" t="s">
        <v>83</v>
      </c>
      <c r="C5" s="137" t="s">
        <v>84</v>
      </c>
      <c r="D5" s="130" t="s">
        <v>85</v>
      </c>
      <c r="E5" s="130"/>
      <c r="F5" s="130" t="s">
        <v>86</v>
      </c>
      <c r="G5" s="138" t="s">
        <v>87</v>
      </c>
      <c r="H5" s="129"/>
      <c r="I5" s="129"/>
      <c r="J5" s="129"/>
      <c r="K5" s="130" t="s">
        <v>88</v>
      </c>
      <c r="L5" s="139" t="s">
        <v>87</v>
      </c>
      <c r="N5" s="136" t="s">
        <v>92</v>
      </c>
      <c r="O5" s="129"/>
      <c r="P5" s="122"/>
    </row>
    <row r="6" spans="1:16" x14ac:dyDescent="0.25">
      <c r="A6" s="140" t="s">
        <v>89</v>
      </c>
      <c r="B6" s="140" t="s">
        <v>90</v>
      </c>
      <c r="C6" s="141" t="s">
        <v>91</v>
      </c>
      <c r="D6" s="140" t="s">
        <v>92</v>
      </c>
      <c r="E6" s="140" t="s">
        <v>93</v>
      </c>
      <c r="F6" s="140" t="s">
        <v>87</v>
      </c>
      <c r="G6" s="142" t="s">
        <v>13</v>
      </c>
      <c r="H6" s="140" t="s">
        <v>94</v>
      </c>
      <c r="I6" s="140" t="s">
        <v>95</v>
      </c>
      <c r="J6" s="140" t="s">
        <v>93</v>
      </c>
      <c r="K6" s="140" t="s">
        <v>73</v>
      </c>
      <c r="L6" s="143" t="s">
        <v>13</v>
      </c>
      <c r="N6" s="136" t="s">
        <v>82</v>
      </c>
      <c r="O6" s="129"/>
      <c r="P6" s="122"/>
    </row>
    <row r="7" spans="1:16" x14ac:dyDescent="0.25">
      <c r="A7" s="144" t="s">
        <v>157</v>
      </c>
      <c r="C7" s="145" t="s">
        <v>96</v>
      </c>
      <c r="D7" s="146"/>
      <c r="E7" s="129"/>
      <c r="F7" s="129"/>
      <c r="G7" s="147"/>
      <c r="H7" s="129"/>
      <c r="I7" s="129"/>
      <c r="J7" s="129"/>
      <c r="K7" s="129"/>
      <c r="L7" s="148"/>
      <c r="N7" s="128"/>
      <c r="O7" s="129"/>
      <c r="P7" s="122"/>
    </row>
    <row r="8" spans="1:16" x14ac:dyDescent="0.25">
      <c r="A8" s="118" t="s">
        <v>97</v>
      </c>
      <c r="C8" s="149"/>
      <c r="D8" s="129"/>
      <c r="E8" s="129"/>
      <c r="F8" s="129"/>
      <c r="G8" s="150">
        <v>8894921</v>
      </c>
      <c r="H8" s="129"/>
      <c r="I8" s="129"/>
      <c r="J8" s="129"/>
      <c r="K8" s="129"/>
      <c r="L8" s="151">
        <v>1874799</v>
      </c>
      <c r="N8" s="128"/>
      <c r="O8" s="129"/>
      <c r="P8" s="122"/>
    </row>
    <row r="9" spans="1:16" x14ac:dyDescent="0.25">
      <c r="A9" s="118" t="s">
        <v>98</v>
      </c>
      <c r="B9" s="152"/>
      <c r="C9" s="153">
        <f t="shared" ref="C9:C20" si="0">G29</f>
        <v>2689738</v>
      </c>
      <c r="D9" s="154">
        <v>-2927505.0464920001</v>
      </c>
      <c r="E9" s="154"/>
      <c r="F9" s="154">
        <f t="shared" ref="F9:F20" si="1">SUM(C9:E9)</f>
        <v>-237767.04649200011</v>
      </c>
      <c r="G9" s="155">
        <f>F9+G8</f>
        <v>8657153.9535080008</v>
      </c>
      <c r="H9" s="154">
        <v>-468700</v>
      </c>
      <c r="I9" s="154"/>
      <c r="J9" s="154"/>
      <c r="K9" s="154">
        <f>SUM(H9:J9)</f>
        <v>-468700</v>
      </c>
      <c r="L9" s="151">
        <f>L8+K9</f>
        <v>1406099</v>
      </c>
      <c r="N9" s="156">
        <v>-2927505.0464920001</v>
      </c>
      <c r="O9" s="129"/>
      <c r="P9" s="122"/>
    </row>
    <row r="10" spans="1:16" x14ac:dyDescent="0.25">
      <c r="A10" s="118" t="s">
        <v>99</v>
      </c>
      <c r="B10" s="157"/>
      <c r="C10" s="158">
        <f t="shared" si="0"/>
        <v>2689457</v>
      </c>
      <c r="D10" s="159">
        <v>-3509481.1378640002</v>
      </c>
      <c r="E10" s="159"/>
      <c r="F10" s="159">
        <f t="shared" si="1"/>
        <v>-820024.13786400016</v>
      </c>
      <c r="G10" s="155">
        <f>F10+G9</f>
        <v>7837129.8156440007</v>
      </c>
      <c r="H10" s="159">
        <v>-468700</v>
      </c>
      <c r="I10" s="159"/>
      <c r="J10" s="159"/>
      <c r="K10" s="159">
        <f t="shared" ref="K10:K20" si="2">SUM(H10:J10)</f>
        <v>-468700</v>
      </c>
      <c r="L10" s="151">
        <f t="shared" ref="L10:L20" si="3">L9+K10</f>
        <v>937399</v>
      </c>
      <c r="N10" s="160">
        <v>-6436986.1843560003</v>
      </c>
      <c r="O10" s="129"/>
      <c r="P10" s="122"/>
    </row>
    <row r="11" spans="1:16" x14ac:dyDescent="0.25">
      <c r="A11" s="118" t="s">
        <v>100</v>
      </c>
      <c r="B11" s="157"/>
      <c r="C11" s="158">
        <f t="shared" si="0"/>
        <v>1552533</v>
      </c>
      <c r="D11" s="159">
        <v>-2334883.9473439995</v>
      </c>
      <c r="E11" s="159"/>
      <c r="F11" s="159">
        <f t="shared" si="1"/>
        <v>-782350.94734399952</v>
      </c>
      <c r="G11" s="155">
        <f t="shared" ref="G11:G20" si="4">F11+G10</f>
        <v>7054778.8683000011</v>
      </c>
      <c r="H11" s="159">
        <v>-468700</v>
      </c>
      <c r="I11" s="159">
        <v>-4068532</v>
      </c>
      <c r="J11" s="159"/>
      <c r="K11" s="159">
        <f t="shared" si="2"/>
        <v>-4537232</v>
      </c>
      <c r="L11" s="151">
        <f t="shared" si="3"/>
        <v>-3599833</v>
      </c>
      <c r="N11" s="160">
        <v>-8771870.1316999998</v>
      </c>
      <c r="O11" s="129"/>
      <c r="P11" s="122"/>
    </row>
    <row r="12" spans="1:16" x14ac:dyDescent="0.25">
      <c r="A12" s="118" t="s">
        <v>101</v>
      </c>
      <c r="B12" s="157"/>
      <c r="C12" s="158">
        <f t="shared" si="0"/>
        <v>2310466</v>
      </c>
      <c r="D12" s="159">
        <v>-1328003.8561140001</v>
      </c>
      <c r="E12" s="159"/>
      <c r="F12" s="159">
        <f t="shared" si="1"/>
        <v>982462.14388599992</v>
      </c>
      <c r="G12" s="155">
        <f>F12+G11</f>
        <v>8037241.0121860011</v>
      </c>
      <c r="H12" s="159">
        <v>-468700</v>
      </c>
      <c r="I12" s="159"/>
      <c r="J12" s="159"/>
      <c r="K12" s="159">
        <f t="shared" si="2"/>
        <v>-468700</v>
      </c>
      <c r="L12" s="151">
        <f t="shared" si="3"/>
        <v>-4068533</v>
      </c>
      <c r="N12" s="160">
        <v>-10099873.987814</v>
      </c>
      <c r="O12" s="129"/>
      <c r="P12" s="122"/>
    </row>
    <row r="13" spans="1:16" x14ac:dyDescent="0.25">
      <c r="A13" s="118" t="s">
        <v>102</v>
      </c>
      <c r="B13" s="157"/>
      <c r="C13" s="158">
        <f t="shared" si="0"/>
        <v>2244108.9999999981</v>
      </c>
      <c r="D13" s="159">
        <v>-501823.53551200032</v>
      </c>
      <c r="E13" s="159">
        <f>-J13</f>
        <v>-8894921</v>
      </c>
      <c r="F13" s="159">
        <f t="shared" si="1"/>
        <v>-7152635.5355120022</v>
      </c>
      <c r="G13" s="155">
        <f>F13+G12</f>
        <v>884605.47667399887</v>
      </c>
      <c r="H13" s="159">
        <v>-402199</v>
      </c>
      <c r="I13" s="159"/>
      <c r="J13" s="159">
        <f>G8</f>
        <v>8894921</v>
      </c>
      <c r="K13" s="159">
        <f t="shared" si="2"/>
        <v>8492722</v>
      </c>
      <c r="L13" s="151">
        <f t="shared" si="3"/>
        <v>4424189</v>
      </c>
      <c r="N13" s="160">
        <v>-10601697.523326</v>
      </c>
      <c r="O13" s="129"/>
      <c r="P13" s="122"/>
    </row>
    <row r="14" spans="1:16" x14ac:dyDescent="0.25">
      <c r="A14" s="118" t="s">
        <v>103</v>
      </c>
      <c r="B14" s="157"/>
      <c r="C14" s="158">
        <f t="shared" si="0"/>
        <v>514990.00000000186</v>
      </c>
      <c r="D14" s="159">
        <v>-1204175.4595260005</v>
      </c>
      <c r="E14" s="159"/>
      <c r="F14" s="159">
        <f t="shared" si="1"/>
        <v>-689185.45952599868</v>
      </c>
      <c r="G14" s="155">
        <f t="shared" si="4"/>
        <v>195420.01714800019</v>
      </c>
      <c r="H14" s="159">
        <v>-402199</v>
      </c>
      <c r="I14" s="159"/>
      <c r="J14" s="159"/>
      <c r="K14" s="159">
        <f t="shared" si="2"/>
        <v>-402199</v>
      </c>
      <c r="L14" s="151">
        <f t="shared" si="3"/>
        <v>4021990</v>
      </c>
      <c r="N14" s="160">
        <v>-11805872.982852001</v>
      </c>
      <c r="O14" s="129"/>
      <c r="P14" s="122"/>
    </row>
    <row r="15" spans="1:16" x14ac:dyDescent="0.25">
      <c r="A15" s="118" t="s">
        <v>74</v>
      </c>
      <c r="B15" s="157"/>
      <c r="C15" s="158">
        <f t="shared" si="0"/>
        <v>1955937</v>
      </c>
      <c r="D15" s="159">
        <v>-636338.93954799883</v>
      </c>
      <c r="E15" s="159"/>
      <c r="F15" s="159">
        <f t="shared" si="1"/>
        <v>1319598.0604520012</v>
      </c>
      <c r="G15" s="155">
        <f t="shared" si="4"/>
        <v>1515018.0776000014</v>
      </c>
      <c r="H15" s="159">
        <v>-402199</v>
      </c>
      <c r="I15" s="159"/>
      <c r="J15" s="159"/>
      <c r="K15" s="159">
        <f t="shared" si="2"/>
        <v>-402199</v>
      </c>
      <c r="L15" s="151">
        <f t="shared" si="3"/>
        <v>3619791</v>
      </c>
      <c r="N15" s="160">
        <v>-12442211.9224</v>
      </c>
      <c r="O15" s="129"/>
      <c r="P15" s="122"/>
    </row>
    <row r="16" spans="1:16" x14ac:dyDescent="0.25">
      <c r="A16" s="118" t="s">
        <v>104</v>
      </c>
      <c r="B16" s="157"/>
      <c r="C16" s="158">
        <f t="shared" si="0"/>
        <v>402272</v>
      </c>
      <c r="D16" s="159">
        <v>-594802.21847799979</v>
      </c>
      <c r="E16" s="159"/>
      <c r="F16" s="159">
        <f t="shared" si="1"/>
        <v>-192530.21847799979</v>
      </c>
      <c r="G16" s="155">
        <f t="shared" si="4"/>
        <v>1322487.8591220016</v>
      </c>
      <c r="H16" s="159">
        <v>-402199</v>
      </c>
      <c r="I16" s="159"/>
      <c r="J16" s="159"/>
      <c r="K16" s="159">
        <f t="shared" si="2"/>
        <v>-402199</v>
      </c>
      <c r="L16" s="151">
        <f t="shared" si="3"/>
        <v>3217592</v>
      </c>
      <c r="N16" s="160">
        <v>-13037014.140877999</v>
      </c>
      <c r="O16" s="129"/>
      <c r="P16" s="122"/>
    </row>
    <row r="17" spans="1:16" x14ac:dyDescent="0.25">
      <c r="A17" s="118" t="s">
        <v>105</v>
      </c>
      <c r="B17" s="157"/>
      <c r="C17" s="158">
        <f t="shared" si="0"/>
        <v>1761597</v>
      </c>
      <c r="D17" s="159">
        <v>-787888.07419400103</v>
      </c>
      <c r="E17" s="159"/>
      <c r="F17" s="159">
        <f t="shared" si="1"/>
        <v>973708.92580599897</v>
      </c>
      <c r="G17" s="155">
        <f t="shared" si="4"/>
        <v>2296196.7849280005</v>
      </c>
      <c r="H17" s="159">
        <v>-402199</v>
      </c>
      <c r="I17" s="159"/>
      <c r="J17" s="159"/>
      <c r="K17" s="159">
        <f t="shared" si="2"/>
        <v>-402199</v>
      </c>
      <c r="L17" s="151">
        <f t="shared" si="3"/>
        <v>2815393</v>
      </c>
      <c r="N17" s="160">
        <v>-13824902.215072</v>
      </c>
      <c r="O17" s="129"/>
      <c r="P17" s="122"/>
    </row>
    <row r="18" spans="1:16" x14ac:dyDescent="0.25">
      <c r="A18" s="118" t="s">
        <v>106</v>
      </c>
      <c r="B18" s="157"/>
      <c r="C18" s="158">
        <f t="shared" si="0"/>
        <v>1761785</v>
      </c>
      <c r="D18" s="159">
        <v>-1750984.4619019981</v>
      </c>
      <c r="E18" s="159"/>
      <c r="F18" s="159">
        <f t="shared" si="1"/>
        <v>10800.538098001853</v>
      </c>
      <c r="G18" s="155">
        <f t="shared" si="4"/>
        <v>2306997.3230260024</v>
      </c>
      <c r="H18" s="159">
        <v>-402200</v>
      </c>
      <c r="I18" s="159"/>
      <c r="J18" s="159"/>
      <c r="K18" s="159">
        <f t="shared" si="2"/>
        <v>-402200</v>
      </c>
      <c r="L18" s="151">
        <f t="shared" si="3"/>
        <v>2413193</v>
      </c>
      <c r="N18" s="160">
        <v>-15575886.676973999</v>
      </c>
      <c r="O18" s="129"/>
      <c r="P18" s="122"/>
    </row>
    <row r="19" spans="1:16" x14ac:dyDescent="0.25">
      <c r="A19" s="118" t="s">
        <v>107</v>
      </c>
      <c r="B19" s="157"/>
      <c r="C19" s="158">
        <f t="shared" si="0"/>
        <v>1761594</v>
      </c>
      <c r="D19" s="159">
        <v>-2152678.87029</v>
      </c>
      <c r="E19" s="159"/>
      <c r="F19" s="159">
        <f t="shared" si="1"/>
        <v>-391084.87028999999</v>
      </c>
      <c r="G19" s="155">
        <f t="shared" si="4"/>
        <v>1915912.4527360024</v>
      </c>
      <c r="H19" s="159">
        <v>-402199</v>
      </c>
      <c r="I19" s="159"/>
      <c r="J19" s="159"/>
      <c r="K19" s="159">
        <f t="shared" si="2"/>
        <v>-402199</v>
      </c>
      <c r="L19" s="151">
        <f t="shared" si="3"/>
        <v>2010994</v>
      </c>
      <c r="N19" s="160">
        <v>-17728565.547263999</v>
      </c>
      <c r="O19" s="129"/>
      <c r="P19" s="122"/>
    </row>
    <row r="20" spans="1:16" x14ac:dyDescent="0.25">
      <c r="A20" s="118" t="s">
        <v>108</v>
      </c>
      <c r="B20" s="157"/>
      <c r="C20" s="161">
        <f t="shared" si="0"/>
        <v>1591189</v>
      </c>
      <c r="D20" s="159">
        <v>-2814828.5173580013</v>
      </c>
      <c r="E20" s="162">
        <v>0</v>
      </c>
      <c r="F20" s="162">
        <f t="shared" si="1"/>
        <v>-1223639.5173580013</v>
      </c>
      <c r="G20" s="401">
        <f t="shared" si="4"/>
        <v>692272.93537800107</v>
      </c>
      <c r="H20" s="162">
        <v>-402199</v>
      </c>
      <c r="I20" s="162"/>
      <c r="J20" s="162"/>
      <c r="K20" s="162">
        <f t="shared" si="2"/>
        <v>-402199</v>
      </c>
      <c r="L20" s="163">
        <f t="shared" si="3"/>
        <v>1608795</v>
      </c>
      <c r="N20" s="160">
        <v>-20543394.064622</v>
      </c>
      <c r="O20" s="129"/>
      <c r="P20" s="122"/>
    </row>
    <row r="21" spans="1:16" x14ac:dyDescent="0.25">
      <c r="C21" s="157"/>
      <c r="D21" s="157"/>
      <c r="E21" s="157"/>
      <c r="F21" s="164"/>
      <c r="G21" s="155"/>
      <c r="H21" s="129"/>
      <c r="I21" s="129"/>
      <c r="J21" s="129"/>
      <c r="K21" s="164"/>
      <c r="L21" s="157"/>
      <c r="N21" s="128"/>
      <c r="O21" s="129"/>
      <c r="P21" s="122"/>
    </row>
    <row r="22" spans="1:16" ht="15.75" thickBot="1" x14ac:dyDescent="0.3">
      <c r="C22" s="157"/>
      <c r="D22" s="157"/>
      <c r="E22" s="157"/>
      <c r="F22" s="157"/>
      <c r="G22" s="155"/>
      <c r="H22" s="165">
        <f>SUM(H9:H21)</f>
        <v>-5092393</v>
      </c>
      <c r="I22" s="165">
        <f>SUM(I9:I21)</f>
        <v>-4068532</v>
      </c>
      <c r="J22" s="165">
        <f>SUM(J9:J21)</f>
        <v>8894921</v>
      </c>
      <c r="K22" s="165">
        <f>SUM(K9:K21)</f>
        <v>-266004</v>
      </c>
      <c r="N22" s="128"/>
      <c r="O22" s="129"/>
      <c r="P22" s="122"/>
    </row>
    <row r="23" spans="1:16" ht="15.75" thickTop="1" x14ac:dyDescent="0.25">
      <c r="C23" s="157"/>
      <c r="D23" s="157"/>
      <c r="E23" s="157"/>
      <c r="F23" s="157"/>
      <c r="G23" s="164"/>
      <c r="H23" s="152"/>
      <c r="I23" s="152"/>
      <c r="J23" s="152"/>
      <c r="K23" s="152"/>
      <c r="N23" s="128"/>
      <c r="O23" s="129"/>
      <c r="P23" s="122"/>
    </row>
    <row r="24" spans="1:16" x14ac:dyDescent="0.25">
      <c r="C24" s="157"/>
      <c r="D24" s="157"/>
      <c r="E24" s="157"/>
      <c r="F24" s="157"/>
      <c r="N24" s="128"/>
      <c r="O24" s="129"/>
      <c r="P24" s="122"/>
    </row>
    <row r="25" spans="1:16" x14ac:dyDescent="0.25">
      <c r="B25" s="166" t="s">
        <v>109</v>
      </c>
      <c r="C25" s="166"/>
      <c r="D25" s="167" t="s">
        <v>110</v>
      </c>
      <c r="E25" s="167" t="s">
        <v>111</v>
      </c>
      <c r="N25" s="128"/>
      <c r="O25" s="130" t="s">
        <v>156</v>
      </c>
      <c r="P25" s="168" t="s">
        <v>156</v>
      </c>
    </row>
    <row r="26" spans="1:16" x14ac:dyDescent="0.25">
      <c r="B26" s="166" t="s">
        <v>112</v>
      </c>
      <c r="C26" s="166"/>
      <c r="D26" s="167" t="s">
        <v>113</v>
      </c>
      <c r="E26" s="167" t="s">
        <v>114</v>
      </c>
      <c r="N26" s="128"/>
      <c r="O26" s="130" t="s">
        <v>110</v>
      </c>
      <c r="P26" s="168" t="s">
        <v>111</v>
      </c>
    </row>
    <row r="27" spans="1:16" x14ac:dyDescent="0.25">
      <c r="B27" s="169" t="s">
        <v>115</v>
      </c>
      <c r="C27" s="169" t="s">
        <v>116</v>
      </c>
      <c r="D27" s="169" t="s">
        <v>117</v>
      </c>
      <c r="E27" s="169" t="s">
        <v>118</v>
      </c>
      <c r="F27" s="169" t="s">
        <v>94</v>
      </c>
      <c r="G27" s="169" t="s">
        <v>119</v>
      </c>
      <c r="N27" s="136" t="s">
        <v>156</v>
      </c>
      <c r="O27" s="130" t="s">
        <v>113</v>
      </c>
      <c r="P27" s="168" t="s">
        <v>114</v>
      </c>
    </row>
    <row r="28" spans="1:16" x14ac:dyDescent="0.25">
      <c r="A28" s="144" t="s">
        <v>157</v>
      </c>
      <c r="N28" s="136">
        <v>23600232</v>
      </c>
      <c r="O28" s="170" t="s">
        <v>117</v>
      </c>
      <c r="P28" s="171" t="s">
        <v>118</v>
      </c>
    </row>
    <row r="29" spans="1:16" x14ac:dyDescent="0.25">
      <c r="A29" s="118" t="s">
        <v>98</v>
      </c>
      <c r="B29" s="172">
        <f>N29/1*12</f>
        <v>26646684</v>
      </c>
      <c r="C29" s="152">
        <f>B29/12</f>
        <v>2220557</v>
      </c>
      <c r="D29" s="152">
        <f>+O29</f>
        <v>481</v>
      </c>
      <c r="E29" s="152">
        <f>+P29</f>
        <v>0</v>
      </c>
      <c r="F29" s="157">
        <f t="shared" ref="F29:F40" si="5">-H9</f>
        <v>468700</v>
      </c>
      <c r="G29" s="152">
        <f t="shared" ref="G29:G40" si="6">SUM(C29:F29)</f>
        <v>2689738</v>
      </c>
      <c r="N29" s="156">
        <v>2220557</v>
      </c>
      <c r="O29" s="154">
        <v>481</v>
      </c>
      <c r="P29" s="173">
        <v>0</v>
      </c>
    </row>
    <row r="30" spans="1:16" x14ac:dyDescent="0.25">
      <c r="A30" s="118" t="s">
        <v>99</v>
      </c>
      <c r="B30" s="172">
        <f>N30/2*12</f>
        <v>26646690</v>
      </c>
      <c r="C30" s="157">
        <f>B30/12*2-C29</f>
        <v>2220558</v>
      </c>
      <c r="D30" s="157">
        <f>+O30-SUM($D$29:D29)</f>
        <v>199</v>
      </c>
      <c r="E30" s="157">
        <f>P30-SUM($E$29:E29)</f>
        <v>0</v>
      </c>
      <c r="F30" s="157">
        <f t="shared" si="5"/>
        <v>468700</v>
      </c>
      <c r="G30" s="157">
        <f t="shared" si="6"/>
        <v>2689457</v>
      </c>
      <c r="N30" s="160">
        <v>4441115</v>
      </c>
      <c r="O30" s="159">
        <v>680</v>
      </c>
      <c r="P30" s="173">
        <v>0</v>
      </c>
    </row>
    <row r="31" spans="1:16" x14ac:dyDescent="0.25">
      <c r="A31" s="118" t="s">
        <v>100</v>
      </c>
      <c r="B31" s="172">
        <f>N31/3*12</f>
        <v>22099216</v>
      </c>
      <c r="C31" s="157">
        <f>B31/12*3-SUM($C$29:C30)</f>
        <v>1083689</v>
      </c>
      <c r="D31" s="157">
        <f>+O31-SUM($D$29:D30)</f>
        <v>144</v>
      </c>
      <c r="E31" s="157">
        <f>P31-SUM($E$29:E30)</f>
        <v>0</v>
      </c>
      <c r="F31" s="157">
        <f t="shared" si="5"/>
        <v>468700</v>
      </c>
      <c r="G31" s="157">
        <f t="shared" si="6"/>
        <v>1552533</v>
      </c>
      <c r="N31" s="160">
        <v>5524804</v>
      </c>
      <c r="O31" s="159">
        <v>824</v>
      </c>
      <c r="P31" s="173">
        <v>0</v>
      </c>
    </row>
    <row r="32" spans="1:16" x14ac:dyDescent="0.25">
      <c r="A32" s="118" t="s">
        <v>101</v>
      </c>
      <c r="B32" s="172">
        <f>N32/4*12</f>
        <v>22099218</v>
      </c>
      <c r="C32" s="157">
        <f>B32/12*4-SUM($C$29:C31)</f>
        <v>1841602</v>
      </c>
      <c r="D32" s="157">
        <f>+O32-SUM($D$29:D31)</f>
        <v>164</v>
      </c>
      <c r="E32" s="157">
        <f>P32-SUM($E$29:E31)</f>
        <v>0</v>
      </c>
      <c r="F32" s="157">
        <f t="shared" si="5"/>
        <v>468700</v>
      </c>
      <c r="G32" s="157">
        <f t="shared" si="6"/>
        <v>2310466</v>
      </c>
      <c r="N32" s="160">
        <v>7366406</v>
      </c>
      <c r="O32" s="159">
        <v>988</v>
      </c>
      <c r="P32" s="173">
        <v>0</v>
      </c>
    </row>
    <row r="33" spans="1:16" x14ac:dyDescent="0.25">
      <c r="A33" s="118" t="s">
        <v>102</v>
      </c>
      <c r="B33" s="172">
        <f>N33/5*12</f>
        <v>22099216.799999997</v>
      </c>
      <c r="C33" s="157">
        <f>B33/12*5-SUM($C$29:C32)</f>
        <v>1841600.9999999981</v>
      </c>
      <c r="D33" s="157">
        <f xml:space="preserve"> O33-SUM($D$29:D32)</f>
        <v>309</v>
      </c>
      <c r="E33" s="157">
        <f>P33-SUM($E$29:E32)</f>
        <v>0</v>
      </c>
      <c r="F33" s="157">
        <f t="shared" si="5"/>
        <v>402199</v>
      </c>
      <c r="G33" s="157">
        <f t="shared" si="6"/>
        <v>2244108.9999999981</v>
      </c>
      <c r="N33" s="160">
        <v>9208007</v>
      </c>
      <c r="O33" s="159">
        <v>1297</v>
      </c>
      <c r="P33" s="173">
        <v>0</v>
      </c>
    </row>
    <row r="34" spans="1:16" x14ac:dyDescent="0.25">
      <c r="A34" s="118" t="s">
        <v>103</v>
      </c>
      <c r="B34" s="172">
        <f>N34/6*12</f>
        <v>18641596</v>
      </c>
      <c r="C34" s="157">
        <f>B34/12*6-SUM($C$29:C33)</f>
        <v>112791.00000000186</v>
      </c>
      <c r="D34" s="157">
        <f>O34-SUM($D$29:D33)</f>
        <v>0</v>
      </c>
      <c r="E34" s="157">
        <f>P34-SUM($E$29:E33)</f>
        <v>0</v>
      </c>
      <c r="F34" s="157">
        <f t="shared" si="5"/>
        <v>402199</v>
      </c>
      <c r="G34" s="157">
        <f t="shared" si="6"/>
        <v>514990.00000000186</v>
      </c>
      <c r="N34" s="160">
        <v>9320798</v>
      </c>
      <c r="O34" s="159">
        <v>1297</v>
      </c>
      <c r="P34" s="173">
        <v>0</v>
      </c>
    </row>
    <row r="35" spans="1:16" x14ac:dyDescent="0.25">
      <c r="A35" s="118" t="s">
        <v>74</v>
      </c>
      <c r="B35" s="172">
        <f>N35/7*12</f>
        <v>18641595.428571429</v>
      </c>
      <c r="C35" s="157">
        <f>B35/12*7-SUM($C$29:C34)</f>
        <v>1553466</v>
      </c>
      <c r="D35" s="157">
        <f>O35-SUM($D$29:D34)</f>
        <v>272</v>
      </c>
      <c r="E35" s="157">
        <f>P35-SUM($E$29:E34)</f>
        <v>0</v>
      </c>
      <c r="F35" s="157">
        <f t="shared" si="5"/>
        <v>402199</v>
      </c>
      <c r="G35" s="157">
        <f t="shared" si="6"/>
        <v>1955937</v>
      </c>
      <c r="N35" s="160">
        <v>10874264</v>
      </c>
      <c r="O35" s="159">
        <v>1569</v>
      </c>
      <c r="P35" s="173">
        <v>0</v>
      </c>
    </row>
    <row r="36" spans="1:16" x14ac:dyDescent="0.25">
      <c r="A36" s="118" t="s">
        <v>104</v>
      </c>
      <c r="B36" s="172">
        <f>N36/8*12</f>
        <v>16310958</v>
      </c>
      <c r="C36" s="157">
        <f>B36/12*8-SUM($C$29:C35)</f>
        <v>-292</v>
      </c>
      <c r="D36" s="157">
        <f>O36-SUM($D$29:D35)</f>
        <v>365</v>
      </c>
      <c r="E36" s="157">
        <f>P36-SUM($E$29:E35)</f>
        <v>0</v>
      </c>
      <c r="F36" s="157">
        <f t="shared" si="5"/>
        <v>402199</v>
      </c>
      <c r="G36" s="157">
        <f t="shared" si="6"/>
        <v>402272</v>
      </c>
      <c r="N36" s="160">
        <v>10873972</v>
      </c>
      <c r="O36" s="159">
        <v>1934</v>
      </c>
      <c r="P36" s="173">
        <v>0</v>
      </c>
    </row>
    <row r="37" spans="1:16" x14ac:dyDescent="0.25">
      <c r="A37" s="118" t="s">
        <v>105</v>
      </c>
      <c r="B37" s="172">
        <f>N37/9*12</f>
        <v>16310958.666666666</v>
      </c>
      <c r="C37" s="157">
        <f>B37/12*9-SUM($C$29:C36)</f>
        <v>1359247</v>
      </c>
      <c r="D37" s="157">
        <f>O37-SUM($D$29:D36)</f>
        <v>151</v>
      </c>
      <c r="E37" s="157">
        <f>P37-SUM($E$29:E36)</f>
        <v>0</v>
      </c>
      <c r="F37" s="157">
        <f t="shared" si="5"/>
        <v>402199</v>
      </c>
      <c r="G37" s="157">
        <f t="shared" si="6"/>
        <v>1761597</v>
      </c>
      <c r="N37" s="160">
        <v>12233219</v>
      </c>
      <c r="O37" s="159">
        <v>2085</v>
      </c>
      <c r="P37" s="173">
        <v>0</v>
      </c>
    </row>
    <row r="38" spans="1:16" x14ac:dyDescent="0.25">
      <c r="A38" s="118" t="s">
        <v>106</v>
      </c>
      <c r="B38" s="172">
        <f>N38/10*12</f>
        <v>16310958</v>
      </c>
      <c r="C38" s="157">
        <f>B38/12*10-SUM($C$29:C37)</f>
        <v>1359246</v>
      </c>
      <c r="D38" s="157">
        <f>O38-SUM($D$29:D37)</f>
        <v>339</v>
      </c>
      <c r="E38" s="157">
        <f>P38-SUM($E$29:E37)</f>
        <v>0</v>
      </c>
      <c r="F38" s="157">
        <f t="shared" si="5"/>
        <v>402200</v>
      </c>
      <c r="G38" s="157">
        <f t="shared" si="6"/>
        <v>1761785</v>
      </c>
      <c r="N38" s="160">
        <v>13592465</v>
      </c>
      <c r="O38" s="159">
        <v>2424</v>
      </c>
      <c r="P38" s="173">
        <v>0</v>
      </c>
    </row>
    <row r="39" spans="1:16" x14ac:dyDescent="0.25">
      <c r="A39" s="118" t="s">
        <v>107</v>
      </c>
      <c r="B39" s="172">
        <f>N39/11*12</f>
        <v>16310958.545454545</v>
      </c>
      <c r="C39" s="157">
        <f>B39/12*11-SUM($C$29:C38)</f>
        <v>1359247</v>
      </c>
      <c r="D39" s="157">
        <f>O39-SUM($D$29:D38)</f>
        <v>148</v>
      </c>
      <c r="E39" s="157">
        <f>P39-SUM($E$29:E38)</f>
        <v>0</v>
      </c>
      <c r="F39" s="157">
        <f t="shared" si="5"/>
        <v>402199</v>
      </c>
      <c r="G39" s="157">
        <f t="shared" si="6"/>
        <v>1761594</v>
      </c>
      <c r="I39" s="174"/>
      <c r="K39" s="174"/>
      <c r="N39" s="160">
        <v>14951712</v>
      </c>
      <c r="O39" s="159">
        <v>2572</v>
      </c>
      <c r="P39" s="173">
        <v>0</v>
      </c>
    </row>
    <row r="40" spans="1:16" ht="15.75" thickBot="1" x14ac:dyDescent="0.3">
      <c r="A40" s="118" t="s">
        <v>108</v>
      </c>
      <c r="B40" s="172">
        <f>N40</f>
        <v>16140517</v>
      </c>
      <c r="C40" s="157">
        <f>B40/12*12-SUM($C$29:C39)</f>
        <v>1188805</v>
      </c>
      <c r="D40" s="157">
        <f>O40-SUM($D$29:D39)</f>
        <v>185</v>
      </c>
      <c r="E40" s="157">
        <f>P40-SUM($E$29:E39)</f>
        <v>0</v>
      </c>
      <c r="F40" s="157">
        <f t="shared" si="5"/>
        <v>402199</v>
      </c>
      <c r="G40" s="157">
        <f t="shared" si="6"/>
        <v>1591189</v>
      </c>
      <c r="I40" s="174"/>
      <c r="K40" s="174"/>
      <c r="N40" s="175">
        <v>16140517</v>
      </c>
      <c r="O40" s="176">
        <v>2757</v>
      </c>
      <c r="P40" s="177">
        <v>0</v>
      </c>
    </row>
    <row r="41" spans="1:16" x14ac:dyDescent="0.25">
      <c r="A41" s="164"/>
      <c r="B41" s="178" t="s">
        <v>187</v>
      </c>
      <c r="C41" s="178"/>
      <c r="D41" s="178"/>
      <c r="E41" s="178"/>
      <c r="F41" s="164"/>
      <c r="G41" s="178"/>
      <c r="I41" s="174"/>
      <c r="K41" s="174"/>
    </row>
    <row r="42" spans="1:16" x14ac:dyDescent="0.25">
      <c r="I42" s="174"/>
      <c r="K42" s="174"/>
    </row>
    <row r="43" spans="1:16" x14ac:dyDescent="0.25">
      <c r="I43" s="174"/>
      <c r="J43" s="174"/>
      <c r="K43" s="174"/>
    </row>
    <row r="44" spans="1:16" x14ac:dyDescent="0.25">
      <c r="I44" s="174"/>
      <c r="K44" s="174"/>
    </row>
    <row r="45" spans="1:16" x14ac:dyDescent="0.25">
      <c r="I45" s="174"/>
      <c r="K45" s="174"/>
    </row>
    <row r="46" spans="1:16" x14ac:dyDescent="0.25">
      <c r="I46" s="174"/>
      <c r="K46" s="174"/>
    </row>
    <row r="47" spans="1:16" x14ac:dyDescent="0.25">
      <c r="I47" s="174"/>
      <c r="K47" s="174"/>
    </row>
    <row r="48" spans="1:16" x14ac:dyDescent="0.25">
      <c r="I48" s="174"/>
      <c r="K48" s="174"/>
    </row>
    <row r="49" spans="9:12" x14ac:dyDescent="0.25">
      <c r="I49" s="174"/>
      <c r="K49" s="174"/>
    </row>
    <row r="50" spans="9:12" x14ac:dyDescent="0.25">
      <c r="I50" s="174"/>
      <c r="K50" s="174"/>
    </row>
    <row r="51" spans="9:12" x14ac:dyDescent="0.25">
      <c r="L51" s="174"/>
    </row>
    <row r="52" spans="9:12" x14ac:dyDescent="0.25">
      <c r="L52" s="174"/>
    </row>
    <row r="53" spans="9:12" x14ac:dyDescent="0.25">
      <c r="L53" s="174"/>
    </row>
    <row r="54" spans="9:12" x14ac:dyDescent="0.25">
      <c r="L54" s="174"/>
    </row>
    <row r="55" spans="9:12" x14ac:dyDescent="0.25">
      <c r="I55" s="174"/>
      <c r="J55" s="174"/>
      <c r="K55" s="174"/>
      <c r="L55" s="174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="70" zoomScaleNormal="70" workbookViewId="0">
      <selection activeCell="P35" sqref="P35"/>
    </sheetView>
  </sheetViews>
  <sheetFormatPr defaultColWidth="5.5703125" defaultRowHeight="15" x14ac:dyDescent="0.25"/>
  <cols>
    <col min="1" max="1" width="4.28515625" style="9" bestFit="1" customWidth="1"/>
    <col min="2" max="2" width="33.28515625" style="9" bestFit="1" customWidth="1"/>
    <col min="3" max="3" width="11" style="9" bestFit="1" customWidth="1"/>
    <col min="4" max="4" width="17.140625" style="9" bestFit="1" customWidth="1"/>
    <col min="5" max="5" width="17" style="9" bestFit="1" customWidth="1"/>
    <col min="6" max="6" width="14.28515625" style="9" bestFit="1" customWidth="1"/>
    <col min="7" max="7" width="15.28515625" style="9" customWidth="1"/>
    <col min="8" max="8" width="13" style="9" bestFit="1" customWidth="1"/>
    <col min="9" max="9" width="5.5703125" style="9"/>
    <col min="10" max="10" width="17.85546875" style="9" customWidth="1"/>
    <col min="11" max="11" width="18" style="9" bestFit="1" customWidth="1"/>
    <col min="12" max="12" width="14.28515625" style="9" bestFit="1" customWidth="1"/>
    <col min="13" max="13" width="15.28515625" style="9" customWidth="1"/>
    <col min="14" max="14" width="13" style="9" bestFit="1" customWidth="1"/>
    <col min="15" max="15" width="5.5703125" style="9"/>
    <col min="16" max="16" width="13" style="9" bestFit="1" customWidth="1"/>
    <col min="17" max="16384" width="5.5703125" style="9"/>
  </cols>
  <sheetData>
    <row r="1" spans="1:19" ht="14.45" customHeight="1" x14ac:dyDescent="0.25">
      <c r="A1" s="108" t="s">
        <v>44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9" ht="14.45" customHeight="1" x14ac:dyDescent="0.25">
      <c r="A2" s="109" t="s">
        <v>149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19" ht="14.45" customHeight="1" x14ac:dyDescent="0.25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19" ht="14.45" customHeight="1" x14ac:dyDescent="0.25">
      <c r="K4" s="78"/>
    </row>
    <row r="5" spans="1:19" ht="95.25" customHeight="1" x14ac:dyDescent="0.25">
      <c r="A5" s="110" t="s">
        <v>43</v>
      </c>
      <c r="B5" s="110" t="s">
        <v>10</v>
      </c>
      <c r="C5" s="110" t="s">
        <v>42</v>
      </c>
      <c r="D5" s="51" t="s">
        <v>176</v>
      </c>
      <c r="E5" s="51" t="s">
        <v>174</v>
      </c>
      <c r="F5" s="111" t="s">
        <v>40</v>
      </c>
      <c r="G5" s="112" t="s">
        <v>180</v>
      </c>
      <c r="H5" s="111" t="s">
        <v>41</v>
      </c>
      <c r="I5" s="111"/>
      <c r="J5" s="51" t="s">
        <v>177</v>
      </c>
      <c r="K5" s="51" t="s">
        <v>175</v>
      </c>
      <c r="L5" s="111" t="s">
        <v>40</v>
      </c>
      <c r="M5" s="112" t="s">
        <v>181</v>
      </c>
      <c r="N5" s="112" t="s">
        <v>122</v>
      </c>
      <c r="O5" s="111"/>
      <c r="P5" s="111" t="s">
        <v>39</v>
      </c>
    </row>
    <row r="6" spans="1:19" ht="14.45" customHeight="1" x14ac:dyDescent="0.25">
      <c r="A6" s="63"/>
      <c r="B6" s="63"/>
      <c r="C6" s="63"/>
      <c r="D6" s="63" t="s">
        <v>37</v>
      </c>
      <c r="E6" s="63" t="s">
        <v>36</v>
      </c>
      <c r="F6" s="104" t="s">
        <v>38</v>
      </c>
      <c r="G6" s="113" t="s">
        <v>34</v>
      </c>
      <c r="H6" s="63" t="s">
        <v>33</v>
      </c>
      <c r="I6" s="63"/>
      <c r="J6" s="63" t="s">
        <v>37</v>
      </c>
      <c r="K6" s="63" t="s">
        <v>36</v>
      </c>
      <c r="L6" s="104" t="s">
        <v>35</v>
      </c>
      <c r="M6" s="113" t="s">
        <v>34</v>
      </c>
      <c r="N6" s="63" t="s">
        <v>33</v>
      </c>
      <c r="O6" s="63"/>
      <c r="P6" s="63"/>
      <c r="Q6" s="63"/>
      <c r="R6" s="63"/>
      <c r="S6" s="63"/>
    </row>
    <row r="7" spans="1:19" ht="14.45" customHeight="1" x14ac:dyDescent="0.25">
      <c r="A7" s="63"/>
      <c r="B7" s="63"/>
      <c r="C7" s="63"/>
      <c r="D7" s="63"/>
      <c r="E7" s="63"/>
      <c r="F7" s="104"/>
      <c r="G7" s="113"/>
      <c r="H7" s="63"/>
      <c r="I7" s="63"/>
      <c r="J7" s="63"/>
      <c r="K7" s="63"/>
      <c r="L7" s="104"/>
      <c r="M7" s="113"/>
      <c r="N7" s="63"/>
      <c r="O7" s="63"/>
      <c r="P7" s="63"/>
      <c r="Q7" s="63"/>
      <c r="R7" s="63"/>
      <c r="S7" s="63"/>
    </row>
    <row r="8" spans="1:19" ht="14.45" customHeight="1" x14ac:dyDescent="0.25">
      <c r="A8" s="63">
        <v>1</v>
      </c>
      <c r="B8" s="50" t="s">
        <v>49</v>
      </c>
      <c r="C8" s="49">
        <v>7</v>
      </c>
      <c r="D8" s="65">
        <v>4216181000</v>
      </c>
      <c r="E8" s="65">
        <v>4253704994.8765984</v>
      </c>
      <c r="F8" s="65">
        <f>D8-E8</f>
        <v>-37523994.876598358</v>
      </c>
      <c r="G8" s="66">
        <v>3.4720000000000003E-3</v>
      </c>
      <c r="H8" s="67">
        <f>+G8*F8</f>
        <v>-130283.31021154951</v>
      </c>
      <c r="I8" s="67"/>
      <c r="J8" s="65">
        <v>6592018000</v>
      </c>
      <c r="K8" s="65">
        <v>6500548369.3158875</v>
      </c>
      <c r="L8" s="65">
        <f>J8-K8</f>
        <v>91469630.684112549</v>
      </c>
      <c r="M8" s="66">
        <v>3.228E-3</v>
      </c>
      <c r="N8" s="67">
        <f>+M8*L8</f>
        <v>295263.96784831531</v>
      </c>
      <c r="O8" s="67"/>
      <c r="P8" s="67">
        <f>H8+N8</f>
        <v>164980.6576367658</v>
      </c>
      <c r="Q8" s="114"/>
      <c r="S8" s="115"/>
    </row>
    <row r="9" spans="1:19" ht="14.45" customHeight="1" x14ac:dyDescent="0.25">
      <c r="A9" s="63">
        <f t="shared" ref="A9:A35" si="0">+A8+1</f>
        <v>2</v>
      </c>
      <c r="B9" s="46" t="s">
        <v>51</v>
      </c>
      <c r="C9" s="45"/>
      <c r="D9" s="68">
        <f>SUM(D8:D8)</f>
        <v>4216181000</v>
      </c>
      <c r="E9" s="68">
        <f>SUM(E8:E8)</f>
        <v>4253704994.8765984</v>
      </c>
      <c r="F9" s="68">
        <f>SUM(F8:F8)</f>
        <v>-37523994.876598358</v>
      </c>
      <c r="G9" s="66"/>
      <c r="H9" s="69">
        <f>SUM(H8:H8)</f>
        <v>-130283.31021154951</v>
      </c>
      <c r="I9" s="70"/>
      <c r="J9" s="68">
        <f>SUM(J8:J8)</f>
        <v>6592018000</v>
      </c>
      <c r="K9" s="68">
        <f>SUM(K8:K8)</f>
        <v>6500548369.3158875</v>
      </c>
      <c r="L9" s="68">
        <f>SUM(L8:L8)</f>
        <v>91469630.684112549</v>
      </c>
      <c r="M9" s="66"/>
      <c r="N9" s="69">
        <f>SUM(N8:N8)</f>
        <v>295263.96784831531</v>
      </c>
      <c r="O9" s="70"/>
      <c r="P9" s="69">
        <f>SUM(P8:P8)</f>
        <v>164980.6576367658</v>
      </c>
      <c r="Q9" s="114"/>
      <c r="S9" s="115"/>
    </row>
    <row r="10" spans="1:19" ht="14.45" customHeight="1" x14ac:dyDescent="0.25">
      <c r="A10" s="63">
        <f t="shared" si="0"/>
        <v>3</v>
      </c>
      <c r="B10" s="44"/>
      <c r="C10" s="45"/>
      <c r="D10" s="71"/>
      <c r="E10" s="71"/>
      <c r="F10" s="71"/>
      <c r="G10" s="66"/>
      <c r="H10" s="70"/>
      <c r="I10" s="70"/>
      <c r="J10" s="71"/>
      <c r="K10" s="71"/>
      <c r="L10" s="71"/>
      <c r="M10" s="66"/>
      <c r="N10" s="70"/>
      <c r="O10" s="70"/>
      <c r="P10" s="70"/>
      <c r="Q10" s="114"/>
      <c r="S10" s="115"/>
    </row>
    <row r="11" spans="1:19" ht="14.45" customHeight="1" x14ac:dyDescent="0.25">
      <c r="A11" s="63">
        <f t="shared" si="0"/>
        <v>4</v>
      </c>
      <c r="B11" s="43" t="s">
        <v>52</v>
      </c>
      <c r="C11" s="45"/>
      <c r="D11" s="71"/>
      <c r="E11" s="71"/>
      <c r="F11" s="71"/>
      <c r="G11" s="66"/>
      <c r="H11" s="70"/>
      <c r="I11" s="70"/>
      <c r="J11" s="71"/>
      <c r="K11" s="71"/>
      <c r="L11" s="71"/>
      <c r="M11" s="66"/>
      <c r="N11" s="70"/>
      <c r="O11" s="70"/>
      <c r="P11" s="70"/>
      <c r="Q11" s="114"/>
      <c r="S11" s="115"/>
    </row>
    <row r="12" spans="1:19" ht="14.45" customHeight="1" x14ac:dyDescent="0.25">
      <c r="A12" s="63">
        <f t="shared" si="0"/>
        <v>5</v>
      </c>
      <c r="B12" s="43" t="s">
        <v>53</v>
      </c>
      <c r="C12" s="45" t="s">
        <v>54</v>
      </c>
      <c r="D12" s="65">
        <v>1069367000</v>
      </c>
      <c r="E12" s="71">
        <v>965592198.74044168</v>
      </c>
      <c r="F12" s="71">
        <f>D12-E12</f>
        <v>103774801.25955832</v>
      </c>
      <c r="G12" s="66">
        <v>2.6289999999999998E-3</v>
      </c>
      <c r="H12" s="67">
        <f>+G12*F12</f>
        <v>272823.9525113788</v>
      </c>
      <c r="I12" s="67"/>
      <c r="J12" s="65">
        <v>2019429000</v>
      </c>
      <c r="K12" s="71">
        <v>1758947086.7200952</v>
      </c>
      <c r="L12" s="71">
        <f>J12-K12</f>
        <v>260481913.27990484</v>
      </c>
      <c r="M12" s="66">
        <v>2.4450000000000001E-3</v>
      </c>
      <c r="N12" s="67">
        <f>+M12*L12</f>
        <v>636878.27796936734</v>
      </c>
      <c r="O12" s="67"/>
      <c r="P12" s="67">
        <f>H12+N12</f>
        <v>909702.23048074613</v>
      </c>
      <c r="Q12" s="114"/>
      <c r="S12" s="115"/>
    </row>
    <row r="13" spans="1:19" ht="14.45" customHeight="1" x14ac:dyDescent="0.25">
      <c r="A13" s="63">
        <f t="shared" si="0"/>
        <v>6</v>
      </c>
      <c r="B13" s="48" t="s">
        <v>55</v>
      </c>
      <c r="C13" s="45" t="s">
        <v>56</v>
      </c>
      <c r="D13" s="65">
        <v>1086441000</v>
      </c>
      <c r="E13" s="71">
        <v>1021322262.928602</v>
      </c>
      <c r="F13" s="71">
        <f>D13-E13</f>
        <v>65118737.07139802</v>
      </c>
      <c r="G13" s="66">
        <v>2.467E-3</v>
      </c>
      <c r="H13" s="67">
        <f>+G13*F13</f>
        <v>160647.92435513891</v>
      </c>
      <c r="I13" s="67"/>
      <c r="J13" s="65">
        <v>2165030000</v>
      </c>
      <c r="K13" s="71">
        <v>2032046917.3711851</v>
      </c>
      <c r="L13" s="71">
        <f>J13-K13</f>
        <v>132983082.62881494</v>
      </c>
      <c r="M13" s="66">
        <v>2.1359999999999999E-3</v>
      </c>
      <c r="N13" s="67">
        <f>+M13*L13</f>
        <v>284051.86449514871</v>
      </c>
      <c r="O13" s="67"/>
      <c r="P13" s="67">
        <f>H13+N13</f>
        <v>444699.78885028762</v>
      </c>
      <c r="Q13" s="114"/>
      <c r="S13" s="115"/>
    </row>
    <row r="14" spans="1:19" ht="14.45" customHeight="1" x14ac:dyDescent="0.25">
      <c r="A14" s="63">
        <f t="shared" si="0"/>
        <v>7</v>
      </c>
      <c r="B14" s="48" t="s">
        <v>57</v>
      </c>
      <c r="C14" s="45" t="s">
        <v>58</v>
      </c>
      <c r="D14" s="65">
        <v>630802000</v>
      </c>
      <c r="E14" s="71">
        <v>619832713.26491678</v>
      </c>
      <c r="F14" s="71">
        <f>D14-E14</f>
        <v>10969286.735083222</v>
      </c>
      <c r="G14" s="66">
        <v>2.2649999999999997E-3</v>
      </c>
      <c r="H14" s="67">
        <f>+G14*F14</f>
        <v>24845.434454963495</v>
      </c>
      <c r="I14" s="67"/>
      <c r="J14" s="65">
        <v>1305405000</v>
      </c>
      <c r="K14" s="71">
        <v>1265706494.1980691</v>
      </c>
      <c r="L14" s="71">
        <f>J14-K14</f>
        <v>39698505.801930904</v>
      </c>
      <c r="M14" s="66">
        <v>2.0959999999999998E-3</v>
      </c>
      <c r="N14" s="67">
        <f>+M14*L14</f>
        <v>83208.068160847164</v>
      </c>
      <c r="O14" s="67"/>
      <c r="P14" s="67">
        <f>H14+N14</f>
        <v>108053.50261581066</v>
      </c>
      <c r="Q14" s="114"/>
      <c r="S14" s="115"/>
    </row>
    <row r="15" spans="1:19" ht="14.45" customHeight="1" x14ac:dyDescent="0.25">
      <c r="A15" s="63">
        <f t="shared" si="0"/>
        <v>8</v>
      </c>
      <c r="B15" s="48" t="s">
        <v>59</v>
      </c>
      <c r="C15" s="45">
        <v>29</v>
      </c>
      <c r="D15" s="65">
        <v>1566000</v>
      </c>
      <c r="E15" s="71">
        <v>999633.79680952383</v>
      </c>
      <c r="F15" s="71">
        <f>D15-E15</f>
        <v>566366.20319047617</v>
      </c>
      <c r="G15" s="66">
        <v>2.467E-3</v>
      </c>
      <c r="H15" s="67">
        <f>+G15*F15</f>
        <v>1397.2254232709047</v>
      </c>
      <c r="I15" s="67"/>
      <c r="J15" s="65">
        <v>14659000</v>
      </c>
      <c r="K15" s="71">
        <v>14215721.014714286</v>
      </c>
      <c r="L15" s="71">
        <f>J15-K15</f>
        <v>443278.98528571427</v>
      </c>
      <c r="M15" s="66">
        <v>2.1359999999999999E-3</v>
      </c>
      <c r="N15" s="67">
        <f>+M15*L15</f>
        <v>946.84391257028562</v>
      </c>
      <c r="O15" s="67"/>
      <c r="P15" s="67">
        <f>H15+N15</f>
        <v>2344.0693358411904</v>
      </c>
      <c r="Q15" s="114"/>
      <c r="S15" s="115"/>
    </row>
    <row r="16" spans="1:19" ht="14.45" customHeight="1" x14ac:dyDescent="0.25">
      <c r="A16" s="63">
        <f t="shared" si="0"/>
        <v>9</v>
      </c>
      <c r="B16" s="46" t="s">
        <v>60</v>
      </c>
      <c r="C16" s="45"/>
      <c r="D16" s="68">
        <f>SUM(D12:D15)</f>
        <v>2788176000</v>
      </c>
      <c r="E16" s="68">
        <f>SUM(E12:E15)</f>
        <v>2607746808.7307701</v>
      </c>
      <c r="F16" s="68">
        <f>SUM(F12:F15)</f>
        <v>180429191.26923004</v>
      </c>
      <c r="G16" s="66"/>
      <c r="H16" s="69">
        <f>SUM(H12:H15)</f>
        <v>459714.53674475208</v>
      </c>
      <c r="I16" s="70"/>
      <c r="J16" s="68">
        <f>SUM(J12:J15)</f>
        <v>5504523000</v>
      </c>
      <c r="K16" s="68">
        <f>SUM(K12:K15)</f>
        <v>5070916219.3040628</v>
      </c>
      <c r="L16" s="68">
        <f>SUM(L12:L15)</f>
        <v>433606780.69593638</v>
      </c>
      <c r="M16" s="66"/>
      <c r="N16" s="69">
        <f>SUM(N12:N15)</f>
        <v>1005085.0545379334</v>
      </c>
      <c r="O16" s="70"/>
      <c r="P16" s="69">
        <f>SUM(P12:P15)</f>
        <v>1464799.5912826855</v>
      </c>
      <c r="Q16" s="114"/>
      <c r="S16" s="115"/>
    </row>
    <row r="17" spans="1:19" ht="14.45" customHeight="1" x14ac:dyDescent="0.25">
      <c r="A17" s="63">
        <f t="shared" si="0"/>
        <v>10</v>
      </c>
      <c r="B17" s="47"/>
      <c r="C17" s="45"/>
      <c r="D17" s="71"/>
      <c r="E17" s="71"/>
      <c r="F17" s="71"/>
      <c r="G17" s="66"/>
      <c r="H17" s="70"/>
      <c r="I17" s="70"/>
      <c r="J17" s="71"/>
      <c r="K17" s="71"/>
      <c r="L17" s="71"/>
      <c r="M17" s="66"/>
      <c r="N17" s="70"/>
      <c r="O17" s="70"/>
      <c r="P17" s="70"/>
      <c r="Q17" s="114"/>
      <c r="S17" s="115"/>
    </row>
    <row r="18" spans="1:19" ht="14.45" customHeight="1" x14ac:dyDescent="0.25">
      <c r="A18" s="63">
        <f t="shared" si="0"/>
        <v>11</v>
      </c>
      <c r="B18" s="43" t="s">
        <v>61</v>
      </c>
      <c r="C18" s="45"/>
      <c r="D18" s="71"/>
      <c r="E18" s="71"/>
      <c r="F18" s="71"/>
      <c r="G18" s="66"/>
      <c r="H18" s="70"/>
      <c r="I18" s="70"/>
      <c r="J18" s="71"/>
      <c r="K18" s="71"/>
      <c r="L18" s="71"/>
      <c r="M18" s="66"/>
      <c r="N18" s="70"/>
      <c r="O18" s="70"/>
      <c r="P18" s="70"/>
      <c r="Q18" s="114"/>
      <c r="S18" s="115"/>
    </row>
    <row r="19" spans="1:19" ht="14.45" customHeight="1" x14ac:dyDescent="0.25">
      <c r="A19" s="63">
        <f t="shared" si="0"/>
        <v>12</v>
      </c>
      <c r="B19" s="43" t="s">
        <v>62</v>
      </c>
      <c r="C19" s="45" t="s">
        <v>63</v>
      </c>
      <c r="D19" s="65">
        <v>472588000</v>
      </c>
      <c r="E19" s="71">
        <v>437347619.38864279</v>
      </c>
      <c r="F19" s="71">
        <f>D19-E19</f>
        <v>35240380.611357212</v>
      </c>
      <c r="G19" s="66">
        <v>2.2539999999999999E-3</v>
      </c>
      <c r="H19" s="67">
        <f>+G19*F19</f>
        <v>79431.81789799915</v>
      </c>
      <c r="I19" s="67"/>
      <c r="J19" s="65">
        <v>944473000</v>
      </c>
      <c r="K19" s="71">
        <v>851856526.80293417</v>
      </c>
      <c r="L19" s="71">
        <f>J19-K19</f>
        <v>92616473.19706583</v>
      </c>
      <c r="M19" s="66">
        <v>1.9780000000000002E-3</v>
      </c>
      <c r="N19" s="67">
        <f>+M19*L19</f>
        <v>183195.38398379623</v>
      </c>
      <c r="O19" s="67"/>
      <c r="P19" s="67">
        <f>H19+N19</f>
        <v>262627.20188179536</v>
      </c>
      <c r="Q19" s="114"/>
      <c r="S19" s="115"/>
    </row>
    <row r="20" spans="1:19" ht="14.45" customHeight="1" x14ac:dyDescent="0.25">
      <c r="A20" s="63">
        <f t="shared" si="0"/>
        <v>13</v>
      </c>
      <c r="B20" s="48" t="s">
        <v>59</v>
      </c>
      <c r="C20" s="45">
        <v>35</v>
      </c>
      <c r="D20" s="65">
        <v>444000</v>
      </c>
      <c r="E20" s="71">
        <v>125100</v>
      </c>
      <c r="F20" s="71">
        <f>D20-E20</f>
        <v>318900</v>
      </c>
      <c r="G20" s="66">
        <v>2.2539999999999999E-3</v>
      </c>
      <c r="H20" s="67">
        <f>+G20*F20</f>
        <v>718.80060000000003</v>
      </c>
      <c r="I20" s="67"/>
      <c r="J20" s="65">
        <v>4723000</v>
      </c>
      <c r="K20" s="71">
        <v>4579660.8</v>
      </c>
      <c r="L20" s="71">
        <f>J20-K20</f>
        <v>143339.20000000019</v>
      </c>
      <c r="M20" s="66">
        <v>1.9780000000000002E-3</v>
      </c>
      <c r="N20" s="67">
        <f>+M20*L20</f>
        <v>283.52493760000038</v>
      </c>
      <c r="O20" s="67"/>
      <c r="P20" s="67">
        <f>H20+N20</f>
        <v>1002.3255376000004</v>
      </c>
      <c r="Q20" s="114"/>
      <c r="S20" s="115"/>
    </row>
    <row r="21" spans="1:19" ht="14.45" customHeight="1" x14ac:dyDescent="0.25">
      <c r="A21" s="63">
        <f t="shared" si="0"/>
        <v>14</v>
      </c>
      <c r="B21" s="46" t="s">
        <v>64</v>
      </c>
      <c r="C21" s="45">
        <v>43</v>
      </c>
      <c r="D21" s="65">
        <v>52295000</v>
      </c>
      <c r="E21" s="71">
        <v>52677846.805</v>
      </c>
      <c r="F21" s="71">
        <f>D21-E21</f>
        <v>-382846.8049999997</v>
      </c>
      <c r="G21" s="66">
        <v>3.2960000000000003E-3</v>
      </c>
      <c r="H21" s="67">
        <f>+G21*F21</f>
        <v>-1261.8630692799991</v>
      </c>
      <c r="I21" s="67"/>
      <c r="J21" s="65">
        <v>73389000</v>
      </c>
      <c r="K21" s="71">
        <v>69422101.465000004</v>
      </c>
      <c r="L21" s="71">
        <f>J21-K21</f>
        <v>3966898.5349999964</v>
      </c>
      <c r="M21" s="66">
        <v>2.8159999999999999E-3</v>
      </c>
      <c r="N21" s="67">
        <f>+M21*L21</f>
        <v>11170.78627455999</v>
      </c>
      <c r="O21" s="67"/>
      <c r="P21" s="67">
        <f>H21+N21</f>
        <v>9908.9232052799907</v>
      </c>
      <c r="Q21" s="114"/>
      <c r="S21" s="115"/>
    </row>
    <row r="22" spans="1:19" ht="14.45" customHeight="1" x14ac:dyDescent="0.25">
      <c r="A22" s="63">
        <f t="shared" si="0"/>
        <v>15</v>
      </c>
      <c r="B22" s="46" t="s">
        <v>65</v>
      </c>
      <c r="C22" s="45"/>
      <c r="D22" s="68">
        <f>SUM(D19:D21)</f>
        <v>525327000</v>
      </c>
      <c r="E22" s="68">
        <f>SUM(E19:E21)</f>
        <v>490150566.1936428</v>
      </c>
      <c r="F22" s="68">
        <f>SUM(F19:F21)</f>
        <v>35176433.806357212</v>
      </c>
      <c r="G22" s="66"/>
      <c r="H22" s="69">
        <f>SUM(H19:H21)</f>
        <v>78888.75542871916</v>
      </c>
      <c r="I22" s="70"/>
      <c r="J22" s="68">
        <f>SUM(J19:J21)</f>
        <v>1022585000</v>
      </c>
      <c r="K22" s="68">
        <f>SUM(K19:K21)</f>
        <v>925858289.06793416</v>
      </c>
      <c r="L22" s="68">
        <f>SUM(L19:L21)</f>
        <v>96726710.93206583</v>
      </c>
      <c r="M22" s="66"/>
      <c r="N22" s="69">
        <f>SUM(N19:N21)</f>
        <v>194649.69519595624</v>
      </c>
      <c r="O22" s="70"/>
      <c r="P22" s="69">
        <f>SUM(P19:P21)</f>
        <v>273538.45062467532</v>
      </c>
      <c r="Q22" s="114"/>
      <c r="S22" s="115"/>
    </row>
    <row r="23" spans="1:19" ht="14.45" customHeight="1" x14ac:dyDescent="0.25">
      <c r="A23" s="63">
        <f t="shared" si="0"/>
        <v>16</v>
      </c>
      <c r="B23" s="44"/>
      <c r="C23" s="45"/>
      <c r="D23" s="72"/>
      <c r="E23" s="72"/>
      <c r="F23" s="72"/>
      <c r="G23" s="66"/>
      <c r="H23" s="73"/>
      <c r="I23" s="73"/>
      <c r="J23" s="72"/>
      <c r="K23" s="72"/>
      <c r="L23" s="72"/>
      <c r="M23" s="66"/>
      <c r="N23" s="73"/>
      <c r="O23" s="73"/>
      <c r="P23" s="73"/>
      <c r="Q23" s="114"/>
      <c r="S23" s="115"/>
    </row>
    <row r="24" spans="1:19" ht="14.45" customHeight="1" x14ac:dyDescent="0.25">
      <c r="A24" s="63">
        <f t="shared" si="0"/>
        <v>17</v>
      </c>
      <c r="B24" s="43" t="s">
        <v>66</v>
      </c>
      <c r="C24" s="45">
        <v>40</v>
      </c>
      <c r="D24" s="68">
        <v>193762000</v>
      </c>
      <c r="E24" s="68">
        <v>162534216.02009088</v>
      </c>
      <c r="F24" s="68">
        <f>D24-E24</f>
        <v>31227783.979909122</v>
      </c>
      <c r="G24" s="66">
        <v>2.104E-3</v>
      </c>
      <c r="H24" s="67">
        <f>+G24*F24</f>
        <v>65703.257493728786</v>
      </c>
      <c r="I24" s="67"/>
      <c r="J24" s="68">
        <v>392795000</v>
      </c>
      <c r="K24" s="68">
        <v>108936501.15463637</v>
      </c>
      <c r="L24" s="68">
        <f>J24-K24</f>
        <v>283858498.84536362</v>
      </c>
      <c r="M24" s="66">
        <v>2.186E-3</v>
      </c>
      <c r="N24" s="67">
        <f>+M24*L24</f>
        <v>620514.67847596481</v>
      </c>
      <c r="O24" s="67"/>
      <c r="P24" s="67">
        <f>H24+N24</f>
        <v>686217.93596969359</v>
      </c>
      <c r="Q24" s="114"/>
      <c r="S24" s="115"/>
    </row>
    <row r="25" spans="1:19" ht="14.45" customHeight="1" x14ac:dyDescent="0.25">
      <c r="A25" s="63">
        <f t="shared" si="0"/>
        <v>18</v>
      </c>
      <c r="B25" s="43"/>
      <c r="C25" s="45"/>
      <c r="D25" s="72"/>
      <c r="E25" s="72"/>
      <c r="F25" s="72"/>
      <c r="G25" s="66"/>
      <c r="H25" s="73"/>
      <c r="I25" s="73"/>
      <c r="J25" s="72"/>
      <c r="K25" s="72"/>
      <c r="L25" s="72"/>
      <c r="M25" s="66"/>
      <c r="N25" s="73"/>
      <c r="O25" s="73"/>
      <c r="P25" s="73"/>
      <c r="Q25" s="114"/>
      <c r="S25" s="115"/>
    </row>
    <row r="26" spans="1:19" ht="14.45" customHeight="1" x14ac:dyDescent="0.25">
      <c r="A26" s="63">
        <f t="shared" si="0"/>
        <v>19</v>
      </c>
      <c r="B26" s="43" t="s">
        <v>67</v>
      </c>
      <c r="C26" s="45"/>
      <c r="D26" s="71"/>
      <c r="E26" s="71"/>
      <c r="F26" s="71"/>
      <c r="G26" s="66"/>
      <c r="H26" s="70"/>
      <c r="I26" s="70"/>
      <c r="J26" s="71"/>
      <c r="K26" s="71"/>
      <c r="L26" s="71"/>
      <c r="M26" s="66"/>
      <c r="N26" s="70"/>
      <c r="O26" s="70"/>
      <c r="P26" s="70"/>
      <c r="Q26" s="114"/>
      <c r="S26" s="115"/>
    </row>
    <row r="27" spans="1:19" ht="14.45" customHeight="1" x14ac:dyDescent="0.25">
      <c r="A27" s="63">
        <f t="shared" si="0"/>
        <v>20</v>
      </c>
      <c r="B27" s="43" t="s">
        <v>50</v>
      </c>
      <c r="C27" s="45">
        <v>46</v>
      </c>
      <c r="D27" s="71">
        <v>25901000</v>
      </c>
      <c r="E27" s="71">
        <v>25590858.102000002</v>
      </c>
      <c r="F27" s="71">
        <f>D27-E27</f>
        <v>310141.89799999818</v>
      </c>
      <c r="G27" s="66">
        <v>1.6520000000000003E-3</v>
      </c>
      <c r="H27" s="67">
        <f>+G27*F27</f>
        <v>512.35441549599705</v>
      </c>
      <c r="I27" s="67"/>
      <c r="J27" s="71">
        <v>50442000</v>
      </c>
      <c r="K27" s="71">
        <v>51963906.890000008</v>
      </c>
      <c r="L27" s="71">
        <f>J27-K27</f>
        <v>-1521906.890000008</v>
      </c>
      <c r="M27" s="66">
        <v>1.5579999999999999E-3</v>
      </c>
      <c r="N27" s="67">
        <f>+M27*L27</f>
        <v>-2371.1309346200123</v>
      </c>
      <c r="O27" s="67"/>
      <c r="P27" s="67">
        <f>H27+N27</f>
        <v>-1858.7765191240153</v>
      </c>
      <c r="Q27" s="114"/>
      <c r="S27" s="115"/>
    </row>
    <row r="28" spans="1:19" ht="14.45" customHeight="1" x14ac:dyDescent="0.25">
      <c r="A28" s="63">
        <f t="shared" si="0"/>
        <v>21</v>
      </c>
      <c r="B28" s="48" t="s">
        <v>62</v>
      </c>
      <c r="C28" s="45">
        <v>49</v>
      </c>
      <c r="D28" s="71">
        <v>191760000</v>
      </c>
      <c r="E28" s="71">
        <v>188684512.38800001</v>
      </c>
      <c r="F28" s="71">
        <f>D28-E28</f>
        <v>3075487.6119999886</v>
      </c>
      <c r="G28" s="66">
        <v>1.6520000000000003E-3</v>
      </c>
      <c r="H28" s="67">
        <f>+G28*F28</f>
        <v>5080.7055350239816</v>
      </c>
      <c r="I28" s="67"/>
      <c r="J28" s="71">
        <v>411517000</v>
      </c>
      <c r="K28" s="71">
        <v>375920703.77899998</v>
      </c>
      <c r="L28" s="71">
        <f>J28-K28</f>
        <v>35596296.221000016</v>
      </c>
      <c r="M28" s="66">
        <v>1.5579999999999999E-3</v>
      </c>
      <c r="N28" s="67">
        <f>+M28*L28</f>
        <v>55459.029512318019</v>
      </c>
      <c r="O28" s="67"/>
      <c r="P28" s="67">
        <f>H28+N28</f>
        <v>60539.735047342001</v>
      </c>
      <c r="Q28" s="114"/>
      <c r="S28" s="115"/>
    </row>
    <row r="29" spans="1:19" ht="14.45" customHeight="1" x14ac:dyDescent="0.25">
      <c r="A29" s="63">
        <f t="shared" si="0"/>
        <v>22</v>
      </c>
      <c r="B29" s="48" t="s">
        <v>68</v>
      </c>
      <c r="C29" s="45"/>
      <c r="D29" s="68">
        <f>SUM(D27:D28)</f>
        <v>217661000</v>
      </c>
      <c r="E29" s="68">
        <f>SUM(E27:E28)</f>
        <v>214275370.49000001</v>
      </c>
      <c r="F29" s="68">
        <f>SUM(F27:F28)</f>
        <v>3385629.5099999867</v>
      </c>
      <c r="G29" s="66"/>
      <c r="H29" s="69">
        <f>SUM(H27:H28)</f>
        <v>5593.0599505199789</v>
      </c>
      <c r="I29" s="70"/>
      <c r="J29" s="68">
        <f>SUM(J27:J28)</f>
        <v>461959000</v>
      </c>
      <c r="K29" s="68">
        <f>SUM(K27:K28)</f>
        <v>427884610.66899997</v>
      </c>
      <c r="L29" s="68">
        <f>SUM(L27:L28)</f>
        <v>34074389.331000008</v>
      </c>
      <c r="M29" s="66"/>
      <c r="N29" s="69">
        <f>SUM(N27:N28)</f>
        <v>53087.898577698004</v>
      </c>
      <c r="O29" s="70"/>
      <c r="P29" s="69">
        <f>SUM(P27:P28)</f>
        <v>58680.958528217983</v>
      </c>
      <c r="Q29" s="114"/>
      <c r="S29" s="115"/>
    </row>
    <row r="30" spans="1:19" ht="14.45" customHeight="1" x14ac:dyDescent="0.25">
      <c r="A30" s="63">
        <f t="shared" si="0"/>
        <v>23</v>
      </c>
      <c r="B30" s="47"/>
      <c r="C30" s="45"/>
      <c r="D30" s="72"/>
      <c r="E30" s="72"/>
      <c r="F30" s="72"/>
      <c r="G30" s="66"/>
      <c r="H30" s="73"/>
      <c r="I30" s="73"/>
      <c r="J30" s="72"/>
      <c r="K30" s="72"/>
      <c r="L30" s="72"/>
      <c r="M30" s="66"/>
      <c r="N30" s="73"/>
      <c r="O30" s="73"/>
      <c r="P30" s="73"/>
      <c r="Q30" s="114"/>
      <c r="S30" s="115"/>
    </row>
    <row r="31" spans="1:19" ht="14.45" customHeight="1" x14ac:dyDescent="0.25">
      <c r="A31" s="63">
        <f t="shared" si="0"/>
        <v>24</v>
      </c>
      <c r="B31" s="43" t="s">
        <v>69</v>
      </c>
      <c r="C31" s="45" t="s">
        <v>70</v>
      </c>
      <c r="D31" s="68">
        <v>23160000</v>
      </c>
      <c r="E31" s="68">
        <v>23203845.387499999</v>
      </c>
      <c r="F31" s="68">
        <f>D31-E31</f>
        <v>-43845.387499999255</v>
      </c>
      <c r="G31" s="66">
        <v>9.2829999999999996E-3</v>
      </c>
      <c r="H31" s="67">
        <f>+G31*F31</f>
        <v>-407.01673216249304</v>
      </c>
      <c r="I31" s="67"/>
      <c r="J31" s="68">
        <v>47972000</v>
      </c>
      <c r="K31" s="68">
        <v>47470139.316999994</v>
      </c>
      <c r="L31" s="68">
        <f>J31-K31</f>
        <v>501860.68300000578</v>
      </c>
      <c r="M31" s="66">
        <v>9.1549999999999999E-3</v>
      </c>
      <c r="N31" s="67">
        <f>+M31*L31</f>
        <v>4594.5345528650532</v>
      </c>
      <c r="O31" s="67"/>
      <c r="P31" s="67">
        <f>H31+N31</f>
        <v>4187.5178207025601</v>
      </c>
      <c r="Q31" s="114"/>
      <c r="S31" s="115"/>
    </row>
    <row r="32" spans="1:19" ht="14.45" customHeight="1" x14ac:dyDescent="0.25">
      <c r="A32" s="63">
        <f t="shared" si="0"/>
        <v>25</v>
      </c>
      <c r="B32" s="43"/>
      <c r="C32" s="45"/>
      <c r="D32" s="72"/>
      <c r="E32" s="72"/>
      <c r="F32" s="72"/>
      <c r="G32" s="66"/>
      <c r="H32" s="73"/>
      <c r="I32" s="73"/>
      <c r="J32" s="72"/>
      <c r="K32" s="72"/>
      <c r="L32" s="72"/>
      <c r="M32" s="66"/>
      <c r="N32" s="73"/>
      <c r="O32" s="73"/>
      <c r="P32" s="73"/>
      <c r="Q32" s="114"/>
      <c r="S32" s="115"/>
    </row>
    <row r="33" spans="1:19" ht="14.45" customHeight="1" x14ac:dyDescent="0.25">
      <c r="A33" s="63">
        <f t="shared" si="0"/>
        <v>26</v>
      </c>
      <c r="B33" s="46" t="s">
        <v>71</v>
      </c>
      <c r="C33" s="45"/>
      <c r="D33" s="68">
        <v>677513000</v>
      </c>
      <c r="E33" s="68">
        <v>682084694.48099995</v>
      </c>
      <c r="F33" s="68">
        <f>D33-E33</f>
        <v>-4571694.4809999466</v>
      </c>
      <c r="G33" s="66">
        <v>2.9999999999999997E-5</v>
      </c>
      <c r="H33" s="67">
        <f>+G33*F33</f>
        <v>-137.15083442999838</v>
      </c>
      <c r="I33" s="67"/>
      <c r="J33" s="68">
        <v>1351086000</v>
      </c>
      <c r="K33" s="68">
        <v>1639936429.4250002</v>
      </c>
      <c r="L33" s="68">
        <f>J33-K33</f>
        <v>-288850429.42500019</v>
      </c>
      <c r="M33" s="66">
        <v>2.4999999999999998E-5</v>
      </c>
      <c r="N33" s="67">
        <f>+M33*L33</f>
        <v>-7221.2607356250037</v>
      </c>
      <c r="O33" s="67"/>
      <c r="P33" s="67">
        <f>H33+N33</f>
        <v>-7358.4115700550019</v>
      </c>
      <c r="Q33" s="114"/>
      <c r="S33" s="115"/>
    </row>
    <row r="34" spans="1:19" ht="14.45" customHeight="1" x14ac:dyDescent="0.25">
      <c r="A34" s="63">
        <f t="shared" si="0"/>
        <v>27</v>
      </c>
      <c r="B34" s="44"/>
      <c r="C34" s="43"/>
      <c r="D34" s="72"/>
      <c r="E34" s="72"/>
      <c r="F34" s="72"/>
      <c r="G34" s="66"/>
      <c r="H34" s="73"/>
      <c r="I34" s="73"/>
      <c r="J34" s="72"/>
      <c r="K34" s="72"/>
      <c r="L34" s="72"/>
      <c r="M34" s="66"/>
      <c r="N34" s="73"/>
      <c r="O34" s="73"/>
      <c r="P34" s="73"/>
      <c r="Q34" s="114"/>
      <c r="S34" s="115"/>
    </row>
    <row r="35" spans="1:19" ht="15" customHeight="1" thickBot="1" x14ac:dyDescent="0.3">
      <c r="A35" s="63">
        <f t="shared" si="0"/>
        <v>28</v>
      </c>
      <c r="B35" s="43" t="s">
        <v>72</v>
      </c>
      <c r="C35" s="43"/>
      <c r="D35" s="74">
        <f>SUM(D9,D16,D22,D24,D29,D31,D33)</f>
        <v>8641780000</v>
      </c>
      <c r="E35" s="74">
        <f>SUM(E9,E16,E22,E24,E29,E31,E33)</f>
        <v>8433700496.1796017</v>
      </c>
      <c r="F35" s="74">
        <f>SUM(F9,F16,F22,F24,F29,F31,F33)</f>
        <v>208079503.82039806</v>
      </c>
      <c r="G35" s="66"/>
      <c r="H35" s="75">
        <f>SUM(H9,H16,H22,H24,H29,H31,H33)</f>
        <v>479072.13183957798</v>
      </c>
      <c r="I35" s="70"/>
      <c r="J35" s="74">
        <f>SUM(J9,J16,J22,J24,J29,J31,J33)</f>
        <v>15372938000</v>
      </c>
      <c r="K35" s="74">
        <f>SUM(K9,K16,K22,K24,K29,K31,K33)</f>
        <v>14721550558.253521</v>
      </c>
      <c r="L35" s="74">
        <f>SUM(L9,L16,L22,L24,L29,L31,L33)</f>
        <v>651387441.74647808</v>
      </c>
      <c r="M35" s="66"/>
      <c r="N35" s="75">
        <f>SUM(N9,N16,N22,N24,N29,N31,N33)</f>
        <v>2165974.568453108</v>
      </c>
      <c r="O35" s="70"/>
      <c r="P35" s="398">
        <f>SUM(P9,P16,P22,P24,P29,P31,P33)</f>
        <v>2645046.7002926855</v>
      </c>
      <c r="Q35" s="114"/>
      <c r="S35" s="115"/>
    </row>
    <row r="36" spans="1:19" ht="15" customHeight="1" thickTop="1" x14ac:dyDescent="0.25">
      <c r="D36" s="115"/>
      <c r="F36" s="67"/>
    </row>
    <row r="37" spans="1:19" ht="14.45" customHeight="1" x14ac:dyDescent="0.25">
      <c r="D37" s="115"/>
      <c r="F37" s="52"/>
    </row>
    <row r="38" spans="1:19" ht="14.45" customHeight="1" x14ac:dyDescent="0.25"/>
    <row r="39" spans="1:19" ht="14.45" customHeight="1" x14ac:dyDescent="0.25">
      <c r="F39" s="114"/>
    </row>
    <row r="40" spans="1:19" ht="14.45" customHeight="1" x14ac:dyDescent="0.25">
      <c r="F40" s="114"/>
    </row>
    <row r="41" spans="1:19" ht="14.45" customHeight="1" x14ac:dyDescent="0.25">
      <c r="F41" s="114"/>
    </row>
  </sheetData>
  <printOptions horizontalCentered="1"/>
  <pageMargins left="0.25" right="0.25" top="0.84" bottom="0.75" header="0.3" footer="0.3"/>
  <pageSetup paperSize="17" scale="75" orientation="landscape" cellComments="asDisplayed" r:id="rId1"/>
  <headerFooter alignWithMargins="0">
    <oddHeader>&amp;RAdvice No. 2015-xx
Electric Schedule 140 Rate Design Workpapers
Page &amp;P of &amp;N</oddHeader>
    <oddFooter>&amp;L&amp;F
&amp;A&amp;R&amp;D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zoomScale="80" zoomScaleNormal="80" workbookViewId="0">
      <selection activeCell="O26" sqref="O26"/>
    </sheetView>
  </sheetViews>
  <sheetFormatPr defaultColWidth="9.140625" defaultRowHeight="14.1" customHeight="1" x14ac:dyDescent="0.25"/>
  <cols>
    <col min="1" max="1" width="9.85546875" style="77" bestFit="1" customWidth="1"/>
    <col min="2" max="2" width="39.42578125" style="77" customWidth="1"/>
    <col min="3" max="5" width="14.140625" style="77" customWidth="1"/>
    <col min="6" max="6" width="15.42578125" style="77" customWidth="1"/>
    <col min="7" max="7" width="13.42578125" style="77" customWidth="1"/>
    <col min="8" max="8" width="3.42578125" style="77" customWidth="1"/>
    <col min="9" max="11" width="14.140625" style="77" customWidth="1"/>
    <col min="12" max="12" width="15.42578125" style="77" customWidth="1"/>
    <col min="13" max="13" width="14.140625" style="77" customWidth="1"/>
    <col min="14" max="14" width="2.85546875" style="77" customWidth="1"/>
    <col min="15" max="15" width="14.140625" style="77" customWidth="1"/>
    <col min="16" max="16384" width="9.140625" style="77"/>
  </cols>
  <sheetData>
    <row r="1" spans="1:15" ht="15" x14ac:dyDescent="0.25">
      <c r="A1" s="411" t="s">
        <v>44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</row>
    <row r="2" spans="1:15" ht="15" x14ac:dyDescent="0.25">
      <c r="A2" s="411" t="s">
        <v>158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</row>
    <row r="3" spans="1:15" ht="15" x14ac:dyDescent="0.25">
      <c r="A3" s="411" t="s">
        <v>159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</row>
    <row r="4" spans="1:15" ht="15" x14ac:dyDescent="0.25">
      <c r="A4" s="411" t="s">
        <v>164</v>
      </c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</row>
    <row r="5" spans="1:15" ht="15" x14ac:dyDescent="0.25">
      <c r="C5" s="251"/>
      <c r="D5" s="251"/>
      <c r="E5" s="251"/>
    </row>
    <row r="6" spans="1:15" ht="60" x14ac:dyDescent="0.25">
      <c r="A6" s="252" t="s">
        <v>45</v>
      </c>
      <c r="B6" s="253" t="s">
        <v>10</v>
      </c>
      <c r="C6" s="254" t="s">
        <v>188</v>
      </c>
      <c r="D6" s="254" t="s">
        <v>165</v>
      </c>
      <c r="E6" s="255" t="s">
        <v>46</v>
      </c>
      <c r="F6" s="254" t="s">
        <v>160</v>
      </c>
      <c r="G6" s="255" t="s">
        <v>166</v>
      </c>
      <c r="I6" s="254" t="s">
        <v>189</v>
      </c>
      <c r="J6" s="254" t="s">
        <v>167</v>
      </c>
      <c r="K6" s="255" t="s">
        <v>46</v>
      </c>
      <c r="L6" s="254" t="s">
        <v>168</v>
      </c>
      <c r="M6" s="255" t="s">
        <v>169</v>
      </c>
      <c r="O6" s="254" t="s">
        <v>130</v>
      </c>
    </row>
    <row r="7" spans="1:15" ht="15" x14ac:dyDescent="0.25">
      <c r="A7" s="256" t="s">
        <v>161</v>
      </c>
      <c r="B7" s="77" t="s">
        <v>49</v>
      </c>
      <c r="C7" s="257">
        <v>293817875</v>
      </c>
      <c r="D7" s="257">
        <v>309327641.14715487</v>
      </c>
      <c r="E7" s="258">
        <f>C7-D7</f>
        <v>-15509766.147154868</v>
      </c>
      <c r="F7" s="259">
        <v>2.4480000000000002E-2</v>
      </c>
      <c r="G7" s="260">
        <f t="shared" ref="G7:G19" si="0">E7*F7</f>
        <v>-379679.07528235117</v>
      </c>
      <c r="I7" s="257">
        <v>330137004</v>
      </c>
      <c r="J7" s="257">
        <v>295986127.94985878</v>
      </c>
      <c r="K7" s="258">
        <f t="shared" ref="K7:K19" si="1">I7-J7</f>
        <v>34150876.050141215</v>
      </c>
      <c r="L7" s="259">
        <v>2.2350000000000002E-2</v>
      </c>
      <c r="M7" s="260">
        <f t="shared" ref="M7:M19" si="2">K7*L7</f>
        <v>763272.07972065627</v>
      </c>
      <c r="O7" s="260">
        <f>G7+M7</f>
        <v>383593.0044383051</v>
      </c>
    </row>
    <row r="8" spans="1:15" ht="15" x14ac:dyDescent="0.25">
      <c r="A8" s="256">
        <v>53</v>
      </c>
      <c r="B8" s="77" t="s">
        <v>131</v>
      </c>
      <c r="C8" s="257">
        <v>109</v>
      </c>
      <c r="D8" s="257">
        <v>0</v>
      </c>
      <c r="E8" s="258">
        <f t="shared" ref="E8:E19" si="3">C8-D8</f>
        <v>109</v>
      </c>
      <c r="F8" s="259">
        <v>2.4480000000000002E-2</v>
      </c>
      <c r="G8" s="260">
        <f t="shared" si="0"/>
        <v>2.66832</v>
      </c>
      <c r="I8" s="257">
        <v>0</v>
      </c>
      <c r="J8" s="257">
        <v>0</v>
      </c>
      <c r="K8" s="258">
        <f t="shared" si="1"/>
        <v>0</v>
      </c>
      <c r="L8" s="259">
        <v>2.2350000000000002E-2</v>
      </c>
      <c r="M8" s="260">
        <f t="shared" si="2"/>
        <v>0</v>
      </c>
      <c r="O8" s="260">
        <f t="shared" ref="O8:O19" si="4">G8+M8</f>
        <v>2.66832</v>
      </c>
    </row>
    <row r="9" spans="1:15" ht="15" x14ac:dyDescent="0.25">
      <c r="A9" s="256">
        <v>31</v>
      </c>
      <c r="B9" s="77" t="s">
        <v>132</v>
      </c>
      <c r="C9" s="257">
        <v>104133945</v>
      </c>
      <c r="D9" s="257">
        <v>110618184.98539457</v>
      </c>
      <c r="E9" s="258">
        <f t="shared" si="3"/>
        <v>-6484239.9853945673</v>
      </c>
      <c r="F9" s="259">
        <v>2.6370000000000001E-2</v>
      </c>
      <c r="G9" s="260">
        <f t="shared" si="0"/>
        <v>-170989.40841485476</v>
      </c>
      <c r="I9" s="257">
        <v>128978118</v>
      </c>
      <c r="J9" s="257">
        <v>124151015.49078098</v>
      </c>
      <c r="K9" s="258">
        <f t="shared" si="1"/>
        <v>4827102.5092190206</v>
      </c>
      <c r="L9" s="259">
        <v>2.528E-2</v>
      </c>
      <c r="M9" s="260">
        <f t="shared" si="2"/>
        <v>122029.15143305685</v>
      </c>
      <c r="O9" s="260">
        <f t="shared" si="4"/>
        <v>-48960.256981797909</v>
      </c>
    </row>
    <row r="10" spans="1:15" ht="15" x14ac:dyDescent="0.25">
      <c r="A10" s="256" t="s">
        <v>133</v>
      </c>
      <c r="B10" s="77" t="s">
        <v>134</v>
      </c>
      <c r="C10" s="257">
        <v>10500</v>
      </c>
      <c r="D10" s="257">
        <v>10490.089999999998</v>
      </c>
      <c r="E10" s="258">
        <f t="shared" si="3"/>
        <v>9.9100000000016735</v>
      </c>
      <c r="F10" s="259">
        <v>2.6370000000000001E-2</v>
      </c>
      <c r="G10" s="260">
        <f t="shared" si="0"/>
        <v>0.26132670000004415</v>
      </c>
      <c r="I10" s="257">
        <v>15772</v>
      </c>
      <c r="J10" s="257">
        <v>15686.229999999992</v>
      </c>
      <c r="K10" s="258">
        <f t="shared" si="1"/>
        <v>85.770000000007713</v>
      </c>
      <c r="L10" s="259">
        <v>2.528E-2</v>
      </c>
      <c r="M10" s="260">
        <f t="shared" si="2"/>
        <v>2.1682656000001952</v>
      </c>
      <c r="O10" s="260">
        <f t="shared" si="4"/>
        <v>2.4295923000002393</v>
      </c>
    </row>
    <row r="11" spans="1:15" ht="15" x14ac:dyDescent="0.25">
      <c r="A11" s="256">
        <v>41</v>
      </c>
      <c r="B11" s="77" t="s">
        <v>135</v>
      </c>
      <c r="C11" s="257">
        <v>27898617</v>
      </c>
      <c r="D11" s="257">
        <v>27578959.21197189</v>
      </c>
      <c r="E11" s="258">
        <f t="shared" si="3"/>
        <v>319657.78802810982</v>
      </c>
      <c r="F11" s="259">
        <v>9.1199999999999996E-3</v>
      </c>
      <c r="G11" s="260">
        <f t="shared" si="0"/>
        <v>2915.2790268163612</v>
      </c>
      <c r="I11" s="257">
        <v>39365595</v>
      </c>
      <c r="J11" s="257">
        <v>38205351.175879657</v>
      </c>
      <c r="K11" s="258">
        <f t="shared" si="1"/>
        <v>1160243.8241203427</v>
      </c>
      <c r="L11" s="259">
        <v>8.94E-3</v>
      </c>
      <c r="M11" s="260">
        <f t="shared" si="2"/>
        <v>10372.579787635865</v>
      </c>
      <c r="O11" s="260">
        <f t="shared" si="4"/>
        <v>13287.858814452225</v>
      </c>
    </row>
    <row r="12" spans="1:15" ht="15" x14ac:dyDescent="0.25">
      <c r="A12" s="256" t="s">
        <v>136</v>
      </c>
      <c r="B12" s="77" t="s">
        <v>137</v>
      </c>
      <c r="C12" s="257">
        <v>9313753</v>
      </c>
      <c r="D12" s="257">
        <v>8302071.2000000002</v>
      </c>
      <c r="E12" s="258">
        <f t="shared" si="3"/>
        <v>1011681.7999999998</v>
      </c>
      <c r="F12" s="259">
        <v>9.1199999999999996E-3</v>
      </c>
      <c r="G12" s="260">
        <f t="shared" si="0"/>
        <v>9226.5380159999986</v>
      </c>
      <c r="I12" s="257">
        <v>14920154</v>
      </c>
      <c r="J12" s="257">
        <v>13772903.59</v>
      </c>
      <c r="K12" s="258">
        <f t="shared" si="1"/>
        <v>1147250.4100000001</v>
      </c>
      <c r="L12" s="259">
        <v>8.94E-3</v>
      </c>
      <c r="M12" s="260">
        <f t="shared" si="2"/>
        <v>10256.4186654</v>
      </c>
      <c r="O12" s="260">
        <f t="shared" si="4"/>
        <v>19482.956681399999</v>
      </c>
    </row>
    <row r="13" spans="1:15" ht="15" x14ac:dyDescent="0.25">
      <c r="A13" s="256">
        <v>85</v>
      </c>
      <c r="B13" s="77" t="s">
        <v>138</v>
      </c>
      <c r="C13" s="257">
        <v>7186504</v>
      </c>
      <c r="D13" s="257">
        <v>5487489.3094999995</v>
      </c>
      <c r="E13" s="258">
        <f t="shared" si="3"/>
        <v>1699014.6905000005</v>
      </c>
      <c r="F13" s="259">
        <v>4.4099999999999999E-3</v>
      </c>
      <c r="G13" s="260">
        <f t="shared" si="0"/>
        <v>7492.6547851050018</v>
      </c>
      <c r="I13" s="257">
        <v>8861106</v>
      </c>
      <c r="J13" s="257">
        <v>9007536.2307937182</v>
      </c>
      <c r="K13" s="258">
        <f t="shared" si="1"/>
        <v>-146430.23079371825</v>
      </c>
      <c r="L13" s="259">
        <v>5.0499999999999998E-3</v>
      </c>
      <c r="M13" s="260">
        <f t="shared" si="2"/>
        <v>-739.47266550827715</v>
      </c>
      <c r="O13" s="260">
        <f t="shared" si="4"/>
        <v>6753.182119596725</v>
      </c>
    </row>
    <row r="14" spans="1:15" ht="15" x14ac:dyDescent="0.25">
      <c r="A14" s="256" t="s">
        <v>139</v>
      </c>
      <c r="B14" s="77" t="s">
        <v>140</v>
      </c>
      <c r="C14" s="257">
        <v>33070553</v>
      </c>
      <c r="D14" s="257">
        <v>25827496.57</v>
      </c>
      <c r="E14" s="258">
        <f t="shared" si="3"/>
        <v>7243056.4299999997</v>
      </c>
      <c r="F14" s="259">
        <v>4.4099999999999999E-3</v>
      </c>
      <c r="G14" s="260">
        <f t="shared" si="0"/>
        <v>31941.878856299998</v>
      </c>
      <c r="I14" s="257">
        <v>50244049</v>
      </c>
      <c r="J14" s="257">
        <v>47096341.325000003</v>
      </c>
      <c r="K14" s="258">
        <f t="shared" si="1"/>
        <v>3147707.674999997</v>
      </c>
      <c r="L14" s="259">
        <v>5.0499999999999998E-3</v>
      </c>
      <c r="M14" s="260">
        <f t="shared" si="2"/>
        <v>15895.923758749985</v>
      </c>
      <c r="O14" s="260">
        <f t="shared" si="4"/>
        <v>47837.802615049979</v>
      </c>
    </row>
    <row r="15" spans="1:15" ht="15" x14ac:dyDescent="0.25">
      <c r="A15" s="256">
        <v>86</v>
      </c>
      <c r="B15" s="77" t="s">
        <v>141</v>
      </c>
      <c r="C15" s="257">
        <v>4389510</v>
      </c>
      <c r="D15" s="257">
        <v>4080101.0284578362</v>
      </c>
      <c r="E15" s="258">
        <f t="shared" si="3"/>
        <v>309408.97154216375</v>
      </c>
      <c r="F15" s="259">
        <v>8.5299999999999994E-3</v>
      </c>
      <c r="G15" s="260">
        <f t="shared" si="0"/>
        <v>2639.2585272546567</v>
      </c>
      <c r="I15" s="257">
        <v>4638808</v>
      </c>
      <c r="J15" s="257">
        <v>4064476.4841364878</v>
      </c>
      <c r="K15" s="258">
        <f t="shared" si="1"/>
        <v>574331.51586351218</v>
      </c>
      <c r="L15" s="259">
        <v>7.6699999999999997E-3</v>
      </c>
      <c r="M15" s="260">
        <f t="shared" si="2"/>
        <v>4405.1227266731385</v>
      </c>
      <c r="O15" s="260">
        <f t="shared" si="4"/>
        <v>7044.3812539277951</v>
      </c>
    </row>
    <row r="16" spans="1:15" ht="15" x14ac:dyDescent="0.25">
      <c r="A16" s="256" t="s">
        <v>142</v>
      </c>
      <c r="B16" s="77" t="s">
        <v>143</v>
      </c>
      <c r="C16" s="257">
        <v>212906</v>
      </c>
      <c r="D16" s="257">
        <v>146731.37</v>
      </c>
      <c r="E16" s="258">
        <f t="shared" si="3"/>
        <v>66174.63</v>
      </c>
      <c r="F16" s="259">
        <v>8.5299999999999994E-3</v>
      </c>
      <c r="G16" s="260">
        <f t="shared" si="0"/>
        <v>564.46959389999995</v>
      </c>
      <c r="I16" s="257">
        <v>136292</v>
      </c>
      <c r="J16" s="257">
        <v>268138.49</v>
      </c>
      <c r="K16" s="258">
        <f t="shared" si="1"/>
        <v>-131846.49</v>
      </c>
      <c r="L16" s="259">
        <v>7.6699999999999997E-3</v>
      </c>
      <c r="M16" s="260">
        <f t="shared" si="2"/>
        <v>-1011.2625782999999</v>
      </c>
      <c r="O16" s="260">
        <f t="shared" si="4"/>
        <v>-446.79298439999991</v>
      </c>
    </row>
    <row r="17" spans="1:15" ht="15" x14ac:dyDescent="0.25">
      <c r="A17" s="256">
        <v>87</v>
      </c>
      <c r="B17" s="77" t="s">
        <v>144</v>
      </c>
      <c r="C17" s="257">
        <v>9924218</v>
      </c>
      <c r="D17" s="257">
        <v>8532318.3340000007</v>
      </c>
      <c r="E17" s="258">
        <f t="shared" si="3"/>
        <v>1391899.6659999993</v>
      </c>
      <c r="F17" s="259">
        <v>2.9399999999999999E-3</v>
      </c>
      <c r="G17" s="260">
        <f t="shared" si="0"/>
        <v>4092.1850180399979</v>
      </c>
      <c r="I17" s="257">
        <v>13747361</v>
      </c>
      <c r="J17" s="257">
        <v>14003506.483999999</v>
      </c>
      <c r="K17" s="258">
        <f t="shared" si="1"/>
        <v>-256145.48399999924</v>
      </c>
      <c r="L17" s="259">
        <v>2.7299999999999998E-3</v>
      </c>
      <c r="M17" s="260">
        <f t="shared" si="2"/>
        <v>-699.27717131999782</v>
      </c>
      <c r="O17" s="260">
        <f t="shared" si="4"/>
        <v>3392.9078467200002</v>
      </c>
    </row>
    <row r="18" spans="1:15" ht="15" x14ac:dyDescent="0.25">
      <c r="A18" s="256" t="s">
        <v>145</v>
      </c>
      <c r="B18" s="77" t="s">
        <v>146</v>
      </c>
      <c r="C18" s="257">
        <v>33097361</v>
      </c>
      <c r="D18" s="257">
        <v>31151710.649999999</v>
      </c>
      <c r="E18" s="258">
        <f t="shared" si="3"/>
        <v>1945650.3500000015</v>
      </c>
      <c r="F18" s="259">
        <v>2.9399999999999999E-3</v>
      </c>
      <c r="G18" s="260">
        <f t="shared" si="0"/>
        <v>5720.2120290000039</v>
      </c>
      <c r="I18" s="257">
        <v>65911323</v>
      </c>
      <c r="J18" s="257">
        <v>64382821.990000002</v>
      </c>
      <c r="K18" s="258">
        <f t="shared" si="1"/>
        <v>1528501.0099999979</v>
      </c>
      <c r="L18" s="259">
        <v>2.7299999999999998E-3</v>
      </c>
      <c r="M18" s="260">
        <f t="shared" si="2"/>
        <v>4172.8077572999937</v>
      </c>
      <c r="O18" s="260">
        <f t="shared" si="4"/>
        <v>9893.0197862999976</v>
      </c>
    </row>
    <row r="19" spans="1:15" ht="15" x14ac:dyDescent="0.25">
      <c r="A19" s="261">
        <v>99</v>
      </c>
      <c r="B19" s="253" t="s">
        <v>47</v>
      </c>
      <c r="C19" s="257">
        <v>16063545</v>
      </c>
      <c r="D19" s="257">
        <v>15337968.09</v>
      </c>
      <c r="E19" s="258">
        <f t="shared" si="3"/>
        <v>725576.91000000015</v>
      </c>
      <c r="F19" s="262">
        <v>3.2100000000000002E-3</v>
      </c>
      <c r="G19" s="260">
        <f t="shared" si="0"/>
        <v>2329.1018811000008</v>
      </c>
      <c r="I19" s="257">
        <v>22107417</v>
      </c>
      <c r="J19" s="257">
        <v>21344623.93</v>
      </c>
      <c r="K19" s="258">
        <f t="shared" si="1"/>
        <v>762793.0700000003</v>
      </c>
      <c r="L19" s="262">
        <v>3.4299999999999999E-3</v>
      </c>
      <c r="M19" s="260">
        <f t="shared" si="2"/>
        <v>2616.380230100001</v>
      </c>
      <c r="O19" s="263">
        <f t="shared" si="4"/>
        <v>4945.4821112000018</v>
      </c>
    </row>
    <row r="20" spans="1:15" ht="15" x14ac:dyDescent="0.25">
      <c r="A20" s="77" t="s">
        <v>48</v>
      </c>
      <c r="C20" s="264">
        <f>SUM(C7:C19)</f>
        <v>539119396</v>
      </c>
      <c r="D20" s="264">
        <f>SUM(D7:D19)</f>
        <v>546401161.98647904</v>
      </c>
      <c r="E20" s="264">
        <f>SUM(E7:E19)</f>
        <v>-7281765.9864791557</v>
      </c>
      <c r="G20" s="265">
        <f>SUM(G7:G19)</f>
        <v>-483743.97631698992</v>
      </c>
      <c r="I20" s="264">
        <f>SUM(I7:I19)</f>
        <v>679062999</v>
      </c>
      <c r="J20" s="264">
        <f>SUM(J7:J19)</f>
        <v>632298529.37044954</v>
      </c>
      <c r="K20" s="264">
        <f>SUM(K7:K19)</f>
        <v>46764469.629550382</v>
      </c>
      <c r="M20" s="265">
        <f>SUM(M7:M19)</f>
        <v>930572.6199300437</v>
      </c>
      <c r="O20" s="260">
        <f>SUM(O7:O19)</f>
        <v>446828.64361305395</v>
      </c>
    </row>
    <row r="21" spans="1:15" ht="15" x14ac:dyDescent="0.25">
      <c r="A21" s="266" t="s">
        <v>190</v>
      </c>
      <c r="C21" s="267">
        <v>0</v>
      </c>
      <c r="D21" s="258">
        <v>0</v>
      </c>
      <c r="E21" s="258"/>
      <c r="I21" s="268">
        <v>0</v>
      </c>
    </row>
    <row r="22" spans="1:15" ht="45" x14ac:dyDescent="0.25">
      <c r="A22" s="252" t="s">
        <v>45</v>
      </c>
      <c r="B22" s="253" t="s">
        <v>10</v>
      </c>
      <c r="C22" s="254" t="s">
        <v>170</v>
      </c>
      <c r="D22" s="254" t="s">
        <v>171</v>
      </c>
      <c r="E22" s="255" t="s">
        <v>147</v>
      </c>
      <c r="F22" s="254" t="str">
        <f>F6</f>
        <v>Schedule 140 Rates Effective May 1, 2018</v>
      </c>
      <c r="G22" s="255" t="str">
        <f>G6</f>
        <v>Jan - Apr 2019 Variance ($)</v>
      </c>
      <c r="I22" s="254" t="s">
        <v>172</v>
      </c>
      <c r="J22" s="254" t="s">
        <v>173</v>
      </c>
      <c r="K22" s="255" t="s">
        <v>147</v>
      </c>
      <c r="L22" s="254" t="str">
        <f>L6</f>
        <v>Schedule 140 Rates Effective May 1, 2019</v>
      </c>
      <c r="M22" s="255" t="str">
        <f>M6</f>
        <v>May - Dec 2019 Variance ($)</v>
      </c>
      <c r="O22" s="254" t="s">
        <v>130</v>
      </c>
    </row>
    <row r="23" spans="1:15" ht="15" x14ac:dyDescent="0.25">
      <c r="A23" s="256" t="s">
        <v>148</v>
      </c>
      <c r="B23" s="77" t="s">
        <v>75</v>
      </c>
      <c r="C23" s="257">
        <v>118976.33333333333</v>
      </c>
      <c r="D23" s="257">
        <v>111663.52894331407</v>
      </c>
      <c r="E23" s="258">
        <f>C23-D23</f>
        <v>7312.804390019257</v>
      </c>
      <c r="F23" s="269">
        <v>0.59</v>
      </c>
      <c r="G23" s="260">
        <f>E23*F23</f>
        <v>4314.554590111361</v>
      </c>
      <c r="I23" s="257">
        <v>225278.66666666666</v>
      </c>
      <c r="J23" s="257">
        <v>218210.92901008498</v>
      </c>
      <c r="K23" s="258">
        <f>I23-J23</f>
        <v>7067.7376565816812</v>
      </c>
      <c r="L23" s="269">
        <v>0.52</v>
      </c>
      <c r="M23" s="260">
        <f>K23*L23</f>
        <v>3675.2235814224746</v>
      </c>
      <c r="O23" s="260">
        <f>G23+M23</f>
        <v>7989.7781715338351</v>
      </c>
    </row>
    <row r="24" spans="1:15" ht="15" x14ac:dyDescent="0.25">
      <c r="A24" s="256"/>
      <c r="C24" s="270"/>
      <c r="D24" s="257"/>
      <c r="E24" s="258"/>
      <c r="F24" s="271"/>
      <c r="G24" s="260"/>
      <c r="I24" s="270"/>
      <c r="J24" s="257"/>
      <c r="K24" s="258"/>
      <c r="L24" s="271"/>
      <c r="M24" s="260"/>
      <c r="O24" s="260"/>
    </row>
    <row r="26" spans="1:15" ht="15.75" thickBot="1" x14ac:dyDescent="0.3">
      <c r="M26" s="77" t="s">
        <v>2</v>
      </c>
      <c r="O26" s="399">
        <f>O20+O23</f>
        <v>454818.42178458779</v>
      </c>
    </row>
    <row r="27" spans="1:15" ht="14.1" customHeight="1" thickTop="1" x14ac:dyDescent="0.25"/>
  </sheetData>
  <mergeCells count="4">
    <mergeCell ref="A1:O1"/>
    <mergeCell ref="A2:O2"/>
    <mergeCell ref="A3:O3"/>
    <mergeCell ref="A4:O4"/>
  </mergeCells>
  <pageMargins left="0.5" right="0.5" top="0.72" bottom="0.51" header="0.5" footer="0.25"/>
  <pageSetup scale="59" fitToHeight="4" pageOrder="overThenDown" orientation="landscape" blackAndWhite="1" r:id="rId1"/>
  <headerFooter alignWithMargins="0">
    <oddFooter xml:space="preserve">&amp;L&amp;F 
&amp;A&amp;C&amp;P&amp;R&amp;D </oddFooter>
  </headerFooter>
  <customProperties>
    <customPr name="_pios_id" r:id="rId2"/>
  </customProperties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workbookViewId="0">
      <selection activeCell="B40" sqref="B40"/>
    </sheetView>
  </sheetViews>
  <sheetFormatPr defaultColWidth="9.140625" defaultRowHeight="10.5" x14ac:dyDescent="0.15"/>
  <cols>
    <col min="1" max="1" width="4.140625" style="106" customWidth="1"/>
    <col min="2" max="2" width="46.7109375" style="106" customWidth="1"/>
    <col min="3" max="4" width="9.140625" style="106"/>
    <col min="5" max="5" width="12.28515625" style="106" bestFit="1" customWidth="1"/>
    <col min="6" max="16384" width="9.140625" style="106"/>
  </cols>
  <sheetData>
    <row r="1" spans="1:5" ht="15" x14ac:dyDescent="0.25">
      <c r="A1" s="403"/>
      <c r="B1" s="403"/>
      <c r="C1" s="403"/>
      <c r="D1" s="403"/>
      <c r="E1" s="402" t="s">
        <v>265</v>
      </c>
    </row>
    <row r="2" spans="1:5" ht="15" x14ac:dyDescent="0.25">
      <c r="A2" s="403"/>
      <c r="B2" s="403"/>
      <c r="C2" s="403"/>
      <c r="D2" s="403"/>
      <c r="E2" s="402"/>
    </row>
    <row r="3" spans="1:5" ht="12.75" x14ac:dyDescent="0.2">
      <c r="A3" s="405" t="s">
        <v>14</v>
      </c>
      <c r="B3" s="404"/>
      <c r="C3" s="404"/>
      <c r="D3" s="404"/>
      <c r="E3" s="404"/>
    </row>
    <row r="4" spans="1:5" ht="12.75" x14ac:dyDescent="0.2">
      <c r="A4" s="406" t="s">
        <v>15</v>
      </c>
      <c r="B4" s="406"/>
      <c r="C4" s="406"/>
      <c r="D4" s="406"/>
      <c r="E4" s="406"/>
    </row>
    <row r="5" spans="1:5" ht="15" x14ac:dyDescent="0.25">
      <c r="A5" s="408" t="s">
        <v>267</v>
      </c>
      <c r="B5" s="407"/>
      <c r="C5" s="409"/>
      <c r="D5" s="407"/>
      <c r="E5" s="410"/>
    </row>
    <row r="6" spans="1:5" ht="12.75" x14ac:dyDescent="0.2">
      <c r="A6" s="404" t="s">
        <v>125</v>
      </c>
      <c r="B6" s="404"/>
      <c r="C6" s="404"/>
      <c r="D6" s="404"/>
      <c r="E6" s="404"/>
    </row>
    <row r="7" spans="1:5" ht="12.75" x14ac:dyDescent="0.2">
      <c r="A7" s="405" t="s">
        <v>129</v>
      </c>
      <c r="B7" s="404"/>
      <c r="C7" s="404"/>
      <c r="D7" s="404"/>
      <c r="E7" s="404"/>
    </row>
    <row r="8" spans="1:5" ht="12.75" x14ac:dyDescent="0.2">
      <c r="A8" s="12"/>
      <c r="B8" s="13"/>
      <c r="C8" s="13"/>
      <c r="D8" s="13"/>
      <c r="E8" s="13"/>
    </row>
    <row r="9" spans="1:5" ht="12.75" x14ac:dyDescent="0.2">
      <c r="A9" s="11"/>
      <c r="B9" s="11"/>
      <c r="C9" s="11"/>
      <c r="D9" s="11"/>
      <c r="E9" s="11"/>
    </row>
    <row r="10" spans="1:5" ht="12.75" x14ac:dyDescent="0.2">
      <c r="A10" s="14" t="s">
        <v>16</v>
      </c>
      <c r="B10" s="11"/>
      <c r="C10" s="11"/>
      <c r="D10" s="11"/>
      <c r="E10" s="11"/>
    </row>
    <row r="11" spans="1:5" ht="12.75" x14ac:dyDescent="0.2">
      <c r="A11" s="15" t="s">
        <v>17</v>
      </c>
      <c r="B11" s="16" t="s">
        <v>18</v>
      </c>
      <c r="C11" s="17"/>
      <c r="D11" s="17"/>
      <c r="E11" s="18" t="s">
        <v>19</v>
      </c>
    </row>
    <row r="12" spans="1:5" ht="12.75" x14ac:dyDescent="0.2">
      <c r="A12" s="19"/>
      <c r="B12" s="19"/>
      <c r="C12" s="19"/>
      <c r="D12" s="19"/>
      <c r="E12" s="20"/>
    </row>
    <row r="13" spans="1:5" ht="12.75" x14ac:dyDescent="0.2">
      <c r="A13" s="20">
        <v>1</v>
      </c>
      <c r="B13" s="21" t="s">
        <v>20</v>
      </c>
      <c r="C13" s="19"/>
      <c r="D13" s="19"/>
      <c r="E13" s="59">
        <v>7.1570000000000002E-3</v>
      </c>
    </row>
    <row r="14" spans="1:5" ht="12.75" x14ac:dyDescent="0.2">
      <c r="A14" s="20">
        <v>2</v>
      </c>
      <c r="B14" s="21" t="s">
        <v>21</v>
      </c>
      <c r="C14" s="19"/>
      <c r="D14" s="19"/>
      <c r="E14" s="59">
        <v>2E-3</v>
      </c>
    </row>
    <row r="15" spans="1:5" ht="12.75" x14ac:dyDescent="0.2">
      <c r="A15" s="20">
        <v>3</v>
      </c>
      <c r="B15" s="21" t="str">
        <f>"STATE UTILITY TAX - NET OF BAD DEBTS ( "&amp;D15*100&amp;"% - ( LINE 1 * "&amp;D15*100&amp;"%) )"</f>
        <v>STATE UTILITY TAX - NET OF BAD DEBTS ( 3.8734% - ( LINE 1 * 3.8734%) )</v>
      </c>
      <c r="C15" s="19"/>
      <c r="D15" s="58">
        <v>3.8733999999999998E-2</v>
      </c>
      <c r="E15" s="60">
        <v>3.8456999999999998E-2</v>
      </c>
    </row>
    <row r="16" spans="1:5" ht="12.75" x14ac:dyDescent="0.2">
      <c r="A16" s="20">
        <v>4</v>
      </c>
      <c r="B16" s="21"/>
      <c r="C16" s="19"/>
      <c r="D16" s="19"/>
      <c r="E16" s="61"/>
    </row>
    <row r="17" spans="1:5" ht="12.75" x14ac:dyDescent="0.2">
      <c r="A17" s="20">
        <v>5</v>
      </c>
      <c r="B17" s="21" t="s">
        <v>22</v>
      </c>
      <c r="C17" s="19"/>
      <c r="D17" s="19"/>
      <c r="E17" s="59">
        <v>4.7613999999999997E-2</v>
      </c>
    </row>
    <row r="18" spans="1:5" ht="12.75" x14ac:dyDescent="0.2">
      <c r="A18" s="20">
        <v>6</v>
      </c>
      <c r="B18" s="19"/>
      <c r="C18" s="19"/>
      <c r="D18" s="19"/>
      <c r="E18" s="59"/>
    </row>
    <row r="19" spans="1:5" ht="12.75" x14ac:dyDescent="0.2">
      <c r="A19" s="20">
        <v>7</v>
      </c>
      <c r="B19" s="19" t="s">
        <v>126</v>
      </c>
      <c r="C19" s="19"/>
      <c r="D19" s="19"/>
      <c r="E19" s="59">
        <v>0.95238599999999995</v>
      </c>
    </row>
    <row r="20" spans="1:5" ht="12.75" x14ac:dyDescent="0.2">
      <c r="A20" s="20">
        <v>8</v>
      </c>
      <c r="B20" s="21" t="s">
        <v>127</v>
      </c>
      <c r="C20" s="19"/>
      <c r="D20" s="22">
        <v>0.21</v>
      </c>
      <c r="E20" s="60">
        <v>0.20000100000000001</v>
      </c>
    </row>
    <row r="21" spans="1:5" ht="13.5" thickBot="1" x14ac:dyDescent="0.25">
      <c r="A21" s="20">
        <v>9</v>
      </c>
      <c r="B21" s="21" t="s">
        <v>128</v>
      </c>
      <c r="C21" s="19"/>
      <c r="D21" s="19"/>
      <c r="E21" s="23">
        <v>0.75238499999999997</v>
      </c>
    </row>
    <row r="22" spans="1:5" ht="11.25" thickTop="1" x14ac:dyDescent="0.15"/>
  </sheetData>
  <printOptions horizontalCentered="1"/>
  <pageMargins left="0" right="0" top="0.4" bottom="0.5" header="0.5" footer="0.3"/>
  <pageSetup pageOrder="overThenDown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2020-03-25T07:00:00+00:00</OpenedDate>
    <SignificantOrder xmlns="dc463f71-b30c-4ab2-9473-d307f9d35888">false</SignificantOrder>
    <Date1 xmlns="dc463f71-b30c-4ab2-9473-d307f9d35888">2020-04-15T07:00:00+00:00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200270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B2A9940C441B84A8C5B289C696E2F16" ma:contentTypeVersion="52" ma:contentTypeDescription="" ma:contentTypeScope="" ma:versionID="db0e332abe14b468aa2de792b1a18c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7BE7A5-EA9B-454E-B6BF-EBBFE663A5F0}"/>
</file>

<file path=customXml/itemProps2.xml><?xml version="1.0" encoding="utf-8"?>
<ds:datastoreItem xmlns:ds="http://schemas.openxmlformats.org/officeDocument/2006/customXml" ds:itemID="{7A3239BA-F84C-494F-B472-A5E18F2B0B0D}"/>
</file>

<file path=customXml/itemProps3.xml><?xml version="1.0" encoding="utf-8"?>
<ds:datastoreItem xmlns:ds="http://schemas.openxmlformats.org/officeDocument/2006/customXml" ds:itemID="{372ED3BC-7BC6-400C-BE5B-6FF321BA1411}"/>
</file>

<file path=customXml/itemProps4.xml><?xml version="1.0" encoding="utf-8"?>
<ds:datastoreItem xmlns:ds="http://schemas.openxmlformats.org/officeDocument/2006/customXml" ds:itemID="{BE98A9A1-0B83-419D-ABF8-F58D4F7A08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2020 FINAL Rev Req</vt:lpstr>
      <vt:lpstr>2020 Final Payment</vt:lpstr>
      <vt:lpstr>Support===&gt;</vt:lpstr>
      <vt:lpstr>2019 FINAL Rev Req </vt:lpstr>
      <vt:lpstr>Electric summary</vt:lpstr>
      <vt:lpstr>Gas summary</vt:lpstr>
      <vt:lpstr>Elec Load Variance 2019</vt:lpstr>
      <vt:lpstr>Gas Load Variance 2019</vt:lpstr>
      <vt:lpstr>E Conv Fctr</vt:lpstr>
      <vt:lpstr>G Conv Fctr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2019-02-28T17:48:04Z</cp:lastPrinted>
  <dcterms:created xsi:type="dcterms:W3CDTF">2015-03-05T18:56:14Z</dcterms:created>
  <dcterms:modified xsi:type="dcterms:W3CDTF">2020-04-15T19:25:45Z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0x0101006E56B4D1795A2E4DB2F0B01679ED314A004B2A9940C441B84A8C5B289C696E2F16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